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09415495\OneDrive - csulb\Desktop\"/>
    </mc:Choice>
  </mc:AlternateContent>
  <bookViews>
    <workbookView xWindow="0" yWindow="0" windowWidth="10635" windowHeight="705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iv 3 (2)...4cb81c06_PBSMLS" sheetId="8" state="hidden" r:id="rId7"/>
    <sheet name="OSR_Div 2_1PQ800A" sheetId="10" state="hidden" r:id="rId8"/>
    <sheet name="OSR_Div 1 (2)...789fe994_2NV3KA" sheetId="11" state="hidden" r:id="rId9"/>
    <sheet name="OSR_Div 3_18723PH" sheetId="13" state="hidden" r:id="rId10"/>
    <sheet name="OSR_300 (2)_7...54cb56fc_UFX0O2" sheetId="14" state="hidden" r:id="rId11"/>
    <sheet name="OSR_300_IYZXI6" sheetId="16" state="hidden" r:id="rId12"/>
    <sheet name="OSR_310 (2)_5...3d931dee_QNK8R2" sheetId="17" state="hidden" r:id="rId13"/>
    <sheet name="OSR_300 &amp; 317_1C00ID4" sheetId="19" state="hidden" r:id="rId14"/>
    <sheet name="OSR_300 (2)_...6aa5a22d_14M6XO4" sheetId="20" state="hidden" r:id="rId15"/>
    <sheet name="OSR_310_1CMTOSB" sheetId="22" state="hidden" r:id="rId16"/>
    <sheet name="OSR_300 (2)_e...5d0da5bf_6BPGAO" sheetId="23" state="hidden" r:id="rId17"/>
    <sheet name="OSR_330_10VFP5Y" sheetId="25" state="hidden" r:id="rId18"/>
    <sheet name="OSR_310 (2)_...6e684f08_1FLCNJG" sheetId="26" state="hidden" r:id="rId19"/>
    <sheet name="OSR_308_UAWDAG" sheetId="28" state="hidden" r:id="rId20"/>
    <sheet name="OSR_330 (2)_...8a14c83e_1NSH7XI" sheetId="29" state="hidden" r:id="rId21"/>
    <sheet name="OSR_331_10VKQAJ" sheetId="31" state="hidden" r:id="rId22"/>
    <sheet name="OSR_308 (2)_...47685838_1YQW4QY" sheetId="32" state="hidden" r:id="rId23"/>
    <sheet name="OSR_332_6NDVBW" sheetId="34" state="hidden" r:id="rId24"/>
    <sheet name="OSR_331 (2)_...7280af70_1P5SPLT" sheetId="35" state="hidden" r:id="rId25"/>
    <sheet name="OSR_Div 4_1740TMT" sheetId="37" state="hidden" r:id="rId26"/>
    <sheet name="OSR_310 (2)_...8cac1423_1JTU33X" sheetId="38" state="hidden" r:id="rId27"/>
    <sheet name="OSR_310 &amp; 491_1NGRCS9" sheetId="40" state="hidden" r:id="rId28"/>
    <sheet name="OSR_491 (2)_...853a34aa_1UNC34K" sheetId="41" state="hidden" r:id="rId29"/>
    <sheet name="OSR_491_9Z9JH5" sheetId="43" state="hidden" r:id="rId30"/>
    <sheet name="OSR_Div 4 (2...2533da42_174R6QX" sheetId="44" state="hidden" r:id="rId31"/>
    <sheet name="OSR_492_943FP1" sheetId="46" state="hidden" r:id="rId32"/>
    <sheet name="OSR_Div 4 (2)...1a9a4454_CQFRNE" sheetId="47" state="hidden" r:id="rId33"/>
    <sheet name="OSR_Div 5_16NAZO2" sheetId="49" state="hidden" r:id="rId34"/>
    <sheet name="OSR_492 (2)_...cd97c6a6_13HYXEV" sheetId="50" state="hidden" r:id="rId35"/>
    <sheet name="OSR_Div 6_P37YY7" sheetId="52" state="hidden" r:id="rId36"/>
    <sheet name="OSR_Div 5 (2)...32d16c57_IVJ1QO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4" r:id="rId51"/>
    <sheet name="306" sheetId="68" r:id="rId52"/>
    <sheet name="330" sheetId="24" r:id="rId53"/>
    <sheet name="307" sheetId="69" r:id="rId54"/>
    <sheet name="314" sheetId="74" r:id="rId55"/>
    <sheet name="308" sheetId="27" r:id="rId56"/>
    <sheet name="311" sheetId="71" r:id="rId57"/>
    <sheet name="324" sheetId="83" r:id="rId58"/>
    <sheet name="331" sheetId="30" r:id="rId59"/>
    <sheet name="315" sheetId="75" r:id="rId60"/>
    <sheet name="326" sheetId="85" r:id="rId61"/>
    <sheet name="332" sheetId="33" r:id="rId62"/>
    <sheet name="316" sheetId="76" r:id="rId63"/>
    <sheet name="320" sheetId="79" r:id="rId64"/>
    <sheet name="Div 6" sheetId="51" r:id="rId65"/>
    <sheet name="317" sheetId="77" r:id="rId66"/>
    <sheet name="310" sheetId="21" r:id="rId67"/>
    <sheet name="309" sheetId="70" r:id="rId68"/>
    <sheet name="313" sheetId="73" r:id="rId69"/>
    <sheet name="321" sheetId="80" r:id="rId70"/>
    <sheet name="322" sheetId="81" r:id="rId71"/>
    <sheet name="325" sheetId="84" r:id="rId72"/>
    <sheet name="327" sheetId="86" r:id="rId73"/>
    <sheet name="Div 4" sheetId="36" r:id="rId74"/>
    <sheet name="310 &amp; 491" sheetId="39" r:id="rId75"/>
    <sheet name="491" sheetId="42" r:id="rId76"/>
    <sheet name="405" sheetId="88" r:id="rId77"/>
    <sheet name="406" sheetId="89" r:id="rId78"/>
    <sheet name="411" sheetId="92" r:id="rId79"/>
    <sheet name="412" sheetId="93" r:id="rId80"/>
    <sheet name="420" sheetId="99" r:id="rId81"/>
    <sheet name="413" sheetId="94" r:id="rId82"/>
    <sheet name="414" sheetId="95" r:id="rId83"/>
    <sheet name="415" sheetId="96" r:id="rId84"/>
    <sheet name="418" sheetId="98" r:id="rId85"/>
    <sheet name="423" sheetId="100" r:id="rId86"/>
    <sheet name="424" sheetId="101" r:id="rId87"/>
    <sheet name="425" sheetId="102" r:id="rId88"/>
    <sheet name="455" sheetId="109" r:id="rId89"/>
    <sheet name="492" sheetId="45" r:id="rId90"/>
    <sheet name="430" sheetId="103" r:id="rId91"/>
    <sheet name="433" sheetId="104" r:id="rId92"/>
    <sheet name="435" sheetId="105" r:id="rId93"/>
    <sheet name="444" sheetId="106" r:id="rId94"/>
    <sheet name="450" sheetId="108" r:id="rId95"/>
    <sheet name="Div 5" sheetId="48" r:id="rId96"/>
    <sheet name="501" sheetId="110" r:id="rId97"/>
    <sheet name="Dept" sheetId="111" state="hidden" r:id="rId98"/>
    <sheet name="OSR_Dept_Y0WUKY" sheetId="112" state="hidden" r:id="rId99"/>
    <sheet name="OSR_Summary (...56e5d78f_5JEYZH" sheetId="113" state="hidden" r:id="rId100"/>
  </sheets>
  <definedNames>
    <definedName name="OSRRefD13x_0" localSheetId="44">'204'!$D$13</definedName>
    <definedName name="OSRRefD13x_0" localSheetId="48">'300'!$D$13:$D$108</definedName>
    <definedName name="OSRRefD13x_0" localSheetId="49">'300 &amp; 317'!$D$13:$D$126</definedName>
    <definedName name="OSRRefD13x_0" localSheetId="53">'307'!$D$13:$D$50</definedName>
    <definedName name="OSRRefD13x_0" localSheetId="55">'308'!$D$13:$D$40</definedName>
    <definedName name="OSRRefD13x_0" localSheetId="67">'309'!$D$13:$D$15</definedName>
    <definedName name="OSRRefD13x_0" localSheetId="66">'310'!$D$13:$D$23</definedName>
    <definedName name="OSRRefD13x_0" localSheetId="74">'310 &amp; 491'!$D$13:$D$30</definedName>
    <definedName name="OSRRefD13x_0" localSheetId="56">'311'!$D$13:$D$40</definedName>
    <definedName name="OSRRefD13x_0" localSheetId="68">'313'!$D$13:$D$19</definedName>
    <definedName name="OSRRefD13x_0" localSheetId="54">'314'!$D$13:$D$34</definedName>
    <definedName name="OSRRefD13x_0" localSheetId="59">'315'!$D$13:$D$34</definedName>
    <definedName name="OSRRefD13x_0" localSheetId="62">'316'!$D$13:$D$28</definedName>
    <definedName name="OSRRefD13x_0" localSheetId="65">'317'!$D$13:$D$38</definedName>
    <definedName name="OSRRefD13x_0" localSheetId="63">'320'!$D$13:$D$17</definedName>
    <definedName name="OSRRefD13x_0" localSheetId="69">'321'!$D$13:$D$15</definedName>
    <definedName name="OSRRefD13x_0" localSheetId="70">'322'!$D$13:$D$15</definedName>
    <definedName name="OSRRefD13x_0" localSheetId="57">'324'!$D$13:$D$15</definedName>
    <definedName name="OSRRefD13x_0" localSheetId="71">'325'!$D$13:$D$15</definedName>
    <definedName name="OSRRefD13x_0" localSheetId="60">'326'!$D$13:$D$33</definedName>
    <definedName name="OSRRefD13x_0" localSheetId="72">'327'!$D$13:$D$14</definedName>
    <definedName name="OSRRefD13x_0" localSheetId="52">'330'!$D$13:$D$54</definedName>
    <definedName name="OSRRefD13x_0" localSheetId="58">'331'!$D$13:$D$42</definedName>
    <definedName name="OSRRefD13x_0" localSheetId="61">'332'!$D$13:$D$31</definedName>
    <definedName name="OSRRefD13x_0" localSheetId="76">'405'!$D$13:$D$15</definedName>
    <definedName name="OSRRefD13x_0" localSheetId="77">'406'!$D$13:$D$16</definedName>
    <definedName name="OSRRefD13x_0" localSheetId="79">'412'!$D$13:$D$16</definedName>
    <definedName name="OSRRefD13x_0" localSheetId="81">'413'!$D$13:$D$16</definedName>
    <definedName name="OSRRefD13x_0" localSheetId="82">'414'!$D$13:$D$16</definedName>
    <definedName name="OSRRefD13x_0" localSheetId="83">'415'!$D$13:$D$15</definedName>
    <definedName name="OSRRefD13x_0" localSheetId="84">'418'!$D$13:$D$16</definedName>
    <definedName name="OSRRefD13x_0" localSheetId="80">'420'!$D$13:$D$14</definedName>
    <definedName name="OSRRefD13x_0" localSheetId="86">'424'!$D$13:$D$16</definedName>
    <definedName name="OSRRefD13x_0" localSheetId="87">'425'!$D$13:$D$18</definedName>
    <definedName name="OSRRefD13x_0" localSheetId="91">'433'!$D$13:$D$16</definedName>
    <definedName name="OSRRefD13x_0" localSheetId="92">'435'!$D$13:$D$16</definedName>
    <definedName name="OSRRefD13x_0" localSheetId="93">'444'!$D$13:$D$16</definedName>
    <definedName name="OSRRefD13x_0" localSheetId="94">'450'!$D$13:$D$16</definedName>
    <definedName name="OSRRefD13x_0" localSheetId="75">'491'!$D$13:$D$24</definedName>
    <definedName name="OSRRefD13x_0" localSheetId="89">'492'!$D$13:$D$18</definedName>
    <definedName name="OSRRefD13x_0" localSheetId="96">'501'!$D$13</definedName>
    <definedName name="OSRRefD13x_0" localSheetId="39">'Div 2'!$D$13</definedName>
    <definedName name="OSRRefD13x_0" localSheetId="47">'Div 3'!$D$13:$D$111</definedName>
    <definedName name="OSRRefD13x_0" localSheetId="73">'Div 4'!$D$13:$D$24</definedName>
    <definedName name="OSRRefD13x_0" localSheetId="95">'Div 5'!$D$13</definedName>
    <definedName name="OSRRefD13x_0" localSheetId="64">'Div 6'!$D$13:$D$38</definedName>
    <definedName name="OSRRefD13x_0" localSheetId="2">Summary!$D$13:$D$136</definedName>
    <definedName name="OSRRefD16x_0" localSheetId="48">'300'!$D$111:$D$161</definedName>
    <definedName name="OSRRefD16x_0" localSheetId="49">'300 &amp; 317'!$D$129:$D$186</definedName>
    <definedName name="OSRRefD16x_0" localSheetId="53">'307'!$D$53:$D$73</definedName>
    <definedName name="OSRRefD16x_0" localSheetId="55">'308'!$D$43:$D$59</definedName>
    <definedName name="OSRRefD16x_0" localSheetId="67">'309'!$D$18:$D$20</definedName>
    <definedName name="OSRRefD16x_0" localSheetId="66">'310'!$D$26:$D$28</definedName>
    <definedName name="OSRRefD16x_0" localSheetId="74">'310 &amp; 491'!$D$33:$D$35</definedName>
    <definedName name="OSRRefD16x_0" localSheetId="56">'311'!$D$43:$D$59</definedName>
    <definedName name="OSRRefD16x_0" localSheetId="68">'313'!$D$22:$D$24</definedName>
    <definedName name="OSRRefD16x_0" localSheetId="54">'314'!$D$37:$D$52</definedName>
    <definedName name="OSRRefD16x_0" localSheetId="59">'315'!$D$37:$D$52</definedName>
    <definedName name="OSRRefD16x_0" localSheetId="65">'317'!$D$41:$D$54</definedName>
    <definedName name="OSRRefD16x_0" localSheetId="63">'320'!$D$20:$D$25</definedName>
    <definedName name="OSRRefD16x_0" localSheetId="69">'321'!$D$18:$D$20</definedName>
    <definedName name="OSRRefD16x_0" localSheetId="70">'322'!$D$18:$D$20</definedName>
    <definedName name="OSRRefD16x_0" localSheetId="57">'324'!$D$18:$D$20</definedName>
    <definedName name="OSRRefD16x_0" localSheetId="71">'325'!$D$18:$D$20</definedName>
    <definedName name="OSRRefD16x_0" localSheetId="60">'326'!$D$36:$D$52</definedName>
    <definedName name="OSRRefD16x_0" localSheetId="72">'327'!$D$17:$D$18</definedName>
    <definedName name="OSRRefD16x_0" localSheetId="52">'330'!$D$57:$D$80</definedName>
    <definedName name="OSRRefD16x_0" localSheetId="58">'331'!$D$45:$D$67</definedName>
    <definedName name="OSRRefD16x_0" localSheetId="61">'332'!$D$34:$D$39</definedName>
    <definedName name="OSRRefD16x_0" localSheetId="76">'405'!$D$18:$D$20</definedName>
    <definedName name="OSRRefD16x_0" localSheetId="77">'406'!$D$19:$D$21</definedName>
    <definedName name="OSRRefD16x_0" localSheetId="79">'412'!$D$19:$D$21</definedName>
    <definedName name="OSRRefD16x_0" localSheetId="81">'413'!$D$19:$D$21</definedName>
    <definedName name="OSRRefD16x_0" localSheetId="82">'414'!$D$19:$D$21</definedName>
    <definedName name="OSRRefD16x_0" localSheetId="83">'415'!$D$18:$D$20</definedName>
    <definedName name="OSRRefD16x_0" localSheetId="84">'418'!$D$19:$D$21</definedName>
    <definedName name="OSRRefD16x_0" localSheetId="80">'420'!$D$17:$D$18</definedName>
    <definedName name="OSRRefD16x_0" localSheetId="85">'423'!$D$15</definedName>
    <definedName name="OSRRefD16x_0" localSheetId="86">'424'!$D$19:$D$21</definedName>
    <definedName name="OSRRefD16x_0" localSheetId="87">'425'!$D$21:$D$23</definedName>
    <definedName name="OSRRefD16x_0" localSheetId="91">'433'!$D$19:$D$21</definedName>
    <definedName name="OSRRefD16x_0" localSheetId="92">'435'!$D$19:$D$21</definedName>
    <definedName name="OSRRefD16x_0" localSheetId="93">'444'!$D$19:$D$21</definedName>
    <definedName name="OSRRefD16x_0" localSheetId="94">'450'!$D$19:$D$21</definedName>
    <definedName name="OSRRefD16x_0" localSheetId="75">'491'!$D$27:$D$29</definedName>
    <definedName name="OSRRefD16x_0" localSheetId="89">'492'!$D$21:$D$23</definedName>
    <definedName name="OSRRefD16x_0" localSheetId="47">'Div 3'!$D$114:$D$166</definedName>
    <definedName name="OSRRefD16x_0" localSheetId="73">'Div 4'!$D$27:$D$29</definedName>
    <definedName name="OSRRefD16x_0" localSheetId="64">'Div 6'!$D$41:$D$54</definedName>
    <definedName name="OSRRefD16x_0" localSheetId="2">Summary!$D$139:$D$198</definedName>
    <definedName name="OSRRefD22_0x_0" localSheetId="40">'200'!$D$20</definedName>
    <definedName name="OSRRefD22_0x_0" localSheetId="41">'201'!$D$20:$D$28</definedName>
    <definedName name="OSRRefD22_0x_0" localSheetId="42">'202'!$D$20:$D$28</definedName>
    <definedName name="OSRRefD22_0x_0" localSheetId="43">'203'!$D$20:$D$29</definedName>
    <definedName name="OSRRefD22_0x_0" localSheetId="44">'204'!$D$21:$D$30</definedName>
    <definedName name="OSRRefD22_0x_0" localSheetId="45">'205'!$D$20:$D$28</definedName>
    <definedName name="OSRRefD22_0x_0" localSheetId="46">'206'!$D$20:$D$28</definedName>
    <definedName name="OSRRefD22_0x_0" localSheetId="48">'300'!$D$167:$D$176</definedName>
    <definedName name="OSRRefD22_0x_0" localSheetId="49">'300 &amp; 317'!$D$192:$D$201</definedName>
    <definedName name="OSRRefD22_0x_0" localSheetId="50">'301'!$D$20:$D$28</definedName>
    <definedName name="OSRRefD22_0x_0" localSheetId="51">'306'!$D$20:$D$28</definedName>
    <definedName name="OSRRefD22_0x_0" localSheetId="53">'307'!$D$79:$D$87</definedName>
    <definedName name="OSRRefD22_0x_0" localSheetId="55">'308'!$D$65:$D$74</definedName>
    <definedName name="OSRRefD22_0x_0" localSheetId="67">'309'!$D$26:$D$34</definedName>
    <definedName name="OSRRefD22_0x_0" localSheetId="66">'310'!$D$34:$D$42</definedName>
    <definedName name="OSRRefD22_0x_0" localSheetId="74">'310 &amp; 491'!$D$41:$D$50</definedName>
    <definedName name="OSRRefD22_0x_0" localSheetId="56">'311'!$D$65:$D$74</definedName>
    <definedName name="OSRRefD22_0x_0" localSheetId="68">'313'!$D$30:$D$38</definedName>
    <definedName name="OSRRefD22_0x_0" localSheetId="54">'314'!$D$58:$D$66</definedName>
    <definedName name="OSRRefD22_0x_0" localSheetId="59">'315'!$D$58:$D$66</definedName>
    <definedName name="OSRRefD22_0x_0" localSheetId="62">'316'!$D$36:$D$44</definedName>
    <definedName name="OSRRefD22_0x_0" localSheetId="65">'317'!$D$60:$D$69</definedName>
    <definedName name="OSRRefD22_0x_0" localSheetId="63">'320'!$D$31:$D$38</definedName>
    <definedName name="OSRRefD22_0x_0" localSheetId="69">'321'!$D$26:$D$33</definedName>
    <definedName name="OSRRefD22_0x_0" localSheetId="70">'322'!$D$26:$D$34</definedName>
    <definedName name="OSRRefD22_0x_0" localSheetId="71">'325'!$D$26:$D$34</definedName>
    <definedName name="OSRRefD22_0x_0" localSheetId="60">'326'!$D$58:$D$66</definedName>
    <definedName name="OSRRefD22_0x_0" localSheetId="72">'327'!$D$24</definedName>
    <definedName name="OSRRefD22_0x_0" localSheetId="52">'330'!$D$86:$D$94</definedName>
    <definedName name="OSRRefD22_0x_0" localSheetId="58">'331'!$D$73:$D$81</definedName>
    <definedName name="OSRRefD22_0x_0" localSheetId="61">'332'!$D$45:$D$53</definedName>
    <definedName name="OSRRefD22_0x_0" localSheetId="76">'405'!$D$26:$D$34</definedName>
    <definedName name="OSRRefD22_0x_0" localSheetId="77">'406'!$D$27:$D$35</definedName>
    <definedName name="OSRRefD22_0x_0" localSheetId="78">'411'!$D$20:$D$29</definedName>
    <definedName name="OSRRefD22_0x_0" localSheetId="79">'412'!$D$27:$D$35</definedName>
    <definedName name="OSRRefD22_0x_0" localSheetId="81">'413'!$D$27:$D$35</definedName>
    <definedName name="OSRRefD22_0x_0" localSheetId="82">'414'!$D$27:$D$35</definedName>
    <definedName name="OSRRefD22_0x_0" localSheetId="83">'415'!$D$26:$D$34</definedName>
    <definedName name="OSRRefD22_0x_0" localSheetId="84">'418'!$D$27:$D$35</definedName>
    <definedName name="OSRRefD22_0x_0" localSheetId="80">'420'!$D$24:$D$31</definedName>
    <definedName name="OSRRefD22_0x_0" localSheetId="85">'423'!$D$21:$D$29</definedName>
    <definedName name="OSRRefD22_0x_0" localSheetId="86">'424'!$D$27:$D$34</definedName>
    <definedName name="OSRRefD22_0x_0" localSheetId="87">'425'!$D$29:$D$38</definedName>
    <definedName name="OSRRefD22_0x_0" localSheetId="90">'430'!$D$20:$D$28</definedName>
    <definedName name="OSRRefD22_0x_0" localSheetId="91">'433'!$D$27:$D$36</definedName>
    <definedName name="OSRRefD22_0x_0" localSheetId="92">'435'!$D$27:$D$34</definedName>
    <definedName name="OSRRefD22_0x_0" localSheetId="93">'444'!$D$27:$D$36</definedName>
    <definedName name="OSRRefD22_0x_0" localSheetId="94">'450'!$D$27:$D$36</definedName>
    <definedName name="OSRRefD22_0x_0" localSheetId="88">'455'!$D$20:$D$27</definedName>
    <definedName name="OSRRefD22_0x_0" localSheetId="75">'491'!$D$35:$D$44</definedName>
    <definedName name="OSRRefD22_0x_0" localSheetId="89">'492'!$D$29:$D$38</definedName>
    <definedName name="OSRRefD22_0x_0" localSheetId="96">'501'!$D$21:$D$29</definedName>
    <definedName name="OSRRefD22_0x_0" localSheetId="39">'Div 2'!$D$21:$D$31</definedName>
    <definedName name="OSRRefD22_0x_0" localSheetId="47">'Div 3'!$D$172:$D$181</definedName>
    <definedName name="OSRRefD22_0x_0" localSheetId="73">'Div 4'!$D$35:$D$44</definedName>
    <definedName name="OSRRefD22_0x_0" localSheetId="95">'Div 5'!$D$21:$D$29</definedName>
    <definedName name="OSRRefD22_0x_0" localSheetId="64">'Div 6'!$D$60:$D$69</definedName>
    <definedName name="OSRRefD22_0x_0" localSheetId="2">Summary!$D$204:$D$213</definedName>
    <definedName name="OSRRefD22_10x_0" localSheetId="41">'201'!$D$58:$D$60</definedName>
    <definedName name="OSRRefD22_10x_0" localSheetId="42">'202'!$D$59</definedName>
    <definedName name="OSRRefD22_10x_0" localSheetId="43">'203'!$D$60:$D$61</definedName>
    <definedName name="OSRRefD22_10x_0" localSheetId="44">'204'!$D$64:$D$65</definedName>
    <definedName name="OSRRefD22_10x_0" localSheetId="46">'206'!$D$58</definedName>
    <definedName name="OSRRefD22_10x_0" localSheetId="48">'300'!$D$211:$D$212</definedName>
    <definedName name="OSRRefD22_10x_0" localSheetId="49">'300 &amp; 317'!$D$236:$D$237</definedName>
    <definedName name="OSRRefD22_10x_0" localSheetId="50">'301'!$D$63</definedName>
    <definedName name="OSRRefD22_10x_0" localSheetId="51">'306'!$D$61</definedName>
    <definedName name="OSRRefD22_10x_0" localSheetId="53">'307'!$D$119:$D$121</definedName>
    <definedName name="OSRRefD22_10x_0" localSheetId="55">'308'!$D$107</definedName>
    <definedName name="OSRRefD22_10x_0" localSheetId="67">'309'!$D$65:$D$67</definedName>
    <definedName name="OSRRefD22_10x_0" localSheetId="66">'310'!$D$73</definedName>
    <definedName name="OSRRefD22_10x_0" localSheetId="74">'310 &amp; 491'!$D$82</definedName>
    <definedName name="OSRRefD22_10x_0" localSheetId="56">'311'!$D$107</definedName>
    <definedName name="OSRRefD22_10x_0" localSheetId="68">'313'!$D$67:$D$69</definedName>
    <definedName name="OSRRefD22_10x_0" localSheetId="54">'314'!$D$96</definedName>
    <definedName name="OSRRefD22_10x_0" localSheetId="59">'315'!$D$98:$D$100</definedName>
    <definedName name="OSRRefD22_10x_0" localSheetId="62">'316'!$D$74:$D$75</definedName>
    <definedName name="OSRRefD22_10x_0" localSheetId="65">'317'!$D$99:$D$100</definedName>
    <definedName name="OSRRefD22_10x_0" localSheetId="69">'321'!$D$64:$D$65</definedName>
    <definedName name="OSRRefD22_10x_0" localSheetId="70">'322'!$D$66:$D$68</definedName>
    <definedName name="OSRRefD22_10x_0" localSheetId="71">'325'!$D$65</definedName>
    <definedName name="OSRRefD22_10x_0" localSheetId="60">'326'!$D$96</definedName>
    <definedName name="OSRRefD22_10x_0" localSheetId="52">'330'!$D$125:$D$126</definedName>
    <definedName name="OSRRefD22_10x_0" localSheetId="58">'331'!$D$113</definedName>
    <definedName name="OSRRefD22_10x_0" localSheetId="61">'332'!$D$83:$D$84</definedName>
    <definedName name="OSRRefD22_10x_0" localSheetId="76">'405'!$D$65</definedName>
    <definedName name="OSRRefD22_10x_0" localSheetId="77">'406'!$D$67:$D$69</definedName>
    <definedName name="OSRRefD22_10x_0" localSheetId="78">'411'!$D$61:$D$63</definedName>
    <definedName name="OSRRefD22_10x_0" localSheetId="79">'412'!$D$67</definedName>
    <definedName name="OSRRefD22_10x_0" localSheetId="81">'413'!$D$67:$D$73</definedName>
    <definedName name="OSRRefD22_10x_0" localSheetId="82">'414'!$D$66</definedName>
    <definedName name="OSRRefD22_10x_0" localSheetId="83">'415'!$D$65</definedName>
    <definedName name="OSRRefD22_10x_0" localSheetId="84">'418'!$D$66:$D$67</definedName>
    <definedName name="OSRRefD22_10x_0" localSheetId="86">'424'!$D$66</definedName>
    <definedName name="OSRRefD22_10x_0" localSheetId="87">'425'!$D$70:$D$71</definedName>
    <definedName name="OSRRefD22_10x_0" localSheetId="90">'430'!$D$59</definedName>
    <definedName name="OSRRefD22_10x_0" localSheetId="91">'433'!$D$65:$D$67</definedName>
    <definedName name="OSRRefD22_10x_0" localSheetId="93">'444'!$D$65</definedName>
    <definedName name="OSRRefD22_10x_0" localSheetId="94">'450'!$D$66</definedName>
    <definedName name="OSRRefD22_10x_0" localSheetId="75">'491'!$D$76:$D$77</definedName>
    <definedName name="OSRRefD22_10x_0" localSheetId="89">'492'!$D$69</definedName>
    <definedName name="OSRRefD22_10x_0" localSheetId="96">'501'!$D$58:$D$61</definedName>
    <definedName name="OSRRefD22_10x_0" localSheetId="39">'Div 2'!$D$62</definedName>
    <definedName name="OSRRefD22_10x_0" localSheetId="47">'Div 3'!$D$216:$D$217</definedName>
    <definedName name="OSRRefD22_10x_0" localSheetId="73">'Div 4'!$D$78</definedName>
    <definedName name="OSRRefD22_10x_0" localSheetId="95">'Div 5'!$D$58:$D$61</definedName>
    <definedName name="OSRRefD22_10x_0" localSheetId="64">'Div 6'!$D$99:$D$100</definedName>
    <definedName name="OSRRefD22_10x_0" localSheetId="2">Summary!$D$249:$D$250</definedName>
    <definedName name="OSRRefD22_11x_0" localSheetId="41">'201'!$D$62:$D$64</definedName>
    <definedName name="OSRRefD22_11x_0" localSheetId="42">'202'!$D$61:$D$63</definedName>
    <definedName name="OSRRefD22_11x_0" localSheetId="43">'203'!$D$63</definedName>
    <definedName name="OSRRefD22_11x_0" localSheetId="44">'204'!$D$67</definedName>
    <definedName name="OSRRefD22_11x_0" localSheetId="48">'300'!$D$214</definedName>
    <definedName name="OSRRefD22_11x_0" localSheetId="49">'300 &amp; 317'!$D$239</definedName>
    <definedName name="OSRRefD22_11x_0" localSheetId="50">'301'!$D$65</definedName>
    <definedName name="OSRRefD22_11x_0" localSheetId="53">'307'!$D$123</definedName>
    <definedName name="OSRRefD22_11x_0" localSheetId="55">'308'!$D$109:$D$111</definedName>
    <definedName name="OSRRefD22_11x_0" localSheetId="67">'309'!$D$69:$D$71</definedName>
    <definedName name="OSRRefD22_11x_0" localSheetId="66">'310'!$D$75</definedName>
    <definedName name="OSRRefD22_11x_0" localSheetId="74">'310 &amp; 491'!$D$84:$D$85</definedName>
    <definedName name="OSRRefD22_11x_0" localSheetId="56">'311'!$D$109:$D$111</definedName>
    <definedName name="OSRRefD22_11x_0" localSheetId="68">'313'!$D$71</definedName>
    <definedName name="OSRRefD22_11x_0" localSheetId="59">'315'!$D$102:$D$103</definedName>
    <definedName name="OSRRefD22_11x_0" localSheetId="62">'316'!$D$77:$D$81</definedName>
    <definedName name="OSRRefD22_11x_0" localSheetId="65">'317'!$D$102</definedName>
    <definedName name="OSRRefD22_11x_0" localSheetId="69">'321'!$D$67:$D$69</definedName>
    <definedName name="OSRRefD22_11x_0" localSheetId="70">'322'!$D$70:$D$76</definedName>
    <definedName name="OSRRefD22_11x_0" localSheetId="71">'325'!$D$67:$D$69</definedName>
    <definedName name="OSRRefD22_11x_0" localSheetId="60">'326'!$D$98</definedName>
    <definedName name="OSRRefD22_11x_0" localSheetId="52">'330'!$D$128</definedName>
    <definedName name="OSRRefD22_11x_0" localSheetId="58">'331'!$D$115</definedName>
    <definedName name="OSRRefD22_11x_0" localSheetId="61">'332'!$D$86:$D$87</definedName>
    <definedName name="OSRRefD22_11x_0" localSheetId="76">'405'!$D$67:$D$69</definedName>
    <definedName name="OSRRefD22_11x_0" localSheetId="77">'406'!$D$71:$D$76</definedName>
    <definedName name="OSRRefD22_11x_0" localSheetId="78">'411'!$D$65:$D$69</definedName>
    <definedName name="OSRRefD22_11x_0" localSheetId="79">'412'!$D$69:$D$71</definedName>
    <definedName name="OSRRefD22_11x_0" localSheetId="81">'413'!$D$75:$D$76</definedName>
    <definedName name="OSRRefD22_11x_0" localSheetId="82">'414'!$D$68</definedName>
    <definedName name="OSRRefD22_11x_0" localSheetId="83">'415'!$D$67:$D$70</definedName>
    <definedName name="OSRRefD22_11x_0" localSheetId="84">'418'!$D$69:$D$71</definedName>
    <definedName name="OSRRefD22_11x_0" localSheetId="86">'424'!$D$68:$D$72</definedName>
    <definedName name="OSRRefD22_11x_0" localSheetId="87">'425'!$D$73:$D$75</definedName>
    <definedName name="OSRRefD22_11x_0" localSheetId="91">'433'!$D$69:$D$72</definedName>
    <definedName name="OSRRefD22_11x_0" localSheetId="93">'444'!$D$67:$D$69</definedName>
    <definedName name="OSRRefD22_11x_0" localSheetId="94">'450'!$D$68</definedName>
    <definedName name="OSRRefD22_11x_0" localSheetId="75">'491'!$D$79</definedName>
    <definedName name="OSRRefD22_11x_0" localSheetId="89">'492'!$D$71</definedName>
    <definedName name="OSRRefD22_11x_0" localSheetId="96">'501'!$D$63</definedName>
    <definedName name="OSRRefD22_11x_0" localSheetId="39">'Div 2'!$D$64</definedName>
    <definedName name="OSRRefD22_11x_0" localSheetId="47">'Div 3'!$D$219</definedName>
    <definedName name="OSRRefD22_11x_0" localSheetId="73">'Div 4'!$D$80:$D$81</definedName>
    <definedName name="OSRRefD22_11x_0" localSheetId="95">'Div 5'!$D$63</definedName>
    <definedName name="OSRRefD22_11x_0" localSheetId="64">'Div 6'!$D$102</definedName>
    <definedName name="OSRRefD22_11x_0" localSheetId="2">Summary!$D$252:$D$253</definedName>
    <definedName name="OSRRefD22_12x_0" localSheetId="41">'201'!$D$66</definedName>
    <definedName name="OSRRefD22_12x_0" localSheetId="42">'202'!$D$65</definedName>
    <definedName name="OSRRefD22_12x_0" localSheetId="43">'203'!$D$65:$D$67</definedName>
    <definedName name="OSRRefD22_12x_0" localSheetId="44">'204'!$D$69:$D$70</definedName>
    <definedName name="OSRRefD22_12x_0" localSheetId="48">'300'!$D$216</definedName>
    <definedName name="OSRRefD22_12x_0" localSheetId="49">'300 &amp; 317'!$D$241</definedName>
    <definedName name="OSRRefD22_12x_0" localSheetId="50">'301'!$D$67</definedName>
    <definedName name="OSRRefD22_12x_0" localSheetId="53">'307'!$D$125</definedName>
    <definedName name="OSRRefD22_12x_0" localSheetId="55">'308'!$D$113:$D$114</definedName>
    <definedName name="OSRRefD22_12x_0" localSheetId="67">'309'!$D$73</definedName>
    <definedName name="OSRRefD22_12x_0" localSheetId="66">'310'!$D$77</definedName>
    <definedName name="OSRRefD22_12x_0" localSheetId="74">'310 &amp; 491'!$D$87</definedName>
    <definedName name="OSRRefD22_12x_0" localSheetId="56">'311'!$D$113:$D$114</definedName>
    <definedName name="OSRRefD22_12x_0" localSheetId="68">'313'!$D$73:$D$78</definedName>
    <definedName name="OSRRefD22_12x_0" localSheetId="59">'315'!$D$105:$D$109</definedName>
    <definedName name="OSRRefD22_12x_0" localSheetId="62">'316'!$D$83:$D$84</definedName>
    <definedName name="OSRRefD22_12x_0" localSheetId="65">'317'!$D$104</definedName>
    <definedName name="OSRRefD22_12x_0" localSheetId="69">'321'!$D$71:$D$74</definedName>
    <definedName name="OSRRefD22_12x_0" localSheetId="70">'322'!$D$78</definedName>
    <definedName name="OSRRefD22_12x_0" localSheetId="71">'325'!$D$71:$D$74</definedName>
    <definedName name="OSRRefD22_12x_0" localSheetId="60">'326'!$D$100</definedName>
    <definedName name="OSRRefD22_12x_0" localSheetId="52">'330'!$D$130:$D$132</definedName>
    <definedName name="OSRRefD22_12x_0" localSheetId="58">'331'!$D$117</definedName>
    <definedName name="OSRRefD22_12x_0" localSheetId="61">'332'!$D$89:$D$93</definedName>
    <definedName name="OSRRefD22_12x_0" localSheetId="76">'405'!$D$71</definedName>
    <definedName name="OSRRefD22_12x_0" localSheetId="77">'406'!$D$78:$D$79</definedName>
    <definedName name="OSRRefD22_12x_0" localSheetId="78">'411'!$D$71</definedName>
    <definedName name="OSRRefD22_12x_0" localSheetId="79">'412'!$D$73:$D$80</definedName>
    <definedName name="OSRRefD22_12x_0" localSheetId="81">'413'!$D$78</definedName>
    <definedName name="OSRRefD22_12x_0" localSheetId="82">'414'!$D$70</definedName>
    <definedName name="OSRRefD22_12x_0" localSheetId="83">'415'!$D$72:$D$76</definedName>
    <definedName name="OSRRefD22_12x_0" localSheetId="84">'418'!$D$73:$D$75</definedName>
    <definedName name="OSRRefD22_12x_0" localSheetId="86">'424'!$D$74:$D$75</definedName>
    <definedName name="OSRRefD22_12x_0" localSheetId="87">'425'!$D$77</definedName>
    <definedName name="OSRRefD22_12x_0" localSheetId="91">'433'!$D$74:$D$81</definedName>
    <definedName name="OSRRefD22_12x_0" localSheetId="93">'444'!$D$71:$D$74</definedName>
    <definedName name="OSRRefD22_12x_0" localSheetId="94">'450'!$D$70:$D$73</definedName>
    <definedName name="OSRRefD22_12x_0" localSheetId="75">'491'!$D$81</definedName>
    <definedName name="OSRRefD22_12x_0" localSheetId="89">'492'!$D$73</definedName>
    <definedName name="OSRRefD22_12x_0" localSheetId="96">'501'!$D$65:$D$67</definedName>
    <definedName name="OSRRefD22_12x_0" localSheetId="39">'Div 2'!$D$66:$D$68</definedName>
    <definedName name="OSRRefD22_12x_0" localSheetId="47">'Div 3'!$D$221</definedName>
    <definedName name="OSRRefD22_12x_0" localSheetId="73">'Div 4'!$D$83</definedName>
    <definedName name="OSRRefD22_12x_0" localSheetId="95">'Div 5'!$D$65:$D$67</definedName>
    <definedName name="OSRRefD22_12x_0" localSheetId="64">'Div 6'!$D$104</definedName>
    <definedName name="OSRRefD22_12x_0" localSheetId="2">Summary!$D$255</definedName>
    <definedName name="OSRRefD22_13x_0" localSheetId="41">'201'!$D$68:$D$70</definedName>
    <definedName name="OSRRefD22_13x_0" localSheetId="42">'202'!$D$67</definedName>
    <definedName name="OSRRefD22_13x_0" localSheetId="43">'203'!$D$69</definedName>
    <definedName name="OSRRefD22_13x_0" localSheetId="48">'300'!$D$218</definedName>
    <definedName name="OSRRefD22_13x_0" localSheetId="49">'300 &amp; 317'!$D$243</definedName>
    <definedName name="OSRRefD22_13x_0" localSheetId="50">'301'!$D$69</definedName>
    <definedName name="OSRRefD22_13x_0" localSheetId="55">'308'!$D$116</definedName>
    <definedName name="OSRRefD22_13x_0" localSheetId="67">'309'!$D$75</definedName>
    <definedName name="OSRRefD22_13x_0" localSheetId="66">'310'!$D$79</definedName>
    <definedName name="OSRRefD22_13x_0" localSheetId="74">'310 &amp; 491'!$D$89</definedName>
    <definedName name="OSRRefD22_13x_0" localSheetId="56">'311'!$D$116</definedName>
    <definedName name="OSRRefD22_13x_0" localSheetId="68">'313'!$D$80</definedName>
    <definedName name="OSRRefD22_13x_0" localSheetId="59">'315'!$D$111</definedName>
    <definedName name="OSRRefD22_13x_0" localSheetId="62">'316'!$D$86</definedName>
    <definedName name="OSRRefD22_13x_0" localSheetId="69">'321'!$D$76</definedName>
    <definedName name="OSRRefD22_13x_0" localSheetId="70">'322'!$D$80</definedName>
    <definedName name="OSRRefD22_13x_0" localSheetId="71">'325'!$D$76</definedName>
    <definedName name="OSRRefD22_13x_0" localSheetId="60">'326'!$D$102:$D$103</definedName>
    <definedName name="OSRRefD22_13x_0" localSheetId="52">'330'!$D$134</definedName>
    <definedName name="OSRRefD22_13x_0" localSheetId="58">'331'!$D$119</definedName>
    <definedName name="OSRRefD22_13x_0" localSheetId="61">'332'!$D$95:$D$96</definedName>
    <definedName name="OSRRefD22_13x_0" localSheetId="76">'405'!$D$73:$D$75</definedName>
    <definedName name="OSRRefD22_13x_0" localSheetId="77">'406'!$D$81</definedName>
    <definedName name="OSRRefD22_13x_0" localSheetId="78">'411'!$D$73:$D$80</definedName>
    <definedName name="OSRRefD22_13x_0" localSheetId="79">'412'!$D$82</definedName>
    <definedName name="OSRRefD22_13x_0" localSheetId="81">'413'!$D$80</definedName>
    <definedName name="OSRRefD22_13x_0" localSheetId="82">'414'!$D$72:$D$78</definedName>
    <definedName name="OSRRefD22_13x_0" localSheetId="83">'415'!$D$78:$D$79</definedName>
    <definedName name="OSRRefD22_13x_0" localSheetId="84">'418'!$D$77:$D$78</definedName>
    <definedName name="OSRRefD22_13x_0" localSheetId="87">'425'!$D$79:$D$85</definedName>
    <definedName name="OSRRefD22_13x_0" localSheetId="91">'433'!$D$83</definedName>
    <definedName name="OSRRefD22_13x_0" localSheetId="93">'444'!$D$76:$D$83</definedName>
    <definedName name="OSRRefD22_13x_0" localSheetId="94">'450'!$D$75:$D$77</definedName>
    <definedName name="OSRRefD22_13x_0" localSheetId="75">'491'!$D$83</definedName>
    <definedName name="OSRRefD22_13x_0" localSheetId="89">'492'!$D$75:$D$78</definedName>
    <definedName name="OSRRefD22_13x_0" localSheetId="96">'501'!$D$69</definedName>
    <definedName name="OSRRefD22_13x_0" localSheetId="39">'Div 2'!$D$70:$D$73</definedName>
    <definedName name="OSRRefD22_13x_0" localSheetId="47">'Div 3'!$D$223</definedName>
    <definedName name="OSRRefD22_13x_0" localSheetId="73">'Div 4'!$D$85</definedName>
    <definedName name="OSRRefD22_13x_0" localSheetId="95">'Div 5'!$D$69</definedName>
    <definedName name="OSRRefD22_13x_0" localSheetId="2">Summary!$D$257</definedName>
    <definedName name="OSRRefD22_14x_0" localSheetId="41">'201'!$D$72</definedName>
    <definedName name="OSRRefD22_14x_0" localSheetId="42">'202'!$D$69:$D$70</definedName>
    <definedName name="OSRRefD22_14x_0" localSheetId="43">'203'!$D$71</definedName>
    <definedName name="OSRRefD22_14x_0" localSheetId="48">'300'!$D$220</definedName>
    <definedName name="OSRRefD22_14x_0" localSheetId="49">'300 &amp; 317'!$D$245</definedName>
    <definedName name="OSRRefD22_14x_0" localSheetId="50">'301'!$D$71</definedName>
    <definedName name="OSRRefD22_14x_0" localSheetId="55">'308'!$D$118:$D$119</definedName>
    <definedName name="OSRRefD22_14x_0" localSheetId="66">'310'!$D$81</definedName>
    <definedName name="OSRRefD22_14x_0" localSheetId="74">'310 &amp; 491'!$D$91</definedName>
    <definedName name="OSRRefD22_14x_0" localSheetId="56">'311'!$D$118:$D$119</definedName>
    <definedName name="OSRRefD22_14x_0" localSheetId="68">'313'!$D$82</definedName>
    <definedName name="OSRRefD22_14x_0" localSheetId="59">'315'!$D$113</definedName>
    <definedName name="OSRRefD22_14x_0" localSheetId="69">'321'!$D$78</definedName>
    <definedName name="OSRRefD22_14x_0" localSheetId="71">'325'!$D$78:$D$84</definedName>
    <definedName name="OSRRefD22_14x_0" localSheetId="60">'326'!$D$105:$D$107</definedName>
    <definedName name="OSRRefD22_14x_0" localSheetId="52">'330'!$D$136</definedName>
    <definedName name="OSRRefD22_14x_0" localSheetId="58">'331'!$D$121:$D$122</definedName>
    <definedName name="OSRRefD22_14x_0" localSheetId="61">'332'!$D$98</definedName>
    <definedName name="OSRRefD22_14x_0" localSheetId="76">'405'!$D$77:$D$78</definedName>
    <definedName name="OSRRefD22_14x_0" localSheetId="77">'406'!$D$83:$D$84</definedName>
    <definedName name="OSRRefD22_14x_0" localSheetId="78">'411'!$D$82</definedName>
    <definedName name="OSRRefD22_14x_0" localSheetId="79">'412'!$D$84</definedName>
    <definedName name="OSRRefD22_14x_0" localSheetId="82">'414'!$D$80</definedName>
    <definedName name="OSRRefD22_14x_0" localSheetId="83">'415'!$D$81:$D$89</definedName>
    <definedName name="OSRRefD22_14x_0" localSheetId="84">'418'!$D$80:$D$87</definedName>
    <definedName name="OSRRefD22_14x_0" localSheetId="87">'425'!$D$87:$D$88</definedName>
    <definedName name="OSRRefD22_14x_0" localSheetId="91">'433'!$D$85</definedName>
    <definedName name="OSRRefD22_14x_0" localSheetId="93">'444'!$D$85</definedName>
    <definedName name="OSRRefD22_14x_0" localSheetId="94">'450'!$D$79:$D$84</definedName>
    <definedName name="OSRRefD22_14x_0" localSheetId="75">'491'!$D$85</definedName>
    <definedName name="OSRRefD22_14x_0" localSheetId="89">'492'!$D$80:$D$83</definedName>
    <definedName name="OSRRefD22_14x_0" localSheetId="96">'501'!$D$71</definedName>
    <definedName name="OSRRefD22_14x_0" localSheetId="39">'Div 2'!$D$75:$D$78</definedName>
    <definedName name="OSRRefD22_14x_0" localSheetId="47">'Div 3'!$D$225</definedName>
    <definedName name="OSRRefD22_14x_0" localSheetId="73">'Div 4'!$D$87</definedName>
    <definedName name="OSRRefD22_14x_0" localSheetId="95">'Div 5'!$D$71</definedName>
    <definedName name="OSRRefD22_14x_0" localSheetId="2">Summary!$D$259</definedName>
    <definedName name="OSRRefD22_15x_0" localSheetId="41">'201'!$D$74</definedName>
    <definedName name="OSRRefD22_15x_0" localSheetId="42">'202'!$D$72</definedName>
    <definedName name="OSRRefD22_15x_0" localSheetId="43">'203'!$D$73</definedName>
    <definedName name="OSRRefD22_15x_0" localSheetId="48">'300'!$D$222</definedName>
    <definedName name="OSRRefD22_15x_0" localSheetId="49">'300 &amp; 317'!$D$247</definedName>
    <definedName name="OSRRefD22_15x_0" localSheetId="50">'301'!$D$73:$D$76</definedName>
    <definedName name="OSRRefD22_15x_0" localSheetId="66">'310'!$D$83:$D$85</definedName>
    <definedName name="OSRRefD22_15x_0" localSheetId="74">'310 &amp; 491'!$D$93</definedName>
    <definedName name="OSRRefD22_15x_0" localSheetId="59">'315'!$D$115:$D$116</definedName>
    <definedName name="OSRRefD22_15x_0" localSheetId="71">'325'!$D$86</definedName>
    <definedName name="OSRRefD22_15x_0" localSheetId="60">'326'!$D$109:$D$110</definedName>
    <definedName name="OSRRefD22_15x_0" localSheetId="52">'330'!$D$138</definedName>
    <definedName name="OSRRefD22_15x_0" localSheetId="58">'331'!$D$124:$D$126</definedName>
    <definedName name="OSRRefD22_15x_0" localSheetId="76">'405'!$D$80:$D$88</definedName>
    <definedName name="OSRRefD22_15x_0" localSheetId="78">'411'!$D$84</definedName>
    <definedName name="OSRRefD22_15x_0" localSheetId="79">'412'!$D$86</definedName>
    <definedName name="OSRRefD22_15x_0" localSheetId="82">'414'!$D$82</definedName>
    <definedName name="OSRRefD22_15x_0" localSheetId="83">'415'!$D$91</definedName>
    <definedName name="OSRRefD22_15x_0" localSheetId="84">'418'!$D$89</definedName>
    <definedName name="OSRRefD22_15x_0" localSheetId="87">'425'!$D$90</definedName>
    <definedName name="OSRRefD22_15x_0" localSheetId="91">'433'!$D$87:$D$88</definedName>
    <definedName name="OSRRefD22_15x_0" localSheetId="93">'444'!$D$87</definedName>
    <definedName name="OSRRefD22_15x_0" localSheetId="94">'450'!$D$86</definedName>
    <definedName name="OSRRefD22_15x_0" localSheetId="75">'491'!$D$87:$D$90</definedName>
    <definedName name="OSRRefD22_15x_0" localSheetId="89">'492'!$D$85:$D$93</definedName>
    <definedName name="OSRRefD22_15x_0" localSheetId="39">'Div 2'!$D$80:$D$81</definedName>
    <definedName name="OSRRefD22_15x_0" localSheetId="47">'Div 3'!$D$227</definedName>
    <definedName name="OSRRefD22_15x_0" localSheetId="73">'Div 4'!$D$89</definedName>
    <definedName name="OSRRefD22_15x_0" localSheetId="2">Summary!$D$261</definedName>
    <definedName name="OSRRefD22_16x_0" localSheetId="41">'201'!$D$76:$D$77</definedName>
    <definedName name="OSRRefD22_16x_0" localSheetId="42">'202'!$D$74</definedName>
    <definedName name="OSRRefD22_16x_0" localSheetId="48">'300'!$D$224:$D$227</definedName>
    <definedName name="OSRRefD22_16x_0" localSheetId="49">'300 &amp; 317'!$D$249:$D$252</definedName>
    <definedName name="OSRRefD22_16x_0" localSheetId="50">'301'!$D$78:$D$80</definedName>
    <definedName name="OSRRefD22_16x_0" localSheetId="66">'310'!$D$87:$D$88</definedName>
    <definedName name="OSRRefD22_16x_0" localSheetId="74">'310 &amp; 491'!$D$95</definedName>
    <definedName name="OSRRefD22_16x_0" localSheetId="71">'325'!$D$88</definedName>
    <definedName name="OSRRefD22_16x_0" localSheetId="60">'326'!$D$112:$D$117</definedName>
    <definedName name="OSRRefD22_16x_0" localSheetId="58">'331'!$D$128:$D$130</definedName>
    <definedName name="OSRRefD22_16x_0" localSheetId="76">'405'!$D$90</definedName>
    <definedName name="OSRRefD22_16x_0" localSheetId="78">'411'!$D$86:$D$88</definedName>
    <definedName name="OSRRefD22_16x_0" localSheetId="83">'415'!$D$93</definedName>
    <definedName name="OSRRefD22_16x_0" localSheetId="84">'418'!$D$91</definedName>
    <definedName name="OSRRefD22_16x_0" localSheetId="87">'425'!$D$92</definedName>
    <definedName name="OSRRefD22_16x_0" localSheetId="93">'444'!$D$89</definedName>
    <definedName name="OSRRefD22_16x_0" localSheetId="94">'450'!$D$88</definedName>
    <definedName name="OSRRefD22_16x_0" localSheetId="75">'491'!$D$92:$D$95</definedName>
    <definedName name="OSRRefD22_16x_0" localSheetId="89">'492'!$D$95</definedName>
    <definedName name="OSRRefD22_16x_0" localSheetId="39">'Div 2'!$D$83:$D$84</definedName>
    <definedName name="OSRRefD22_16x_0" localSheetId="47">'Div 3'!$D$229</definedName>
    <definedName name="OSRRefD22_16x_0" localSheetId="73">'Div 4'!$D$91</definedName>
    <definedName name="OSRRefD22_16x_0" localSheetId="2">Summary!$D$263</definedName>
    <definedName name="OSRRefD22_17x_0" localSheetId="48">'300'!$D$229:$D$232</definedName>
    <definedName name="OSRRefD22_17x_0" localSheetId="49">'300 &amp; 317'!$D$254:$D$257</definedName>
    <definedName name="OSRRefD22_17x_0" localSheetId="50">'301'!$D$82:$D$83</definedName>
    <definedName name="OSRRefD22_17x_0" localSheetId="66">'310'!$D$90:$D$94</definedName>
    <definedName name="OSRRefD22_17x_0" localSheetId="74">'310 &amp; 491'!$D$97:$D$100</definedName>
    <definedName name="OSRRefD22_17x_0" localSheetId="71">'325'!$D$90</definedName>
    <definedName name="OSRRefD22_17x_0" localSheetId="60">'326'!$D$119:$D$120</definedName>
    <definedName name="OSRRefD22_17x_0" localSheetId="58">'331'!$D$132:$D$133</definedName>
    <definedName name="OSRRefD22_17x_0" localSheetId="76">'405'!$D$92</definedName>
    <definedName name="OSRRefD22_17x_0" localSheetId="78">'411'!$D$90</definedName>
    <definedName name="OSRRefD22_17x_0" localSheetId="83">'415'!$D$95:$D$96</definedName>
    <definedName name="OSRRefD22_17x_0" localSheetId="84">'418'!$D$93:$D$94</definedName>
    <definedName name="OSRRefD22_17x_0" localSheetId="94">'450'!$D$90:$D$91</definedName>
    <definedName name="OSRRefD22_17x_0" localSheetId="75">'491'!$D$97:$D$101</definedName>
    <definedName name="OSRRefD22_17x_0" localSheetId="89">'492'!$D$97</definedName>
    <definedName name="OSRRefD22_17x_0" localSheetId="39">'Div 2'!$D$86:$D$90</definedName>
    <definedName name="OSRRefD22_17x_0" localSheetId="47">'Div 3'!$D$231</definedName>
    <definedName name="OSRRefD22_17x_0" localSheetId="73">'Div 4'!$D$93:$D$96</definedName>
    <definedName name="OSRRefD22_17x_0" localSheetId="2">Summary!$D$265</definedName>
    <definedName name="OSRRefD22_18x_0" localSheetId="48">'300'!$D$234:$D$237</definedName>
    <definedName name="OSRRefD22_18x_0" localSheetId="49">'300 &amp; 317'!$D$259:$D$262</definedName>
    <definedName name="OSRRefD22_18x_0" localSheetId="50">'301'!$D$85:$D$90</definedName>
    <definedName name="OSRRefD22_18x_0" localSheetId="66">'310'!$D$96</definedName>
    <definedName name="OSRRefD22_18x_0" localSheetId="74">'310 &amp; 491'!$D$102:$D$105</definedName>
    <definedName name="OSRRefD22_18x_0" localSheetId="71">'325'!$D$92</definedName>
    <definedName name="OSRRefD22_18x_0" localSheetId="60">'326'!$D$122</definedName>
    <definedName name="OSRRefD22_18x_0" localSheetId="58">'331'!$D$135:$D$140</definedName>
    <definedName name="OSRRefD22_18x_0" localSheetId="76">'405'!$D$94</definedName>
    <definedName name="OSRRefD22_18x_0" localSheetId="83">'415'!$D$98</definedName>
    <definedName name="OSRRefD22_18x_0" localSheetId="75">'491'!$D$103:$D$104</definedName>
    <definedName name="OSRRefD22_18x_0" localSheetId="89">'492'!$D$99:$D$100</definedName>
    <definedName name="OSRRefD22_18x_0" localSheetId="39">'Div 2'!$D$92:$D$93</definedName>
    <definedName name="OSRRefD22_18x_0" localSheetId="47">'Div 3'!$D$233:$D$236</definedName>
    <definedName name="OSRRefD22_18x_0" localSheetId="73">'Div 4'!$D$98:$D$101</definedName>
    <definedName name="OSRRefD22_18x_0" localSheetId="2">Summary!$D$267:$D$270</definedName>
    <definedName name="OSRRefD22_19x_0" localSheetId="48">'300'!$D$239:$D$240</definedName>
    <definedName name="OSRRefD22_19x_0" localSheetId="49">'300 &amp; 317'!$D$264:$D$265</definedName>
    <definedName name="OSRRefD22_19x_0" localSheetId="50">'301'!$D$92</definedName>
    <definedName name="OSRRefD22_19x_0" localSheetId="66">'310'!$D$98:$D$106</definedName>
    <definedName name="OSRRefD22_19x_0" localSheetId="74">'310 &amp; 491'!$D$107:$D$112</definedName>
    <definedName name="OSRRefD22_19x_0" localSheetId="60">'326'!$D$124</definedName>
    <definedName name="OSRRefD22_19x_0" localSheetId="58">'331'!$D$142:$D$143</definedName>
    <definedName name="OSRRefD22_19x_0" localSheetId="76">'405'!$D$96</definedName>
    <definedName name="OSRRefD22_19x_0" localSheetId="75">'491'!$D$106:$D$115</definedName>
    <definedName name="OSRRefD22_19x_0" localSheetId="39">'Div 2'!$D$95</definedName>
    <definedName name="OSRRefD22_19x_0" localSheetId="47">'Div 3'!$D$238:$D$241</definedName>
    <definedName name="OSRRefD22_19x_0" localSheetId="73">'Div 4'!$D$103:$D$107</definedName>
    <definedName name="OSRRefD22_19x_0" localSheetId="2">Summary!$D$272:$D$275</definedName>
    <definedName name="OSRRefD22_1x_0" localSheetId="40">'200'!$D$22</definedName>
    <definedName name="OSRRefD22_1x_0" localSheetId="41">'201'!$D$30:$D$39</definedName>
    <definedName name="OSRRefD22_1x_0" localSheetId="42">'202'!$D$30:$D$39</definedName>
    <definedName name="OSRRefD22_1x_0" localSheetId="43">'203'!$D$31:$D$40</definedName>
    <definedName name="OSRRefD22_1x_0" localSheetId="44">'204'!$D$32:$D$41</definedName>
    <definedName name="OSRRefD22_1x_0" localSheetId="45">'205'!$D$30:$D$39</definedName>
    <definedName name="OSRRefD22_1x_0" localSheetId="46">'206'!$D$30:$D$39</definedName>
    <definedName name="OSRRefD22_1x_0" localSheetId="48">'300'!$D$178:$D$187</definedName>
    <definedName name="OSRRefD22_1x_0" localSheetId="49">'300 &amp; 317'!$D$203:$D$212</definedName>
    <definedName name="OSRRefD22_1x_0" localSheetId="50">'301'!$D$30:$D$39</definedName>
    <definedName name="OSRRefD22_1x_0" localSheetId="51">'306'!$D$30:$D$39</definedName>
    <definedName name="OSRRefD22_1x_0" localSheetId="53">'307'!$D$89:$D$98</definedName>
    <definedName name="OSRRefD22_1x_0" localSheetId="55">'308'!$D$76:$D$85</definedName>
    <definedName name="OSRRefD22_1x_0" localSheetId="67">'309'!$D$36:$D$45</definedName>
    <definedName name="OSRRefD22_1x_0" localSheetId="66">'310'!$D$44:$D$53</definedName>
    <definedName name="OSRRefD22_1x_0" localSheetId="74">'310 &amp; 491'!$D$52:$D$61</definedName>
    <definedName name="OSRRefD22_1x_0" localSheetId="56">'311'!$D$76:$D$85</definedName>
    <definedName name="OSRRefD22_1x_0" localSheetId="68">'313'!$D$40:$D$49</definedName>
    <definedName name="OSRRefD22_1x_0" localSheetId="54">'314'!$D$68:$D$77</definedName>
    <definedName name="OSRRefD22_1x_0" localSheetId="59">'315'!$D$68:$D$77</definedName>
    <definedName name="OSRRefD22_1x_0" localSheetId="62">'316'!$D$46:$D$55</definedName>
    <definedName name="OSRRefD22_1x_0" localSheetId="65">'317'!$D$71:$D$80</definedName>
    <definedName name="OSRRefD22_1x_0" localSheetId="63">'320'!$D$40:$D$49</definedName>
    <definedName name="OSRRefD22_1x_0" localSheetId="69">'321'!$D$35:$D$44</definedName>
    <definedName name="OSRRefD22_1x_0" localSheetId="70">'322'!$D$36:$D$45</definedName>
    <definedName name="OSRRefD22_1x_0" localSheetId="71">'325'!$D$36:$D$45</definedName>
    <definedName name="OSRRefD22_1x_0" localSheetId="60">'326'!$D$68:$D$77</definedName>
    <definedName name="OSRRefD22_1x_0" localSheetId="72">'327'!$D$26</definedName>
    <definedName name="OSRRefD22_1x_0" localSheetId="52">'330'!$D$96:$D$105</definedName>
    <definedName name="OSRRefD22_1x_0" localSheetId="58">'331'!$D$83:$D$92</definedName>
    <definedName name="OSRRefD22_1x_0" localSheetId="61">'332'!$D$55:$D$64</definedName>
    <definedName name="OSRRefD22_1x_0" localSheetId="76">'405'!$D$36:$D$45</definedName>
    <definedName name="OSRRefD22_1x_0" localSheetId="77">'406'!$D$37:$D$46</definedName>
    <definedName name="OSRRefD22_1x_0" localSheetId="78">'411'!$D$31:$D$40</definedName>
    <definedName name="OSRRefD22_1x_0" localSheetId="79">'412'!$D$37:$D$46</definedName>
    <definedName name="OSRRefD22_1x_0" localSheetId="81">'413'!$D$37:$D$46</definedName>
    <definedName name="OSRRefD22_1x_0" localSheetId="82">'414'!$D$37:$D$46</definedName>
    <definedName name="OSRRefD22_1x_0" localSheetId="83">'415'!$D$36:$D$45</definedName>
    <definedName name="OSRRefD22_1x_0" localSheetId="84">'418'!$D$37:$D$46</definedName>
    <definedName name="OSRRefD22_1x_0" localSheetId="80">'420'!$D$33:$D$36</definedName>
    <definedName name="OSRRefD22_1x_0" localSheetId="85">'423'!$D$31:$D$40</definedName>
    <definedName name="OSRRefD22_1x_0" localSheetId="86">'424'!$D$36:$D$45</definedName>
    <definedName name="OSRRefD22_1x_0" localSheetId="87">'425'!$D$40:$D$49</definedName>
    <definedName name="OSRRefD22_1x_0" localSheetId="90">'430'!$D$30:$D$39</definedName>
    <definedName name="OSRRefD22_1x_0" localSheetId="91">'433'!$D$38:$D$47</definedName>
    <definedName name="OSRRefD22_1x_0" localSheetId="92">'435'!$D$36:$D$45</definedName>
    <definedName name="OSRRefD22_1x_0" localSheetId="93">'444'!$D$38:$D$47</definedName>
    <definedName name="OSRRefD22_1x_0" localSheetId="94">'450'!$D$38:$D$47</definedName>
    <definedName name="OSRRefD22_1x_0" localSheetId="88">'455'!$D$29:$D$38</definedName>
    <definedName name="OSRRefD22_1x_0" localSheetId="75">'491'!$D$46:$D$55</definedName>
    <definedName name="OSRRefD22_1x_0" localSheetId="89">'492'!$D$40:$D$49</definedName>
    <definedName name="OSRRefD22_1x_0" localSheetId="96">'501'!$D$31:$D$40</definedName>
    <definedName name="OSRRefD22_1x_0" localSheetId="39">'Div 2'!$D$33:$D$42</definedName>
    <definedName name="OSRRefD22_1x_0" localSheetId="47">'Div 3'!$D$183:$D$192</definedName>
    <definedName name="OSRRefD22_1x_0" localSheetId="73">'Div 4'!$D$46:$D$55</definedName>
    <definedName name="OSRRefD22_1x_0" localSheetId="95">'Div 5'!$D$31:$D$40</definedName>
    <definedName name="OSRRefD22_1x_0" localSheetId="64">'Div 6'!$D$71:$D$80</definedName>
    <definedName name="OSRRefD22_1x_0" localSheetId="2">Summary!$D$215:$D$224</definedName>
    <definedName name="OSRRefD22_20x_0" localSheetId="48">'300'!$D$242:$D$248</definedName>
    <definedName name="OSRRefD22_20x_0" localSheetId="49">'300 &amp; 317'!$D$267:$D$273</definedName>
    <definedName name="OSRRefD22_20x_0" localSheetId="50">'301'!$D$94</definedName>
    <definedName name="OSRRefD22_20x_0" localSheetId="66">'310'!$D$108</definedName>
    <definedName name="OSRRefD22_20x_0" localSheetId="74">'310 &amp; 491'!$D$114:$D$115</definedName>
    <definedName name="OSRRefD22_20x_0" localSheetId="60">'326'!$D$126</definedName>
    <definedName name="OSRRefD22_20x_0" localSheetId="58">'331'!$D$145</definedName>
    <definedName name="OSRRefD22_20x_0" localSheetId="75">'491'!$D$117:$D$118</definedName>
    <definedName name="OSRRefD22_20x_0" localSheetId="39">'Div 2'!$D$97:$D$98</definedName>
    <definedName name="OSRRefD22_20x_0" localSheetId="47">'Div 3'!$D$243:$D$248</definedName>
    <definedName name="OSRRefD22_20x_0" localSheetId="73">'Div 4'!$D$109:$D$110</definedName>
    <definedName name="OSRRefD22_20x_0" localSheetId="2">Summary!$D$277:$D$282</definedName>
    <definedName name="OSRRefD22_21x_0" localSheetId="48">'300'!$D$250:$D$251</definedName>
    <definedName name="OSRRefD22_21x_0" localSheetId="49">'300 &amp; 317'!$D$275:$D$276</definedName>
    <definedName name="OSRRefD22_21x_0" localSheetId="50">'301'!$D$96:$D$98</definedName>
    <definedName name="OSRRefD22_21x_0" localSheetId="66">'310'!$D$110</definedName>
    <definedName name="OSRRefD22_21x_0" localSheetId="74">'310 &amp; 491'!$D$117:$D$126</definedName>
    <definedName name="OSRRefD22_21x_0" localSheetId="58">'331'!$D$147:$D$148</definedName>
    <definedName name="OSRRefD22_21x_0" localSheetId="75">'491'!$D$120</definedName>
    <definedName name="OSRRefD22_21x_0" localSheetId="47">'Div 3'!$D$250:$D$251</definedName>
    <definedName name="OSRRefD22_21x_0" localSheetId="73">'Div 4'!$D$112:$D$121</definedName>
    <definedName name="OSRRefD22_21x_0" localSheetId="2">Summary!$D$284:$D$285</definedName>
    <definedName name="OSRRefD22_22x_0" localSheetId="48">'300'!$D$253</definedName>
    <definedName name="OSRRefD22_22x_0" localSheetId="49">'300 &amp; 317'!$D$278</definedName>
    <definedName name="OSRRefD22_22x_0" localSheetId="50">'301'!$D$100</definedName>
    <definedName name="OSRRefD22_22x_0" localSheetId="66">'310'!$D$112</definedName>
    <definedName name="OSRRefD22_22x_0" localSheetId="74">'310 &amp; 491'!$D$128:$D$129</definedName>
    <definedName name="OSRRefD22_22x_0" localSheetId="58">'331'!$D$150</definedName>
    <definedName name="OSRRefD22_22x_0" localSheetId="75">'491'!$D$122:$D$124</definedName>
    <definedName name="OSRRefD22_22x_0" localSheetId="47">'Div 3'!$D$253:$D$261</definedName>
    <definedName name="OSRRefD22_22x_0" localSheetId="73">'Div 4'!$D$123:$D$124</definedName>
    <definedName name="OSRRefD22_22x_0" localSheetId="2">Summary!$D$287:$D$296</definedName>
    <definedName name="OSRRefD22_23x_0" localSheetId="48">'300'!$D$255:$D$257</definedName>
    <definedName name="OSRRefD22_23x_0" localSheetId="49">'300 &amp; 317'!$D$280:$D$282</definedName>
    <definedName name="OSRRefD22_23x_0" localSheetId="66">'310'!$D$114</definedName>
    <definedName name="OSRRefD22_23x_0" localSheetId="74">'310 &amp; 491'!$D$131</definedName>
    <definedName name="OSRRefD22_23x_0" localSheetId="75">'491'!$D$126</definedName>
    <definedName name="OSRRefD22_23x_0" localSheetId="47">'Div 3'!$D$263:$D$264</definedName>
    <definedName name="OSRRefD22_23x_0" localSheetId="73">'Div 4'!$D$126</definedName>
    <definedName name="OSRRefD22_23x_0" localSheetId="2">Summary!$D$298:$D$299</definedName>
    <definedName name="OSRRefD22_24x_0" localSheetId="48">'300'!$D$259</definedName>
    <definedName name="OSRRefD22_24x_0" localSheetId="49">'300 &amp; 317'!$D$284</definedName>
    <definedName name="OSRRefD22_24x_0" localSheetId="74">'310 &amp; 491'!$D$133:$D$135</definedName>
    <definedName name="OSRRefD22_24x_0" localSheetId="47">'Div 3'!$D$266</definedName>
    <definedName name="OSRRefD22_24x_0" localSheetId="73">'Div 4'!$D$128:$D$130</definedName>
    <definedName name="OSRRefD22_24x_0" localSheetId="2">Summary!$D$301</definedName>
    <definedName name="OSRRefD22_25x_0" localSheetId="74">'310 &amp; 491'!$D$137</definedName>
    <definedName name="OSRRefD22_25x_0" localSheetId="47">'Div 3'!$D$268:$D$270</definedName>
    <definedName name="OSRRefD22_25x_0" localSheetId="73">'Div 4'!$D$132</definedName>
    <definedName name="OSRRefD22_25x_0" localSheetId="2">Summary!$D$303:$D$305</definedName>
    <definedName name="OSRRefD22_26x_0" localSheetId="47">'Div 3'!$D$272</definedName>
    <definedName name="OSRRefD22_26x_0" localSheetId="2">Summary!$D$307</definedName>
    <definedName name="OSRRefD22_2x_0" localSheetId="40">'200'!$D$24</definedName>
    <definedName name="OSRRefD22_2x_0" localSheetId="41">'201'!$D$41</definedName>
    <definedName name="OSRRefD22_2x_0" localSheetId="42">'202'!$D$41</definedName>
    <definedName name="OSRRefD22_2x_0" localSheetId="43">'203'!$D$42</definedName>
    <definedName name="OSRRefD22_2x_0" localSheetId="44">'204'!$D$43</definedName>
    <definedName name="OSRRefD22_2x_0" localSheetId="45">'205'!$D$41</definedName>
    <definedName name="OSRRefD22_2x_0" localSheetId="46">'206'!$D$41</definedName>
    <definedName name="OSRRefD22_2x_0" localSheetId="48">'300'!$D$189</definedName>
    <definedName name="OSRRefD22_2x_0" localSheetId="49">'300 &amp; 317'!$D$214</definedName>
    <definedName name="OSRRefD22_2x_0" localSheetId="50">'301'!$D$41</definedName>
    <definedName name="OSRRefD22_2x_0" localSheetId="51">'306'!$D$41</definedName>
    <definedName name="OSRRefD22_2x_0" localSheetId="53">'307'!$D$100</definedName>
    <definedName name="OSRRefD22_2x_0" localSheetId="55">'308'!$D$87</definedName>
    <definedName name="OSRRefD22_2x_0" localSheetId="67">'309'!$D$47</definedName>
    <definedName name="OSRRefD22_2x_0" localSheetId="66">'310'!$D$55</definedName>
    <definedName name="OSRRefD22_2x_0" localSheetId="74">'310 &amp; 491'!$D$63</definedName>
    <definedName name="OSRRefD22_2x_0" localSheetId="56">'311'!$D$87</definedName>
    <definedName name="OSRRefD22_2x_0" localSheetId="68">'313'!$D$51</definedName>
    <definedName name="OSRRefD22_2x_0" localSheetId="54">'314'!$D$79</definedName>
    <definedName name="OSRRefD22_2x_0" localSheetId="59">'315'!$D$79</definedName>
    <definedName name="OSRRefD22_2x_0" localSheetId="62">'316'!$D$57</definedName>
    <definedName name="OSRRefD22_2x_0" localSheetId="65">'317'!$D$82</definedName>
    <definedName name="OSRRefD22_2x_0" localSheetId="63">'320'!$D$51</definedName>
    <definedName name="OSRRefD22_2x_0" localSheetId="69">'321'!$D$46</definedName>
    <definedName name="OSRRefD22_2x_0" localSheetId="70">'322'!$D$47</definedName>
    <definedName name="OSRRefD22_2x_0" localSheetId="71">'325'!$D$47</definedName>
    <definedName name="OSRRefD22_2x_0" localSheetId="60">'326'!$D$79</definedName>
    <definedName name="OSRRefD22_2x_0" localSheetId="72">'327'!$D$28</definedName>
    <definedName name="OSRRefD22_2x_0" localSheetId="52">'330'!$D$107</definedName>
    <definedName name="OSRRefD22_2x_0" localSheetId="58">'331'!$D$94</definedName>
    <definedName name="OSRRefD22_2x_0" localSheetId="61">'332'!$D$66</definedName>
    <definedName name="OSRRefD22_2x_0" localSheetId="76">'405'!$D$47</definedName>
    <definedName name="OSRRefD22_2x_0" localSheetId="77">'406'!$D$48</definedName>
    <definedName name="OSRRefD22_2x_0" localSheetId="78">'411'!$D$42</definedName>
    <definedName name="OSRRefD22_2x_0" localSheetId="79">'412'!$D$48</definedName>
    <definedName name="OSRRefD22_2x_0" localSheetId="81">'413'!$D$48</definedName>
    <definedName name="OSRRefD22_2x_0" localSheetId="82">'414'!$D$48</definedName>
    <definedName name="OSRRefD22_2x_0" localSheetId="83">'415'!$D$47</definedName>
    <definedName name="OSRRefD22_2x_0" localSheetId="84">'418'!$D$48</definedName>
    <definedName name="OSRRefD22_2x_0" localSheetId="80">'420'!$D$38</definedName>
    <definedName name="OSRRefD22_2x_0" localSheetId="85">'423'!$D$42</definedName>
    <definedName name="OSRRefD22_2x_0" localSheetId="86">'424'!$D$47</definedName>
    <definedName name="OSRRefD22_2x_0" localSheetId="87">'425'!$D$51</definedName>
    <definedName name="OSRRefD22_2x_0" localSheetId="90">'430'!$D$41</definedName>
    <definedName name="OSRRefD22_2x_0" localSheetId="91">'433'!$D$49</definedName>
    <definedName name="OSRRefD22_2x_0" localSheetId="92">'435'!$D$47</definedName>
    <definedName name="OSRRefD22_2x_0" localSheetId="93">'444'!$D$49</definedName>
    <definedName name="OSRRefD22_2x_0" localSheetId="94">'450'!$D$49</definedName>
    <definedName name="OSRRefD22_2x_0" localSheetId="75">'491'!$D$57</definedName>
    <definedName name="OSRRefD22_2x_0" localSheetId="89">'492'!$D$51</definedName>
    <definedName name="OSRRefD22_2x_0" localSheetId="96">'501'!$D$42</definedName>
    <definedName name="OSRRefD22_2x_0" localSheetId="39">'Div 2'!$D$44</definedName>
    <definedName name="OSRRefD22_2x_0" localSheetId="47">'Div 3'!$D$194</definedName>
    <definedName name="OSRRefD22_2x_0" localSheetId="73">'Div 4'!$D$57</definedName>
    <definedName name="OSRRefD22_2x_0" localSheetId="95">'Div 5'!$D$42</definedName>
    <definedName name="OSRRefD22_2x_0" localSheetId="64">'Div 6'!$D$82</definedName>
    <definedName name="OSRRefD22_2x_0" localSheetId="2">Summary!$D$226</definedName>
    <definedName name="OSRRefD22_3x_0" localSheetId="40">'200'!$D$26</definedName>
    <definedName name="OSRRefD22_3x_0" localSheetId="41">'201'!$D$43</definedName>
    <definedName name="OSRRefD22_3x_0" localSheetId="42">'202'!$D$43</definedName>
    <definedName name="OSRRefD22_3x_0" localSheetId="43">'203'!$D$44</definedName>
    <definedName name="OSRRefD22_3x_0" localSheetId="44">'204'!$D$45:$D$46</definedName>
    <definedName name="OSRRefD22_3x_0" localSheetId="45">'205'!$D$43</definedName>
    <definedName name="OSRRefD22_3x_0" localSheetId="46">'206'!$D$43</definedName>
    <definedName name="OSRRefD22_3x_0" localSheetId="48">'300'!$D$191:$D$192</definedName>
    <definedName name="OSRRefD22_3x_0" localSheetId="49">'300 &amp; 317'!$D$216:$D$217</definedName>
    <definedName name="OSRRefD22_3x_0" localSheetId="50">'301'!$D$43:$D$44</definedName>
    <definedName name="OSRRefD22_3x_0" localSheetId="51">'306'!$D$43</definedName>
    <definedName name="OSRRefD22_3x_0" localSheetId="53">'307'!$D$102</definedName>
    <definedName name="OSRRefD22_3x_0" localSheetId="55">'308'!$D$89:$D$90</definedName>
    <definedName name="OSRRefD22_3x_0" localSheetId="67">'309'!$D$49</definedName>
    <definedName name="OSRRefD22_3x_0" localSheetId="66">'310'!$D$57</definedName>
    <definedName name="OSRRefD22_3x_0" localSheetId="74">'310 &amp; 491'!$D$65</definedName>
    <definedName name="OSRRefD22_3x_0" localSheetId="56">'311'!$D$89:$D$90</definedName>
    <definedName name="OSRRefD22_3x_0" localSheetId="68">'313'!$D$53</definedName>
    <definedName name="OSRRefD22_3x_0" localSheetId="54">'314'!$D$81:$D$82</definedName>
    <definedName name="OSRRefD22_3x_0" localSheetId="59">'315'!$D$81:$D$82</definedName>
    <definedName name="OSRRefD22_3x_0" localSheetId="62">'316'!$D$59</definedName>
    <definedName name="OSRRefD22_3x_0" localSheetId="65">'317'!$D$84</definedName>
    <definedName name="OSRRefD22_3x_0" localSheetId="63">'320'!$D$53</definedName>
    <definedName name="OSRRefD22_3x_0" localSheetId="69">'321'!$D$48</definedName>
    <definedName name="OSRRefD22_3x_0" localSheetId="70">'322'!$D$49</definedName>
    <definedName name="OSRRefD22_3x_0" localSheetId="71">'325'!$D$49</definedName>
    <definedName name="OSRRefD22_3x_0" localSheetId="60">'326'!$D$81:$D$82</definedName>
    <definedName name="OSRRefD22_3x_0" localSheetId="52">'330'!$D$109</definedName>
    <definedName name="OSRRefD22_3x_0" localSheetId="58">'331'!$D$96:$D$97</definedName>
    <definedName name="OSRRefD22_3x_0" localSheetId="61">'332'!$D$68</definedName>
    <definedName name="OSRRefD22_3x_0" localSheetId="76">'405'!$D$49</definedName>
    <definedName name="OSRRefD22_3x_0" localSheetId="77">'406'!$D$50</definedName>
    <definedName name="OSRRefD22_3x_0" localSheetId="78">'411'!$D$44:$D$47</definedName>
    <definedName name="OSRRefD22_3x_0" localSheetId="79">'412'!$D$50</definedName>
    <definedName name="OSRRefD22_3x_0" localSheetId="81">'413'!$D$50</definedName>
    <definedName name="OSRRefD22_3x_0" localSheetId="82">'414'!$D$50</definedName>
    <definedName name="OSRRefD22_3x_0" localSheetId="83">'415'!$D$49</definedName>
    <definedName name="OSRRefD22_3x_0" localSheetId="84">'418'!$D$50</definedName>
    <definedName name="OSRRefD22_3x_0" localSheetId="80">'420'!$D$40</definedName>
    <definedName name="OSRRefD22_3x_0" localSheetId="85">'423'!$D$44</definedName>
    <definedName name="OSRRefD22_3x_0" localSheetId="86">'424'!$D$49</definedName>
    <definedName name="OSRRefD22_3x_0" localSheetId="87">'425'!$D$53</definedName>
    <definedName name="OSRRefD22_3x_0" localSheetId="90">'430'!$D$43</definedName>
    <definedName name="OSRRefD22_3x_0" localSheetId="91">'433'!$D$51</definedName>
    <definedName name="OSRRefD22_3x_0" localSheetId="92">'435'!$D$49</definedName>
    <definedName name="OSRRefD22_3x_0" localSheetId="93">'444'!$D$51</definedName>
    <definedName name="OSRRefD22_3x_0" localSheetId="94">'450'!$D$51:$D$52</definedName>
    <definedName name="OSRRefD22_3x_0" localSheetId="75">'491'!$D$59</definedName>
    <definedName name="OSRRefD22_3x_0" localSheetId="89">'492'!$D$53:$D$54</definedName>
    <definedName name="OSRRefD22_3x_0" localSheetId="96">'501'!$D$44</definedName>
    <definedName name="OSRRefD22_3x_0" localSheetId="39">'Div 2'!$D$46</definedName>
    <definedName name="OSRRefD22_3x_0" localSheetId="47">'Div 3'!$D$196:$D$197</definedName>
    <definedName name="OSRRefD22_3x_0" localSheetId="73">'Div 4'!$D$59:$D$60</definedName>
    <definedName name="OSRRefD22_3x_0" localSheetId="95">'Div 5'!$D$44</definedName>
    <definedName name="OSRRefD22_3x_0" localSheetId="64">'Div 6'!$D$84</definedName>
    <definedName name="OSRRefD22_3x_0" localSheetId="2">Summary!$D$228:$D$229</definedName>
    <definedName name="OSRRefD22_4x_0" localSheetId="40">'200'!$D$28:$D$29</definedName>
    <definedName name="OSRRefD22_4x_0" localSheetId="41">'201'!$D$45:$D$46</definedName>
    <definedName name="OSRRefD22_4x_0" localSheetId="42">'202'!$D$45</definedName>
    <definedName name="OSRRefD22_4x_0" localSheetId="43">'203'!$D$46</definedName>
    <definedName name="OSRRefD22_4x_0" localSheetId="44">'204'!$D$48</definedName>
    <definedName name="OSRRefD22_4x_0" localSheetId="45">'205'!$D$45</definedName>
    <definedName name="OSRRefD22_4x_0" localSheetId="46">'206'!$D$45</definedName>
    <definedName name="OSRRefD22_4x_0" localSheetId="48">'300'!$D$194</definedName>
    <definedName name="OSRRefD22_4x_0" localSheetId="49">'300 &amp; 317'!$D$219</definedName>
    <definedName name="OSRRefD22_4x_0" localSheetId="50">'301'!$D$46</definedName>
    <definedName name="OSRRefD22_4x_0" localSheetId="51">'306'!$D$45</definedName>
    <definedName name="OSRRefD22_4x_0" localSheetId="53">'307'!$D$104:$D$105</definedName>
    <definedName name="OSRRefD22_4x_0" localSheetId="55">'308'!$D$92</definedName>
    <definedName name="OSRRefD22_4x_0" localSheetId="67">'309'!$D$51</definedName>
    <definedName name="OSRRefD22_4x_0" localSheetId="66">'310'!$D$59</definedName>
    <definedName name="OSRRefD22_4x_0" localSheetId="74">'310 &amp; 491'!$D$67</definedName>
    <definedName name="OSRRefD22_4x_0" localSheetId="56">'311'!$D$92</definedName>
    <definedName name="OSRRefD22_4x_0" localSheetId="68">'313'!$D$55</definedName>
    <definedName name="OSRRefD22_4x_0" localSheetId="54">'314'!$D$84</definedName>
    <definedName name="OSRRefD22_4x_0" localSheetId="59">'315'!$D$84</definedName>
    <definedName name="OSRRefD22_4x_0" localSheetId="62">'316'!$D$61</definedName>
    <definedName name="OSRRefD22_4x_0" localSheetId="65">'317'!$D$86</definedName>
    <definedName name="OSRRefD22_4x_0" localSheetId="63">'320'!$D$55:$D$56</definedName>
    <definedName name="OSRRefD22_4x_0" localSheetId="69">'321'!$D$50</definedName>
    <definedName name="OSRRefD22_4x_0" localSheetId="70">'322'!$D$51</definedName>
    <definedName name="OSRRefD22_4x_0" localSheetId="71">'325'!$D$51</definedName>
    <definedName name="OSRRefD22_4x_0" localSheetId="60">'326'!$D$84</definedName>
    <definedName name="OSRRefD22_4x_0" localSheetId="52">'330'!$D$111:$D$112</definedName>
    <definedName name="OSRRefD22_4x_0" localSheetId="58">'331'!$D$99</definedName>
    <definedName name="OSRRefD22_4x_0" localSheetId="61">'332'!$D$70</definedName>
    <definedName name="OSRRefD22_4x_0" localSheetId="76">'405'!$D$51</definedName>
    <definedName name="OSRRefD22_4x_0" localSheetId="77">'406'!$D$52</definedName>
    <definedName name="OSRRefD22_4x_0" localSheetId="78">'411'!$D$49</definedName>
    <definedName name="OSRRefD22_4x_0" localSheetId="79">'412'!$D$52</definedName>
    <definedName name="OSRRefD22_4x_0" localSheetId="81">'413'!$D$52</definedName>
    <definedName name="OSRRefD22_4x_0" localSheetId="82">'414'!$D$52</definedName>
    <definedName name="OSRRefD22_4x_0" localSheetId="83">'415'!$D$51</definedName>
    <definedName name="OSRRefD22_4x_0" localSheetId="84">'418'!$D$52</definedName>
    <definedName name="OSRRefD22_4x_0" localSheetId="80">'420'!$D$42</definedName>
    <definedName name="OSRRefD22_4x_0" localSheetId="85">'423'!$D$46</definedName>
    <definedName name="OSRRefD22_4x_0" localSheetId="86">'424'!$D$51</definedName>
    <definedName name="OSRRefD22_4x_0" localSheetId="87">'425'!$D$55</definedName>
    <definedName name="OSRRefD22_4x_0" localSheetId="90">'430'!$D$45</definedName>
    <definedName name="OSRRefD22_4x_0" localSheetId="91">'433'!$D$53</definedName>
    <definedName name="OSRRefD22_4x_0" localSheetId="92">'435'!$D$51</definedName>
    <definedName name="OSRRefD22_4x_0" localSheetId="93">'444'!$D$53</definedName>
    <definedName name="OSRRefD22_4x_0" localSheetId="94">'450'!$D$54</definedName>
    <definedName name="OSRRefD22_4x_0" localSheetId="75">'491'!$D$61</definedName>
    <definedName name="OSRRefD22_4x_0" localSheetId="89">'492'!$D$56</definedName>
    <definedName name="OSRRefD22_4x_0" localSheetId="96">'501'!$D$46</definedName>
    <definedName name="OSRRefD22_4x_0" localSheetId="39">'Div 2'!$D$48</definedName>
    <definedName name="OSRRefD22_4x_0" localSheetId="47">'Div 3'!$D$199</definedName>
    <definedName name="OSRRefD22_4x_0" localSheetId="73">'Div 4'!$D$62</definedName>
    <definedName name="OSRRefD22_4x_0" localSheetId="95">'Div 5'!$D$46</definedName>
    <definedName name="OSRRefD22_4x_0" localSheetId="64">'Div 6'!$D$86</definedName>
    <definedName name="OSRRefD22_4x_0" localSheetId="2">Summary!$D$231</definedName>
    <definedName name="OSRRefD22_5x_0" localSheetId="41">'201'!$D$48</definedName>
    <definedName name="OSRRefD22_5x_0" localSheetId="42">'202'!$D$47</definedName>
    <definedName name="OSRRefD22_5x_0" localSheetId="43">'203'!$D$48</definedName>
    <definedName name="OSRRefD22_5x_0" localSheetId="44">'204'!$D$50</definedName>
    <definedName name="OSRRefD22_5x_0" localSheetId="45">'205'!$D$47:$D$48</definedName>
    <definedName name="OSRRefD22_5x_0" localSheetId="46">'206'!$D$47</definedName>
    <definedName name="OSRRefD22_5x_0" localSheetId="48">'300'!$D$196:$D$199</definedName>
    <definedName name="OSRRefD22_5x_0" localSheetId="49">'300 &amp; 317'!$D$221:$D$224</definedName>
    <definedName name="OSRRefD22_5x_0" localSheetId="50">'301'!$D$48:$D$51</definedName>
    <definedName name="OSRRefD22_5x_0" localSheetId="51">'306'!$D$47</definedName>
    <definedName name="OSRRefD22_5x_0" localSheetId="53">'307'!$D$107</definedName>
    <definedName name="OSRRefD22_5x_0" localSheetId="55">'308'!$D$94</definedName>
    <definedName name="OSRRefD22_5x_0" localSheetId="67">'309'!$D$53:$D$54</definedName>
    <definedName name="OSRRefD22_5x_0" localSheetId="66">'310'!$D$61:$D$63</definedName>
    <definedName name="OSRRefD22_5x_0" localSheetId="74">'310 &amp; 491'!$D$69:$D$72</definedName>
    <definedName name="OSRRefD22_5x_0" localSheetId="56">'311'!$D$94</definedName>
    <definedName name="OSRRefD22_5x_0" localSheetId="68">'313'!$D$57</definedName>
    <definedName name="OSRRefD22_5x_0" localSheetId="54">'314'!$D$86</definedName>
    <definedName name="OSRRefD22_5x_0" localSheetId="59">'315'!$D$86:$D$87</definedName>
    <definedName name="OSRRefD22_5x_0" localSheetId="62">'316'!$D$63</definedName>
    <definedName name="OSRRefD22_5x_0" localSheetId="65">'317'!$D$88</definedName>
    <definedName name="OSRRefD22_5x_0" localSheetId="63">'320'!$D$58</definedName>
    <definedName name="OSRRefD22_5x_0" localSheetId="69">'321'!$D$52</definedName>
    <definedName name="OSRRefD22_5x_0" localSheetId="70">'322'!$D$53:$D$54</definedName>
    <definedName name="OSRRefD22_5x_0" localSheetId="71">'325'!$D$53:$D$55</definedName>
    <definedName name="OSRRefD22_5x_0" localSheetId="60">'326'!$D$86</definedName>
    <definedName name="OSRRefD22_5x_0" localSheetId="52">'330'!$D$114</definedName>
    <definedName name="OSRRefD22_5x_0" localSheetId="58">'331'!$D$101:$D$102</definedName>
    <definedName name="OSRRefD22_5x_0" localSheetId="61">'332'!$D$72</definedName>
    <definedName name="OSRRefD22_5x_0" localSheetId="76">'405'!$D$53:$D$55</definedName>
    <definedName name="OSRRefD22_5x_0" localSheetId="77">'406'!$D$54:$D$55</definedName>
    <definedName name="OSRRefD22_5x_0" localSheetId="78">'411'!$D$51</definedName>
    <definedName name="OSRRefD22_5x_0" localSheetId="79">'412'!$D$54:$D$56</definedName>
    <definedName name="OSRRefD22_5x_0" localSheetId="81">'413'!$D$54</definedName>
    <definedName name="OSRRefD22_5x_0" localSheetId="82">'414'!$D$54:$D$55</definedName>
    <definedName name="OSRRefD22_5x_0" localSheetId="83">'415'!$D$53:$D$55</definedName>
    <definedName name="OSRRefD22_5x_0" localSheetId="84">'418'!$D$54:$D$56</definedName>
    <definedName name="OSRRefD22_5x_0" localSheetId="80">'420'!$D$44</definedName>
    <definedName name="OSRRefD22_5x_0" localSheetId="85">'423'!$D$48</definedName>
    <definedName name="OSRRefD22_5x_0" localSheetId="86">'424'!$D$53</definedName>
    <definedName name="OSRRefD22_5x_0" localSheetId="87">'425'!$D$57:$D$58</definedName>
    <definedName name="OSRRefD22_5x_0" localSheetId="90">'430'!$D$47</definedName>
    <definedName name="OSRRefD22_5x_0" localSheetId="91">'433'!$D$55</definedName>
    <definedName name="OSRRefD22_5x_0" localSheetId="92">'435'!$D$53</definedName>
    <definedName name="OSRRefD22_5x_0" localSheetId="93">'444'!$D$55</definedName>
    <definedName name="OSRRefD22_5x_0" localSheetId="94">'450'!$D$56</definedName>
    <definedName name="OSRRefD22_5x_0" localSheetId="75">'491'!$D$63:$D$66</definedName>
    <definedName name="OSRRefD22_5x_0" localSheetId="89">'492'!$D$58</definedName>
    <definedName name="OSRRefD22_5x_0" localSheetId="96">'501'!$D$48</definedName>
    <definedName name="OSRRefD22_5x_0" localSheetId="39">'Div 2'!$D$50:$D$51</definedName>
    <definedName name="OSRRefD22_5x_0" localSheetId="47">'Div 3'!$D$201:$D$204</definedName>
    <definedName name="OSRRefD22_5x_0" localSheetId="73">'Div 4'!$D$64:$D$67</definedName>
    <definedName name="OSRRefD22_5x_0" localSheetId="95">'Div 5'!$D$48</definedName>
    <definedName name="OSRRefD22_5x_0" localSheetId="64">'Div 6'!$D$88</definedName>
    <definedName name="OSRRefD22_5x_0" localSheetId="2">Summary!$D$233:$D$236</definedName>
    <definedName name="OSRRefD22_6x_0" localSheetId="41">'201'!$D$50</definedName>
    <definedName name="OSRRefD22_6x_0" localSheetId="42">'202'!$D$49</definedName>
    <definedName name="OSRRefD22_6x_0" localSheetId="43">'203'!$D$50</definedName>
    <definedName name="OSRRefD22_6x_0" localSheetId="44">'204'!$D$52</definedName>
    <definedName name="OSRRefD22_6x_0" localSheetId="45">'205'!$D$50</definedName>
    <definedName name="OSRRefD22_6x_0" localSheetId="46">'206'!$D$49</definedName>
    <definedName name="OSRRefD22_6x_0" localSheetId="48">'300'!$D$201:$D$202</definedName>
    <definedName name="OSRRefD22_6x_0" localSheetId="49">'300 &amp; 317'!$D$226:$D$227</definedName>
    <definedName name="OSRRefD22_6x_0" localSheetId="50">'301'!$D$53:$D$54</definedName>
    <definedName name="OSRRefD22_6x_0" localSheetId="51">'306'!$D$49</definedName>
    <definedName name="OSRRefD22_6x_0" localSheetId="53">'307'!$D$109</definedName>
    <definedName name="OSRRefD22_6x_0" localSheetId="55">'308'!$D$96:$D$97</definedName>
    <definedName name="OSRRefD22_6x_0" localSheetId="67">'309'!$D$56</definedName>
    <definedName name="OSRRefD22_6x_0" localSheetId="66">'310'!$D$65</definedName>
    <definedName name="OSRRefD22_6x_0" localSheetId="74">'310 &amp; 491'!$D$74</definedName>
    <definedName name="OSRRefD22_6x_0" localSheetId="56">'311'!$D$96:$D$97</definedName>
    <definedName name="OSRRefD22_6x_0" localSheetId="68">'313'!$D$59</definedName>
    <definedName name="OSRRefD22_6x_0" localSheetId="54">'314'!$D$88</definedName>
    <definedName name="OSRRefD22_6x_0" localSheetId="59">'315'!$D$89</definedName>
    <definedName name="OSRRefD22_6x_0" localSheetId="62">'316'!$D$65</definedName>
    <definedName name="OSRRefD22_6x_0" localSheetId="65">'317'!$D$90</definedName>
    <definedName name="OSRRefD22_6x_0" localSheetId="63">'320'!$D$60</definedName>
    <definedName name="OSRRefD22_6x_0" localSheetId="69">'321'!$D$54</definedName>
    <definedName name="OSRRefD22_6x_0" localSheetId="70">'322'!$D$56</definedName>
    <definedName name="OSRRefD22_6x_0" localSheetId="71">'325'!$D$57</definedName>
    <definedName name="OSRRefD22_6x_0" localSheetId="60">'326'!$D$88</definedName>
    <definedName name="OSRRefD22_6x_0" localSheetId="52">'330'!$D$116</definedName>
    <definedName name="OSRRefD22_6x_0" localSheetId="58">'331'!$D$104</definedName>
    <definedName name="OSRRefD22_6x_0" localSheetId="61">'332'!$D$74</definedName>
    <definedName name="OSRRefD22_6x_0" localSheetId="76">'405'!$D$57</definedName>
    <definedName name="OSRRefD22_6x_0" localSheetId="77">'406'!$D$57</definedName>
    <definedName name="OSRRefD22_6x_0" localSheetId="78">'411'!$D$53</definedName>
    <definedName name="OSRRefD22_6x_0" localSheetId="79">'412'!$D$58</definedName>
    <definedName name="OSRRefD22_6x_0" localSheetId="81">'413'!$D$56</definedName>
    <definedName name="OSRRefD22_6x_0" localSheetId="82">'414'!$D$57</definedName>
    <definedName name="OSRRefD22_6x_0" localSheetId="83">'415'!$D$57</definedName>
    <definedName name="OSRRefD22_6x_0" localSheetId="84">'418'!$D$58</definedName>
    <definedName name="OSRRefD22_6x_0" localSheetId="80">'420'!$D$46:$D$47</definedName>
    <definedName name="OSRRefD22_6x_0" localSheetId="85">'423'!$D$50</definedName>
    <definedName name="OSRRefD22_6x_0" localSheetId="86">'424'!$D$55</definedName>
    <definedName name="OSRRefD22_6x_0" localSheetId="87">'425'!$D$60</definedName>
    <definedName name="OSRRefD22_6x_0" localSheetId="90">'430'!$D$49</definedName>
    <definedName name="OSRRefD22_6x_0" localSheetId="91">'433'!$D$57</definedName>
    <definedName name="OSRRefD22_6x_0" localSheetId="92">'435'!$D$55</definedName>
    <definedName name="OSRRefD22_6x_0" localSheetId="93">'444'!$D$57</definedName>
    <definedName name="OSRRefD22_6x_0" localSheetId="94">'450'!$D$58</definedName>
    <definedName name="OSRRefD22_6x_0" localSheetId="75">'491'!$D$68</definedName>
    <definedName name="OSRRefD22_6x_0" localSheetId="89">'492'!$D$60:$D$61</definedName>
    <definedName name="OSRRefD22_6x_0" localSheetId="96">'501'!$D$50</definedName>
    <definedName name="OSRRefD22_6x_0" localSheetId="39">'Div 2'!$D$53:$D$54</definedName>
    <definedName name="OSRRefD22_6x_0" localSheetId="47">'Div 3'!$D$206:$D$207</definedName>
    <definedName name="OSRRefD22_6x_0" localSheetId="73">'Div 4'!$D$69</definedName>
    <definedName name="OSRRefD22_6x_0" localSheetId="95">'Div 5'!$D$50</definedName>
    <definedName name="OSRRefD22_6x_0" localSheetId="64">'Div 6'!$D$90</definedName>
    <definedName name="OSRRefD22_6x_0" localSheetId="2">Summary!$D$238:$D$239</definedName>
    <definedName name="OSRRefD22_7x_0" localSheetId="41">'201'!$D$52</definedName>
    <definedName name="OSRRefD22_7x_0" localSheetId="42">'202'!$D$51</definedName>
    <definedName name="OSRRefD22_7x_0" localSheetId="43">'203'!$D$52</definedName>
    <definedName name="OSRRefD22_7x_0" localSheetId="44">'204'!$D$54:$D$57</definedName>
    <definedName name="OSRRefD22_7x_0" localSheetId="45">'205'!$D$52:$D$53</definedName>
    <definedName name="OSRRefD22_7x_0" localSheetId="46">'206'!$D$51:$D$52</definedName>
    <definedName name="OSRRefD22_7x_0" localSheetId="48">'300'!$D$204:$D$205</definedName>
    <definedName name="OSRRefD22_7x_0" localSheetId="49">'300 &amp; 317'!$D$229:$D$230</definedName>
    <definedName name="OSRRefD22_7x_0" localSheetId="50">'301'!$D$56:$D$57</definedName>
    <definedName name="OSRRefD22_7x_0" localSheetId="51">'306'!$D$51:$D$52</definedName>
    <definedName name="OSRRefD22_7x_0" localSheetId="53">'307'!$D$111</definedName>
    <definedName name="OSRRefD22_7x_0" localSheetId="55">'308'!$D$99</definedName>
    <definedName name="OSRRefD22_7x_0" localSheetId="67">'309'!$D$58</definedName>
    <definedName name="OSRRefD22_7x_0" localSheetId="66">'310'!$D$67</definedName>
    <definedName name="OSRRefD22_7x_0" localSheetId="74">'310 &amp; 491'!$D$76</definedName>
    <definedName name="OSRRefD22_7x_0" localSheetId="56">'311'!$D$99</definedName>
    <definedName name="OSRRefD22_7x_0" localSheetId="68">'313'!$D$61</definedName>
    <definedName name="OSRRefD22_7x_0" localSheetId="54">'314'!$D$90</definedName>
    <definedName name="OSRRefD22_7x_0" localSheetId="59">'315'!$D$91</definedName>
    <definedName name="OSRRefD22_7x_0" localSheetId="62">'316'!$D$67</definedName>
    <definedName name="OSRRefD22_7x_0" localSheetId="65">'317'!$D$92</definedName>
    <definedName name="OSRRefD22_7x_0" localSheetId="63">'320'!$D$62:$D$63</definedName>
    <definedName name="OSRRefD22_7x_0" localSheetId="69">'321'!$D$56</definedName>
    <definedName name="OSRRefD22_7x_0" localSheetId="70">'322'!$D$58</definedName>
    <definedName name="OSRRefD22_7x_0" localSheetId="71">'325'!$D$59</definedName>
    <definedName name="OSRRefD22_7x_0" localSheetId="60">'326'!$D$90</definedName>
    <definedName name="OSRRefD22_7x_0" localSheetId="52">'330'!$D$118</definedName>
    <definedName name="OSRRefD22_7x_0" localSheetId="58">'331'!$D$106</definedName>
    <definedName name="OSRRefD22_7x_0" localSheetId="61">'332'!$D$76:$D$77</definedName>
    <definedName name="OSRRefD22_7x_0" localSheetId="76">'405'!$D$59</definedName>
    <definedName name="OSRRefD22_7x_0" localSheetId="77">'406'!$D$59</definedName>
    <definedName name="OSRRefD22_7x_0" localSheetId="78">'411'!$D$55</definedName>
    <definedName name="OSRRefD22_7x_0" localSheetId="79">'412'!$D$60</definedName>
    <definedName name="OSRRefD22_7x_0" localSheetId="81">'413'!$D$58</definedName>
    <definedName name="OSRRefD22_7x_0" localSheetId="82">'414'!$D$59</definedName>
    <definedName name="OSRRefD22_7x_0" localSheetId="83">'415'!$D$59</definedName>
    <definedName name="OSRRefD22_7x_0" localSheetId="84">'418'!$D$60</definedName>
    <definedName name="OSRRefD22_7x_0" localSheetId="80">'420'!$D$49</definedName>
    <definedName name="OSRRefD22_7x_0" localSheetId="86">'424'!$D$57</definedName>
    <definedName name="OSRRefD22_7x_0" localSheetId="87">'425'!$D$62</definedName>
    <definedName name="OSRRefD22_7x_0" localSheetId="90">'430'!$D$51:$D$53</definedName>
    <definedName name="OSRRefD22_7x_0" localSheetId="91">'433'!$D$59</definedName>
    <definedName name="OSRRefD22_7x_0" localSheetId="92">'435'!$D$57:$D$59</definedName>
    <definedName name="OSRRefD22_7x_0" localSheetId="93">'444'!$D$59</definedName>
    <definedName name="OSRRefD22_7x_0" localSheetId="94">'450'!$D$60</definedName>
    <definedName name="OSRRefD22_7x_0" localSheetId="75">'491'!$D$70</definedName>
    <definedName name="OSRRefD22_7x_0" localSheetId="89">'492'!$D$63</definedName>
    <definedName name="OSRRefD22_7x_0" localSheetId="96">'501'!$D$52</definedName>
    <definedName name="OSRRefD22_7x_0" localSheetId="39">'Div 2'!$D$56</definedName>
    <definedName name="OSRRefD22_7x_0" localSheetId="47">'Div 3'!$D$209:$D$210</definedName>
    <definedName name="OSRRefD22_7x_0" localSheetId="73">'Div 4'!$D$71:$D$72</definedName>
    <definedName name="OSRRefD22_7x_0" localSheetId="95">'Div 5'!$D$52</definedName>
    <definedName name="OSRRefD22_7x_0" localSheetId="64">'Div 6'!$D$92</definedName>
    <definedName name="OSRRefD22_7x_0" localSheetId="2">Summary!$D$241:$D$243</definedName>
    <definedName name="OSRRefD22_8x_0" localSheetId="41">'201'!$D$54</definedName>
    <definedName name="OSRRefD22_8x_0" localSheetId="42">'202'!$D$53</definedName>
    <definedName name="OSRRefD22_8x_0" localSheetId="43">'203'!$D$54</definedName>
    <definedName name="OSRRefD22_8x_0" localSheetId="44">'204'!$D$59</definedName>
    <definedName name="OSRRefD22_8x_0" localSheetId="45">'205'!$D$55</definedName>
    <definedName name="OSRRefD22_8x_0" localSheetId="46">'206'!$D$54</definedName>
    <definedName name="OSRRefD22_8x_0" localSheetId="48">'300'!$D$207</definedName>
    <definedName name="OSRRefD22_8x_0" localSheetId="49">'300 &amp; 317'!$D$232</definedName>
    <definedName name="OSRRefD22_8x_0" localSheetId="50">'301'!$D$59</definedName>
    <definedName name="OSRRefD22_8x_0" localSheetId="51">'306'!$D$54:$D$57</definedName>
    <definedName name="OSRRefD22_8x_0" localSheetId="53">'307'!$D$113:$D$114</definedName>
    <definedName name="OSRRefD22_8x_0" localSheetId="55">'308'!$D$101</definedName>
    <definedName name="OSRRefD22_8x_0" localSheetId="67">'309'!$D$60</definedName>
    <definedName name="OSRRefD22_8x_0" localSheetId="66">'310'!$D$69</definedName>
    <definedName name="OSRRefD22_8x_0" localSheetId="74">'310 &amp; 491'!$D$78</definedName>
    <definedName name="OSRRefD22_8x_0" localSheetId="56">'311'!$D$101</definedName>
    <definedName name="OSRRefD22_8x_0" localSheetId="68">'313'!$D$63</definedName>
    <definedName name="OSRRefD22_8x_0" localSheetId="54">'314'!$D$92</definedName>
    <definedName name="OSRRefD22_8x_0" localSheetId="59">'315'!$D$93</definedName>
    <definedName name="OSRRefD22_8x_0" localSheetId="62">'316'!$D$69</definedName>
    <definedName name="OSRRefD22_8x_0" localSheetId="65">'317'!$D$94</definedName>
    <definedName name="OSRRefD22_8x_0" localSheetId="63">'320'!$D$65</definedName>
    <definedName name="OSRRefD22_8x_0" localSheetId="69">'321'!$D$58</definedName>
    <definedName name="OSRRefD22_8x_0" localSheetId="70">'322'!$D$60</definedName>
    <definedName name="OSRRefD22_8x_0" localSheetId="71">'325'!$D$61</definedName>
    <definedName name="OSRRefD22_8x_0" localSheetId="60">'326'!$D$92</definedName>
    <definedName name="OSRRefD22_8x_0" localSheetId="52">'330'!$D$120</definedName>
    <definedName name="OSRRefD22_8x_0" localSheetId="58">'331'!$D$108:$D$109</definedName>
    <definedName name="OSRRefD22_8x_0" localSheetId="61">'332'!$D$79</definedName>
    <definedName name="OSRRefD22_8x_0" localSheetId="76">'405'!$D$61</definedName>
    <definedName name="OSRRefD22_8x_0" localSheetId="77">'406'!$D$61</definedName>
    <definedName name="OSRRefD22_8x_0" localSheetId="78">'411'!$D$57</definedName>
    <definedName name="OSRRefD22_8x_0" localSheetId="79">'412'!$D$62</definedName>
    <definedName name="OSRRefD22_8x_0" localSheetId="81">'413'!$D$60:$D$62</definedName>
    <definedName name="OSRRefD22_8x_0" localSheetId="82">'414'!$D$61</definedName>
    <definedName name="OSRRefD22_8x_0" localSheetId="83">'415'!$D$61</definedName>
    <definedName name="OSRRefD22_8x_0" localSheetId="84">'418'!$D$62</definedName>
    <definedName name="OSRRefD22_8x_0" localSheetId="86">'424'!$D$59:$D$60</definedName>
    <definedName name="OSRRefD22_8x_0" localSheetId="87">'425'!$D$64</definedName>
    <definedName name="OSRRefD22_8x_0" localSheetId="90">'430'!$D$55</definedName>
    <definedName name="OSRRefD22_8x_0" localSheetId="91">'433'!$D$61</definedName>
    <definedName name="OSRRefD22_8x_0" localSheetId="92">'435'!$D$61</definedName>
    <definedName name="OSRRefD22_8x_0" localSheetId="93">'444'!$D$61</definedName>
    <definedName name="OSRRefD22_8x_0" localSheetId="94">'450'!$D$62</definedName>
    <definedName name="OSRRefD22_8x_0" localSheetId="75">'491'!$D$72</definedName>
    <definedName name="OSRRefD22_8x_0" localSheetId="89">'492'!$D$65</definedName>
    <definedName name="OSRRefD22_8x_0" localSheetId="96">'501'!$D$54</definedName>
    <definedName name="OSRRefD22_8x_0" localSheetId="39">'Div 2'!$D$58</definedName>
    <definedName name="OSRRefD22_8x_0" localSheetId="47">'Div 3'!$D$212</definedName>
    <definedName name="OSRRefD22_8x_0" localSheetId="73">'Div 4'!$D$74</definedName>
    <definedName name="OSRRefD22_8x_0" localSheetId="95">'Div 5'!$D$54</definedName>
    <definedName name="OSRRefD22_8x_0" localSheetId="64">'Div 6'!$D$94</definedName>
    <definedName name="OSRRefD22_8x_0" localSheetId="2">Summary!$D$245</definedName>
    <definedName name="OSRRefD22_9x_0" localSheetId="41">'201'!$D$56</definedName>
    <definedName name="OSRRefD22_9x_0" localSheetId="42">'202'!$D$55:$D$57</definedName>
    <definedName name="OSRRefD22_9x_0" localSheetId="43">'203'!$D$56:$D$58</definedName>
    <definedName name="OSRRefD22_9x_0" localSheetId="44">'204'!$D$61:$D$62</definedName>
    <definedName name="OSRRefD22_9x_0" localSheetId="45">'205'!$D$57</definedName>
    <definedName name="OSRRefD22_9x_0" localSheetId="46">'206'!$D$56</definedName>
    <definedName name="OSRRefD22_9x_0" localSheetId="48">'300'!$D$209</definedName>
    <definedName name="OSRRefD22_9x_0" localSheetId="49">'300 &amp; 317'!$D$234</definedName>
    <definedName name="OSRRefD22_9x_0" localSheetId="50">'301'!$D$61</definedName>
    <definedName name="OSRRefD22_9x_0" localSheetId="51">'306'!$D$59</definedName>
    <definedName name="OSRRefD22_9x_0" localSheetId="53">'307'!$D$116:$D$117</definedName>
    <definedName name="OSRRefD22_9x_0" localSheetId="55">'308'!$D$103:$D$105</definedName>
    <definedName name="OSRRefD22_9x_0" localSheetId="67">'309'!$D$62:$D$63</definedName>
    <definedName name="OSRRefD22_9x_0" localSheetId="66">'310'!$D$71</definedName>
    <definedName name="OSRRefD22_9x_0" localSheetId="74">'310 &amp; 491'!$D$80</definedName>
    <definedName name="OSRRefD22_9x_0" localSheetId="56">'311'!$D$103:$D$105</definedName>
    <definedName name="OSRRefD22_9x_0" localSheetId="68">'313'!$D$65</definedName>
    <definedName name="OSRRefD22_9x_0" localSheetId="54">'314'!$D$94</definedName>
    <definedName name="OSRRefD22_9x_0" localSheetId="59">'315'!$D$95:$D$96</definedName>
    <definedName name="OSRRefD22_9x_0" localSheetId="62">'316'!$D$71:$D$72</definedName>
    <definedName name="OSRRefD22_9x_0" localSheetId="65">'317'!$D$96:$D$97</definedName>
    <definedName name="OSRRefD22_9x_0" localSheetId="69">'321'!$D$60:$D$62</definedName>
    <definedName name="OSRRefD22_9x_0" localSheetId="70">'322'!$D$62:$D$64</definedName>
    <definedName name="OSRRefD22_9x_0" localSheetId="71">'325'!$D$63</definedName>
    <definedName name="OSRRefD22_9x_0" localSheetId="60">'326'!$D$94</definedName>
    <definedName name="OSRRefD22_9x_0" localSheetId="52">'330'!$D$122:$D$123</definedName>
    <definedName name="OSRRefD22_9x_0" localSheetId="58">'331'!$D$111</definedName>
    <definedName name="OSRRefD22_9x_0" localSheetId="61">'332'!$D$81</definedName>
    <definedName name="OSRRefD22_9x_0" localSheetId="76">'405'!$D$63</definedName>
    <definedName name="OSRRefD22_9x_0" localSheetId="77">'406'!$D$63:$D$65</definedName>
    <definedName name="OSRRefD22_9x_0" localSheetId="78">'411'!$D$59</definedName>
    <definedName name="OSRRefD22_9x_0" localSheetId="79">'412'!$D$64:$D$65</definedName>
    <definedName name="OSRRefD22_9x_0" localSheetId="81">'413'!$D$64:$D$65</definedName>
    <definedName name="OSRRefD22_9x_0" localSheetId="82">'414'!$D$63:$D$64</definedName>
    <definedName name="OSRRefD22_9x_0" localSheetId="83">'415'!$D$63</definedName>
    <definedName name="OSRRefD22_9x_0" localSheetId="84">'418'!$D$64</definedName>
    <definedName name="OSRRefD22_9x_0" localSheetId="86">'424'!$D$62:$D$64</definedName>
    <definedName name="OSRRefD22_9x_0" localSheetId="87">'425'!$D$66:$D$68</definedName>
    <definedName name="OSRRefD22_9x_0" localSheetId="90">'430'!$D$57</definedName>
    <definedName name="OSRRefD22_9x_0" localSheetId="91">'433'!$D$63</definedName>
    <definedName name="OSRRefD22_9x_0" localSheetId="93">'444'!$D$63</definedName>
    <definedName name="OSRRefD22_9x_0" localSheetId="94">'450'!$D$64</definedName>
    <definedName name="OSRRefD22_9x_0" localSheetId="75">'491'!$D$74</definedName>
    <definedName name="OSRRefD22_9x_0" localSheetId="89">'492'!$D$67</definedName>
    <definedName name="OSRRefD22_9x_0" localSheetId="96">'501'!$D$56</definedName>
    <definedName name="OSRRefD22_9x_0" localSheetId="39">'Div 2'!$D$60</definedName>
    <definedName name="OSRRefD22_9x_0" localSheetId="47">'Div 3'!$D$214</definedName>
    <definedName name="OSRRefD22_9x_0" localSheetId="73">'Div 4'!$D$76</definedName>
    <definedName name="OSRRefD22_9x_0" localSheetId="95">'Div 5'!$D$56</definedName>
    <definedName name="OSRRefD22_9x_0" localSheetId="64">'Div 6'!$D$96:$D$97</definedName>
    <definedName name="OSRRefD22_9x_0" localSheetId="2">Summary!$D$247</definedName>
    <definedName name="OSRRefD22x_0" localSheetId="40">'200'!$D$20,'200'!$D$22,'200'!$D$24,'200'!$D$26,'200'!$D$28:$D$29</definedName>
    <definedName name="OSRRefD22x_0" localSheetId="41">'201'!$D$20:$D$28,'201'!$D$30:$D$39,'201'!$D$41,'201'!$D$43,'201'!$D$45:$D$46,'201'!$D$48,'201'!$D$50,'201'!$D$52,'201'!$D$54,'201'!$D$56,'201'!$D$58:$D$60,'201'!$D$62:$D$64,'201'!$D$66,'201'!$D$68:$D$70,'201'!$D$72,'201'!$D$74,'201'!$D$76:$D$77</definedName>
    <definedName name="OSRRefD22x_0" localSheetId="42">'202'!$D$20:$D$28,'202'!$D$30:$D$39,'202'!$D$41,'202'!$D$43,'202'!$D$45,'202'!$D$47,'202'!$D$49,'202'!$D$51,'202'!$D$53,'202'!$D$55:$D$57,'202'!$D$59,'202'!$D$61:$D$63,'202'!$D$65,'202'!$D$67,'202'!$D$69:$D$70,'202'!$D$72,'202'!$D$74</definedName>
    <definedName name="OSRRefD22x_0" localSheetId="43">'203'!$D$20:$D$29,'203'!$D$31:$D$40,'203'!$D$42,'203'!$D$44,'203'!$D$46,'203'!$D$48,'203'!$D$50,'203'!$D$52,'203'!$D$54,'203'!$D$56:$D$58,'203'!$D$60:$D$61,'203'!$D$63,'203'!$D$65:$D$67,'203'!$D$69,'203'!$D$71,'203'!$D$73</definedName>
    <definedName name="OSRRefD22x_0" localSheetId="44">'204'!$D$21:$D$30,'204'!$D$32:$D$41,'204'!$D$43,'204'!$D$45:$D$46,'204'!$D$48,'204'!$D$50,'204'!$D$52,'204'!$D$54:$D$57,'204'!$D$59,'204'!$D$61:$D$62,'204'!$D$64:$D$65,'204'!$D$67,'204'!$D$69:$D$70</definedName>
    <definedName name="OSRRefD22x_0" localSheetId="45">'205'!$D$20:$D$28,'205'!$D$30:$D$39,'205'!$D$41,'205'!$D$43,'205'!$D$45,'205'!$D$47:$D$48,'205'!$D$50,'205'!$D$52:$D$53,'205'!$D$55,'205'!$D$57</definedName>
    <definedName name="OSRRefD22x_0" localSheetId="46">'206'!$D$20:$D$28,'206'!$D$30:$D$39,'206'!$D$41,'206'!$D$43,'206'!$D$45,'206'!$D$47,'206'!$D$49,'206'!$D$51:$D$52,'206'!$D$54,'206'!$D$56,'206'!$D$58</definedName>
    <definedName name="OSRRefD22x_0" localSheetId="48">'300'!$D$167:$D$176,'300'!$D$178:$D$187,'300'!$D$189,'300'!$D$191:$D$192,'300'!$D$194,'300'!$D$196:$D$199,'300'!$D$201:$D$202,'300'!$D$204:$D$205,'300'!$D$207,'300'!$D$209,'300'!$D$211:$D$212,'300'!$D$214,'300'!$D$216,'300'!$D$218,'300'!$D$220,'300'!$D$222,'300'!$D$224:$D$227,'300'!$D$229:$D$232,'300'!$D$234:$D$237,'300'!$D$239:$D$240,'300'!$D$242:$D$248,'300'!$D$250:$D$251,'300'!$D$253,'300'!$D$255:$D$257,'300'!$D$259</definedName>
    <definedName name="OSRRefD22x_0" localSheetId="49">'300 &amp; 317'!$D$192:$D$201,'300 &amp; 317'!$D$203:$D$212,'300 &amp; 317'!$D$214,'300 &amp; 317'!$D$216:$D$217,'300 &amp; 317'!$D$219,'300 &amp; 317'!$D$221:$D$224,'300 &amp; 317'!$D$226:$D$227,'300 &amp; 317'!$D$229:$D$230,'300 &amp; 317'!$D$232,'300 &amp; 317'!$D$234,'300 &amp; 317'!$D$236:$D$237,'300 &amp; 317'!$D$239,'300 &amp; 317'!$D$241,'300 &amp; 317'!$D$243,'300 &amp; 317'!$D$245,'300 &amp; 317'!$D$247,'300 &amp; 317'!$D$249:$D$252,'300 &amp; 317'!$D$254:$D$257,'300 &amp; 317'!$D$259:$D$262,'300 &amp; 317'!$D$264:$D$265,'300 &amp; 317'!$D$267:$D$273,'300 &amp; 317'!$D$275:$D$276,'300 &amp; 317'!$D$278,'300 &amp; 317'!$D$280:$D$282,'300 &amp; 317'!$D$284</definedName>
    <definedName name="OSRRefD22x_0" localSheetId="50">'301'!$D$20:$D$28,'301'!$D$30:$D$39,'301'!$D$41,'301'!$D$43:$D$44,'301'!$D$46,'301'!$D$48:$D$51,'301'!$D$53:$D$54,'301'!$D$56:$D$57,'301'!$D$59,'301'!$D$61,'301'!$D$63,'301'!$D$65,'301'!$D$67,'301'!$D$69,'301'!$D$71,'301'!$D$73:$D$76,'301'!$D$78:$D$80,'301'!$D$82:$D$83,'301'!$D$85:$D$90,'301'!$D$92,'301'!$D$94,'301'!$D$96:$D$98,'301'!$D$100</definedName>
    <definedName name="OSRRefD22x_0" localSheetId="51">'306'!$D$20:$D$28,'306'!$D$30:$D$39,'306'!$D$41,'306'!$D$43,'306'!$D$45,'306'!$D$47,'306'!$D$49,'306'!$D$51:$D$52,'306'!$D$54:$D$57,'306'!$D$59,'306'!$D$61</definedName>
    <definedName name="OSRRefD22x_0" localSheetId="53">'307'!$D$79:$D$87,'307'!$D$89:$D$98,'307'!$D$100,'307'!$D$102,'307'!$D$104:$D$105,'307'!$D$107,'307'!$D$109,'307'!$D$111,'307'!$D$113:$D$114,'307'!$D$116:$D$117,'307'!$D$119:$D$121,'307'!$D$123,'307'!$D$125</definedName>
    <definedName name="OSRRefD22x_0" localSheetId="55">'308'!$D$65:$D$74,'308'!$D$76:$D$85,'308'!$D$87,'308'!$D$89:$D$90,'308'!$D$92,'308'!$D$94,'308'!$D$96:$D$97,'308'!$D$99,'308'!$D$101,'308'!$D$103:$D$105,'308'!$D$107,'308'!$D$109:$D$111,'308'!$D$113:$D$114,'308'!$D$116,'308'!$D$118:$D$119</definedName>
    <definedName name="OSRRefD22x_0" localSheetId="67">'309'!$D$26:$D$34,'309'!$D$36:$D$45,'309'!$D$47,'309'!$D$49,'309'!$D$51,'309'!$D$53:$D$54,'309'!$D$56,'309'!$D$58,'309'!$D$60,'309'!$D$62:$D$63,'309'!$D$65:$D$67,'309'!$D$69:$D$71,'309'!$D$73,'309'!$D$75</definedName>
    <definedName name="OSRRefD22x_0" localSheetId="66">'310'!$D$34:$D$42,'310'!$D$44:$D$53,'310'!$D$55,'310'!$D$57,'310'!$D$59,'310'!$D$61:$D$63,'310'!$D$65,'310'!$D$67,'310'!$D$69,'310'!$D$71,'310'!$D$73,'310'!$D$75,'310'!$D$77,'310'!$D$79,'310'!$D$81,'310'!$D$83:$D$85,'310'!$D$87:$D$88,'310'!$D$90:$D$94,'310'!$D$96,'310'!$D$98:$D$106,'310'!$D$108,'310'!$D$110,'310'!$D$112,'310'!$D$114</definedName>
    <definedName name="OSRRefD22x_0" localSheetId="74">'310 &amp; 491'!$D$41:$D$50,'310 &amp; 491'!$D$52:$D$61,'310 &amp; 491'!$D$63,'310 &amp; 491'!$D$65,'310 &amp; 491'!$D$67,'310 &amp; 491'!$D$69:$D$72,'310 &amp; 491'!$D$74,'310 &amp; 491'!$D$76,'310 &amp; 491'!$D$78,'310 &amp; 491'!$D$80,'310 &amp; 491'!$D$82,'310 &amp; 491'!$D$84:$D$85,'310 &amp; 491'!$D$87,'310 &amp; 491'!$D$89,'310 &amp; 491'!$D$91,'310 &amp; 491'!$D$93,'310 &amp; 491'!$D$95,'310 &amp; 491'!$D$97:$D$100,'310 &amp; 491'!$D$102:$D$105,'310 &amp; 491'!$D$107:$D$112,'310 &amp; 491'!$D$114:$D$115,'310 &amp; 491'!$D$117:$D$126,'310 &amp; 491'!$D$128:$D$129,'310 &amp; 491'!$D$131,'310 &amp; 491'!$D$133:$D$135,'310 &amp; 491'!$D$137</definedName>
    <definedName name="OSRRefD22x_0" localSheetId="56">'311'!$D$65:$D$74,'311'!$D$76:$D$85,'311'!$D$87,'311'!$D$89:$D$90,'311'!$D$92,'311'!$D$94,'311'!$D$96:$D$97,'311'!$D$99,'311'!$D$101,'311'!$D$103:$D$105,'311'!$D$107,'311'!$D$109:$D$111,'311'!$D$113:$D$114,'311'!$D$116,'311'!$D$118:$D$119</definedName>
    <definedName name="OSRRefD22x_0" localSheetId="68">'313'!$D$30:$D$38,'313'!$D$40:$D$49,'313'!$D$51,'313'!$D$53,'313'!$D$55,'313'!$D$57,'313'!$D$59,'313'!$D$61,'313'!$D$63,'313'!$D$65,'313'!$D$67:$D$69,'313'!$D$71,'313'!$D$73:$D$78,'313'!$D$80,'313'!$D$82</definedName>
    <definedName name="OSRRefD22x_0" localSheetId="54">'314'!$D$58:$D$66,'314'!$D$68:$D$77,'314'!$D$79,'314'!$D$81:$D$82,'314'!$D$84,'314'!$D$86,'314'!$D$88,'314'!$D$90,'314'!$D$92,'314'!$D$94,'314'!$D$96</definedName>
    <definedName name="OSRRefD22x_0" localSheetId="59">'315'!$D$58:$D$66,'315'!$D$68:$D$77,'315'!$D$79,'315'!$D$81:$D$82,'315'!$D$84,'315'!$D$86:$D$87,'315'!$D$89,'315'!$D$91,'315'!$D$93,'315'!$D$95:$D$96,'315'!$D$98:$D$100,'315'!$D$102:$D$103,'315'!$D$105:$D$109,'315'!$D$111,'315'!$D$113,'315'!$D$115:$D$116</definedName>
    <definedName name="OSRRefD22x_0" localSheetId="62">'316'!$D$36:$D$44,'316'!$D$46:$D$55,'316'!$D$57,'316'!$D$59,'316'!$D$61,'316'!$D$63,'316'!$D$65,'316'!$D$67,'316'!$D$69,'316'!$D$71:$D$72,'316'!$D$74:$D$75,'316'!$D$77:$D$81,'316'!$D$83:$D$84,'316'!$D$86</definedName>
    <definedName name="OSRRefD22x_0" localSheetId="65">'317'!$D$60:$D$69,'317'!$D$71:$D$80,'317'!$D$82,'317'!$D$84,'317'!$D$86,'317'!$D$88,'317'!$D$90,'317'!$D$92,'317'!$D$94,'317'!$D$96:$D$97,'317'!$D$99:$D$100,'317'!$D$102,'317'!$D$104</definedName>
    <definedName name="OSRRefD22x_0" localSheetId="63">'320'!$D$31:$D$38,'320'!$D$40:$D$49,'320'!$D$51,'320'!$D$53,'320'!$D$55:$D$56,'320'!$D$58,'320'!$D$60,'320'!$D$62:$D$63,'320'!$D$65</definedName>
    <definedName name="OSRRefD22x_0" localSheetId="69">'321'!$D$26:$D$33,'321'!$D$35:$D$44,'321'!$D$46,'321'!$D$48,'321'!$D$50,'321'!$D$52,'321'!$D$54,'321'!$D$56,'321'!$D$58,'321'!$D$60:$D$62,'321'!$D$64:$D$65,'321'!$D$67:$D$69,'321'!$D$71:$D$74,'321'!$D$76,'321'!$D$78</definedName>
    <definedName name="OSRRefD22x_0" localSheetId="70">'322'!$D$26:$D$34,'322'!$D$36:$D$45,'322'!$D$47,'322'!$D$49,'322'!$D$51,'322'!$D$53:$D$54,'322'!$D$56,'322'!$D$58,'322'!$D$60,'322'!$D$62:$D$64,'322'!$D$66:$D$68,'322'!$D$70:$D$76,'322'!$D$78,'322'!$D$80</definedName>
    <definedName name="OSRRefD22x_0" localSheetId="71">'325'!$D$26:$D$34,'325'!$D$36:$D$45,'325'!$D$47,'325'!$D$49,'325'!$D$51,'325'!$D$53:$D$55,'325'!$D$57,'325'!$D$59,'325'!$D$61,'325'!$D$63,'325'!$D$65,'325'!$D$67:$D$69,'325'!$D$71:$D$74,'325'!$D$76,'325'!$D$78:$D$84,'325'!$D$86,'325'!$D$88,'325'!$D$90,'325'!$D$92</definedName>
    <definedName name="OSRRefD22x_0" localSheetId="60">'326'!$D$58:$D$66,'326'!$D$68:$D$77,'326'!$D$79,'326'!$D$81:$D$82,'326'!$D$84,'326'!$D$86,'326'!$D$88,'326'!$D$90,'326'!$D$92,'326'!$D$94,'326'!$D$96,'326'!$D$98,'326'!$D$100,'326'!$D$102:$D$103,'326'!$D$105:$D$107,'326'!$D$109:$D$110,'326'!$D$112:$D$117,'326'!$D$119:$D$120,'326'!$D$122,'326'!$D$124,'326'!$D$126</definedName>
    <definedName name="OSRRefD22x_0" localSheetId="72">'327'!$D$24,'327'!$D$26,'327'!$D$28</definedName>
    <definedName name="OSRRefD22x_0" localSheetId="52">'330'!$D$86:$D$94,'330'!$D$96:$D$105,'330'!$D$107,'330'!$D$109,'330'!$D$111:$D$112,'330'!$D$114,'330'!$D$116,'330'!$D$118,'330'!$D$120,'330'!$D$122:$D$123,'330'!$D$125:$D$126,'330'!$D$128,'330'!$D$130:$D$132,'330'!$D$134,'330'!$D$136,'330'!$D$138</definedName>
    <definedName name="OSRRefD22x_0" localSheetId="58">'331'!$D$73:$D$81,'331'!$D$83:$D$92,'331'!$D$94,'331'!$D$96:$D$97,'331'!$D$99,'331'!$D$101:$D$102,'331'!$D$104,'331'!$D$106,'331'!$D$108:$D$109,'331'!$D$111,'331'!$D$113,'331'!$D$115,'331'!$D$117,'331'!$D$119,'331'!$D$121:$D$122,'331'!$D$124:$D$126,'331'!$D$128:$D$130,'331'!$D$132:$D$133,'331'!$D$135:$D$140,'331'!$D$142:$D$143,'331'!$D$145,'331'!$D$147:$D$148,'331'!$D$150</definedName>
    <definedName name="OSRRefD22x_0" localSheetId="61">'332'!$D$45:$D$53,'332'!$D$55:$D$64,'332'!$D$66,'332'!$D$68,'332'!$D$70,'332'!$D$72,'332'!$D$74,'332'!$D$76:$D$77,'332'!$D$79,'332'!$D$81,'332'!$D$83:$D$84,'332'!$D$86:$D$87,'332'!$D$89:$D$93,'332'!$D$95:$D$96,'332'!$D$98</definedName>
    <definedName name="OSRRefD22x_0" localSheetId="76">'405'!$D$26:$D$34,'405'!$D$36:$D$45,'405'!$D$47,'405'!$D$49,'405'!$D$51,'405'!$D$53:$D$55,'405'!$D$57,'405'!$D$59,'405'!$D$61,'405'!$D$63,'405'!$D$65,'405'!$D$67:$D$69,'405'!$D$71,'405'!$D$73:$D$75,'405'!$D$77:$D$78,'405'!$D$80:$D$88,'405'!$D$90,'405'!$D$92,'405'!$D$94,'405'!$D$96</definedName>
    <definedName name="OSRRefD22x_0" localSheetId="77">'406'!$D$27:$D$35,'406'!$D$37:$D$46,'406'!$D$48,'406'!$D$50,'406'!$D$52,'406'!$D$54:$D$55,'406'!$D$57,'406'!$D$59,'406'!$D$61,'406'!$D$63:$D$65,'406'!$D$67:$D$69,'406'!$D$71:$D$76,'406'!$D$78:$D$79,'406'!$D$81,'406'!$D$83:$D$84</definedName>
    <definedName name="OSRRefD22x_0" localSheetId="78">'411'!$D$20:$D$29,'411'!$D$31:$D$40,'411'!$D$42,'411'!$D$44:$D$47,'411'!$D$49,'411'!$D$51,'411'!$D$53,'411'!$D$55,'411'!$D$57,'411'!$D$59,'411'!$D$61:$D$63,'411'!$D$65:$D$69,'411'!$D$71,'411'!$D$73:$D$80,'411'!$D$82,'411'!$D$84,'411'!$D$86:$D$88,'411'!$D$90</definedName>
    <definedName name="OSRRefD22x_0" localSheetId="79">'412'!$D$27:$D$35,'412'!$D$37:$D$46,'412'!$D$48,'412'!$D$50,'412'!$D$52,'412'!$D$54:$D$56,'412'!$D$58,'412'!$D$60,'412'!$D$62,'412'!$D$64:$D$65,'412'!$D$67,'412'!$D$69:$D$71,'412'!$D$73:$D$80,'412'!$D$82,'412'!$D$84,'412'!$D$86</definedName>
    <definedName name="OSRRefD22x_0" localSheetId="81">'413'!$D$27:$D$35,'413'!$D$37:$D$46,'413'!$D$48,'413'!$D$50,'413'!$D$52,'413'!$D$54,'413'!$D$56,'413'!$D$58,'413'!$D$60:$D$62,'413'!$D$64:$D$65,'413'!$D$67:$D$73,'413'!$D$75:$D$76,'413'!$D$78,'413'!$D$80</definedName>
    <definedName name="OSRRefD22x_0" localSheetId="82">'414'!$D$27:$D$35,'414'!$D$37:$D$46,'414'!$D$48,'414'!$D$50,'414'!$D$52,'414'!$D$54:$D$55,'414'!$D$57,'414'!$D$59,'414'!$D$61,'414'!$D$63:$D$64,'414'!$D$66,'414'!$D$68,'414'!$D$70,'414'!$D$72:$D$78,'414'!$D$80,'414'!$D$82</definedName>
    <definedName name="OSRRefD22x_0" localSheetId="83">'415'!$D$26:$D$34,'415'!$D$36:$D$45,'415'!$D$47,'415'!$D$49,'415'!$D$51,'415'!$D$53:$D$55,'415'!$D$57,'415'!$D$59,'415'!$D$61,'415'!$D$63,'415'!$D$65,'415'!$D$67:$D$70,'415'!$D$72:$D$76,'415'!$D$78:$D$79,'415'!$D$81:$D$89,'415'!$D$91,'415'!$D$93,'415'!$D$95:$D$96,'415'!$D$98</definedName>
    <definedName name="OSRRefD22x_0" localSheetId="84">'418'!$D$27:$D$35,'418'!$D$37:$D$46,'418'!$D$48,'418'!$D$50,'418'!$D$52,'418'!$D$54:$D$56,'418'!$D$58,'418'!$D$60,'418'!$D$62,'418'!$D$64,'418'!$D$66:$D$67,'418'!$D$69:$D$71,'418'!$D$73:$D$75,'418'!$D$77:$D$78,'418'!$D$80:$D$87,'418'!$D$89,'418'!$D$91,'418'!$D$93:$D$94</definedName>
    <definedName name="OSRRefD22x_0" localSheetId="80">'420'!$D$24:$D$31,'420'!$D$33:$D$36,'420'!$D$38,'420'!$D$40,'420'!$D$42,'420'!$D$44,'420'!$D$46:$D$47,'420'!$D$49</definedName>
    <definedName name="OSRRefD22x_0" localSheetId="85">'423'!$D$21:$D$29,'423'!$D$31:$D$40,'423'!$D$42,'423'!$D$44,'423'!$D$46,'423'!$D$48,'423'!$D$50</definedName>
    <definedName name="OSRRefD22x_0" localSheetId="86">'424'!$D$27:$D$34,'424'!$D$36:$D$45,'424'!$D$47,'424'!$D$49,'424'!$D$51,'424'!$D$53,'424'!$D$55,'424'!$D$57,'424'!$D$59:$D$60,'424'!$D$62:$D$64,'424'!$D$66,'424'!$D$68:$D$72,'424'!$D$74:$D$75</definedName>
    <definedName name="OSRRefD22x_0" localSheetId="87">'425'!$D$29:$D$38,'425'!$D$40:$D$49,'425'!$D$51,'425'!$D$53,'425'!$D$55,'425'!$D$57:$D$58,'425'!$D$60,'425'!$D$62,'425'!$D$64,'425'!$D$66:$D$68,'425'!$D$70:$D$71,'425'!$D$73:$D$75,'425'!$D$77,'425'!$D$79:$D$85,'425'!$D$87:$D$88,'425'!$D$90,'425'!$D$92</definedName>
    <definedName name="OSRRefD22x_0" localSheetId="90">'430'!$D$20:$D$28,'430'!$D$30:$D$39,'430'!$D$41,'430'!$D$43,'430'!$D$45,'430'!$D$47,'430'!$D$49,'430'!$D$51:$D$53,'430'!$D$55,'430'!$D$57,'430'!$D$59</definedName>
    <definedName name="OSRRefD22x_0" localSheetId="91">'433'!$D$27:$D$36,'433'!$D$38:$D$47,'433'!$D$49,'433'!$D$51,'433'!$D$53,'433'!$D$55,'433'!$D$57,'433'!$D$59,'433'!$D$61,'433'!$D$63,'433'!$D$65:$D$67,'433'!$D$69:$D$72,'433'!$D$74:$D$81,'433'!$D$83,'433'!$D$85,'433'!$D$87:$D$88</definedName>
    <definedName name="OSRRefD22x_0" localSheetId="92">'435'!$D$27:$D$34,'435'!$D$36:$D$45,'435'!$D$47,'435'!$D$49,'435'!$D$51,'435'!$D$53,'435'!$D$55,'435'!$D$57:$D$59,'435'!$D$61</definedName>
    <definedName name="OSRRefD22x_0" localSheetId="93">'444'!$D$27:$D$36,'444'!$D$38:$D$47,'444'!$D$49,'444'!$D$51,'444'!$D$53,'444'!$D$55,'444'!$D$57,'444'!$D$59,'444'!$D$61,'444'!$D$63,'444'!$D$65,'444'!$D$67:$D$69,'444'!$D$71:$D$74,'444'!$D$76:$D$83,'444'!$D$85,'444'!$D$87,'444'!$D$89</definedName>
    <definedName name="OSRRefD22x_0" localSheetId="94">'450'!$D$27:$D$36,'450'!$D$38:$D$47,'450'!$D$49,'450'!$D$51:$D$52,'450'!$D$54,'450'!$D$56,'450'!$D$58,'450'!$D$60,'450'!$D$62,'450'!$D$64,'450'!$D$66,'450'!$D$68,'450'!$D$70:$D$73,'450'!$D$75:$D$77,'450'!$D$79:$D$84,'450'!$D$86,'450'!$D$88,'450'!$D$90:$D$91</definedName>
    <definedName name="OSRRefD22x_0" localSheetId="88">'455'!$D$20:$D$27,'455'!$D$29:$D$38</definedName>
    <definedName name="OSRRefD22x_0" localSheetId="75">'491'!$D$35:$D$44,'491'!$D$46:$D$55,'491'!$D$57,'491'!$D$59,'491'!$D$61,'491'!$D$63:$D$66,'491'!$D$68,'491'!$D$70,'491'!$D$72,'491'!$D$74,'491'!$D$76:$D$77,'491'!$D$79,'491'!$D$81,'491'!$D$83,'491'!$D$85,'491'!$D$87:$D$90,'491'!$D$92:$D$95,'491'!$D$97:$D$101,'491'!$D$103:$D$104,'491'!$D$106:$D$115,'491'!$D$117:$D$118,'491'!$D$120,'491'!$D$122:$D$124,'491'!$D$126</definedName>
    <definedName name="OSRRefD22x_0" localSheetId="89">'492'!$D$29:$D$38,'492'!$D$40:$D$49,'492'!$D$51,'492'!$D$53:$D$54,'492'!$D$56,'492'!$D$58,'492'!$D$60:$D$61,'492'!$D$63,'492'!$D$65,'492'!$D$67,'492'!$D$69,'492'!$D$71,'492'!$D$73,'492'!$D$75:$D$78,'492'!$D$80:$D$83,'492'!$D$85:$D$93,'492'!$D$95,'492'!$D$97,'492'!$D$99:$D$100</definedName>
    <definedName name="OSRRefD22x_0" localSheetId="96">'501'!$D$21:$D$29,'501'!$D$31:$D$40,'501'!$D$42,'501'!$D$44,'501'!$D$46,'501'!$D$48,'501'!$D$50,'501'!$D$52,'501'!$D$54,'501'!$D$56,'501'!$D$58:$D$61,'501'!$D$63,'501'!$D$65:$D$67,'501'!$D$69,'501'!$D$71</definedName>
    <definedName name="OSRRefD22x_0" localSheetId="39">'Div 2'!$D$21:$D$31,'Div 2'!$D$33:$D$42,'Div 2'!$D$44,'Div 2'!$D$46,'Div 2'!$D$48,'Div 2'!$D$50:$D$51,'Div 2'!$D$53:$D$54,'Div 2'!$D$56,'Div 2'!$D$58,'Div 2'!$D$60,'Div 2'!$D$62,'Div 2'!$D$64,'Div 2'!$D$66:$D$68,'Div 2'!$D$70:$D$73,'Div 2'!$D$75:$D$78,'Div 2'!$D$80:$D$81,'Div 2'!$D$83:$D$84,'Div 2'!$D$86:$D$90,'Div 2'!$D$92:$D$93,'Div 2'!$D$95,'Div 2'!$D$97:$D$98</definedName>
    <definedName name="OSRRefD22x_0" localSheetId="47">'Div 3'!$D$172:$D$181,'Div 3'!$D$183:$D$192,'Div 3'!$D$194,'Div 3'!$D$196:$D$197,'Div 3'!$D$199,'Div 3'!$D$201:$D$204,'Div 3'!$D$206:$D$207,'Div 3'!$D$209:$D$210,'Div 3'!$D$212,'Div 3'!$D$214,'Div 3'!$D$216:$D$217,'Div 3'!$D$219,'Div 3'!$D$221,'Div 3'!$D$223,'Div 3'!$D$225,'Div 3'!$D$227,'Div 3'!$D$229,'Div 3'!$D$231,'Div 3'!$D$233:$D$236,'Div 3'!$D$238:$D$241,'Div 3'!$D$243:$D$248,'Div 3'!$D$250:$D$251,'Div 3'!$D$253:$D$261,'Div 3'!$D$263:$D$264,'Div 3'!$D$266,'Div 3'!$D$268:$D$270,'Div 3'!$D$272</definedName>
    <definedName name="OSRRefD22x_0" localSheetId="73">'Div 4'!$D$35:$D$44,'Div 4'!$D$46:$D$55,'Div 4'!$D$57,'Div 4'!$D$59:$D$60,'Div 4'!$D$62,'Div 4'!$D$64:$D$67,'Div 4'!$D$69,'Div 4'!$D$71:$D$72,'Div 4'!$D$74,'Div 4'!$D$76,'Div 4'!$D$78,'Div 4'!$D$80:$D$81,'Div 4'!$D$83,'Div 4'!$D$85,'Div 4'!$D$87,'Div 4'!$D$89,'Div 4'!$D$91,'Div 4'!$D$93:$D$96,'Div 4'!$D$98:$D$101,'Div 4'!$D$103:$D$107,'Div 4'!$D$109:$D$110,'Div 4'!$D$112:$D$121,'Div 4'!$D$123:$D$124,'Div 4'!$D$126,'Div 4'!$D$128:$D$130,'Div 4'!$D$132</definedName>
    <definedName name="OSRRefD22x_0" localSheetId="95">'Div 5'!$D$21:$D$29,'Div 5'!$D$31:$D$40,'Div 5'!$D$42,'Div 5'!$D$44,'Div 5'!$D$46,'Div 5'!$D$48,'Div 5'!$D$50,'Div 5'!$D$52,'Div 5'!$D$54,'Div 5'!$D$56,'Div 5'!$D$58:$D$61,'Div 5'!$D$63,'Div 5'!$D$65:$D$67,'Div 5'!$D$69,'Div 5'!$D$71</definedName>
    <definedName name="OSRRefD22x_0" localSheetId="64">'Div 6'!$D$60:$D$69,'Div 6'!$D$71:$D$80,'Div 6'!$D$82,'Div 6'!$D$84,'Div 6'!$D$86,'Div 6'!$D$88,'Div 6'!$D$90,'Div 6'!$D$92,'Div 6'!$D$94,'Div 6'!$D$96:$D$97,'Div 6'!$D$99:$D$100,'Div 6'!$D$102,'Div 6'!$D$104</definedName>
    <definedName name="OSRRefD22x_0" localSheetId="2">Summary!$D$204:$D$213,Summary!$D$215:$D$224,Summary!$D$226,Summary!$D$228:$D$229,Summary!$D$231,Summary!$D$233:$D$236,Summary!$D$238:$D$239,Summary!$D$241:$D$243,Summary!$D$245,Summary!$D$247,Summary!$D$249:$D$250,Summary!$D$252:$D$253,Summary!$D$255,Summary!$D$257,Summary!$D$259,Summary!$D$261,Summary!$D$263,Summary!$D$265,Summary!$D$267:$D$270,Summary!$D$272:$D$275,Summary!$D$277:$D$282,Summary!$D$284:$D$285,Summary!$D$287:$D$296,Summary!$D$298:$D$299,Summary!$D$301,Summary!$D$303:$D$305,Summary!$D$307</definedName>
    <definedName name="OSRRefD25x_0" localSheetId="48">'300'!$D$262:$D$270</definedName>
    <definedName name="OSRRefD25x_0" localSheetId="49">'300 &amp; 317'!$D$287:$D$298</definedName>
    <definedName name="OSRRefD25x_0" localSheetId="50">'301'!$D$103:$D$106</definedName>
    <definedName name="OSRRefD25x_0" localSheetId="53">'307'!$D$128</definedName>
    <definedName name="OSRRefD25x_0" localSheetId="55">'308'!$D$122:$D$125</definedName>
    <definedName name="OSRRefD25x_0" localSheetId="74">'310 &amp; 491'!$D$140:$D$143</definedName>
    <definedName name="OSRRefD25x_0" localSheetId="56">'311'!$D$122:$D$125</definedName>
    <definedName name="OSRRefD25x_0" localSheetId="59">'315'!$D$119:$D$121</definedName>
    <definedName name="OSRRefD25x_0" localSheetId="62">'316'!$D$89:$D$90</definedName>
    <definedName name="OSRRefD25x_0" localSheetId="65">'317'!$D$107:$D$110</definedName>
    <definedName name="OSRRefD25x_0" localSheetId="63">'320'!$D$68:$D$72</definedName>
    <definedName name="OSRRefD25x_0" localSheetId="52">'330'!$D$141</definedName>
    <definedName name="OSRRefD25x_0" localSheetId="58">'331'!$D$153:$D$155</definedName>
    <definedName name="OSRRefD25x_0" localSheetId="61">'332'!$D$101:$D$107</definedName>
    <definedName name="OSRRefD25x_0" localSheetId="78">'411'!$D$93:$D$94</definedName>
    <definedName name="OSRRefD25x_0" localSheetId="81">'413'!$D$83</definedName>
    <definedName name="OSRRefD25x_0" localSheetId="83">'415'!$D$101</definedName>
    <definedName name="OSRRefD25x_0" localSheetId="85">'423'!$D$53</definedName>
    <definedName name="OSRRefD25x_0" localSheetId="86">'424'!$D$78</definedName>
    <definedName name="OSRRefD25x_0" localSheetId="87">'425'!$D$95</definedName>
    <definedName name="OSRRefD25x_0" localSheetId="88">'455'!$D$41:$D$44</definedName>
    <definedName name="OSRRefD25x_0" localSheetId="75">'491'!$D$129:$D$132</definedName>
    <definedName name="OSRRefD25x_0" localSheetId="96">'501'!$D$74</definedName>
    <definedName name="OSRRefD25x_0" localSheetId="47">'Div 3'!$D$275:$D$283</definedName>
    <definedName name="OSRRefD25x_0" localSheetId="73">'Div 4'!$D$135:$D$138</definedName>
    <definedName name="OSRRefD25x_0" localSheetId="95">'Div 5'!$D$74</definedName>
    <definedName name="OSRRefD25x_0" localSheetId="64">'Div 6'!$D$107:$D$110</definedName>
    <definedName name="OSRRefD25x_0" localSheetId="2">Summary!$D$310:$D$322</definedName>
    <definedName name="OSRRefH13x_0" localSheetId="44">'204'!$H$13</definedName>
    <definedName name="OSRRefH13x_0" localSheetId="48">'300'!$H$13:$H$108</definedName>
    <definedName name="OSRRefH13x_0" localSheetId="49">'300 &amp; 317'!$H$13:$H$126</definedName>
    <definedName name="OSRRefH13x_0" localSheetId="53">'307'!$H$13:$H$50</definedName>
    <definedName name="OSRRefH13x_0" localSheetId="55">'308'!$H$13:$H$40</definedName>
    <definedName name="OSRRefH13x_0" localSheetId="67">'309'!$H$13:$H$15</definedName>
    <definedName name="OSRRefH13x_0" localSheetId="66">'310'!$H$13:$H$23</definedName>
    <definedName name="OSRRefH13x_0" localSheetId="74">'310 &amp; 491'!$H$13:$H$30</definedName>
    <definedName name="OSRRefH13x_0" localSheetId="56">'311'!$H$13:$H$40</definedName>
    <definedName name="OSRRefH13x_0" localSheetId="68">'313'!$H$13:$H$19</definedName>
    <definedName name="OSRRefH13x_0" localSheetId="54">'314'!$H$13:$H$34</definedName>
    <definedName name="OSRRefH13x_0" localSheetId="59">'315'!$H$13:$H$34</definedName>
    <definedName name="OSRRefH13x_0" localSheetId="62">'316'!$H$13:$H$28</definedName>
    <definedName name="OSRRefH13x_0" localSheetId="65">'317'!$H$13:$H$38</definedName>
    <definedName name="OSRRefH13x_0" localSheetId="63">'320'!$H$13:$H$17</definedName>
    <definedName name="OSRRefH13x_0" localSheetId="69">'321'!$H$13:$H$15</definedName>
    <definedName name="OSRRefH13x_0" localSheetId="70">'322'!$H$13:$H$15</definedName>
    <definedName name="OSRRefH13x_0" localSheetId="57">'324'!$H$13:$H$15</definedName>
    <definedName name="OSRRefH13x_0" localSheetId="71">'325'!$H$13:$H$15</definedName>
    <definedName name="OSRRefH13x_0" localSheetId="60">'326'!$H$13:$H$33</definedName>
    <definedName name="OSRRefH13x_0" localSheetId="72">'327'!$H$13:$H$14</definedName>
    <definedName name="OSRRefH13x_0" localSheetId="52">'330'!$H$13:$H$54</definedName>
    <definedName name="OSRRefH13x_0" localSheetId="58">'331'!$H$13:$H$42</definedName>
    <definedName name="OSRRefH13x_0" localSheetId="61">'332'!$H$13:$H$31</definedName>
    <definedName name="OSRRefH13x_0" localSheetId="76">'405'!$H$13:$H$15</definedName>
    <definedName name="OSRRefH13x_0" localSheetId="77">'406'!$H$13:$H$16</definedName>
    <definedName name="OSRRefH13x_0" localSheetId="79">'412'!$H$13:$H$16</definedName>
    <definedName name="OSRRefH13x_0" localSheetId="81">'413'!$H$13:$H$16</definedName>
    <definedName name="OSRRefH13x_0" localSheetId="82">'414'!$H$13:$H$16</definedName>
    <definedName name="OSRRefH13x_0" localSheetId="83">'415'!$H$13:$H$15</definedName>
    <definedName name="OSRRefH13x_0" localSheetId="84">'418'!$H$13:$H$16</definedName>
    <definedName name="OSRRefH13x_0" localSheetId="80">'420'!$H$13:$H$14</definedName>
    <definedName name="OSRRefH13x_0" localSheetId="86">'424'!$H$13:$H$16</definedName>
    <definedName name="OSRRefH13x_0" localSheetId="87">'425'!$H$13:$H$18</definedName>
    <definedName name="OSRRefH13x_0" localSheetId="91">'433'!$H$13:$H$16</definedName>
    <definedName name="OSRRefH13x_0" localSheetId="92">'435'!$H$13:$H$16</definedName>
    <definedName name="OSRRefH13x_0" localSheetId="93">'444'!$H$13:$H$16</definedName>
    <definedName name="OSRRefH13x_0" localSheetId="94">'450'!$H$13:$H$16</definedName>
    <definedName name="OSRRefH13x_0" localSheetId="75">'491'!$H$13:$H$24</definedName>
    <definedName name="OSRRefH13x_0" localSheetId="89">'492'!$H$13:$H$18</definedName>
    <definedName name="OSRRefH13x_0" localSheetId="96">'501'!$H$13</definedName>
    <definedName name="OSRRefH13x_0" localSheetId="39">'Div 2'!$H$13</definedName>
    <definedName name="OSRRefH13x_0" localSheetId="47">'Div 3'!$H$13:$H$111</definedName>
    <definedName name="OSRRefH13x_0" localSheetId="73">'Div 4'!$H$13:$H$24</definedName>
    <definedName name="OSRRefH13x_0" localSheetId="95">'Div 5'!$H$13</definedName>
    <definedName name="OSRRefH13x_0" localSheetId="64">'Div 6'!$H$13:$H$38</definedName>
    <definedName name="OSRRefH13x_0" localSheetId="2">Summary!$H$13:$H$136</definedName>
    <definedName name="OSRRefH16x_0" localSheetId="48">'300'!$H$111:$H$161</definedName>
    <definedName name="OSRRefH16x_0" localSheetId="49">'300 &amp; 317'!$H$129:$H$186</definedName>
    <definedName name="OSRRefH16x_0" localSheetId="53">'307'!$H$53:$H$73</definedName>
    <definedName name="OSRRefH16x_0" localSheetId="55">'308'!$H$43:$H$59</definedName>
    <definedName name="OSRRefH16x_0" localSheetId="67">'309'!$H$18:$H$20</definedName>
    <definedName name="OSRRefH16x_0" localSheetId="66">'310'!$H$26:$H$28</definedName>
    <definedName name="OSRRefH16x_0" localSheetId="74">'310 &amp; 491'!$H$33:$H$35</definedName>
    <definedName name="OSRRefH16x_0" localSheetId="56">'311'!$H$43:$H$59</definedName>
    <definedName name="OSRRefH16x_0" localSheetId="68">'313'!$H$22:$H$24</definedName>
    <definedName name="OSRRefH16x_0" localSheetId="54">'314'!$H$37:$H$52</definedName>
    <definedName name="OSRRefH16x_0" localSheetId="59">'315'!$H$37:$H$52</definedName>
    <definedName name="OSRRefH16x_0" localSheetId="65">'317'!$H$41:$H$54</definedName>
    <definedName name="OSRRefH16x_0" localSheetId="63">'320'!$H$20:$H$25</definedName>
    <definedName name="OSRRefH16x_0" localSheetId="69">'321'!$H$18:$H$20</definedName>
    <definedName name="OSRRefH16x_0" localSheetId="70">'322'!$H$18:$H$20</definedName>
    <definedName name="OSRRefH16x_0" localSheetId="57">'324'!$H$18:$H$20</definedName>
    <definedName name="OSRRefH16x_0" localSheetId="71">'325'!$H$18:$H$20</definedName>
    <definedName name="OSRRefH16x_0" localSheetId="60">'326'!$H$36:$H$52</definedName>
    <definedName name="OSRRefH16x_0" localSheetId="72">'327'!$H$17:$H$18</definedName>
    <definedName name="OSRRefH16x_0" localSheetId="52">'330'!$H$57:$H$80</definedName>
    <definedName name="OSRRefH16x_0" localSheetId="58">'331'!$H$45:$H$67</definedName>
    <definedName name="OSRRefH16x_0" localSheetId="61">'332'!$H$34:$H$39</definedName>
    <definedName name="OSRRefH16x_0" localSheetId="76">'405'!$H$18:$H$20</definedName>
    <definedName name="OSRRefH16x_0" localSheetId="77">'406'!$H$19:$H$21</definedName>
    <definedName name="OSRRefH16x_0" localSheetId="79">'412'!$H$19:$H$21</definedName>
    <definedName name="OSRRefH16x_0" localSheetId="81">'413'!$H$19:$H$21</definedName>
    <definedName name="OSRRefH16x_0" localSheetId="82">'414'!$H$19:$H$21</definedName>
    <definedName name="OSRRefH16x_0" localSheetId="83">'415'!$H$18:$H$20</definedName>
    <definedName name="OSRRefH16x_0" localSheetId="84">'418'!$H$19:$H$21</definedName>
    <definedName name="OSRRefH16x_0" localSheetId="80">'420'!$H$17:$H$18</definedName>
    <definedName name="OSRRefH16x_0" localSheetId="85">'423'!$H$15</definedName>
    <definedName name="OSRRefH16x_0" localSheetId="86">'424'!$H$19:$H$21</definedName>
    <definedName name="OSRRefH16x_0" localSheetId="87">'425'!$H$21:$H$23</definedName>
    <definedName name="OSRRefH16x_0" localSheetId="91">'433'!$H$19:$H$21</definedName>
    <definedName name="OSRRefH16x_0" localSheetId="92">'435'!$H$19:$H$21</definedName>
    <definedName name="OSRRefH16x_0" localSheetId="93">'444'!$H$19:$H$21</definedName>
    <definedName name="OSRRefH16x_0" localSheetId="94">'450'!$H$19:$H$21</definedName>
    <definedName name="OSRRefH16x_0" localSheetId="75">'491'!$H$27:$H$29</definedName>
    <definedName name="OSRRefH16x_0" localSheetId="89">'492'!$H$21:$H$23</definedName>
    <definedName name="OSRRefH16x_0" localSheetId="47">'Div 3'!$H$114:$H$166</definedName>
    <definedName name="OSRRefH16x_0" localSheetId="73">'Div 4'!$H$27:$H$29</definedName>
    <definedName name="OSRRefH16x_0" localSheetId="64">'Div 6'!$H$41:$H$54</definedName>
    <definedName name="OSRRefH16x_0" localSheetId="2">Summary!$H$139:$H$198</definedName>
    <definedName name="OSRRefH22_0x_0" localSheetId="40">'200'!$H$20</definedName>
    <definedName name="OSRRefH22_0x_0" localSheetId="41">'201'!$H$20:$H$28</definedName>
    <definedName name="OSRRefH22_0x_0" localSheetId="42">'202'!$H$20:$H$28</definedName>
    <definedName name="OSRRefH22_0x_0" localSheetId="43">'203'!$H$20:$H$29</definedName>
    <definedName name="OSRRefH22_0x_0" localSheetId="44">'204'!$H$21:$H$30</definedName>
    <definedName name="OSRRefH22_0x_0" localSheetId="45">'205'!$H$20:$H$28</definedName>
    <definedName name="OSRRefH22_0x_0" localSheetId="46">'206'!$H$20:$H$28</definedName>
    <definedName name="OSRRefH22_0x_0" localSheetId="48">'300'!$H$167:$H$176</definedName>
    <definedName name="OSRRefH22_0x_0" localSheetId="49">'300 &amp; 317'!$H$192:$H$201</definedName>
    <definedName name="OSRRefH22_0x_0" localSheetId="50">'301'!$H$20:$H$28</definedName>
    <definedName name="OSRRefH22_0x_0" localSheetId="51">'306'!$H$20:$H$28</definedName>
    <definedName name="OSRRefH22_0x_0" localSheetId="53">'307'!$H$79:$H$87</definedName>
    <definedName name="OSRRefH22_0x_0" localSheetId="55">'308'!$H$65:$H$74</definedName>
    <definedName name="OSRRefH22_0x_0" localSheetId="67">'309'!$H$26:$H$34</definedName>
    <definedName name="OSRRefH22_0x_0" localSheetId="66">'310'!$H$34:$H$42</definedName>
    <definedName name="OSRRefH22_0x_0" localSheetId="74">'310 &amp; 491'!$H$41:$H$50</definedName>
    <definedName name="OSRRefH22_0x_0" localSheetId="56">'311'!$H$65:$H$74</definedName>
    <definedName name="OSRRefH22_0x_0" localSheetId="68">'313'!$H$30:$H$38</definedName>
    <definedName name="OSRRefH22_0x_0" localSheetId="54">'314'!$H$58:$H$66</definedName>
    <definedName name="OSRRefH22_0x_0" localSheetId="59">'315'!$H$58:$H$66</definedName>
    <definedName name="OSRRefH22_0x_0" localSheetId="62">'316'!$H$36:$H$44</definedName>
    <definedName name="OSRRefH22_0x_0" localSheetId="65">'317'!$H$60:$H$69</definedName>
    <definedName name="OSRRefH22_0x_0" localSheetId="63">'320'!$H$31:$H$38</definedName>
    <definedName name="OSRRefH22_0x_0" localSheetId="69">'321'!$H$26:$H$33</definedName>
    <definedName name="OSRRefH22_0x_0" localSheetId="70">'322'!$H$26:$H$34</definedName>
    <definedName name="OSRRefH22_0x_0" localSheetId="71">'325'!$H$26:$H$34</definedName>
    <definedName name="OSRRefH22_0x_0" localSheetId="60">'326'!$H$58:$H$66</definedName>
    <definedName name="OSRRefH22_0x_0" localSheetId="72">'327'!$H$24</definedName>
    <definedName name="OSRRefH22_0x_0" localSheetId="52">'330'!$H$86:$H$94</definedName>
    <definedName name="OSRRefH22_0x_0" localSheetId="58">'331'!$H$73:$H$81</definedName>
    <definedName name="OSRRefH22_0x_0" localSheetId="61">'332'!$H$45:$H$53</definedName>
    <definedName name="OSRRefH22_0x_0" localSheetId="76">'405'!$H$26:$H$34</definedName>
    <definedName name="OSRRefH22_0x_0" localSheetId="77">'406'!$H$27:$H$35</definedName>
    <definedName name="OSRRefH22_0x_0" localSheetId="78">'411'!$H$20:$H$29</definedName>
    <definedName name="OSRRefH22_0x_0" localSheetId="79">'412'!$H$27:$H$35</definedName>
    <definedName name="OSRRefH22_0x_0" localSheetId="81">'413'!$H$27:$H$35</definedName>
    <definedName name="OSRRefH22_0x_0" localSheetId="82">'414'!$H$27:$H$35</definedName>
    <definedName name="OSRRefH22_0x_0" localSheetId="83">'415'!$H$26:$H$34</definedName>
    <definedName name="OSRRefH22_0x_0" localSheetId="84">'418'!$H$27:$H$35</definedName>
    <definedName name="OSRRefH22_0x_0" localSheetId="80">'420'!$H$24:$H$31</definedName>
    <definedName name="OSRRefH22_0x_0" localSheetId="85">'423'!$H$21:$H$29</definedName>
    <definedName name="OSRRefH22_0x_0" localSheetId="86">'424'!$H$27:$H$34</definedName>
    <definedName name="OSRRefH22_0x_0" localSheetId="87">'425'!$H$29:$H$38</definedName>
    <definedName name="OSRRefH22_0x_0" localSheetId="90">'430'!$H$20:$H$28</definedName>
    <definedName name="OSRRefH22_0x_0" localSheetId="91">'433'!$H$27:$H$36</definedName>
    <definedName name="OSRRefH22_0x_0" localSheetId="92">'435'!$H$27:$H$34</definedName>
    <definedName name="OSRRefH22_0x_0" localSheetId="93">'444'!$H$27:$H$36</definedName>
    <definedName name="OSRRefH22_0x_0" localSheetId="94">'450'!$H$27:$H$36</definedName>
    <definedName name="OSRRefH22_0x_0" localSheetId="88">'455'!$H$20:$H$27</definedName>
    <definedName name="OSRRefH22_0x_0" localSheetId="75">'491'!$H$35:$H$44</definedName>
    <definedName name="OSRRefH22_0x_0" localSheetId="89">'492'!$H$29:$H$38</definedName>
    <definedName name="OSRRefH22_0x_0" localSheetId="96">'501'!$H$21:$H$29</definedName>
    <definedName name="OSRRefH22_0x_0" localSheetId="39">'Div 2'!$H$21:$H$31</definedName>
    <definedName name="OSRRefH22_0x_0" localSheetId="47">'Div 3'!$H$172:$H$181</definedName>
    <definedName name="OSRRefH22_0x_0" localSheetId="73">'Div 4'!$H$35:$H$44</definedName>
    <definedName name="OSRRefH22_0x_0" localSheetId="95">'Div 5'!$H$21:$H$29</definedName>
    <definedName name="OSRRefH22_0x_0" localSheetId="64">'Div 6'!$H$60:$H$69</definedName>
    <definedName name="OSRRefH22_0x_0" localSheetId="2">Summary!$H$204:$H$213</definedName>
    <definedName name="OSRRefH22_10x_0" localSheetId="41">'201'!$H$58:$H$60</definedName>
    <definedName name="OSRRefH22_10x_0" localSheetId="42">'202'!$H$59</definedName>
    <definedName name="OSRRefH22_10x_0" localSheetId="43">'203'!$H$60:$H$61</definedName>
    <definedName name="OSRRefH22_10x_0" localSheetId="44">'204'!$H$64:$H$65</definedName>
    <definedName name="OSRRefH22_10x_0" localSheetId="46">'206'!$H$58</definedName>
    <definedName name="OSRRefH22_10x_0" localSheetId="48">'300'!$H$211:$H$212</definedName>
    <definedName name="OSRRefH22_10x_0" localSheetId="49">'300 &amp; 317'!$H$236:$H$237</definedName>
    <definedName name="OSRRefH22_10x_0" localSheetId="50">'301'!$H$63</definedName>
    <definedName name="OSRRefH22_10x_0" localSheetId="51">'306'!$H$61</definedName>
    <definedName name="OSRRefH22_10x_0" localSheetId="53">'307'!$H$119:$H$121</definedName>
    <definedName name="OSRRefH22_10x_0" localSheetId="55">'308'!$H$107</definedName>
    <definedName name="OSRRefH22_10x_0" localSheetId="67">'309'!$H$65:$H$67</definedName>
    <definedName name="OSRRefH22_10x_0" localSheetId="66">'310'!$H$73</definedName>
    <definedName name="OSRRefH22_10x_0" localSheetId="74">'310 &amp; 491'!$H$82</definedName>
    <definedName name="OSRRefH22_10x_0" localSheetId="56">'311'!$H$107</definedName>
    <definedName name="OSRRefH22_10x_0" localSheetId="68">'313'!$H$67:$H$69</definedName>
    <definedName name="OSRRefH22_10x_0" localSheetId="54">'314'!$H$96</definedName>
    <definedName name="OSRRefH22_10x_0" localSheetId="59">'315'!$H$98:$H$100</definedName>
    <definedName name="OSRRefH22_10x_0" localSheetId="62">'316'!$H$74:$H$75</definedName>
    <definedName name="OSRRefH22_10x_0" localSheetId="65">'317'!$H$99:$H$100</definedName>
    <definedName name="OSRRefH22_10x_0" localSheetId="69">'321'!$H$64:$H$65</definedName>
    <definedName name="OSRRefH22_10x_0" localSheetId="70">'322'!$H$66:$H$68</definedName>
    <definedName name="OSRRefH22_10x_0" localSheetId="71">'325'!$H$65</definedName>
    <definedName name="OSRRefH22_10x_0" localSheetId="60">'326'!$H$96</definedName>
    <definedName name="OSRRefH22_10x_0" localSheetId="52">'330'!$H$125:$H$126</definedName>
    <definedName name="OSRRefH22_10x_0" localSheetId="58">'331'!$H$113</definedName>
    <definedName name="OSRRefH22_10x_0" localSheetId="61">'332'!$H$83:$H$84</definedName>
    <definedName name="OSRRefH22_10x_0" localSheetId="76">'405'!$H$65</definedName>
    <definedName name="OSRRefH22_10x_0" localSheetId="77">'406'!$H$67:$H$69</definedName>
    <definedName name="OSRRefH22_10x_0" localSheetId="78">'411'!$H$61:$H$63</definedName>
    <definedName name="OSRRefH22_10x_0" localSheetId="79">'412'!$H$67</definedName>
    <definedName name="OSRRefH22_10x_0" localSheetId="81">'413'!$H$67:$H$73</definedName>
    <definedName name="OSRRefH22_10x_0" localSheetId="82">'414'!$H$66</definedName>
    <definedName name="OSRRefH22_10x_0" localSheetId="83">'415'!$H$65</definedName>
    <definedName name="OSRRefH22_10x_0" localSheetId="84">'418'!$H$66:$H$67</definedName>
    <definedName name="OSRRefH22_10x_0" localSheetId="86">'424'!$H$66</definedName>
    <definedName name="OSRRefH22_10x_0" localSheetId="87">'425'!$H$70:$H$71</definedName>
    <definedName name="OSRRefH22_10x_0" localSheetId="90">'430'!$H$59</definedName>
    <definedName name="OSRRefH22_10x_0" localSheetId="91">'433'!$H$65:$H$67</definedName>
    <definedName name="OSRRefH22_10x_0" localSheetId="93">'444'!$H$65</definedName>
    <definedName name="OSRRefH22_10x_0" localSheetId="94">'450'!$H$66</definedName>
    <definedName name="OSRRefH22_10x_0" localSheetId="75">'491'!$H$76:$H$77</definedName>
    <definedName name="OSRRefH22_10x_0" localSheetId="89">'492'!$H$69</definedName>
    <definedName name="OSRRefH22_10x_0" localSheetId="96">'501'!$H$58:$H$61</definedName>
    <definedName name="OSRRefH22_10x_0" localSheetId="39">'Div 2'!$H$62</definedName>
    <definedName name="OSRRefH22_10x_0" localSheetId="47">'Div 3'!$H$216:$H$217</definedName>
    <definedName name="OSRRefH22_10x_0" localSheetId="73">'Div 4'!$H$78</definedName>
    <definedName name="OSRRefH22_10x_0" localSheetId="95">'Div 5'!$H$58:$H$61</definedName>
    <definedName name="OSRRefH22_10x_0" localSheetId="64">'Div 6'!$H$99:$H$100</definedName>
    <definedName name="OSRRefH22_10x_0" localSheetId="2">Summary!$H$249:$H$250</definedName>
    <definedName name="OSRRefH22_11x_0" localSheetId="41">'201'!$H$62:$H$64</definedName>
    <definedName name="OSRRefH22_11x_0" localSheetId="42">'202'!$H$61:$H$63</definedName>
    <definedName name="OSRRefH22_11x_0" localSheetId="43">'203'!$H$63</definedName>
    <definedName name="OSRRefH22_11x_0" localSheetId="44">'204'!$H$67</definedName>
    <definedName name="OSRRefH22_11x_0" localSheetId="48">'300'!$H$214</definedName>
    <definedName name="OSRRefH22_11x_0" localSheetId="49">'300 &amp; 317'!$H$239</definedName>
    <definedName name="OSRRefH22_11x_0" localSheetId="50">'301'!$H$65</definedName>
    <definedName name="OSRRefH22_11x_0" localSheetId="53">'307'!$H$123</definedName>
    <definedName name="OSRRefH22_11x_0" localSheetId="55">'308'!$H$109:$H$111</definedName>
    <definedName name="OSRRefH22_11x_0" localSheetId="67">'309'!$H$69:$H$71</definedName>
    <definedName name="OSRRefH22_11x_0" localSheetId="66">'310'!$H$75</definedName>
    <definedName name="OSRRefH22_11x_0" localSheetId="74">'310 &amp; 491'!$H$84:$H$85</definedName>
    <definedName name="OSRRefH22_11x_0" localSheetId="56">'311'!$H$109:$H$111</definedName>
    <definedName name="OSRRefH22_11x_0" localSheetId="68">'313'!$H$71</definedName>
    <definedName name="OSRRefH22_11x_0" localSheetId="59">'315'!$H$102:$H$103</definedName>
    <definedName name="OSRRefH22_11x_0" localSheetId="62">'316'!$H$77:$H$81</definedName>
    <definedName name="OSRRefH22_11x_0" localSheetId="65">'317'!$H$102</definedName>
    <definedName name="OSRRefH22_11x_0" localSheetId="69">'321'!$H$67:$H$69</definedName>
    <definedName name="OSRRefH22_11x_0" localSheetId="70">'322'!$H$70:$H$76</definedName>
    <definedName name="OSRRefH22_11x_0" localSheetId="71">'325'!$H$67:$H$69</definedName>
    <definedName name="OSRRefH22_11x_0" localSheetId="60">'326'!$H$98</definedName>
    <definedName name="OSRRefH22_11x_0" localSheetId="52">'330'!$H$128</definedName>
    <definedName name="OSRRefH22_11x_0" localSheetId="58">'331'!$H$115</definedName>
    <definedName name="OSRRefH22_11x_0" localSheetId="61">'332'!$H$86:$H$87</definedName>
    <definedName name="OSRRefH22_11x_0" localSheetId="76">'405'!$H$67:$H$69</definedName>
    <definedName name="OSRRefH22_11x_0" localSheetId="77">'406'!$H$71:$H$76</definedName>
    <definedName name="OSRRefH22_11x_0" localSheetId="78">'411'!$H$65:$H$69</definedName>
    <definedName name="OSRRefH22_11x_0" localSheetId="79">'412'!$H$69:$H$71</definedName>
    <definedName name="OSRRefH22_11x_0" localSheetId="81">'413'!$H$75:$H$76</definedName>
    <definedName name="OSRRefH22_11x_0" localSheetId="82">'414'!$H$68</definedName>
    <definedName name="OSRRefH22_11x_0" localSheetId="83">'415'!$H$67:$H$70</definedName>
    <definedName name="OSRRefH22_11x_0" localSheetId="84">'418'!$H$69:$H$71</definedName>
    <definedName name="OSRRefH22_11x_0" localSheetId="86">'424'!$H$68:$H$72</definedName>
    <definedName name="OSRRefH22_11x_0" localSheetId="87">'425'!$H$73:$H$75</definedName>
    <definedName name="OSRRefH22_11x_0" localSheetId="91">'433'!$H$69:$H$72</definedName>
    <definedName name="OSRRefH22_11x_0" localSheetId="93">'444'!$H$67:$H$69</definedName>
    <definedName name="OSRRefH22_11x_0" localSheetId="94">'450'!$H$68</definedName>
    <definedName name="OSRRefH22_11x_0" localSheetId="75">'491'!$H$79</definedName>
    <definedName name="OSRRefH22_11x_0" localSheetId="89">'492'!$H$71</definedName>
    <definedName name="OSRRefH22_11x_0" localSheetId="96">'501'!$H$63</definedName>
    <definedName name="OSRRefH22_11x_0" localSheetId="39">'Div 2'!$H$64</definedName>
    <definedName name="OSRRefH22_11x_0" localSheetId="47">'Div 3'!$H$219</definedName>
    <definedName name="OSRRefH22_11x_0" localSheetId="73">'Div 4'!$H$80:$H$81</definedName>
    <definedName name="OSRRefH22_11x_0" localSheetId="95">'Div 5'!$H$63</definedName>
    <definedName name="OSRRefH22_11x_0" localSheetId="64">'Div 6'!$H$102</definedName>
    <definedName name="OSRRefH22_11x_0" localSheetId="2">Summary!$H$252:$H$253</definedName>
    <definedName name="OSRRefH22_12x_0" localSheetId="41">'201'!$H$66</definedName>
    <definedName name="OSRRefH22_12x_0" localSheetId="42">'202'!$H$65</definedName>
    <definedName name="OSRRefH22_12x_0" localSheetId="43">'203'!$H$65:$H$67</definedName>
    <definedName name="OSRRefH22_12x_0" localSheetId="44">'204'!$H$69:$H$70</definedName>
    <definedName name="OSRRefH22_12x_0" localSheetId="48">'300'!$H$216</definedName>
    <definedName name="OSRRefH22_12x_0" localSheetId="49">'300 &amp; 317'!$H$241</definedName>
    <definedName name="OSRRefH22_12x_0" localSheetId="50">'301'!$H$67</definedName>
    <definedName name="OSRRefH22_12x_0" localSheetId="53">'307'!$H$125</definedName>
    <definedName name="OSRRefH22_12x_0" localSheetId="55">'308'!$H$113:$H$114</definedName>
    <definedName name="OSRRefH22_12x_0" localSheetId="67">'309'!$H$73</definedName>
    <definedName name="OSRRefH22_12x_0" localSheetId="66">'310'!$H$77</definedName>
    <definedName name="OSRRefH22_12x_0" localSheetId="74">'310 &amp; 491'!$H$87</definedName>
    <definedName name="OSRRefH22_12x_0" localSheetId="56">'311'!$H$113:$H$114</definedName>
    <definedName name="OSRRefH22_12x_0" localSheetId="68">'313'!$H$73:$H$78</definedName>
    <definedName name="OSRRefH22_12x_0" localSheetId="59">'315'!$H$105:$H$109</definedName>
    <definedName name="OSRRefH22_12x_0" localSheetId="62">'316'!$H$83:$H$84</definedName>
    <definedName name="OSRRefH22_12x_0" localSheetId="65">'317'!$H$104</definedName>
    <definedName name="OSRRefH22_12x_0" localSheetId="69">'321'!$H$71:$H$74</definedName>
    <definedName name="OSRRefH22_12x_0" localSheetId="70">'322'!$H$78</definedName>
    <definedName name="OSRRefH22_12x_0" localSheetId="71">'325'!$H$71:$H$74</definedName>
    <definedName name="OSRRefH22_12x_0" localSheetId="60">'326'!$H$100</definedName>
    <definedName name="OSRRefH22_12x_0" localSheetId="52">'330'!$H$130:$H$132</definedName>
    <definedName name="OSRRefH22_12x_0" localSheetId="58">'331'!$H$117</definedName>
    <definedName name="OSRRefH22_12x_0" localSheetId="61">'332'!$H$89:$H$93</definedName>
    <definedName name="OSRRefH22_12x_0" localSheetId="76">'405'!$H$71</definedName>
    <definedName name="OSRRefH22_12x_0" localSheetId="77">'406'!$H$78:$H$79</definedName>
    <definedName name="OSRRefH22_12x_0" localSheetId="78">'411'!$H$71</definedName>
    <definedName name="OSRRefH22_12x_0" localSheetId="79">'412'!$H$73:$H$80</definedName>
    <definedName name="OSRRefH22_12x_0" localSheetId="81">'413'!$H$78</definedName>
    <definedName name="OSRRefH22_12x_0" localSheetId="82">'414'!$H$70</definedName>
    <definedName name="OSRRefH22_12x_0" localSheetId="83">'415'!$H$72:$H$76</definedName>
    <definedName name="OSRRefH22_12x_0" localSheetId="84">'418'!$H$73:$H$75</definedName>
    <definedName name="OSRRefH22_12x_0" localSheetId="86">'424'!$H$74:$H$75</definedName>
    <definedName name="OSRRefH22_12x_0" localSheetId="87">'425'!$H$77</definedName>
    <definedName name="OSRRefH22_12x_0" localSheetId="91">'433'!$H$74:$H$81</definedName>
    <definedName name="OSRRefH22_12x_0" localSheetId="93">'444'!$H$71:$H$74</definedName>
    <definedName name="OSRRefH22_12x_0" localSheetId="94">'450'!$H$70:$H$73</definedName>
    <definedName name="OSRRefH22_12x_0" localSheetId="75">'491'!$H$81</definedName>
    <definedName name="OSRRefH22_12x_0" localSheetId="89">'492'!$H$73</definedName>
    <definedName name="OSRRefH22_12x_0" localSheetId="96">'501'!$H$65:$H$67</definedName>
    <definedName name="OSRRefH22_12x_0" localSheetId="39">'Div 2'!$H$66:$H$68</definedName>
    <definedName name="OSRRefH22_12x_0" localSheetId="47">'Div 3'!$H$221</definedName>
    <definedName name="OSRRefH22_12x_0" localSheetId="73">'Div 4'!$H$83</definedName>
    <definedName name="OSRRefH22_12x_0" localSheetId="95">'Div 5'!$H$65:$H$67</definedName>
    <definedName name="OSRRefH22_12x_0" localSheetId="64">'Div 6'!$H$104</definedName>
    <definedName name="OSRRefH22_12x_0" localSheetId="2">Summary!$H$255</definedName>
    <definedName name="OSRRefH22_13x_0" localSheetId="41">'201'!$H$68:$H$70</definedName>
    <definedName name="OSRRefH22_13x_0" localSheetId="42">'202'!$H$67</definedName>
    <definedName name="OSRRefH22_13x_0" localSheetId="43">'203'!$H$69</definedName>
    <definedName name="OSRRefH22_13x_0" localSheetId="48">'300'!$H$218</definedName>
    <definedName name="OSRRefH22_13x_0" localSheetId="49">'300 &amp; 317'!$H$243</definedName>
    <definedName name="OSRRefH22_13x_0" localSheetId="50">'301'!$H$69</definedName>
    <definedName name="OSRRefH22_13x_0" localSheetId="55">'308'!$H$116</definedName>
    <definedName name="OSRRefH22_13x_0" localSheetId="67">'309'!$H$75</definedName>
    <definedName name="OSRRefH22_13x_0" localSheetId="66">'310'!$H$79</definedName>
    <definedName name="OSRRefH22_13x_0" localSheetId="74">'310 &amp; 491'!$H$89</definedName>
    <definedName name="OSRRefH22_13x_0" localSheetId="56">'311'!$H$116</definedName>
    <definedName name="OSRRefH22_13x_0" localSheetId="68">'313'!$H$80</definedName>
    <definedName name="OSRRefH22_13x_0" localSheetId="59">'315'!$H$111</definedName>
    <definedName name="OSRRefH22_13x_0" localSheetId="62">'316'!$H$86</definedName>
    <definedName name="OSRRefH22_13x_0" localSheetId="69">'321'!$H$76</definedName>
    <definedName name="OSRRefH22_13x_0" localSheetId="70">'322'!$H$80</definedName>
    <definedName name="OSRRefH22_13x_0" localSheetId="71">'325'!$H$76</definedName>
    <definedName name="OSRRefH22_13x_0" localSheetId="60">'326'!$H$102:$H$103</definedName>
    <definedName name="OSRRefH22_13x_0" localSheetId="52">'330'!$H$134</definedName>
    <definedName name="OSRRefH22_13x_0" localSheetId="58">'331'!$H$119</definedName>
    <definedName name="OSRRefH22_13x_0" localSheetId="61">'332'!$H$95:$H$96</definedName>
    <definedName name="OSRRefH22_13x_0" localSheetId="76">'405'!$H$73:$H$75</definedName>
    <definedName name="OSRRefH22_13x_0" localSheetId="77">'406'!$H$81</definedName>
    <definedName name="OSRRefH22_13x_0" localSheetId="78">'411'!$H$73:$H$80</definedName>
    <definedName name="OSRRefH22_13x_0" localSheetId="79">'412'!$H$82</definedName>
    <definedName name="OSRRefH22_13x_0" localSheetId="81">'413'!$H$80</definedName>
    <definedName name="OSRRefH22_13x_0" localSheetId="82">'414'!$H$72:$H$78</definedName>
    <definedName name="OSRRefH22_13x_0" localSheetId="83">'415'!$H$78:$H$79</definedName>
    <definedName name="OSRRefH22_13x_0" localSheetId="84">'418'!$H$77:$H$78</definedName>
    <definedName name="OSRRefH22_13x_0" localSheetId="87">'425'!$H$79:$H$85</definedName>
    <definedName name="OSRRefH22_13x_0" localSheetId="91">'433'!$H$83</definedName>
    <definedName name="OSRRefH22_13x_0" localSheetId="93">'444'!$H$76:$H$83</definedName>
    <definedName name="OSRRefH22_13x_0" localSheetId="94">'450'!$H$75:$H$77</definedName>
    <definedName name="OSRRefH22_13x_0" localSheetId="75">'491'!$H$83</definedName>
    <definedName name="OSRRefH22_13x_0" localSheetId="89">'492'!$H$75:$H$78</definedName>
    <definedName name="OSRRefH22_13x_0" localSheetId="96">'501'!$H$69</definedName>
    <definedName name="OSRRefH22_13x_0" localSheetId="39">'Div 2'!$H$70:$H$73</definedName>
    <definedName name="OSRRefH22_13x_0" localSheetId="47">'Div 3'!$H$223</definedName>
    <definedName name="OSRRefH22_13x_0" localSheetId="73">'Div 4'!$H$85</definedName>
    <definedName name="OSRRefH22_13x_0" localSheetId="95">'Div 5'!$H$69</definedName>
    <definedName name="OSRRefH22_13x_0" localSheetId="2">Summary!$H$257</definedName>
    <definedName name="OSRRefH22_14x_0" localSheetId="41">'201'!$H$72</definedName>
    <definedName name="OSRRefH22_14x_0" localSheetId="42">'202'!$H$69:$H$70</definedName>
    <definedName name="OSRRefH22_14x_0" localSheetId="43">'203'!$H$71</definedName>
    <definedName name="OSRRefH22_14x_0" localSheetId="48">'300'!$H$220</definedName>
    <definedName name="OSRRefH22_14x_0" localSheetId="49">'300 &amp; 317'!$H$245</definedName>
    <definedName name="OSRRefH22_14x_0" localSheetId="50">'301'!$H$71</definedName>
    <definedName name="OSRRefH22_14x_0" localSheetId="55">'308'!$H$118:$H$119</definedName>
    <definedName name="OSRRefH22_14x_0" localSheetId="66">'310'!$H$81</definedName>
    <definedName name="OSRRefH22_14x_0" localSheetId="74">'310 &amp; 491'!$H$91</definedName>
    <definedName name="OSRRefH22_14x_0" localSheetId="56">'311'!$H$118:$H$119</definedName>
    <definedName name="OSRRefH22_14x_0" localSheetId="68">'313'!$H$82</definedName>
    <definedName name="OSRRefH22_14x_0" localSheetId="59">'315'!$H$113</definedName>
    <definedName name="OSRRefH22_14x_0" localSheetId="69">'321'!$H$78</definedName>
    <definedName name="OSRRefH22_14x_0" localSheetId="71">'325'!$H$78:$H$84</definedName>
    <definedName name="OSRRefH22_14x_0" localSheetId="60">'326'!$H$105:$H$107</definedName>
    <definedName name="OSRRefH22_14x_0" localSheetId="52">'330'!$H$136</definedName>
    <definedName name="OSRRefH22_14x_0" localSheetId="58">'331'!$H$121:$H$122</definedName>
    <definedName name="OSRRefH22_14x_0" localSheetId="61">'332'!$H$98</definedName>
    <definedName name="OSRRefH22_14x_0" localSheetId="76">'405'!$H$77:$H$78</definedName>
    <definedName name="OSRRefH22_14x_0" localSheetId="77">'406'!$H$83:$H$84</definedName>
    <definedName name="OSRRefH22_14x_0" localSheetId="78">'411'!$H$82</definedName>
    <definedName name="OSRRefH22_14x_0" localSheetId="79">'412'!$H$84</definedName>
    <definedName name="OSRRefH22_14x_0" localSheetId="82">'414'!$H$80</definedName>
    <definedName name="OSRRefH22_14x_0" localSheetId="83">'415'!$H$81:$H$89</definedName>
    <definedName name="OSRRefH22_14x_0" localSheetId="84">'418'!$H$80:$H$87</definedName>
    <definedName name="OSRRefH22_14x_0" localSheetId="87">'425'!$H$87:$H$88</definedName>
    <definedName name="OSRRefH22_14x_0" localSheetId="91">'433'!$H$85</definedName>
    <definedName name="OSRRefH22_14x_0" localSheetId="93">'444'!$H$85</definedName>
    <definedName name="OSRRefH22_14x_0" localSheetId="94">'450'!$H$79:$H$84</definedName>
    <definedName name="OSRRefH22_14x_0" localSheetId="75">'491'!$H$85</definedName>
    <definedName name="OSRRefH22_14x_0" localSheetId="89">'492'!$H$80:$H$83</definedName>
    <definedName name="OSRRefH22_14x_0" localSheetId="96">'501'!$H$71</definedName>
    <definedName name="OSRRefH22_14x_0" localSheetId="39">'Div 2'!$H$75:$H$78</definedName>
    <definedName name="OSRRefH22_14x_0" localSheetId="47">'Div 3'!$H$225</definedName>
    <definedName name="OSRRefH22_14x_0" localSheetId="73">'Div 4'!$H$87</definedName>
    <definedName name="OSRRefH22_14x_0" localSheetId="95">'Div 5'!$H$71</definedName>
    <definedName name="OSRRefH22_14x_0" localSheetId="2">Summary!$H$259</definedName>
    <definedName name="OSRRefH22_15x_0" localSheetId="41">'201'!$H$74</definedName>
    <definedName name="OSRRefH22_15x_0" localSheetId="42">'202'!$H$72</definedName>
    <definedName name="OSRRefH22_15x_0" localSheetId="43">'203'!$H$73</definedName>
    <definedName name="OSRRefH22_15x_0" localSheetId="48">'300'!$H$222</definedName>
    <definedName name="OSRRefH22_15x_0" localSheetId="49">'300 &amp; 317'!$H$247</definedName>
    <definedName name="OSRRefH22_15x_0" localSheetId="50">'301'!$H$73:$H$76</definedName>
    <definedName name="OSRRefH22_15x_0" localSheetId="66">'310'!$H$83:$H$85</definedName>
    <definedName name="OSRRefH22_15x_0" localSheetId="74">'310 &amp; 491'!$H$93</definedName>
    <definedName name="OSRRefH22_15x_0" localSheetId="59">'315'!$H$115:$H$116</definedName>
    <definedName name="OSRRefH22_15x_0" localSheetId="71">'325'!$H$86</definedName>
    <definedName name="OSRRefH22_15x_0" localSheetId="60">'326'!$H$109:$H$110</definedName>
    <definedName name="OSRRefH22_15x_0" localSheetId="52">'330'!$H$138</definedName>
    <definedName name="OSRRefH22_15x_0" localSheetId="58">'331'!$H$124:$H$126</definedName>
    <definedName name="OSRRefH22_15x_0" localSheetId="76">'405'!$H$80:$H$88</definedName>
    <definedName name="OSRRefH22_15x_0" localSheetId="78">'411'!$H$84</definedName>
    <definedName name="OSRRefH22_15x_0" localSheetId="79">'412'!$H$86</definedName>
    <definedName name="OSRRefH22_15x_0" localSheetId="82">'414'!$H$82</definedName>
    <definedName name="OSRRefH22_15x_0" localSheetId="83">'415'!$H$91</definedName>
    <definedName name="OSRRefH22_15x_0" localSheetId="84">'418'!$H$89</definedName>
    <definedName name="OSRRefH22_15x_0" localSheetId="87">'425'!$H$90</definedName>
    <definedName name="OSRRefH22_15x_0" localSheetId="91">'433'!$H$87:$H$88</definedName>
    <definedName name="OSRRefH22_15x_0" localSheetId="93">'444'!$H$87</definedName>
    <definedName name="OSRRefH22_15x_0" localSheetId="94">'450'!$H$86</definedName>
    <definedName name="OSRRefH22_15x_0" localSheetId="75">'491'!$H$87:$H$90</definedName>
    <definedName name="OSRRefH22_15x_0" localSheetId="89">'492'!$H$85:$H$93</definedName>
    <definedName name="OSRRefH22_15x_0" localSheetId="39">'Div 2'!$H$80:$H$81</definedName>
    <definedName name="OSRRefH22_15x_0" localSheetId="47">'Div 3'!$H$227</definedName>
    <definedName name="OSRRefH22_15x_0" localSheetId="73">'Div 4'!$H$89</definedName>
    <definedName name="OSRRefH22_15x_0" localSheetId="2">Summary!$H$261</definedName>
    <definedName name="OSRRefH22_16x_0" localSheetId="41">'201'!$H$76:$H$77</definedName>
    <definedName name="OSRRefH22_16x_0" localSheetId="42">'202'!$H$74</definedName>
    <definedName name="OSRRefH22_16x_0" localSheetId="48">'300'!$H$224:$H$227</definedName>
    <definedName name="OSRRefH22_16x_0" localSheetId="49">'300 &amp; 317'!$H$249:$H$252</definedName>
    <definedName name="OSRRefH22_16x_0" localSheetId="50">'301'!$H$78:$H$80</definedName>
    <definedName name="OSRRefH22_16x_0" localSheetId="66">'310'!$H$87:$H$88</definedName>
    <definedName name="OSRRefH22_16x_0" localSheetId="74">'310 &amp; 491'!$H$95</definedName>
    <definedName name="OSRRefH22_16x_0" localSheetId="71">'325'!$H$88</definedName>
    <definedName name="OSRRefH22_16x_0" localSheetId="60">'326'!$H$112:$H$117</definedName>
    <definedName name="OSRRefH22_16x_0" localSheetId="58">'331'!$H$128:$H$130</definedName>
    <definedName name="OSRRefH22_16x_0" localSheetId="76">'405'!$H$90</definedName>
    <definedName name="OSRRefH22_16x_0" localSheetId="78">'411'!$H$86:$H$88</definedName>
    <definedName name="OSRRefH22_16x_0" localSheetId="83">'415'!$H$93</definedName>
    <definedName name="OSRRefH22_16x_0" localSheetId="84">'418'!$H$91</definedName>
    <definedName name="OSRRefH22_16x_0" localSheetId="87">'425'!$H$92</definedName>
    <definedName name="OSRRefH22_16x_0" localSheetId="93">'444'!$H$89</definedName>
    <definedName name="OSRRefH22_16x_0" localSheetId="94">'450'!$H$88</definedName>
    <definedName name="OSRRefH22_16x_0" localSheetId="75">'491'!$H$92:$H$95</definedName>
    <definedName name="OSRRefH22_16x_0" localSheetId="89">'492'!$H$95</definedName>
    <definedName name="OSRRefH22_16x_0" localSheetId="39">'Div 2'!$H$83:$H$84</definedName>
    <definedName name="OSRRefH22_16x_0" localSheetId="47">'Div 3'!$H$229</definedName>
    <definedName name="OSRRefH22_16x_0" localSheetId="73">'Div 4'!$H$91</definedName>
    <definedName name="OSRRefH22_16x_0" localSheetId="2">Summary!$H$263</definedName>
    <definedName name="OSRRefH22_17x_0" localSheetId="48">'300'!$H$229:$H$232</definedName>
    <definedName name="OSRRefH22_17x_0" localSheetId="49">'300 &amp; 317'!$H$254:$H$257</definedName>
    <definedName name="OSRRefH22_17x_0" localSheetId="50">'301'!$H$82:$H$83</definedName>
    <definedName name="OSRRefH22_17x_0" localSheetId="66">'310'!$H$90:$H$94</definedName>
    <definedName name="OSRRefH22_17x_0" localSheetId="74">'310 &amp; 491'!$H$97:$H$100</definedName>
    <definedName name="OSRRefH22_17x_0" localSheetId="71">'325'!$H$90</definedName>
    <definedName name="OSRRefH22_17x_0" localSheetId="60">'326'!$H$119:$H$120</definedName>
    <definedName name="OSRRefH22_17x_0" localSheetId="58">'331'!$H$132:$H$133</definedName>
    <definedName name="OSRRefH22_17x_0" localSheetId="76">'405'!$H$92</definedName>
    <definedName name="OSRRefH22_17x_0" localSheetId="78">'411'!$H$90</definedName>
    <definedName name="OSRRefH22_17x_0" localSheetId="83">'415'!$H$95:$H$96</definedName>
    <definedName name="OSRRefH22_17x_0" localSheetId="84">'418'!$H$93:$H$94</definedName>
    <definedName name="OSRRefH22_17x_0" localSheetId="94">'450'!$H$90:$H$91</definedName>
    <definedName name="OSRRefH22_17x_0" localSheetId="75">'491'!$H$97:$H$101</definedName>
    <definedName name="OSRRefH22_17x_0" localSheetId="89">'492'!$H$97</definedName>
    <definedName name="OSRRefH22_17x_0" localSheetId="39">'Div 2'!$H$86:$H$90</definedName>
    <definedName name="OSRRefH22_17x_0" localSheetId="47">'Div 3'!$H$231</definedName>
    <definedName name="OSRRefH22_17x_0" localSheetId="73">'Div 4'!$H$93:$H$96</definedName>
    <definedName name="OSRRefH22_17x_0" localSheetId="2">Summary!$H$265</definedName>
    <definedName name="OSRRefH22_18x_0" localSheetId="48">'300'!$H$234:$H$237</definedName>
    <definedName name="OSRRefH22_18x_0" localSheetId="49">'300 &amp; 317'!$H$259:$H$262</definedName>
    <definedName name="OSRRefH22_18x_0" localSheetId="50">'301'!$H$85:$H$90</definedName>
    <definedName name="OSRRefH22_18x_0" localSheetId="66">'310'!$H$96</definedName>
    <definedName name="OSRRefH22_18x_0" localSheetId="74">'310 &amp; 491'!$H$102:$H$105</definedName>
    <definedName name="OSRRefH22_18x_0" localSheetId="71">'325'!$H$92</definedName>
    <definedName name="OSRRefH22_18x_0" localSheetId="60">'326'!$H$122</definedName>
    <definedName name="OSRRefH22_18x_0" localSheetId="58">'331'!$H$135:$H$140</definedName>
    <definedName name="OSRRefH22_18x_0" localSheetId="76">'405'!$H$94</definedName>
    <definedName name="OSRRefH22_18x_0" localSheetId="83">'415'!$H$98</definedName>
    <definedName name="OSRRefH22_18x_0" localSheetId="75">'491'!$H$103:$H$104</definedName>
    <definedName name="OSRRefH22_18x_0" localSheetId="89">'492'!$H$99:$H$100</definedName>
    <definedName name="OSRRefH22_18x_0" localSheetId="39">'Div 2'!$H$92:$H$93</definedName>
    <definedName name="OSRRefH22_18x_0" localSheetId="47">'Div 3'!$H$233:$H$236</definedName>
    <definedName name="OSRRefH22_18x_0" localSheetId="73">'Div 4'!$H$98:$H$101</definedName>
    <definedName name="OSRRefH22_18x_0" localSheetId="2">Summary!$H$267:$H$270</definedName>
    <definedName name="OSRRefH22_19x_0" localSheetId="48">'300'!$H$239:$H$240</definedName>
    <definedName name="OSRRefH22_19x_0" localSheetId="49">'300 &amp; 317'!$H$264:$H$265</definedName>
    <definedName name="OSRRefH22_19x_0" localSheetId="50">'301'!$H$92</definedName>
    <definedName name="OSRRefH22_19x_0" localSheetId="66">'310'!$H$98:$H$106</definedName>
    <definedName name="OSRRefH22_19x_0" localSheetId="74">'310 &amp; 491'!$H$107:$H$112</definedName>
    <definedName name="OSRRefH22_19x_0" localSheetId="60">'326'!$H$124</definedName>
    <definedName name="OSRRefH22_19x_0" localSheetId="58">'331'!$H$142:$H$143</definedName>
    <definedName name="OSRRefH22_19x_0" localSheetId="76">'405'!$H$96</definedName>
    <definedName name="OSRRefH22_19x_0" localSheetId="75">'491'!$H$106:$H$115</definedName>
    <definedName name="OSRRefH22_19x_0" localSheetId="39">'Div 2'!$H$95</definedName>
    <definedName name="OSRRefH22_19x_0" localSheetId="47">'Div 3'!$H$238:$H$241</definedName>
    <definedName name="OSRRefH22_19x_0" localSheetId="73">'Div 4'!$H$103:$H$107</definedName>
    <definedName name="OSRRefH22_19x_0" localSheetId="2">Summary!$H$272:$H$275</definedName>
    <definedName name="OSRRefH22_1x_0" localSheetId="40">'200'!$H$22</definedName>
    <definedName name="OSRRefH22_1x_0" localSheetId="41">'201'!$H$30:$H$39</definedName>
    <definedName name="OSRRefH22_1x_0" localSheetId="42">'202'!$H$30:$H$39</definedName>
    <definedName name="OSRRefH22_1x_0" localSheetId="43">'203'!$H$31:$H$40</definedName>
    <definedName name="OSRRefH22_1x_0" localSheetId="44">'204'!$H$32:$H$41</definedName>
    <definedName name="OSRRefH22_1x_0" localSheetId="45">'205'!$H$30:$H$39</definedName>
    <definedName name="OSRRefH22_1x_0" localSheetId="46">'206'!$H$30:$H$39</definedName>
    <definedName name="OSRRefH22_1x_0" localSheetId="48">'300'!$H$178:$H$187</definedName>
    <definedName name="OSRRefH22_1x_0" localSheetId="49">'300 &amp; 317'!$H$203:$H$212</definedName>
    <definedName name="OSRRefH22_1x_0" localSheetId="50">'301'!$H$30:$H$39</definedName>
    <definedName name="OSRRefH22_1x_0" localSheetId="51">'306'!$H$30:$H$39</definedName>
    <definedName name="OSRRefH22_1x_0" localSheetId="53">'307'!$H$89:$H$98</definedName>
    <definedName name="OSRRefH22_1x_0" localSheetId="55">'308'!$H$76:$H$85</definedName>
    <definedName name="OSRRefH22_1x_0" localSheetId="67">'309'!$H$36:$H$45</definedName>
    <definedName name="OSRRefH22_1x_0" localSheetId="66">'310'!$H$44:$H$53</definedName>
    <definedName name="OSRRefH22_1x_0" localSheetId="74">'310 &amp; 491'!$H$52:$H$61</definedName>
    <definedName name="OSRRefH22_1x_0" localSheetId="56">'311'!$H$76:$H$85</definedName>
    <definedName name="OSRRefH22_1x_0" localSheetId="68">'313'!$H$40:$H$49</definedName>
    <definedName name="OSRRefH22_1x_0" localSheetId="54">'314'!$H$68:$H$77</definedName>
    <definedName name="OSRRefH22_1x_0" localSheetId="59">'315'!$H$68:$H$77</definedName>
    <definedName name="OSRRefH22_1x_0" localSheetId="62">'316'!$H$46:$H$55</definedName>
    <definedName name="OSRRefH22_1x_0" localSheetId="65">'317'!$H$71:$H$80</definedName>
    <definedName name="OSRRefH22_1x_0" localSheetId="63">'320'!$H$40:$H$49</definedName>
    <definedName name="OSRRefH22_1x_0" localSheetId="69">'321'!$H$35:$H$44</definedName>
    <definedName name="OSRRefH22_1x_0" localSheetId="70">'322'!$H$36:$H$45</definedName>
    <definedName name="OSRRefH22_1x_0" localSheetId="71">'325'!$H$36:$H$45</definedName>
    <definedName name="OSRRefH22_1x_0" localSheetId="60">'326'!$H$68:$H$77</definedName>
    <definedName name="OSRRefH22_1x_0" localSheetId="72">'327'!$H$26</definedName>
    <definedName name="OSRRefH22_1x_0" localSheetId="52">'330'!$H$96:$H$105</definedName>
    <definedName name="OSRRefH22_1x_0" localSheetId="58">'331'!$H$83:$H$92</definedName>
    <definedName name="OSRRefH22_1x_0" localSheetId="61">'332'!$H$55:$H$64</definedName>
    <definedName name="OSRRefH22_1x_0" localSheetId="76">'405'!$H$36:$H$45</definedName>
    <definedName name="OSRRefH22_1x_0" localSheetId="77">'406'!$H$37:$H$46</definedName>
    <definedName name="OSRRefH22_1x_0" localSheetId="78">'411'!$H$31:$H$40</definedName>
    <definedName name="OSRRefH22_1x_0" localSheetId="79">'412'!$H$37:$H$46</definedName>
    <definedName name="OSRRefH22_1x_0" localSheetId="81">'413'!$H$37:$H$46</definedName>
    <definedName name="OSRRefH22_1x_0" localSheetId="82">'414'!$H$37:$H$46</definedName>
    <definedName name="OSRRefH22_1x_0" localSheetId="83">'415'!$H$36:$H$45</definedName>
    <definedName name="OSRRefH22_1x_0" localSheetId="84">'418'!$H$37:$H$46</definedName>
    <definedName name="OSRRefH22_1x_0" localSheetId="80">'420'!$H$33:$H$36</definedName>
    <definedName name="OSRRefH22_1x_0" localSheetId="85">'423'!$H$31:$H$40</definedName>
    <definedName name="OSRRefH22_1x_0" localSheetId="86">'424'!$H$36:$H$45</definedName>
    <definedName name="OSRRefH22_1x_0" localSheetId="87">'425'!$H$40:$H$49</definedName>
    <definedName name="OSRRefH22_1x_0" localSheetId="90">'430'!$H$30:$H$39</definedName>
    <definedName name="OSRRefH22_1x_0" localSheetId="91">'433'!$H$38:$H$47</definedName>
    <definedName name="OSRRefH22_1x_0" localSheetId="92">'435'!$H$36:$H$45</definedName>
    <definedName name="OSRRefH22_1x_0" localSheetId="93">'444'!$H$38:$H$47</definedName>
    <definedName name="OSRRefH22_1x_0" localSheetId="94">'450'!$H$38:$H$47</definedName>
    <definedName name="OSRRefH22_1x_0" localSheetId="88">'455'!$H$29:$H$38</definedName>
    <definedName name="OSRRefH22_1x_0" localSheetId="75">'491'!$H$46:$H$55</definedName>
    <definedName name="OSRRefH22_1x_0" localSheetId="89">'492'!$H$40:$H$49</definedName>
    <definedName name="OSRRefH22_1x_0" localSheetId="96">'501'!$H$31:$H$40</definedName>
    <definedName name="OSRRefH22_1x_0" localSheetId="39">'Div 2'!$H$33:$H$42</definedName>
    <definedName name="OSRRefH22_1x_0" localSheetId="47">'Div 3'!$H$183:$H$192</definedName>
    <definedName name="OSRRefH22_1x_0" localSheetId="73">'Div 4'!$H$46:$H$55</definedName>
    <definedName name="OSRRefH22_1x_0" localSheetId="95">'Div 5'!$H$31:$H$40</definedName>
    <definedName name="OSRRefH22_1x_0" localSheetId="64">'Div 6'!$H$71:$H$80</definedName>
    <definedName name="OSRRefH22_1x_0" localSheetId="2">Summary!$H$215:$H$224</definedName>
    <definedName name="OSRRefH22_20x_0" localSheetId="48">'300'!$H$242:$H$248</definedName>
    <definedName name="OSRRefH22_20x_0" localSheetId="49">'300 &amp; 317'!$H$267:$H$273</definedName>
    <definedName name="OSRRefH22_20x_0" localSheetId="50">'301'!$H$94</definedName>
    <definedName name="OSRRefH22_20x_0" localSheetId="66">'310'!$H$108</definedName>
    <definedName name="OSRRefH22_20x_0" localSheetId="74">'310 &amp; 491'!$H$114:$H$115</definedName>
    <definedName name="OSRRefH22_20x_0" localSheetId="60">'326'!$H$126</definedName>
    <definedName name="OSRRefH22_20x_0" localSheetId="58">'331'!$H$145</definedName>
    <definedName name="OSRRefH22_20x_0" localSheetId="75">'491'!$H$117:$H$118</definedName>
    <definedName name="OSRRefH22_20x_0" localSheetId="39">'Div 2'!$H$97:$H$98</definedName>
    <definedName name="OSRRefH22_20x_0" localSheetId="47">'Div 3'!$H$243:$H$248</definedName>
    <definedName name="OSRRefH22_20x_0" localSheetId="73">'Div 4'!$H$109:$H$110</definedName>
    <definedName name="OSRRefH22_20x_0" localSheetId="2">Summary!$H$277:$H$282</definedName>
    <definedName name="OSRRefH22_21x_0" localSheetId="48">'300'!$H$250:$H$251</definedName>
    <definedName name="OSRRefH22_21x_0" localSheetId="49">'300 &amp; 317'!$H$275:$H$276</definedName>
    <definedName name="OSRRefH22_21x_0" localSheetId="50">'301'!$H$96:$H$98</definedName>
    <definedName name="OSRRefH22_21x_0" localSheetId="66">'310'!$H$110</definedName>
    <definedName name="OSRRefH22_21x_0" localSheetId="74">'310 &amp; 491'!$H$117:$H$126</definedName>
    <definedName name="OSRRefH22_21x_0" localSheetId="58">'331'!$H$147:$H$148</definedName>
    <definedName name="OSRRefH22_21x_0" localSheetId="75">'491'!$H$120</definedName>
    <definedName name="OSRRefH22_21x_0" localSheetId="47">'Div 3'!$H$250:$H$251</definedName>
    <definedName name="OSRRefH22_21x_0" localSheetId="73">'Div 4'!$H$112:$H$121</definedName>
    <definedName name="OSRRefH22_21x_0" localSheetId="2">Summary!$H$284:$H$285</definedName>
    <definedName name="OSRRefH22_22x_0" localSheetId="48">'300'!$H$253</definedName>
    <definedName name="OSRRefH22_22x_0" localSheetId="49">'300 &amp; 317'!$H$278</definedName>
    <definedName name="OSRRefH22_22x_0" localSheetId="50">'301'!$H$100</definedName>
    <definedName name="OSRRefH22_22x_0" localSheetId="66">'310'!$H$112</definedName>
    <definedName name="OSRRefH22_22x_0" localSheetId="74">'310 &amp; 491'!$H$128:$H$129</definedName>
    <definedName name="OSRRefH22_22x_0" localSheetId="58">'331'!$H$150</definedName>
    <definedName name="OSRRefH22_22x_0" localSheetId="75">'491'!$H$122:$H$124</definedName>
    <definedName name="OSRRefH22_22x_0" localSheetId="47">'Div 3'!$H$253:$H$261</definedName>
    <definedName name="OSRRefH22_22x_0" localSheetId="73">'Div 4'!$H$123:$H$124</definedName>
    <definedName name="OSRRefH22_22x_0" localSheetId="2">Summary!$H$287:$H$296</definedName>
    <definedName name="OSRRefH22_23x_0" localSheetId="48">'300'!$H$255:$H$257</definedName>
    <definedName name="OSRRefH22_23x_0" localSheetId="49">'300 &amp; 317'!$H$280:$H$282</definedName>
    <definedName name="OSRRefH22_23x_0" localSheetId="66">'310'!$H$114</definedName>
    <definedName name="OSRRefH22_23x_0" localSheetId="74">'310 &amp; 491'!$H$131</definedName>
    <definedName name="OSRRefH22_23x_0" localSheetId="75">'491'!$H$126</definedName>
    <definedName name="OSRRefH22_23x_0" localSheetId="47">'Div 3'!$H$263:$H$264</definedName>
    <definedName name="OSRRefH22_23x_0" localSheetId="73">'Div 4'!$H$126</definedName>
    <definedName name="OSRRefH22_23x_0" localSheetId="2">Summary!$H$298:$H$299</definedName>
    <definedName name="OSRRefH22_24x_0" localSheetId="48">'300'!$H$259</definedName>
    <definedName name="OSRRefH22_24x_0" localSheetId="49">'300 &amp; 317'!$H$284</definedName>
    <definedName name="OSRRefH22_24x_0" localSheetId="74">'310 &amp; 491'!$H$133:$H$135</definedName>
    <definedName name="OSRRefH22_24x_0" localSheetId="47">'Div 3'!$H$266</definedName>
    <definedName name="OSRRefH22_24x_0" localSheetId="73">'Div 4'!$H$128:$H$130</definedName>
    <definedName name="OSRRefH22_24x_0" localSheetId="2">Summary!$H$301</definedName>
    <definedName name="OSRRefH22_25x_0" localSheetId="74">'310 &amp; 491'!$H$137</definedName>
    <definedName name="OSRRefH22_25x_0" localSheetId="47">'Div 3'!$H$268:$H$270</definedName>
    <definedName name="OSRRefH22_25x_0" localSheetId="73">'Div 4'!$H$132</definedName>
    <definedName name="OSRRefH22_25x_0" localSheetId="2">Summary!$H$303:$H$305</definedName>
    <definedName name="OSRRefH22_26x_0" localSheetId="47">'Div 3'!$H$272</definedName>
    <definedName name="OSRRefH22_26x_0" localSheetId="2">Summary!$H$307</definedName>
    <definedName name="OSRRefH22_2x_0" localSheetId="40">'200'!$H$24</definedName>
    <definedName name="OSRRefH22_2x_0" localSheetId="41">'201'!$H$41</definedName>
    <definedName name="OSRRefH22_2x_0" localSheetId="42">'202'!$H$41</definedName>
    <definedName name="OSRRefH22_2x_0" localSheetId="43">'203'!$H$42</definedName>
    <definedName name="OSRRefH22_2x_0" localSheetId="44">'204'!$H$43</definedName>
    <definedName name="OSRRefH22_2x_0" localSheetId="45">'205'!$H$41</definedName>
    <definedName name="OSRRefH22_2x_0" localSheetId="46">'206'!$H$41</definedName>
    <definedName name="OSRRefH22_2x_0" localSheetId="48">'300'!$H$189</definedName>
    <definedName name="OSRRefH22_2x_0" localSheetId="49">'300 &amp; 317'!$H$214</definedName>
    <definedName name="OSRRefH22_2x_0" localSheetId="50">'301'!$H$41</definedName>
    <definedName name="OSRRefH22_2x_0" localSheetId="51">'306'!$H$41</definedName>
    <definedName name="OSRRefH22_2x_0" localSheetId="53">'307'!$H$100</definedName>
    <definedName name="OSRRefH22_2x_0" localSheetId="55">'308'!$H$87</definedName>
    <definedName name="OSRRefH22_2x_0" localSheetId="67">'309'!$H$47</definedName>
    <definedName name="OSRRefH22_2x_0" localSheetId="66">'310'!$H$55</definedName>
    <definedName name="OSRRefH22_2x_0" localSheetId="74">'310 &amp; 491'!$H$63</definedName>
    <definedName name="OSRRefH22_2x_0" localSheetId="56">'311'!$H$87</definedName>
    <definedName name="OSRRefH22_2x_0" localSheetId="68">'313'!$H$51</definedName>
    <definedName name="OSRRefH22_2x_0" localSheetId="54">'314'!$H$79</definedName>
    <definedName name="OSRRefH22_2x_0" localSheetId="59">'315'!$H$79</definedName>
    <definedName name="OSRRefH22_2x_0" localSheetId="62">'316'!$H$57</definedName>
    <definedName name="OSRRefH22_2x_0" localSheetId="65">'317'!$H$82</definedName>
    <definedName name="OSRRefH22_2x_0" localSheetId="63">'320'!$H$51</definedName>
    <definedName name="OSRRefH22_2x_0" localSheetId="69">'321'!$H$46</definedName>
    <definedName name="OSRRefH22_2x_0" localSheetId="70">'322'!$H$47</definedName>
    <definedName name="OSRRefH22_2x_0" localSheetId="71">'325'!$H$47</definedName>
    <definedName name="OSRRefH22_2x_0" localSheetId="60">'326'!$H$79</definedName>
    <definedName name="OSRRefH22_2x_0" localSheetId="72">'327'!$H$28</definedName>
    <definedName name="OSRRefH22_2x_0" localSheetId="52">'330'!$H$107</definedName>
    <definedName name="OSRRefH22_2x_0" localSheetId="58">'331'!$H$94</definedName>
    <definedName name="OSRRefH22_2x_0" localSheetId="61">'332'!$H$66</definedName>
    <definedName name="OSRRefH22_2x_0" localSheetId="76">'405'!$H$47</definedName>
    <definedName name="OSRRefH22_2x_0" localSheetId="77">'406'!$H$48</definedName>
    <definedName name="OSRRefH22_2x_0" localSheetId="78">'411'!$H$42</definedName>
    <definedName name="OSRRefH22_2x_0" localSheetId="79">'412'!$H$48</definedName>
    <definedName name="OSRRefH22_2x_0" localSheetId="81">'413'!$H$48</definedName>
    <definedName name="OSRRefH22_2x_0" localSheetId="82">'414'!$H$48</definedName>
    <definedName name="OSRRefH22_2x_0" localSheetId="83">'415'!$H$47</definedName>
    <definedName name="OSRRefH22_2x_0" localSheetId="84">'418'!$H$48</definedName>
    <definedName name="OSRRefH22_2x_0" localSheetId="80">'420'!$H$38</definedName>
    <definedName name="OSRRefH22_2x_0" localSheetId="85">'423'!$H$42</definedName>
    <definedName name="OSRRefH22_2x_0" localSheetId="86">'424'!$H$47</definedName>
    <definedName name="OSRRefH22_2x_0" localSheetId="87">'425'!$H$51</definedName>
    <definedName name="OSRRefH22_2x_0" localSheetId="90">'430'!$H$41</definedName>
    <definedName name="OSRRefH22_2x_0" localSheetId="91">'433'!$H$49</definedName>
    <definedName name="OSRRefH22_2x_0" localSheetId="92">'435'!$H$47</definedName>
    <definedName name="OSRRefH22_2x_0" localSheetId="93">'444'!$H$49</definedName>
    <definedName name="OSRRefH22_2x_0" localSheetId="94">'450'!$H$49</definedName>
    <definedName name="OSRRefH22_2x_0" localSheetId="75">'491'!$H$57</definedName>
    <definedName name="OSRRefH22_2x_0" localSheetId="89">'492'!$H$51</definedName>
    <definedName name="OSRRefH22_2x_0" localSheetId="96">'501'!$H$42</definedName>
    <definedName name="OSRRefH22_2x_0" localSheetId="39">'Div 2'!$H$44</definedName>
    <definedName name="OSRRefH22_2x_0" localSheetId="47">'Div 3'!$H$194</definedName>
    <definedName name="OSRRefH22_2x_0" localSheetId="73">'Div 4'!$H$57</definedName>
    <definedName name="OSRRefH22_2x_0" localSheetId="95">'Div 5'!$H$42</definedName>
    <definedName name="OSRRefH22_2x_0" localSheetId="64">'Div 6'!$H$82</definedName>
    <definedName name="OSRRefH22_2x_0" localSheetId="2">Summary!$H$226</definedName>
    <definedName name="OSRRefH22_3x_0" localSheetId="40">'200'!$H$26</definedName>
    <definedName name="OSRRefH22_3x_0" localSheetId="41">'201'!$H$43</definedName>
    <definedName name="OSRRefH22_3x_0" localSheetId="42">'202'!$H$43</definedName>
    <definedName name="OSRRefH22_3x_0" localSheetId="43">'203'!$H$44</definedName>
    <definedName name="OSRRefH22_3x_0" localSheetId="44">'204'!$H$45:$H$46</definedName>
    <definedName name="OSRRefH22_3x_0" localSheetId="45">'205'!$H$43</definedName>
    <definedName name="OSRRefH22_3x_0" localSheetId="46">'206'!$H$43</definedName>
    <definedName name="OSRRefH22_3x_0" localSheetId="48">'300'!$H$191:$H$192</definedName>
    <definedName name="OSRRefH22_3x_0" localSheetId="49">'300 &amp; 317'!$H$216:$H$217</definedName>
    <definedName name="OSRRefH22_3x_0" localSheetId="50">'301'!$H$43:$H$44</definedName>
    <definedName name="OSRRefH22_3x_0" localSheetId="51">'306'!$H$43</definedName>
    <definedName name="OSRRefH22_3x_0" localSheetId="53">'307'!$H$102</definedName>
    <definedName name="OSRRefH22_3x_0" localSheetId="55">'308'!$H$89:$H$90</definedName>
    <definedName name="OSRRefH22_3x_0" localSheetId="67">'309'!$H$49</definedName>
    <definedName name="OSRRefH22_3x_0" localSheetId="66">'310'!$H$57</definedName>
    <definedName name="OSRRefH22_3x_0" localSheetId="74">'310 &amp; 491'!$H$65</definedName>
    <definedName name="OSRRefH22_3x_0" localSheetId="56">'311'!$H$89:$H$90</definedName>
    <definedName name="OSRRefH22_3x_0" localSheetId="68">'313'!$H$53</definedName>
    <definedName name="OSRRefH22_3x_0" localSheetId="54">'314'!$H$81:$H$82</definedName>
    <definedName name="OSRRefH22_3x_0" localSheetId="59">'315'!$H$81:$H$82</definedName>
    <definedName name="OSRRefH22_3x_0" localSheetId="62">'316'!$H$59</definedName>
    <definedName name="OSRRefH22_3x_0" localSheetId="65">'317'!$H$84</definedName>
    <definedName name="OSRRefH22_3x_0" localSheetId="63">'320'!$H$53</definedName>
    <definedName name="OSRRefH22_3x_0" localSheetId="69">'321'!$H$48</definedName>
    <definedName name="OSRRefH22_3x_0" localSheetId="70">'322'!$H$49</definedName>
    <definedName name="OSRRefH22_3x_0" localSheetId="71">'325'!$H$49</definedName>
    <definedName name="OSRRefH22_3x_0" localSheetId="60">'326'!$H$81:$H$82</definedName>
    <definedName name="OSRRefH22_3x_0" localSheetId="52">'330'!$H$109</definedName>
    <definedName name="OSRRefH22_3x_0" localSheetId="58">'331'!$H$96:$H$97</definedName>
    <definedName name="OSRRefH22_3x_0" localSheetId="61">'332'!$H$68</definedName>
    <definedName name="OSRRefH22_3x_0" localSheetId="76">'405'!$H$49</definedName>
    <definedName name="OSRRefH22_3x_0" localSheetId="77">'406'!$H$50</definedName>
    <definedName name="OSRRefH22_3x_0" localSheetId="78">'411'!$H$44:$H$47</definedName>
    <definedName name="OSRRefH22_3x_0" localSheetId="79">'412'!$H$50</definedName>
    <definedName name="OSRRefH22_3x_0" localSheetId="81">'413'!$H$50</definedName>
    <definedName name="OSRRefH22_3x_0" localSheetId="82">'414'!$H$50</definedName>
    <definedName name="OSRRefH22_3x_0" localSheetId="83">'415'!$H$49</definedName>
    <definedName name="OSRRefH22_3x_0" localSheetId="84">'418'!$H$50</definedName>
    <definedName name="OSRRefH22_3x_0" localSheetId="80">'420'!$H$40</definedName>
    <definedName name="OSRRefH22_3x_0" localSheetId="85">'423'!$H$44</definedName>
    <definedName name="OSRRefH22_3x_0" localSheetId="86">'424'!$H$49</definedName>
    <definedName name="OSRRefH22_3x_0" localSheetId="87">'425'!$H$53</definedName>
    <definedName name="OSRRefH22_3x_0" localSheetId="90">'430'!$H$43</definedName>
    <definedName name="OSRRefH22_3x_0" localSheetId="91">'433'!$H$51</definedName>
    <definedName name="OSRRefH22_3x_0" localSheetId="92">'435'!$H$49</definedName>
    <definedName name="OSRRefH22_3x_0" localSheetId="93">'444'!$H$51</definedName>
    <definedName name="OSRRefH22_3x_0" localSheetId="94">'450'!$H$51:$H$52</definedName>
    <definedName name="OSRRefH22_3x_0" localSheetId="75">'491'!$H$59</definedName>
    <definedName name="OSRRefH22_3x_0" localSheetId="89">'492'!$H$53:$H$54</definedName>
    <definedName name="OSRRefH22_3x_0" localSheetId="96">'501'!$H$44</definedName>
    <definedName name="OSRRefH22_3x_0" localSheetId="39">'Div 2'!$H$46</definedName>
    <definedName name="OSRRefH22_3x_0" localSheetId="47">'Div 3'!$H$196:$H$197</definedName>
    <definedName name="OSRRefH22_3x_0" localSheetId="73">'Div 4'!$H$59:$H$60</definedName>
    <definedName name="OSRRefH22_3x_0" localSheetId="95">'Div 5'!$H$44</definedName>
    <definedName name="OSRRefH22_3x_0" localSheetId="64">'Div 6'!$H$84</definedName>
    <definedName name="OSRRefH22_3x_0" localSheetId="2">Summary!$H$228:$H$229</definedName>
    <definedName name="OSRRefH22_4x_0" localSheetId="40">'200'!$H$28:$H$29</definedName>
    <definedName name="OSRRefH22_4x_0" localSheetId="41">'201'!$H$45:$H$46</definedName>
    <definedName name="OSRRefH22_4x_0" localSheetId="42">'202'!$H$45</definedName>
    <definedName name="OSRRefH22_4x_0" localSheetId="43">'203'!$H$46</definedName>
    <definedName name="OSRRefH22_4x_0" localSheetId="44">'204'!$H$48</definedName>
    <definedName name="OSRRefH22_4x_0" localSheetId="45">'205'!$H$45</definedName>
    <definedName name="OSRRefH22_4x_0" localSheetId="46">'206'!$H$45</definedName>
    <definedName name="OSRRefH22_4x_0" localSheetId="48">'300'!$H$194</definedName>
    <definedName name="OSRRefH22_4x_0" localSheetId="49">'300 &amp; 317'!$H$219</definedName>
    <definedName name="OSRRefH22_4x_0" localSheetId="50">'301'!$H$46</definedName>
    <definedName name="OSRRefH22_4x_0" localSheetId="51">'306'!$H$45</definedName>
    <definedName name="OSRRefH22_4x_0" localSheetId="53">'307'!$H$104:$H$105</definedName>
    <definedName name="OSRRefH22_4x_0" localSheetId="55">'308'!$H$92</definedName>
    <definedName name="OSRRefH22_4x_0" localSheetId="67">'309'!$H$51</definedName>
    <definedName name="OSRRefH22_4x_0" localSheetId="66">'310'!$H$59</definedName>
    <definedName name="OSRRefH22_4x_0" localSheetId="74">'310 &amp; 491'!$H$67</definedName>
    <definedName name="OSRRefH22_4x_0" localSheetId="56">'311'!$H$92</definedName>
    <definedName name="OSRRefH22_4x_0" localSheetId="68">'313'!$H$55</definedName>
    <definedName name="OSRRefH22_4x_0" localSheetId="54">'314'!$H$84</definedName>
    <definedName name="OSRRefH22_4x_0" localSheetId="59">'315'!$H$84</definedName>
    <definedName name="OSRRefH22_4x_0" localSheetId="62">'316'!$H$61</definedName>
    <definedName name="OSRRefH22_4x_0" localSheetId="65">'317'!$H$86</definedName>
    <definedName name="OSRRefH22_4x_0" localSheetId="63">'320'!$H$55:$H$56</definedName>
    <definedName name="OSRRefH22_4x_0" localSheetId="69">'321'!$H$50</definedName>
    <definedName name="OSRRefH22_4x_0" localSheetId="70">'322'!$H$51</definedName>
    <definedName name="OSRRefH22_4x_0" localSheetId="71">'325'!$H$51</definedName>
    <definedName name="OSRRefH22_4x_0" localSheetId="60">'326'!$H$84</definedName>
    <definedName name="OSRRefH22_4x_0" localSheetId="52">'330'!$H$111:$H$112</definedName>
    <definedName name="OSRRefH22_4x_0" localSheetId="58">'331'!$H$99</definedName>
    <definedName name="OSRRefH22_4x_0" localSheetId="61">'332'!$H$70</definedName>
    <definedName name="OSRRefH22_4x_0" localSheetId="76">'405'!$H$51</definedName>
    <definedName name="OSRRefH22_4x_0" localSheetId="77">'406'!$H$52</definedName>
    <definedName name="OSRRefH22_4x_0" localSheetId="78">'411'!$H$49</definedName>
    <definedName name="OSRRefH22_4x_0" localSheetId="79">'412'!$H$52</definedName>
    <definedName name="OSRRefH22_4x_0" localSheetId="81">'413'!$H$52</definedName>
    <definedName name="OSRRefH22_4x_0" localSheetId="82">'414'!$H$52</definedName>
    <definedName name="OSRRefH22_4x_0" localSheetId="83">'415'!$H$51</definedName>
    <definedName name="OSRRefH22_4x_0" localSheetId="84">'418'!$H$52</definedName>
    <definedName name="OSRRefH22_4x_0" localSheetId="80">'420'!$H$42</definedName>
    <definedName name="OSRRefH22_4x_0" localSheetId="85">'423'!$H$46</definedName>
    <definedName name="OSRRefH22_4x_0" localSheetId="86">'424'!$H$51</definedName>
    <definedName name="OSRRefH22_4x_0" localSheetId="87">'425'!$H$55</definedName>
    <definedName name="OSRRefH22_4x_0" localSheetId="90">'430'!$H$45</definedName>
    <definedName name="OSRRefH22_4x_0" localSheetId="91">'433'!$H$53</definedName>
    <definedName name="OSRRefH22_4x_0" localSheetId="92">'435'!$H$51</definedName>
    <definedName name="OSRRefH22_4x_0" localSheetId="93">'444'!$H$53</definedName>
    <definedName name="OSRRefH22_4x_0" localSheetId="94">'450'!$H$54</definedName>
    <definedName name="OSRRefH22_4x_0" localSheetId="75">'491'!$H$61</definedName>
    <definedName name="OSRRefH22_4x_0" localSheetId="89">'492'!$H$56</definedName>
    <definedName name="OSRRefH22_4x_0" localSheetId="96">'501'!$H$46</definedName>
    <definedName name="OSRRefH22_4x_0" localSheetId="39">'Div 2'!$H$48</definedName>
    <definedName name="OSRRefH22_4x_0" localSheetId="47">'Div 3'!$H$199</definedName>
    <definedName name="OSRRefH22_4x_0" localSheetId="73">'Div 4'!$H$62</definedName>
    <definedName name="OSRRefH22_4x_0" localSheetId="95">'Div 5'!$H$46</definedName>
    <definedName name="OSRRefH22_4x_0" localSheetId="64">'Div 6'!$H$86</definedName>
    <definedName name="OSRRefH22_4x_0" localSheetId="2">Summary!$H$231</definedName>
    <definedName name="OSRRefH22_5x_0" localSheetId="41">'201'!$H$48</definedName>
    <definedName name="OSRRefH22_5x_0" localSheetId="42">'202'!$H$47</definedName>
    <definedName name="OSRRefH22_5x_0" localSheetId="43">'203'!$H$48</definedName>
    <definedName name="OSRRefH22_5x_0" localSheetId="44">'204'!$H$50</definedName>
    <definedName name="OSRRefH22_5x_0" localSheetId="45">'205'!$H$47:$H$48</definedName>
    <definedName name="OSRRefH22_5x_0" localSheetId="46">'206'!$H$47</definedName>
    <definedName name="OSRRefH22_5x_0" localSheetId="48">'300'!$H$196:$H$199</definedName>
    <definedName name="OSRRefH22_5x_0" localSheetId="49">'300 &amp; 317'!$H$221:$H$224</definedName>
    <definedName name="OSRRefH22_5x_0" localSheetId="50">'301'!$H$48:$H$51</definedName>
    <definedName name="OSRRefH22_5x_0" localSheetId="51">'306'!$H$47</definedName>
    <definedName name="OSRRefH22_5x_0" localSheetId="53">'307'!$H$107</definedName>
    <definedName name="OSRRefH22_5x_0" localSheetId="55">'308'!$H$94</definedName>
    <definedName name="OSRRefH22_5x_0" localSheetId="67">'309'!$H$53:$H$54</definedName>
    <definedName name="OSRRefH22_5x_0" localSheetId="66">'310'!$H$61:$H$63</definedName>
    <definedName name="OSRRefH22_5x_0" localSheetId="74">'310 &amp; 491'!$H$69:$H$72</definedName>
    <definedName name="OSRRefH22_5x_0" localSheetId="56">'311'!$H$94</definedName>
    <definedName name="OSRRefH22_5x_0" localSheetId="68">'313'!$H$57</definedName>
    <definedName name="OSRRefH22_5x_0" localSheetId="54">'314'!$H$86</definedName>
    <definedName name="OSRRefH22_5x_0" localSheetId="59">'315'!$H$86:$H$87</definedName>
    <definedName name="OSRRefH22_5x_0" localSheetId="62">'316'!$H$63</definedName>
    <definedName name="OSRRefH22_5x_0" localSheetId="65">'317'!$H$88</definedName>
    <definedName name="OSRRefH22_5x_0" localSheetId="63">'320'!$H$58</definedName>
    <definedName name="OSRRefH22_5x_0" localSheetId="69">'321'!$H$52</definedName>
    <definedName name="OSRRefH22_5x_0" localSheetId="70">'322'!$H$53:$H$54</definedName>
    <definedName name="OSRRefH22_5x_0" localSheetId="71">'325'!$H$53:$H$55</definedName>
    <definedName name="OSRRefH22_5x_0" localSheetId="60">'326'!$H$86</definedName>
    <definedName name="OSRRefH22_5x_0" localSheetId="52">'330'!$H$114</definedName>
    <definedName name="OSRRefH22_5x_0" localSheetId="58">'331'!$H$101:$H$102</definedName>
    <definedName name="OSRRefH22_5x_0" localSheetId="61">'332'!$H$72</definedName>
    <definedName name="OSRRefH22_5x_0" localSheetId="76">'405'!$H$53:$H$55</definedName>
    <definedName name="OSRRefH22_5x_0" localSheetId="77">'406'!$H$54:$H$55</definedName>
    <definedName name="OSRRefH22_5x_0" localSheetId="78">'411'!$H$51</definedName>
    <definedName name="OSRRefH22_5x_0" localSheetId="79">'412'!$H$54:$H$56</definedName>
    <definedName name="OSRRefH22_5x_0" localSheetId="81">'413'!$H$54</definedName>
    <definedName name="OSRRefH22_5x_0" localSheetId="82">'414'!$H$54:$H$55</definedName>
    <definedName name="OSRRefH22_5x_0" localSheetId="83">'415'!$H$53:$H$55</definedName>
    <definedName name="OSRRefH22_5x_0" localSheetId="84">'418'!$H$54:$H$56</definedName>
    <definedName name="OSRRefH22_5x_0" localSheetId="80">'420'!$H$44</definedName>
    <definedName name="OSRRefH22_5x_0" localSheetId="85">'423'!$H$48</definedName>
    <definedName name="OSRRefH22_5x_0" localSheetId="86">'424'!$H$53</definedName>
    <definedName name="OSRRefH22_5x_0" localSheetId="87">'425'!$H$57:$H$58</definedName>
    <definedName name="OSRRefH22_5x_0" localSheetId="90">'430'!$H$47</definedName>
    <definedName name="OSRRefH22_5x_0" localSheetId="91">'433'!$H$55</definedName>
    <definedName name="OSRRefH22_5x_0" localSheetId="92">'435'!$H$53</definedName>
    <definedName name="OSRRefH22_5x_0" localSheetId="93">'444'!$H$55</definedName>
    <definedName name="OSRRefH22_5x_0" localSheetId="94">'450'!$H$56</definedName>
    <definedName name="OSRRefH22_5x_0" localSheetId="75">'491'!$H$63:$H$66</definedName>
    <definedName name="OSRRefH22_5x_0" localSheetId="89">'492'!$H$58</definedName>
    <definedName name="OSRRefH22_5x_0" localSheetId="96">'501'!$H$48</definedName>
    <definedName name="OSRRefH22_5x_0" localSheetId="39">'Div 2'!$H$50:$H$51</definedName>
    <definedName name="OSRRefH22_5x_0" localSheetId="47">'Div 3'!$H$201:$H$204</definedName>
    <definedName name="OSRRefH22_5x_0" localSheetId="73">'Div 4'!$H$64:$H$67</definedName>
    <definedName name="OSRRefH22_5x_0" localSheetId="95">'Div 5'!$H$48</definedName>
    <definedName name="OSRRefH22_5x_0" localSheetId="64">'Div 6'!$H$88</definedName>
    <definedName name="OSRRefH22_5x_0" localSheetId="2">Summary!$H$233:$H$236</definedName>
    <definedName name="OSRRefH22_6x_0" localSheetId="41">'201'!$H$50</definedName>
    <definedName name="OSRRefH22_6x_0" localSheetId="42">'202'!$H$49</definedName>
    <definedName name="OSRRefH22_6x_0" localSheetId="43">'203'!$H$50</definedName>
    <definedName name="OSRRefH22_6x_0" localSheetId="44">'204'!$H$52</definedName>
    <definedName name="OSRRefH22_6x_0" localSheetId="45">'205'!$H$50</definedName>
    <definedName name="OSRRefH22_6x_0" localSheetId="46">'206'!$H$49</definedName>
    <definedName name="OSRRefH22_6x_0" localSheetId="48">'300'!$H$201:$H$202</definedName>
    <definedName name="OSRRefH22_6x_0" localSheetId="49">'300 &amp; 317'!$H$226:$H$227</definedName>
    <definedName name="OSRRefH22_6x_0" localSheetId="50">'301'!$H$53:$H$54</definedName>
    <definedName name="OSRRefH22_6x_0" localSheetId="51">'306'!$H$49</definedName>
    <definedName name="OSRRefH22_6x_0" localSheetId="53">'307'!$H$109</definedName>
    <definedName name="OSRRefH22_6x_0" localSheetId="55">'308'!$H$96:$H$97</definedName>
    <definedName name="OSRRefH22_6x_0" localSheetId="67">'309'!$H$56</definedName>
    <definedName name="OSRRefH22_6x_0" localSheetId="66">'310'!$H$65</definedName>
    <definedName name="OSRRefH22_6x_0" localSheetId="74">'310 &amp; 491'!$H$74</definedName>
    <definedName name="OSRRefH22_6x_0" localSheetId="56">'311'!$H$96:$H$97</definedName>
    <definedName name="OSRRefH22_6x_0" localSheetId="68">'313'!$H$59</definedName>
    <definedName name="OSRRefH22_6x_0" localSheetId="54">'314'!$H$88</definedName>
    <definedName name="OSRRefH22_6x_0" localSheetId="59">'315'!$H$89</definedName>
    <definedName name="OSRRefH22_6x_0" localSheetId="62">'316'!$H$65</definedName>
    <definedName name="OSRRefH22_6x_0" localSheetId="65">'317'!$H$90</definedName>
    <definedName name="OSRRefH22_6x_0" localSheetId="63">'320'!$H$60</definedName>
    <definedName name="OSRRefH22_6x_0" localSheetId="69">'321'!$H$54</definedName>
    <definedName name="OSRRefH22_6x_0" localSheetId="70">'322'!$H$56</definedName>
    <definedName name="OSRRefH22_6x_0" localSheetId="71">'325'!$H$57</definedName>
    <definedName name="OSRRefH22_6x_0" localSheetId="60">'326'!$H$88</definedName>
    <definedName name="OSRRefH22_6x_0" localSheetId="52">'330'!$H$116</definedName>
    <definedName name="OSRRefH22_6x_0" localSheetId="58">'331'!$H$104</definedName>
    <definedName name="OSRRefH22_6x_0" localSheetId="61">'332'!$H$74</definedName>
    <definedName name="OSRRefH22_6x_0" localSheetId="76">'405'!$H$57</definedName>
    <definedName name="OSRRefH22_6x_0" localSheetId="77">'406'!$H$57</definedName>
    <definedName name="OSRRefH22_6x_0" localSheetId="78">'411'!$H$53</definedName>
    <definedName name="OSRRefH22_6x_0" localSheetId="79">'412'!$H$58</definedName>
    <definedName name="OSRRefH22_6x_0" localSheetId="81">'413'!$H$56</definedName>
    <definedName name="OSRRefH22_6x_0" localSheetId="82">'414'!$H$57</definedName>
    <definedName name="OSRRefH22_6x_0" localSheetId="83">'415'!$H$57</definedName>
    <definedName name="OSRRefH22_6x_0" localSheetId="84">'418'!$H$58</definedName>
    <definedName name="OSRRefH22_6x_0" localSheetId="80">'420'!$H$46:$H$47</definedName>
    <definedName name="OSRRefH22_6x_0" localSheetId="85">'423'!$H$50</definedName>
    <definedName name="OSRRefH22_6x_0" localSheetId="86">'424'!$H$55</definedName>
    <definedName name="OSRRefH22_6x_0" localSheetId="87">'425'!$H$60</definedName>
    <definedName name="OSRRefH22_6x_0" localSheetId="90">'430'!$H$49</definedName>
    <definedName name="OSRRefH22_6x_0" localSheetId="91">'433'!$H$57</definedName>
    <definedName name="OSRRefH22_6x_0" localSheetId="92">'435'!$H$55</definedName>
    <definedName name="OSRRefH22_6x_0" localSheetId="93">'444'!$H$57</definedName>
    <definedName name="OSRRefH22_6x_0" localSheetId="94">'450'!$H$58</definedName>
    <definedName name="OSRRefH22_6x_0" localSheetId="75">'491'!$H$68</definedName>
    <definedName name="OSRRefH22_6x_0" localSheetId="89">'492'!$H$60:$H$61</definedName>
    <definedName name="OSRRefH22_6x_0" localSheetId="96">'501'!$H$50</definedName>
    <definedName name="OSRRefH22_6x_0" localSheetId="39">'Div 2'!$H$53:$H$54</definedName>
    <definedName name="OSRRefH22_6x_0" localSheetId="47">'Div 3'!$H$206:$H$207</definedName>
    <definedName name="OSRRefH22_6x_0" localSheetId="73">'Div 4'!$H$69</definedName>
    <definedName name="OSRRefH22_6x_0" localSheetId="95">'Div 5'!$H$50</definedName>
    <definedName name="OSRRefH22_6x_0" localSheetId="64">'Div 6'!$H$90</definedName>
    <definedName name="OSRRefH22_6x_0" localSheetId="2">Summary!$H$238:$H$239</definedName>
    <definedName name="OSRRefH22_7x_0" localSheetId="41">'201'!$H$52</definedName>
    <definedName name="OSRRefH22_7x_0" localSheetId="42">'202'!$H$51</definedName>
    <definedName name="OSRRefH22_7x_0" localSheetId="43">'203'!$H$52</definedName>
    <definedName name="OSRRefH22_7x_0" localSheetId="44">'204'!$H$54:$H$57</definedName>
    <definedName name="OSRRefH22_7x_0" localSheetId="45">'205'!$H$52:$H$53</definedName>
    <definedName name="OSRRefH22_7x_0" localSheetId="46">'206'!$H$51:$H$52</definedName>
    <definedName name="OSRRefH22_7x_0" localSheetId="48">'300'!$H$204:$H$205</definedName>
    <definedName name="OSRRefH22_7x_0" localSheetId="49">'300 &amp; 317'!$H$229:$H$230</definedName>
    <definedName name="OSRRefH22_7x_0" localSheetId="50">'301'!$H$56:$H$57</definedName>
    <definedName name="OSRRefH22_7x_0" localSheetId="51">'306'!$H$51:$H$52</definedName>
    <definedName name="OSRRefH22_7x_0" localSheetId="53">'307'!$H$111</definedName>
    <definedName name="OSRRefH22_7x_0" localSheetId="55">'308'!$H$99</definedName>
    <definedName name="OSRRefH22_7x_0" localSheetId="67">'309'!$H$58</definedName>
    <definedName name="OSRRefH22_7x_0" localSheetId="66">'310'!$H$67</definedName>
    <definedName name="OSRRefH22_7x_0" localSheetId="74">'310 &amp; 491'!$H$76</definedName>
    <definedName name="OSRRefH22_7x_0" localSheetId="56">'311'!$H$99</definedName>
    <definedName name="OSRRefH22_7x_0" localSheetId="68">'313'!$H$61</definedName>
    <definedName name="OSRRefH22_7x_0" localSheetId="54">'314'!$H$90</definedName>
    <definedName name="OSRRefH22_7x_0" localSheetId="59">'315'!$H$91</definedName>
    <definedName name="OSRRefH22_7x_0" localSheetId="62">'316'!$H$67</definedName>
    <definedName name="OSRRefH22_7x_0" localSheetId="65">'317'!$H$92</definedName>
    <definedName name="OSRRefH22_7x_0" localSheetId="63">'320'!$H$62:$H$63</definedName>
    <definedName name="OSRRefH22_7x_0" localSheetId="69">'321'!$H$56</definedName>
    <definedName name="OSRRefH22_7x_0" localSheetId="70">'322'!$H$58</definedName>
    <definedName name="OSRRefH22_7x_0" localSheetId="71">'325'!$H$59</definedName>
    <definedName name="OSRRefH22_7x_0" localSheetId="60">'326'!$H$90</definedName>
    <definedName name="OSRRefH22_7x_0" localSheetId="52">'330'!$H$118</definedName>
    <definedName name="OSRRefH22_7x_0" localSheetId="58">'331'!$H$106</definedName>
    <definedName name="OSRRefH22_7x_0" localSheetId="61">'332'!$H$76:$H$77</definedName>
    <definedName name="OSRRefH22_7x_0" localSheetId="76">'405'!$H$59</definedName>
    <definedName name="OSRRefH22_7x_0" localSheetId="77">'406'!$H$59</definedName>
    <definedName name="OSRRefH22_7x_0" localSheetId="78">'411'!$H$55</definedName>
    <definedName name="OSRRefH22_7x_0" localSheetId="79">'412'!$H$60</definedName>
    <definedName name="OSRRefH22_7x_0" localSheetId="81">'413'!$H$58</definedName>
    <definedName name="OSRRefH22_7x_0" localSheetId="82">'414'!$H$59</definedName>
    <definedName name="OSRRefH22_7x_0" localSheetId="83">'415'!$H$59</definedName>
    <definedName name="OSRRefH22_7x_0" localSheetId="84">'418'!$H$60</definedName>
    <definedName name="OSRRefH22_7x_0" localSheetId="80">'420'!$H$49</definedName>
    <definedName name="OSRRefH22_7x_0" localSheetId="86">'424'!$H$57</definedName>
    <definedName name="OSRRefH22_7x_0" localSheetId="87">'425'!$H$62</definedName>
    <definedName name="OSRRefH22_7x_0" localSheetId="90">'430'!$H$51:$H$53</definedName>
    <definedName name="OSRRefH22_7x_0" localSheetId="91">'433'!$H$59</definedName>
    <definedName name="OSRRefH22_7x_0" localSheetId="92">'435'!$H$57:$H$59</definedName>
    <definedName name="OSRRefH22_7x_0" localSheetId="93">'444'!$H$59</definedName>
    <definedName name="OSRRefH22_7x_0" localSheetId="94">'450'!$H$60</definedName>
    <definedName name="OSRRefH22_7x_0" localSheetId="75">'491'!$H$70</definedName>
    <definedName name="OSRRefH22_7x_0" localSheetId="89">'492'!$H$63</definedName>
    <definedName name="OSRRefH22_7x_0" localSheetId="96">'501'!$H$52</definedName>
    <definedName name="OSRRefH22_7x_0" localSheetId="39">'Div 2'!$H$56</definedName>
    <definedName name="OSRRefH22_7x_0" localSheetId="47">'Div 3'!$H$209:$H$210</definedName>
    <definedName name="OSRRefH22_7x_0" localSheetId="73">'Div 4'!$H$71:$H$72</definedName>
    <definedName name="OSRRefH22_7x_0" localSheetId="95">'Div 5'!$H$52</definedName>
    <definedName name="OSRRefH22_7x_0" localSheetId="64">'Div 6'!$H$92</definedName>
    <definedName name="OSRRefH22_7x_0" localSheetId="2">Summary!$H$241:$H$243</definedName>
    <definedName name="OSRRefH22_8x_0" localSheetId="41">'201'!$H$54</definedName>
    <definedName name="OSRRefH22_8x_0" localSheetId="42">'202'!$H$53</definedName>
    <definedName name="OSRRefH22_8x_0" localSheetId="43">'203'!$H$54</definedName>
    <definedName name="OSRRefH22_8x_0" localSheetId="44">'204'!$H$59</definedName>
    <definedName name="OSRRefH22_8x_0" localSheetId="45">'205'!$H$55</definedName>
    <definedName name="OSRRefH22_8x_0" localSheetId="46">'206'!$H$54</definedName>
    <definedName name="OSRRefH22_8x_0" localSheetId="48">'300'!$H$207</definedName>
    <definedName name="OSRRefH22_8x_0" localSheetId="49">'300 &amp; 317'!$H$232</definedName>
    <definedName name="OSRRefH22_8x_0" localSheetId="50">'301'!$H$59</definedName>
    <definedName name="OSRRefH22_8x_0" localSheetId="51">'306'!$H$54:$H$57</definedName>
    <definedName name="OSRRefH22_8x_0" localSheetId="53">'307'!$H$113:$H$114</definedName>
    <definedName name="OSRRefH22_8x_0" localSheetId="55">'308'!$H$101</definedName>
    <definedName name="OSRRefH22_8x_0" localSheetId="67">'309'!$H$60</definedName>
    <definedName name="OSRRefH22_8x_0" localSheetId="66">'310'!$H$69</definedName>
    <definedName name="OSRRefH22_8x_0" localSheetId="74">'310 &amp; 491'!$H$78</definedName>
    <definedName name="OSRRefH22_8x_0" localSheetId="56">'311'!$H$101</definedName>
    <definedName name="OSRRefH22_8x_0" localSheetId="68">'313'!$H$63</definedName>
    <definedName name="OSRRefH22_8x_0" localSheetId="54">'314'!$H$92</definedName>
    <definedName name="OSRRefH22_8x_0" localSheetId="59">'315'!$H$93</definedName>
    <definedName name="OSRRefH22_8x_0" localSheetId="62">'316'!$H$69</definedName>
    <definedName name="OSRRefH22_8x_0" localSheetId="65">'317'!$H$94</definedName>
    <definedName name="OSRRefH22_8x_0" localSheetId="63">'320'!$H$65</definedName>
    <definedName name="OSRRefH22_8x_0" localSheetId="69">'321'!$H$58</definedName>
    <definedName name="OSRRefH22_8x_0" localSheetId="70">'322'!$H$60</definedName>
    <definedName name="OSRRefH22_8x_0" localSheetId="71">'325'!$H$61</definedName>
    <definedName name="OSRRefH22_8x_0" localSheetId="60">'326'!$H$92</definedName>
    <definedName name="OSRRefH22_8x_0" localSheetId="52">'330'!$H$120</definedName>
    <definedName name="OSRRefH22_8x_0" localSheetId="58">'331'!$H$108:$H$109</definedName>
    <definedName name="OSRRefH22_8x_0" localSheetId="61">'332'!$H$79</definedName>
    <definedName name="OSRRefH22_8x_0" localSheetId="76">'405'!$H$61</definedName>
    <definedName name="OSRRefH22_8x_0" localSheetId="77">'406'!$H$61</definedName>
    <definedName name="OSRRefH22_8x_0" localSheetId="78">'411'!$H$57</definedName>
    <definedName name="OSRRefH22_8x_0" localSheetId="79">'412'!$H$62</definedName>
    <definedName name="OSRRefH22_8x_0" localSheetId="81">'413'!$H$60:$H$62</definedName>
    <definedName name="OSRRefH22_8x_0" localSheetId="82">'414'!$H$61</definedName>
    <definedName name="OSRRefH22_8x_0" localSheetId="83">'415'!$H$61</definedName>
    <definedName name="OSRRefH22_8x_0" localSheetId="84">'418'!$H$62</definedName>
    <definedName name="OSRRefH22_8x_0" localSheetId="86">'424'!$H$59:$H$60</definedName>
    <definedName name="OSRRefH22_8x_0" localSheetId="87">'425'!$H$64</definedName>
    <definedName name="OSRRefH22_8x_0" localSheetId="90">'430'!$H$55</definedName>
    <definedName name="OSRRefH22_8x_0" localSheetId="91">'433'!$H$61</definedName>
    <definedName name="OSRRefH22_8x_0" localSheetId="92">'435'!$H$61</definedName>
    <definedName name="OSRRefH22_8x_0" localSheetId="93">'444'!$H$61</definedName>
    <definedName name="OSRRefH22_8x_0" localSheetId="94">'450'!$H$62</definedName>
    <definedName name="OSRRefH22_8x_0" localSheetId="75">'491'!$H$72</definedName>
    <definedName name="OSRRefH22_8x_0" localSheetId="89">'492'!$H$65</definedName>
    <definedName name="OSRRefH22_8x_0" localSheetId="96">'501'!$H$54</definedName>
    <definedName name="OSRRefH22_8x_0" localSheetId="39">'Div 2'!$H$58</definedName>
    <definedName name="OSRRefH22_8x_0" localSheetId="47">'Div 3'!$H$212</definedName>
    <definedName name="OSRRefH22_8x_0" localSheetId="73">'Div 4'!$H$74</definedName>
    <definedName name="OSRRefH22_8x_0" localSheetId="95">'Div 5'!$H$54</definedName>
    <definedName name="OSRRefH22_8x_0" localSheetId="64">'Div 6'!$H$94</definedName>
    <definedName name="OSRRefH22_8x_0" localSheetId="2">Summary!$H$245</definedName>
    <definedName name="OSRRefH22_9x_0" localSheetId="41">'201'!$H$56</definedName>
    <definedName name="OSRRefH22_9x_0" localSheetId="42">'202'!$H$55:$H$57</definedName>
    <definedName name="OSRRefH22_9x_0" localSheetId="43">'203'!$H$56:$H$58</definedName>
    <definedName name="OSRRefH22_9x_0" localSheetId="44">'204'!$H$61:$H$62</definedName>
    <definedName name="OSRRefH22_9x_0" localSheetId="45">'205'!$H$57</definedName>
    <definedName name="OSRRefH22_9x_0" localSheetId="46">'206'!$H$56</definedName>
    <definedName name="OSRRefH22_9x_0" localSheetId="48">'300'!$H$209</definedName>
    <definedName name="OSRRefH22_9x_0" localSheetId="49">'300 &amp; 317'!$H$234</definedName>
    <definedName name="OSRRefH22_9x_0" localSheetId="50">'301'!$H$61</definedName>
    <definedName name="OSRRefH22_9x_0" localSheetId="51">'306'!$H$59</definedName>
    <definedName name="OSRRefH22_9x_0" localSheetId="53">'307'!$H$116:$H$117</definedName>
    <definedName name="OSRRefH22_9x_0" localSheetId="55">'308'!$H$103:$H$105</definedName>
    <definedName name="OSRRefH22_9x_0" localSheetId="67">'309'!$H$62:$H$63</definedName>
    <definedName name="OSRRefH22_9x_0" localSheetId="66">'310'!$H$71</definedName>
    <definedName name="OSRRefH22_9x_0" localSheetId="74">'310 &amp; 491'!$H$80</definedName>
    <definedName name="OSRRefH22_9x_0" localSheetId="56">'311'!$H$103:$H$105</definedName>
    <definedName name="OSRRefH22_9x_0" localSheetId="68">'313'!$H$65</definedName>
    <definedName name="OSRRefH22_9x_0" localSheetId="54">'314'!$H$94</definedName>
    <definedName name="OSRRefH22_9x_0" localSheetId="59">'315'!$H$95:$H$96</definedName>
    <definedName name="OSRRefH22_9x_0" localSheetId="62">'316'!$H$71:$H$72</definedName>
    <definedName name="OSRRefH22_9x_0" localSheetId="65">'317'!$H$96:$H$97</definedName>
    <definedName name="OSRRefH22_9x_0" localSheetId="69">'321'!$H$60:$H$62</definedName>
    <definedName name="OSRRefH22_9x_0" localSheetId="70">'322'!$H$62:$H$64</definedName>
    <definedName name="OSRRefH22_9x_0" localSheetId="71">'325'!$H$63</definedName>
    <definedName name="OSRRefH22_9x_0" localSheetId="60">'326'!$H$94</definedName>
    <definedName name="OSRRefH22_9x_0" localSheetId="52">'330'!$H$122:$H$123</definedName>
    <definedName name="OSRRefH22_9x_0" localSheetId="58">'331'!$H$111</definedName>
    <definedName name="OSRRefH22_9x_0" localSheetId="61">'332'!$H$81</definedName>
    <definedName name="OSRRefH22_9x_0" localSheetId="76">'405'!$H$63</definedName>
    <definedName name="OSRRefH22_9x_0" localSheetId="77">'406'!$H$63:$H$65</definedName>
    <definedName name="OSRRefH22_9x_0" localSheetId="78">'411'!$H$59</definedName>
    <definedName name="OSRRefH22_9x_0" localSheetId="79">'412'!$H$64:$H$65</definedName>
    <definedName name="OSRRefH22_9x_0" localSheetId="81">'413'!$H$64:$H$65</definedName>
    <definedName name="OSRRefH22_9x_0" localSheetId="82">'414'!$H$63:$H$64</definedName>
    <definedName name="OSRRefH22_9x_0" localSheetId="83">'415'!$H$63</definedName>
    <definedName name="OSRRefH22_9x_0" localSheetId="84">'418'!$H$64</definedName>
    <definedName name="OSRRefH22_9x_0" localSheetId="86">'424'!$H$62:$H$64</definedName>
    <definedName name="OSRRefH22_9x_0" localSheetId="87">'425'!$H$66:$H$68</definedName>
    <definedName name="OSRRefH22_9x_0" localSheetId="90">'430'!$H$57</definedName>
    <definedName name="OSRRefH22_9x_0" localSheetId="91">'433'!$H$63</definedName>
    <definedName name="OSRRefH22_9x_0" localSheetId="93">'444'!$H$63</definedName>
    <definedName name="OSRRefH22_9x_0" localSheetId="94">'450'!$H$64</definedName>
    <definedName name="OSRRefH22_9x_0" localSheetId="75">'491'!$H$74</definedName>
    <definedName name="OSRRefH22_9x_0" localSheetId="89">'492'!$H$67</definedName>
    <definedName name="OSRRefH22_9x_0" localSheetId="96">'501'!$H$56</definedName>
    <definedName name="OSRRefH22_9x_0" localSheetId="39">'Div 2'!$H$60</definedName>
    <definedName name="OSRRefH22_9x_0" localSheetId="47">'Div 3'!$H$214</definedName>
    <definedName name="OSRRefH22_9x_0" localSheetId="73">'Div 4'!$H$76</definedName>
    <definedName name="OSRRefH22_9x_0" localSheetId="95">'Div 5'!$H$56</definedName>
    <definedName name="OSRRefH22_9x_0" localSheetId="64">'Div 6'!$H$96:$H$97</definedName>
    <definedName name="OSRRefH22_9x_0" localSheetId="2">Summary!$H$247</definedName>
    <definedName name="OSRRefH22x_0" localSheetId="40">'200'!$H$20,'200'!$H$22,'200'!$H$24,'200'!$H$26,'200'!$H$28:$H$29</definedName>
    <definedName name="OSRRefH22x_0" localSheetId="41">'201'!$H$20:$H$28,'201'!$H$30:$H$39,'201'!$H$41,'201'!$H$43,'201'!$H$45:$H$46,'201'!$H$48,'201'!$H$50,'201'!$H$52,'201'!$H$54,'201'!$H$56,'201'!$H$58:$H$60,'201'!$H$62:$H$64,'201'!$H$66,'201'!$H$68:$H$70,'201'!$H$72,'201'!$H$74,'201'!$H$76:$H$77</definedName>
    <definedName name="OSRRefH22x_0" localSheetId="42">'202'!$H$20:$H$28,'202'!$H$30:$H$39,'202'!$H$41,'202'!$H$43,'202'!$H$45,'202'!$H$47,'202'!$H$49,'202'!$H$51,'202'!$H$53,'202'!$H$55:$H$57,'202'!$H$59,'202'!$H$61:$H$63,'202'!$H$65,'202'!$H$67,'202'!$H$69:$H$70,'202'!$H$72,'202'!$H$74</definedName>
    <definedName name="OSRRefH22x_0" localSheetId="43">'203'!$H$20:$H$29,'203'!$H$31:$H$40,'203'!$H$42,'203'!$H$44,'203'!$H$46,'203'!$H$48,'203'!$H$50,'203'!$H$52,'203'!$H$54,'203'!$H$56:$H$58,'203'!$H$60:$H$61,'203'!$H$63,'203'!$H$65:$H$67,'203'!$H$69,'203'!$H$71,'203'!$H$73</definedName>
    <definedName name="OSRRefH22x_0" localSheetId="44">'204'!$H$21:$H$30,'204'!$H$32:$H$41,'204'!$H$43,'204'!$H$45:$H$46,'204'!$H$48,'204'!$H$50,'204'!$H$52,'204'!$H$54:$H$57,'204'!$H$59,'204'!$H$61:$H$62,'204'!$H$64:$H$65,'204'!$H$67,'204'!$H$69:$H$70</definedName>
    <definedName name="OSRRefH22x_0" localSheetId="45">'205'!$H$20:$H$28,'205'!$H$30:$H$39,'205'!$H$41,'205'!$H$43,'205'!$H$45,'205'!$H$47:$H$48,'205'!$H$50,'205'!$H$52:$H$53,'205'!$H$55,'205'!$H$57</definedName>
    <definedName name="OSRRefH22x_0" localSheetId="46">'206'!$H$20:$H$28,'206'!$H$30:$H$39,'206'!$H$41,'206'!$H$43,'206'!$H$45,'206'!$H$47,'206'!$H$49,'206'!$H$51:$H$52,'206'!$H$54,'206'!$H$56,'206'!$H$58</definedName>
    <definedName name="OSRRefH22x_0" localSheetId="48">'300'!$H$167:$H$176,'300'!$H$178:$H$187,'300'!$H$189,'300'!$H$191:$H$192,'300'!$H$194,'300'!$H$196:$H$199,'300'!$H$201:$H$202,'300'!$H$204:$H$205,'300'!$H$207,'300'!$H$209,'300'!$H$211:$H$212,'300'!$H$214,'300'!$H$216,'300'!$H$218,'300'!$H$220,'300'!$H$222,'300'!$H$224:$H$227,'300'!$H$229:$H$232,'300'!$H$234:$H$237,'300'!$H$239:$H$240,'300'!$H$242:$H$248,'300'!$H$250:$H$251,'300'!$H$253,'300'!$H$255:$H$257,'300'!$H$259</definedName>
    <definedName name="OSRRefH22x_0" localSheetId="49">'300 &amp; 317'!$H$192:$H$201,'300 &amp; 317'!$H$203:$H$212,'300 &amp; 317'!$H$214,'300 &amp; 317'!$H$216:$H$217,'300 &amp; 317'!$H$219,'300 &amp; 317'!$H$221:$H$224,'300 &amp; 317'!$H$226:$H$227,'300 &amp; 317'!$H$229:$H$230,'300 &amp; 317'!$H$232,'300 &amp; 317'!$H$234,'300 &amp; 317'!$H$236:$H$237,'300 &amp; 317'!$H$239,'300 &amp; 317'!$H$241,'300 &amp; 317'!$H$243,'300 &amp; 317'!$H$245,'300 &amp; 317'!$H$247,'300 &amp; 317'!$H$249:$H$252,'300 &amp; 317'!$H$254:$H$257,'300 &amp; 317'!$H$259:$H$262,'300 &amp; 317'!$H$264:$H$265,'300 &amp; 317'!$H$267:$H$273,'300 &amp; 317'!$H$275:$H$276,'300 &amp; 317'!$H$278,'300 &amp; 317'!$H$280:$H$282,'300 &amp; 317'!$H$284</definedName>
    <definedName name="OSRRefH22x_0" localSheetId="50">'301'!$H$20:$H$28,'301'!$H$30:$H$39,'301'!$H$41,'301'!$H$43:$H$44,'301'!$H$46,'301'!$H$48:$H$51,'301'!$H$53:$H$54,'301'!$H$56:$H$57,'301'!$H$59,'301'!$H$61,'301'!$H$63,'301'!$H$65,'301'!$H$67,'301'!$H$69,'301'!$H$71,'301'!$H$73:$H$76,'301'!$H$78:$H$80,'301'!$H$82:$H$83,'301'!$H$85:$H$90,'301'!$H$92,'301'!$H$94,'301'!$H$96:$H$98,'301'!$H$100</definedName>
    <definedName name="OSRRefH22x_0" localSheetId="51">'306'!$H$20:$H$28,'306'!$H$30:$H$39,'306'!$H$41,'306'!$H$43,'306'!$H$45,'306'!$H$47,'306'!$H$49,'306'!$H$51:$H$52,'306'!$H$54:$H$57,'306'!$H$59,'306'!$H$61</definedName>
    <definedName name="OSRRefH22x_0" localSheetId="53">'307'!$H$79:$H$87,'307'!$H$89:$H$98,'307'!$H$100,'307'!$H$102,'307'!$H$104:$H$105,'307'!$H$107,'307'!$H$109,'307'!$H$111,'307'!$H$113:$H$114,'307'!$H$116:$H$117,'307'!$H$119:$H$121,'307'!$H$123,'307'!$H$125</definedName>
    <definedName name="OSRRefH22x_0" localSheetId="55">'308'!$H$65:$H$74,'308'!$H$76:$H$85,'308'!$H$87,'308'!$H$89:$H$90,'308'!$H$92,'308'!$H$94,'308'!$H$96:$H$97,'308'!$H$99,'308'!$H$101,'308'!$H$103:$H$105,'308'!$H$107,'308'!$H$109:$H$111,'308'!$H$113:$H$114,'308'!$H$116,'308'!$H$118:$H$119</definedName>
    <definedName name="OSRRefH22x_0" localSheetId="67">'309'!$H$26:$H$34,'309'!$H$36:$H$45,'309'!$H$47,'309'!$H$49,'309'!$H$51,'309'!$H$53:$H$54,'309'!$H$56,'309'!$H$58,'309'!$H$60,'309'!$H$62:$H$63,'309'!$H$65:$H$67,'309'!$H$69:$H$71,'309'!$H$73,'309'!$H$75</definedName>
    <definedName name="OSRRefH22x_0" localSheetId="66">'310'!$H$34:$H$42,'310'!$H$44:$H$53,'310'!$H$55,'310'!$H$57,'310'!$H$59,'310'!$H$61:$H$63,'310'!$H$65,'310'!$H$67,'310'!$H$69,'310'!$H$71,'310'!$H$73,'310'!$H$75,'310'!$H$77,'310'!$H$79,'310'!$H$81,'310'!$H$83:$H$85,'310'!$H$87:$H$88,'310'!$H$90:$H$94,'310'!$H$96,'310'!$H$98:$H$106,'310'!$H$108,'310'!$H$110,'310'!$H$112,'310'!$H$114</definedName>
    <definedName name="OSRRefH22x_0" localSheetId="74">'310 &amp; 491'!$H$41:$H$50,'310 &amp; 491'!$H$52:$H$61,'310 &amp; 491'!$H$63,'310 &amp; 491'!$H$65,'310 &amp; 491'!$H$67,'310 &amp; 491'!$H$69:$H$72,'310 &amp; 491'!$H$74,'310 &amp; 491'!$H$76,'310 &amp; 491'!$H$78,'310 &amp; 491'!$H$80,'310 &amp; 491'!$H$82,'310 &amp; 491'!$H$84:$H$85,'310 &amp; 491'!$H$87,'310 &amp; 491'!$H$89,'310 &amp; 491'!$H$91,'310 &amp; 491'!$H$93,'310 &amp; 491'!$H$95,'310 &amp; 491'!$H$97:$H$100,'310 &amp; 491'!$H$102:$H$105,'310 &amp; 491'!$H$107:$H$112,'310 &amp; 491'!$H$114:$H$115,'310 &amp; 491'!$H$117:$H$126,'310 &amp; 491'!$H$128:$H$129,'310 &amp; 491'!$H$131,'310 &amp; 491'!$H$133:$H$135,'310 &amp; 491'!$H$137</definedName>
    <definedName name="OSRRefH22x_0" localSheetId="56">'311'!$H$65:$H$74,'311'!$H$76:$H$85,'311'!$H$87,'311'!$H$89:$H$90,'311'!$H$92,'311'!$H$94,'311'!$H$96:$H$97,'311'!$H$99,'311'!$H$101,'311'!$H$103:$H$105,'311'!$H$107,'311'!$H$109:$H$111,'311'!$H$113:$H$114,'311'!$H$116,'311'!$H$118:$H$119</definedName>
    <definedName name="OSRRefH22x_0" localSheetId="68">'313'!$H$30:$H$38,'313'!$H$40:$H$49,'313'!$H$51,'313'!$H$53,'313'!$H$55,'313'!$H$57,'313'!$H$59,'313'!$H$61,'313'!$H$63,'313'!$H$65,'313'!$H$67:$H$69,'313'!$H$71,'313'!$H$73:$H$78,'313'!$H$80,'313'!$H$82</definedName>
    <definedName name="OSRRefH22x_0" localSheetId="54">'314'!$H$58:$H$66,'314'!$H$68:$H$77,'314'!$H$79,'314'!$H$81:$H$82,'314'!$H$84,'314'!$H$86,'314'!$H$88,'314'!$H$90,'314'!$H$92,'314'!$H$94,'314'!$H$96</definedName>
    <definedName name="OSRRefH22x_0" localSheetId="59">'315'!$H$58:$H$66,'315'!$H$68:$H$77,'315'!$H$79,'315'!$H$81:$H$82,'315'!$H$84,'315'!$H$86:$H$87,'315'!$H$89,'315'!$H$91,'315'!$H$93,'315'!$H$95:$H$96,'315'!$H$98:$H$100,'315'!$H$102:$H$103,'315'!$H$105:$H$109,'315'!$H$111,'315'!$H$113,'315'!$H$115:$H$116</definedName>
    <definedName name="OSRRefH22x_0" localSheetId="62">'316'!$H$36:$H$44,'316'!$H$46:$H$55,'316'!$H$57,'316'!$H$59,'316'!$H$61,'316'!$H$63,'316'!$H$65,'316'!$H$67,'316'!$H$69,'316'!$H$71:$H$72,'316'!$H$74:$H$75,'316'!$H$77:$H$81,'316'!$H$83:$H$84,'316'!$H$86</definedName>
    <definedName name="OSRRefH22x_0" localSheetId="65">'317'!$H$60:$H$69,'317'!$H$71:$H$80,'317'!$H$82,'317'!$H$84,'317'!$H$86,'317'!$H$88,'317'!$H$90,'317'!$H$92,'317'!$H$94,'317'!$H$96:$H$97,'317'!$H$99:$H$100,'317'!$H$102,'317'!$H$104</definedName>
    <definedName name="OSRRefH22x_0" localSheetId="63">'320'!$H$31:$H$38,'320'!$H$40:$H$49,'320'!$H$51,'320'!$H$53,'320'!$H$55:$H$56,'320'!$H$58,'320'!$H$60,'320'!$H$62:$H$63,'320'!$H$65</definedName>
    <definedName name="OSRRefH22x_0" localSheetId="69">'321'!$H$26:$H$33,'321'!$H$35:$H$44,'321'!$H$46,'321'!$H$48,'321'!$H$50,'321'!$H$52,'321'!$H$54,'321'!$H$56,'321'!$H$58,'321'!$H$60:$H$62,'321'!$H$64:$H$65,'321'!$H$67:$H$69,'321'!$H$71:$H$74,'321'!$H$76,'321'!$H$78</definedName>
    <definedName name="OSRRefH22x_0" localSheetId="70">'322'!$H$26:$H$34,'322'!$H$36:$H$45,'322'!$H$47,'322'!$H$49,'322'!$H$51,'322'!$H$53:$H$54,'322'!$H$56,'322'!$H$58,'322'!$H$60,'322'!$H$62:$H$64,'322'!$H$66:$H$68,'322'!$H$70:$H$76,'322'!$H$78,'322'!$H$80</definedName>
    <definedName name="OSRRefH22x_0" localSheetId="71">'325'!$H$26:$H$34,'325'!$H$36:$H$45,'325'!$H$47,'325'!$H$49,'325'!$H$51,'325'!$H$53:$H$55,'325'!$H$57,'325'!$H$59,'325'!$H$61,'325'!$H$63,'325'!$H$65,'325'!$H$67:$H$69,'325'!$H$71:$H$74,'325'!$H$76,'325'!$H$78:$H$84,'325'!$H$86,'325'!$H$88,'325'!$H$90,'325'!$H$92</definedName>
    <definedName name="OSRRefH22x_0" localSheetId="60">'326'!$H$58:$H$66,'326'!$H$68:$H$77,'326'!$H$79,'326'!$H$81:$H$82,'326'!$H$84,'326'!$H$86,'326'!$H$88,'326'!$H$90,'326'!$H$92,'326'!$H$94,'326'!$H$96,'326'!$H$98,'326'!$H$100,'326'!$H$102:$H$103,'326'!$H$105:$H$107,'326'!$H$109:$H$110,'326'!$H$112:$H$117,'326'!$H$119:$H$120,'326'!$H$122,'326'!$H$124,'326'!$H$126</definedName>
    <definedName name="OSRRefH22x_0" localSheetId="72">'327'!$H$24,'327'!$H$26,'327'!$H$28</definedName>
    <definedName name="OSRRefH22x_0" localSheetId="52">'330'!$H$86:$H$94,'330'!$H$96:$H$105,'330'!$H$107,'330'!$H$109,'330'!$H$111:$H$112,'330'!$H$114,'330'!$H$116,'330'!$H$118,'330'!$H$120,'330'!$H$122:$H$123,'330'!$H$125:$H$126,'330'!$H$128,'330'!$H$130:$H$132,'330'!$H$134,'330'!$H$136,'330'!$H$138</definedName>
    <definedName name="OSRRefH22x_0" localSheetId="58">'331'!$H$73:$H$81,'331'!$H$83:$H$92,'331'!$H$94,'331'!$H$96:$H$97,'331'!$H$99,'331'!$H$101:$H$102,'331'!$H$104,'331'!$H$106,'331'!$H$108:$H$109,'331'!$H$111,'331'!$H$113,'331'!$H$115,'331'!$H$117,'331'!$H$119,'331'!$H$121:$H$122,'331'!$H$124:$H$126,'331'!$H$128:$H$130,'331'!$H$132:$H$133,'331'!$H$135:$H$140,'331'!$H$142:$H$143,'331'!$H$145,'331'!$H$147:$H$148,'331'!$H$150</definedName>
    <definedName name="OSRRefH22x_0" localSheetId="61">'332'!$H$45:$H$53,'332'!$H$55:$H$64,'332'!$H$66,'332'!$H$68,'332'!$H$70,'332'!$H$72,'332'!$H$74,'332'!$H$76:$H$77,'332'!$H$79,'332'!$H$81,'332'!$H$83:$H$84,'332'!$H$86:$H$87,'332'!$H$89:$H$93,'332'!$H$95:$H$96,'332'!$H$98</definedName>
    <definedName name="OSRRefH22x_0" localSheetId="76">'405'!$H$26:$H$34,'405'!$H$36:$H$45,'405'!$H$47,'405'!$H$49,'405'!$H$51,'405'!$H$53:$H$55,'405'!$H$57,'405'!$H$59,'405'!$H$61,'405'!$H$63,'405'!$H$65,'405'!$H$67:$H$69,'405'!$H$71,'405'!$H$73:$H$75,'405'!$H$77:$H$78,'405'!$H$80:$H$88,'405'!$H$90,'405'!$H$92,'405'!$H$94,'405'!$H$96</definedName>
    <definedName name="OSRRefH22x_0" localSheetId="77">'406'!$H$27:$H$35,'406'!$H$37:$H$46,'406'!$H$48,'406'!$H$50,'406'!$H$52,'406'!$H$54:$H$55,'406'!$H$57,'406'!$H$59,'406'!$H$61,'406'!$H$63:$H$65,'406'!$H$67:$H$69,'406'!$H$71:$H$76,'406'!$H$78:$H$79,'406'!$H$81,'406'!$H$83:$H$84</definedName>
    <definedName name="OSRRefH22x_0" localSheetId="78">'411'!$H$20:$H$29,'411'!$H$31:$H$40,'411'!$H$42,'411'!$H$44:$H$47,'411'!$H$49,'411'!$H$51,'411'!$H$53,'411'!$H$55,'411'!$H$57,'411'!$H$59,'411'!$H$61:$H$63,'411'!$H$65:$H$69,'411'!$H$71,'411'!$H$73:$H$80,'411'!$H$82,'411'!$H$84,'411'!$H$86:$H$88,'411'!$H$90</definedName>
    <definedName name="OSRRefH22x_0" localSheetId="79">'412'!$H$27:$H$35,'412'!$H$37:$H$46,'412'!$H$48,'412'!$H$50,'412'!$H$52,'412'!$H$54:$H$56,'412'!$H$58,'412'!$H$60,'412'!$H$62,'412'!$H$64:$H$65,'412'!$H$67,'412'!$H$69:$H$71,'412'!$H$73:$H$80,'412'!$H$82,'412'!$H$84,'412'!$H$86</definedName>
    <definedName name="OSRRefH22x_0" localSheetId="81">'413'!$H$27:$H$35,'413'!$H$37:$H$46,'413'!$H$48,'413'!$H$50,'413'!$H$52,'413'!$H$54,'413'!$H$56,'413'!$H$58,'413'!$H$60:$H$62,'413'!$H$64:$H$65,'413'!$H$67:$H$73,'413'!$H$75:$H$76,'413'!$H$78,'413'!$H$80</definedName>
    <definedName name="OSRRefH22x_0" localSheetId="82">'414'!$H$27:$H$35,'414'!$H$37:$H$46,'414'!$H$48,'414'!$H$50,'414'!$H$52,'414'!$H$54:$H$55,'414'!$H$57,'414'!$H$59,'414'!$H$61,'414'!$H$63:$H$64,'414'!$H$66,'414'!$H$68,'414'!$H$70,'414'!$H$72:$H$78,'414'!$H$80,'414'!$H$82</definedName>
    <definedName name="OSRRefH22x_0" localSheetId="83">'415'!$H$26:$H$34,'415'!$H$36:$H$45,'415'!$H$47,'415'!$H$49,'415'!$H$51,'415'!$H$53:$H$55,'415'!$H$57,'415'!$H$59,'415'!$H$61,'415'!$H$63,'415'!$H$65,'415'!$H$67:$H$70,'415'!$H$72:$H$76,'415'!$H$78:$H$79,'415'!$H$81:$H$89,'415'!$H$91,'415'!$H$93,'415'!$H$95:$H$96,'415'!$H$98</definedName>
    <definedName name="OSRRefH22x_0" localSheetId="84">'418'!$H$27:$H$35,'418'!$H$37:$H$46,'418'!$H$48,'418'!$H$50,'418'!$H$52,'418'!$H$54:$H$56,'418'!$H$58,'418'!$H$60,'418'!$H$62,'418'!$H$64,'418'!$H$66:$H$67,'418'!$H$69:$H$71,'418'!$H$73:$H$75,'418'!$H$77:$H$78,'418'!$H$80:$H$87,'418'!$H$89,'418'!$H$91,'418'!$H$93:$H$94</definedName>
    <definedName name="OSRRefH22x_0" localSheetId="80">'420'!$H$24:$H$31,'420'!$H$33:$H$36,'420'!$H$38,'420'!$H$40,'420'!$H$42,'420'!$H$44,'420'!$H$46:$H$47,'420'!$H$49</definedName>
    <definedName name="OSRRefH22x_0" localSheetId="85">'423'!$H$21:$H$29,'423'!$H$31:$H$40,'423'!$H$42,'423'!$H$44,'423'!$H$46,'423'!$H$48,'423'!$H$50</definedName>
    <definedName name="OSRRefH22x_0" localSheetId="86">'424'!$H$27:$H$34,'424'!$H$36:$H$45,'424'!$H$47,'424'!$H$49,'424'!$H$51,'424'!$H$53,'424'!$H$55,'424'!$H$57,'424'!$H$59:$H$60,'424'!$H$62:$H$64,'424'!$H$66,'424'!$H$68:$H$72,'424'!$H$74:$H$75</definedName>
    <definedName name="OSRRefH22x_0" localSheetId="87">'425'!$H$29:$H$38,'425'!$H$40:$H$49,'425'!$H$51,'425'!$H$53,'425'!$H$55,'425'!$H$57:$H$58,'425'!$H$60,'425'!$H$62,'425'!$H$64,'425'!$H$66:$H$68,'425'!$H$70:$H$71,'425'!$H$73:$H$75,'425'!$H$77,'425'!$H$79:$H$85,'425'!$H$87:$H$88,'425'!$H$90,'425'!$H$92</definedName>
    <definedName name="OSRRefH22x_0" localSheetId="90">'430'!$H$20:$H$28,'430'!$H$30:$H$39,'430'!$H$41,'430'!$H$43,'430'!$H$45,'430'!$H$47,'430'!$H$49,'430'!$H$51:$H$53,'430'!$H$55,'430'!$H$57,'430'!$H$59</definedName>
    <definedName name="OSRRefH22x_0" localSheetId="91">'433'!$H$27:$H$36,'433'!$H$38:$H$47,'433'!$H$49,'433'!$H$51,'433'!$H$53,'433'!$H$55,'433'!$H$57,'433'!$H$59,'433'!$H$61,'433'!$H$63,'433'!$H$65:$H$67,'433'!$H$69:$H$72,'433'!$H$74:$H$81,'433'!$H$83,'433'!$H$85,'433'!$H$87:$H$88</definedName>
    <definedName name="OSRRefH22x_0" localSheetId="92">'435'!$H$27:$H$34,'435'!$H$36:$H$45,'435'!$H$47,'435'!$H$49,'435'!$H$51,'435'!$H$53,'435'!$H$55,'435'!$H$57:$H$59,'435'!$H$61</definedName>
    <definedName name="OSRRefH22x_0" localSheetId="93">'444'!$H$27:$H$36,'444'!$H$38:$H$47,'444'!$H$49,'444'!$H$51,'444'!$H$53,'444'!$H$55,'444'!$H$57,'444'!$H$59,'444'!$H$61,'444'!$H$63,'444'!$H$65,'444'!$H$67:$H$69,'444'!$H$71:$H$74,'444'!$H$76:$H$83,'444'!$H$85,'444'!$H$87,'444'!$H$89</definedName>
    <definedName name="OSRRefH22x_0" localSheetId="94">'450'!$H$27:$H$36,'450'!$H$38:$H$47,'450'!$H$49,'450'!$H$51:$H$52,'450'!$H$54,'450'!$H$56,'450'!$H$58,'450'!$H$60,'450'!$H$62,'450'!$H$64,'450'!$H$66,'450'!$H$68,'450'!$H$70:$H$73,'450'!$H$75:$H$77,'450'!$H$79:$H$84,'450'!$H$86,'450'!$H$88,'450'!$H$90:$H$91</definedName>
    <definedName name="OSRRefH22x_0" localSheetId="88">'455'!$H$20:$H$27,'455'!$H$29:$H$38</definedName>
    <definedName name="OSRRefH22x_0" localSheetId="75">'491'!$H$35:$H$44,'491'!$H$46:$H$55,'491'!$H$57,'491'!$H$59,'491'!$H$61,'491'!$H$63:$H$66,'491'!$H$68,'491'!$H$70,'491'!$H$72,'491'!$H$74,'491'!$H$76:$H$77,'491'!$H$79,'491'!$H$81,'491'!$H$83,'491'!$H$85,'491'!$H$87:$H$90,'491'!$H$92:$H$95,'491'!$H$97:$H$101,'491'!$H$103:$H$104,'491'!$H$106:$H$115,'491'!$H$117:$H$118,'491'!$H$120,'491'!$H$122:$H$124,'491'!$H$126</definedName>
    <definedName name="OSRRefH22x_0" localSheetId="89">'492'!$H$29:$H$38,'492'!$H$40:$H$49,'492'!$H$51,'492'!$H$53:$H$54,'492'!$H$56,'492'!$H$58,'492'!$H$60:$H$61,'492'!$H$63,'492'!$H$65,'492'!$H$67,'492'!$H$69,'492'!$H$71,'492'!$H$73,'492'!$H$75:$H$78,'492'!$H$80:$H$83,'492'!$H$85:$H$93,'492'!$H$95,'492'!$H$97,'492'!$H$99:$H$100</definedName>
    <definedName name="OSRRefH22x_0" localSheetId="96">'501'!$H$21:$H$29,'501'!$H$31:$H$40,'501'!$H$42,'501'!$H$44,'501'!$H$46,'501'!$H$48,'501'!$H$50,'501'!$H$52,'501'!$H$54,'501'!$H$56,'501'!$H$58:$H$61,'501'!$H$63,'501'!$H$65:$H$67,'501'!$H$69,'501'!$H$71</definedName>
    <definedName name="OSRRefH22x_0" localSheetId="39">'Div 2'!$H$21:$H$31,'Div 2'!$H$33:$H$42,'Div 2'!$H$44,'Div 2'!$H$46,'Div 2'!$H$48,'Div 2'!$H$50:$H$51,'Div 2'!$H$53:$H$54,'Div 2'!$H$56,'Div 2'!$H$58,'Div 2'!$H$60,'Div 2'!$H$62,'Div 2'!$H$64,'Div 2'!$H$66:$H$68,'Div 2'!$H$70:$H$73,'Div 2'!$H$75:$H$78,'Div 2'!$H$80:$H$81,'Div 2'!$H$83:$H$84,'Div 2'!$H$86:$H$90,'Div 2'!$H$92:$H$93,'Div 2'!$H$95,'Div 2'!$H$97:$H$98</definedName>
    <definedName name="OSRRefH22x_0" localSheetId="47">'Div 3'!$H$172:$H$181,'Div 3'!$H$183:$H$192,'Div 3'!$H$194,'Div 3'!$H$196:$H$197,'Div 3'!$H$199,'Div 3'!$H$201:$H$204,'Div 3'!$H$206:$H$207,'Div 3'!$H$209:$H$210,'Div 3'!$H$212,'Div 3'!$H$214,'Div 3'!$H$216:$H$217,'Div 3'!$H$219,'Div 3'!$H$221,'Div 3'!$H$223,'Div 3'!$H$225,'Div 3'!$H$227,'Div 3'!$H$229,'Div 3'!$H$231,'Div 3'!$H$233:$H$236,'Div 3'!$H$238:$H$241,'Div 3'!$H$243:$H$248,'Div 3'!$H$250:$H$251,'Div 3'!$H$253:$H$261,'Div 3'!$H$263:$H$264,'Div 3'!$H$266,'Div 3'!$H$268:$H$270,'Div 3'!$H$272</definedName>
    <definedName name="OSRRefH22x_0" localSheetId="73">'Div 4'!$H$35:$H$44,'Div 4'!$H$46:$H$55,'Div 4'!$H$57,'Div 4'!$H$59:$H$60,'Div 4'!$H$62,'Div 4'!$H$64:$H$67,'Div 4'!$H$69,'Div 4'!$H$71:$H$72,'Div 4'!$H$74,'Div 4'!$H$76,'Div 4'!$H$78,'Div 4'!$H$80:$H$81,'Div 4'!$H$83,'Div 4'!$H$85,'Div 4'!$H$87,'Div 4'!$H$89,'Div 4'!$H$91,'Div 4'!$H$93:$H$96,'Div 4'!$H$98:$H$101,'Div 4'!$H$103:$H$107,'Div 4'!$H$109:$H$110,'Div 4'!$H$112:$H$121,'Div 4'!$H$123:$H$124,'Div 4'!$H$126,'Div 4'!$H$128:$H$130,'Div 4'!$H$132</definedName>
    <definedName name="OSRRefH22x_0" localSheetId="95">'Div 5'!$H$21:$H$29,'Div 5'!$H$31:$H$40,'Div 5'!$H$42,'Div 5'!$H$44,'Div 5'!$H$46,'Div 5'!$H$48,'Div 5'!$H$50,'Div 5'!$H$52,'Div 5'!$H$54,'Div 5'!$H$56,'Div 5'!$H$58:$H$61,'Div 5'!$H$63,'Div 5'!$H$65:$H$67,'Div 5'!$H$69,'Div 5'!$H$71</definedName>
    <definedName name="OSRRefH22x_0" localSheetId="64">'Div 6'!$H$60:$H$69,'Div 6'!$H$71:$H$80,'Div 6'!$H$82,'Div 6'!$H$84,'Div 6'!$H$86,'Div 6'!$H$88,'Div 6'!$H$90,'Div 6'!$H$92,'Div 6'!$H$94,'Div 6'!$H$96:$H$97,'Div 6'!$H$99:$H$100,'Div 6'!$H$102,'Div 6'!$H$104</definedName>
    <definedName name="OSRRefH22x_0" localSheetId="2">Summary!$H$204:$H$213,Summary!$H$215:$H$224,Summary!$H$226,Summary!$H$228:$H$229,Summary!$H$231,Summary!$H$233:$H$236,Summary!$H$238:$H$239,Summary!$H$241:$H$243,Summary!$H$245,Summary!$H$247,Summary!$H$249:$H$250,Summary!$H$252:$H$253,Summary!$H$255,Summary!$H$257,Summary!$H$259,Summary!$H$261,Summary!$H$263,Summary!$H$265,Summary!$H$267:$H$270,Summary!$H$272:$H$275,Summary!$H$277:$H$282,Summary!$H$284:$H$285,Summary!$H$287:$H$296,Summary!$H$298:$H$299,Summary!$H$301,Summary!$H$303:$H$305,Summary!$H$307</definedName>
    <definedName name="OSRRefH25x_0" localSheetId="48">'300'!$H$262:$H$270</definedName>
    <definedName name="OSRRefH25x_0" localSheetId="49">'300 &amp; 317'!$H$287:$H$298</definedName>
    <definedName name="OSRRefH25x_0" localSheetId="50">'301'!$H$103:$H$106</definedName>
    <definedName name="OSRRefH25x_0" localSheetId="53">'307'!$H$128</definedName>
    <definedName name="OSRRefH25x_0" localSheetId="55">'308'!$H$122:$H$125</definedName>
    <definedName name="OSRRefH25x_0" localSheetId="74">'310 &amp; 491'!$H$140:$H$143</definedName>
    <definedName name="OSRRefH25x_0" localSheetId="56">'311'!$H$122:$H$125</definedName>
    <definedName name="OSRRefH25x_0" localSheetId="59">'315'!$H$119:$H$121</definedName>
    <definedName name="OSRRefH25x_0" localSheetId="62">'316'!$H$89:$H$90</definedName>
    <definedName name="OSRRefH25x_0" localSheetId="65">'317'!$H$107:$H$110</definedName>
    <definedName name="OSRRefH25x_0" localSheetId="63">'320'!$H$68:$H$72</definedName>
    <definedName name="OSRRefH25x_0" localSheetId="52">'330'!$H$141</definedName>
    <definedName name="OSRRefH25x_0" localSheetId="58">'331'!$H$153:$H$155</definedName>
    <definedName name="OSRRefH25x_0" localSheetId="61">'332'!$H$101:$H$107</definedName>
    <definedName name="OSRRefH25x_0" localSheetId="78">'411'!$H$93:$H$94</definedName>
    <definedName name="OSRRefH25x_0" localSheetId="81">'413'!$H$83</definedName>
    <definedName name="OSRRefH25x_0" localSheetId="83">'415'!$H$101</definedName>
    <definedName name="OSRRefH25x_0" localSheetId="85">'423'!$H$53</definedName>
    <definedName name="OSRRefH25x_0" localSheetId="86">'424'!$H$78</definedName>
    <definedName name="OSRRefH25x_0" localSheetId="87">'425'!$H$95</definedName>
    <definedName name="OSRRefH25x_0" localSheetId="88">'455'!$H$41:$H$44</definedName>
    <definedName name="OSRRefH25x_0" localSheetId="75">'491'!$H$129:$H$132</definedName>
    <definedName name="OSRRefH25x_0" localSheetId="96">'501'!$H$74</definedName>
    <definedName name="OSRRefH25x_0" localSheetId="47">'Div 3'!$H$275:$H$283</definedName>
    <definedName name="OSRRefH25x_0" localSheetId="73">'Div 4'!$H$135:$H$138</definedName>
    <definedName name="OSRRefH25x_0" localSheetId="95">'Div 5'!$H$74</definedName>
    <definedName name="OSRRefH25x_0" localSheetId="64">'Div 6'!$H$107:$H$110</definedName>
    <definedName name="OSRRefH25x_0" localSheetId="2">Summary!$H$310:$H$322</definedName>
    <definedName name="OSRRefP13x_0" localSheetId="44">'204'!$P$13</definedName>
    <definedName name="OSRRefP13x_0" localSheetId="48">'300'!$P$13:$P$108</definedName>
    <definedName name="OSRRefP13x_0" localSheetId="49">'300 &amp; 317'!$P$13:$P$126</definedName>
    <definedName name="OSRRefP13x_0" localSheetId="53">'307'!$P$13:$P$50</definedName>
    <definedName name="OSRRefP13x_0" localSheetId="55">'308'!$P$13:$P$40</definedName>
    <definedName name="OSRRefP13x_0" localSheetId="67">'309'!$P$13:$P$15</definedName>
    <definedName name="OSRRefP13x_0" localSheetId="66">'310'!$P$13:$P$23</definedName>
    <definedName name="OSRRefP13x_0" localSheetId="74">'310 &amp; 491'!$P$13:$P$30</definedName>
    <definedName name="OSRRefP13x_0" localSheetId="56">'311'!$P$13:$P$40</definedName>
    <definedName name="OSRRefP13x_0" localSheetId="68">'313'!$P$13:$P$19</definedName>
    <definedName name="OSRRefP13x_0" localSheetId="54">'314'!$P$13:$P$34</definedName>
    <definedName name="OSRRefP13x_0" localSheetId="59">'315'!$P$13:$P$34</definedName>
    <definedName name="OSRRefP13x_0" localSheetId="62">'316'!$P$13:$P$28</definedName>
    <definedName name="OSRRefP13x_0" localSheetId="65">'317'!$P$13:$P$38</definedName>
    <definedName name="OSRRefP13x_0" localSheetId="63">'320'!$P$13:$P$17</definedName>
    <definedName name="OSRRefP13x_0" localSheetId="69">'321'!$P$13:$P$15</definedName>
    <definedName name="OSRRefP13x_0" localSheetId="70">'322'!$P$13:$P$15</definedName>
    <definedName name="OSRRefP13x_0" localSheetId="57">'324'!$P$13:$P$15</definedName>
    <definedName name="OSRRefP13x_0" localSheetId="71">'325'!$P$13:$P$15</definedName>
    <definedName name="OSRRefP13x_0" localSheetId="60">'326'!$P$13:$P$33</definedName>
    <definedName name="OSRRefP13x_0" localSheetId="72">'327'!$P$13:$P$14</definedName>
    <definedName name="OSRRefP13x_0" localSheetId="52">'330'!$P$13:$P$54</definedName>
    <definedName name="OSRRefP13x_0" localSheetId="58">'331'!$P$13:$P$42</definedName>
    <definedName name="OSRRefP13x_0" localSheetId="61">'332'!$P$13:$P$31</definedName>
    <definedName name="OSRRefP13x_0" localSheetId="76">'405'!$P$13:$P$15</definedName>
    <definedName name="OSRRefP13x_0" localSheetId="77">'406'!$P$13:$P$16</definedName>
    <definedName name="OSRRefP13x_0" localSheetId="79">'412'!$P$13:$P$16</definedName>
    <definedName name="OSRRefP13x_0" localSheetId="81">'413'!$P$13:$P$16</definedName>
    <definedName name="OSRRefP13x_0" localSheetId="82">'414'!$P$13:$P$16</definedName>
    <definedName name="OSRRefP13x_0" localSheetId="83">'415'!$P$13:$P$15</definedName>
    <definedName name="OSRRefP13x_0" localSheetId="84">'418'!$P$13:$P$16</definedName>
    <definedName name="OSRRefP13x_0" localSheetId="80">'420'!$P$13:$P$14</definedName>
    <definedName name="OSRRefP13x_0" localSheetId="86">'424'!$P$13:$P$16</definedName>
    <definedName name="OSRRefP13x_0" localSheetId="87">'425'!$P$13:$P$18</definedName>
    <definedName name="OSRRefP13x_0" localSheetId="91">'433'!$P$13:$P$16</definedName>
    <definedName name="OSRRefP13x_0" localSheetId="92">'435'!$P$13:$P$16</definedName>
    <definedName name="OSRRefP13x_0" localSheetId="93">'444'!$P$13:$P$16</definedName>
    <definedName name="OSRRefP13x_0" localSheetId="94">'450'!$P$13:$P$16</definedName>
    <definedName name="OSRRefP13x_0" localSheetId="75">'491'!$P$13:$P$24</definedName>
    <definedName name="OSRRefP13x_0" localSheetId="89">'492'!$P$13:$P$18</definedName>
    <definedName name="OSRRefP13x_0" localSheetId="96">'501'!$P$13</definedName>
    <definedName name="OSRRefP13x_0" localSheetId="39">'Div 2'!$P$13</definedName>
    <definedName name="OSRRefP13x_0" localSheetId="47">'Div 3'!$P$13:$P$111</definedName>
    <definedName name="OSRRefP13x_0" localSheetId="73">'Div 4'!$P$13:$P$24</definedName>
    <definedName name="OSRRefP13x_0" localSheetId="95">'Div 5'!$P$13</definedName>
    <definedName name="OSRRefP13x_0" localSheetId="64">'Div 6'!$P$13:$P$38</definedName>
    <definedName name="OSRRefP13x_0" localSheetId="2">Summary!$P$13:$P$136</definedName>
    <definedName name="OSRRefP16x_0" localSheetId="48">'300'!$P$111:$P$161</definedName>
    <definedName name="OSRRefP16x_0" localSheetId="49">'300 &amp; 317'!$P$129:$P$186</definedName>
    <definedName name="OSRRefP16x_0" localSheetId="53">'307'!$P$53:$P$73</definedName>
    <definedName name="OSRRefP16x_0" localSheetId="55">'308'!$P$43:$P$59</definedName>
    <definedName name="OSRRefP16x_0" localSheetId="67">'309'!$P$18:$P$20</definedName>
    <definedName name="OSRRefP16x_0" localSheetId="66">'310'!$P$26:$P$28</definedName>
    <definedName name="OSRRefP16x_0" localSheetId="74">'310 &amp; 491'!$P$33:$P$35</definedName>
    <definedName name="OSRRefP16x_0" localSheetId="56">'311'!$P$43:$P$59</definedName>
    <definedName name="OSRRefP16x_0" localSheetId="68">'313'!$P$22:$P$24</definedName>
    <definedName name="OSRRefP16x_0" localSheetId="54">'314'!$P$37:$P$52</definedName>
    <definedName name="OSRRefP16x_0" localSheetId="59">'315'!$P$37:$P$52</definedName>
    <definedName name="OSRRefP16x_0" localSheetId="65">'317'!$P$41:$P$54</definedName>
    <definedName name="OSRRefP16x_0" localSheetId="63">'320'!$P$20:$P$25</definedName>
    <definedName name="OSRRefP16x_0" localSheetId="69">'321'!$P$18:$P$20</definedName>
    <definedName name="OSRRefP16x_0" localSheetId="70">'322'!$P$18:$P$20</definedName>
    <definedName name="OSRRefP16x_0" localSheetId="57">'324'!$P$18:$P$20</definedName>
    <definedName name="OSRRefP16x_0" localSheetId="71">'325'!$P$18:$P$20</definedName>
    <definedName name="OSRRefP16x_0" localSheetId="60">'326'!$P$36:$P$52</definedName>
    <definedName name="OSRRefP16x_0" localSheetId="72">'327'!$P$17:$P$18</definedName>
    <definedName name="OSRRefP16x_0" localSheetId="52">'330'!$P$57:$P$80</definedName>
    <definedName name="OSRRefP16x_0" localSheetId="58">'331'!$P$45:$P$67</definedName>
    <definedName name="OSRRefP16x_0" localSheetId="61">'332'!$P$34:$P$39</definedName>
    <definedName name="OSRRefP16x_0" localSheetId="76">'405'!$P$18:$P$20</definedName>
    <definedName name="OSRRefP16x_0" localSheetId="77">'406'!$P$19:$P$21</definedName>
    <definedName name="OSRRefP16x_0" localSheetId="79">'412'!$P$19:$P$21</definedName>
    <definedName name="OSRRefP16x_0" localSheetId="81">'413'!$P$19:$P$21</definedName>
    <definedName name="OSRRefP16x_0" localSheetId="82">'414'!$P$19:$P$21</definedName>
    <definedName name="OSRRefP16x_0" localSheetId="83">'415'!$P$18:$P$20</definedName>
    <definedName name="OSRRefP16x_0" localSheetId="84">'418'!$P$19:$P$21</definedName>
    <definedName name="OSRRefP16x_0" localSheetId="80">'420'!$P$17:$P$18</definedName>
    <definedName name="OSRRefP16x_0" localSheetId="85">'423'!$P$15</definedName>
    <definedName name="OSRRefP16x_0" localSheetId="86">'424'!$P$19:$P$21</definedName>
    <definedName name="OSRRefP16x_0" localSheetId="87">'425'!$P$21:$P$23</definedName>
    <definedName name="OSRRefP16x_0" localSheetId="91">'433'!$P$19:$P$21</definedName>
    <definedName name="OSRRefP16x_0" localSheetId="92">'435'!$P$19:$P$21</definedName>
    <definedName name="OSRRefP16x_0" localSheetId="93">'444'!$P$19:$P$21</definedName>
    <definedName name="OSRRefP16x_0" localSheetId="94">'450'!$P$19:$P$21</definedName>
    <definedName name="OSRRefP16x_0" localSheetId="75">'491'!$P$27:$P$29</definedName>
    <definedName name="OSRRefP16x_0" localSheetId="89">'492'!$P$21:$P$23</definedName>
    <definedName name="OSRRefP16x_0" localSheetId="47">'Div 3'!$P$114:$P$166</definedName>
    <definedName name="OSRRefP16x_0" localSheetId="73">'Div 4'!$P$27:$P$29</definedName>
    <definedName name="OSRRefP16x_0" localSheetId="64">'Div 6'!$P$41:$P$54</definedName>
    <definedName name="OSRRefP16x_0" localSheetId="2">Summary!$P$139:$P$198</definedName>
    <definedName name="OSRRefP22_0x_0" localSheetId="40">'200'!$P$20</definedName>
    <definedName name="OSRRefP22_0x_0" localSheetId="41">'201'!$P$20:$P$28</definedName>
    <definedName name="OSRRefP22_0x_0" localSheetId="42">'202'!$P$20:$P$28</definedName>
    <definedName name="OSRRefP22_0x_0" localSheetId="43">'203'!$P$20:$P$29</definedName>
    <definedName name="OSRRefP22_0x_0" localSheetId="44">'204'!$P$21:$P$30</definedName>
    <definedName name="OSRRefP22_0x_0" localSheetId="45">'205'!$P$20:$P$28</definedName>
    <definedName name="OSRRefP22_0x_0" localSheetId="46">'206'!$P$20:$P$28</definedName>
    <definedName name="OSRRefP22_0x_0" localSheetId="48">'300'!$P$167:$P$176</definedName>
    <definedName name="OSRRefP22_0x_0" localSheetId="49">'300 &amp; 317'!$P$192:$P$201</definedName>
    <definedName name="OSRRefP22_0x_0" localSheetId="50">'301'!$P$20:$P$28</definedName>
    <definedName name="OSRRefP22_0x_0" localSheetId="51">'306'!$P$20:$P$28</definedName>
    <definedName name="OSRRefP22_0x_0" localSheetId="53">'307'!$P$79:$P$87</definedName>
    <definedName name="OSRRefP22_0x_0" localSheetId="55">'308'!$P$65:$P$74</definedName>
    <definedName name="OSRRefP22_0x_0" localSheetId="67">'309'!$P$26:$P$34</definedName>
    <definedName name="OSRRefP22_0x_0" localSheetId="66">'310'!$P$34:$P$42</definedName>
    <definedName name="OSRRefP22_0x_0" localSheetId="74">'310 &amp; 491'!$P$41:$P$50</definedName>
    <definedName name="OSRRefP22_0x_0" localSheetId="56">'311'!$P$65:$P$74</definedName>
    <definedName name="OSRRefP22_0x_0" localSheetId="68">'313'!$P$30:$P$38</definedName>
    <definedName name="OSRRefP22_0x_0" localSheetId="54">'314'!$P$58:$P$66</definedName>
    <definedName name="OSRRefP22_0x_0" localSheetId="59">'315'!$P$58:$P$66</definedName>
    <definedName name="OSRRefP22_0x_0" localSheetId="62">'316'!$P$36:$P$44</definedName>
    <definedName name="OSRRefP22_0x_0" localSheetId="65">'317'!$P$60:$P$69</definedName>
    <definedName name="OSRRefP22_0x_0" localSheetId="63">'320'!$P$31:$P$38</definedName>
    <definedName name="OSRRefP22_0x_0" localSheetId="69">'321'!$P$26:$P$33</definedName>
    <definedName name="OSRRefP22_0x_0" localSheetId="70">'322'!$P$26:$P$34</definedName>
    <definedName name="OSRRefP22_0x_0" localSheetId="71">'325'!$P$26:$P$34</definedName>
    <definedName name="OSRRefP22_0x_0" localSheetId="60">'326'!$P$58:$P$66</definedName>
    <definedName name="OSRRefP22_0x_0" localSheetId="72">'327'!$P$24</definedName>
    <definedName name="OSRRefP22_0x_0" localSheetId="52">'330'!$P$86:$P$94</definedName>
    <definedName name="OSRRefP22_0x_0" localSheetId="58">'331'!$P$73:$P$81</definedName>
    <definedName name="OSRRefP22_0x_0" localSheetId="61">'332'!$P$45:$P$53</definedName>
    <definedName name="OSRRefP22_0x_0" localSheetId="76">'405'!$P$26:$P$34</definedName>
    <definedName name="OSRRefP22_0x_0" localSheetId="77">'406'!$P$27:$P$35</definedName>
    <definedName name="OSRRefP22_0x_0" localSheetId="78">'411'!$P$20:$P$29</definedName>
    <definedName name="OSRRefP22_0x_0" localSheetId="79">'412'!$P$27:$P$35</definedName>
    <definedName name="OSRRefP22_0x_0" localSheetId="81">'413'!$P$27:$P$35</definedName>
    <definedName name="OSRRefP22_0x_0" localSheetId="82">'414'!$P$27:$P$35</definedName>
    <definedName name="OSRRefP22_0x_0" localSheetId="83">'415'!$P$26:$P$34</definedName>
    <definedName name="OSRRefP22_0x_0" localSheetId="84">'418'!$P$27:$P$35</definedName>
    <definedName name="OSRRefP22_0x_0" localSheetId="80">'420'!$P$24:$P$31</definedName>
    <definedName name="OSRRefP22_0x_0" localSheetId="85">'423'!$P$21:$P$29</definedName>
    <definedName name="OSRRefP22_0x_0" localSheetId="86">'424'!$P$27:$P$34</definedName>
    <definedName name="OSRRefP22_0x_0" localSheetId="87">'425'!$P$29:$P$38</definedName>
    <definedName name="OSRRefP22_0x_0" localSheetId="90">'430'!$P$20:$P$28</definedName>
    <definedName name="OSRRefP22_0x_0" localSheetId="91">'433'!$P$27:$P$36</definedName>
    <definedName name="OSRRefP22_0x_0" localSheetId="92">'435'!$P$27:$P$34</definedName>
    <definedName name="OSRRefP22_0x_0" localSheetId="93">'444'!$P$27:$P$36</definedName>
    <definedName name="OSRRefP22_0x_0" localSheetId="94">'450'!$P$27:$P$36</definedName>
    <definedName name="OSRRefP22_0x_0" localSheetId="88">'455'!$P$20:$P$27</definedName>
    <definedName name="OSRRefP22_0x_0" localSheetId="75">'491'!$P$35:$P$44</definedName>
    <definedName name="OSRRefP22_0x_0" localSheetId="89">'492'!$P$29:$P$38</definedName>
    <definedName name="OSRRefP22_0x_0" localSheetId="96">'501'!$P$21:$P$29</definedName>
    <definedName name="OSRRefP22_0x_0" localSheetId="39">'Div 2'!$P$21:$P$31</definedName>
    <definedName name="OSRRefP22_0x_0" localSheetId="47">'Div 3'!$P$172:$P$181</definedName>
    <definedName name="OSRRefP22_0x_0" localSheetId="73">'Div 4'!$P$35:$P$44</definedName>
    <definedName name="OSRRefP22_0x_0" localSheetId="95">'Div 5'!$P$21:$P$29</definedName>
    <definedName name="OSRRefP22_0x_0" localSheetId="64">'Div 6'!$P$60:$P$69</definedName>
    <definedName name="OSRRefP22_0x_0" localSheetId="2">Summary!$P$204:$P$213</definedName>
    <definedName name="OSRRefP22_10x_0" localSheetId="41">'201'!$P$58:$P$60</definedName>
    <definedName name="OSRRefP22_10x_0" localSheetId="42">'202'!$P$59</definedName>
    <definedName name="OSRRefP22_10x_0" localSheetId="43">'203'!$P$60:$P$61</definedName>
    <definedName name="OSRRefP22_10x_0" localSheetId="44">'204'!$P$64:$P$65</definedName>
    <definedName name="OSRRefP22_10x_0" localSheetId="46">'206'!$P$58</definedName>
    <definedName name="OSRRefP22_10x_0" localSheetId="48">'300'!$P$211:$P$212</definedName>
    <definedName name="OSRRefP22_10x_0" localSheetId="49">'300 &amp; 317'!$P$236:$P$237</definedName>
    <definedName name="OSRRefP22_10x_0" localSheetId="50">'301'!$P$63</definedName>
    <definedName name="OSRRefP22_10x_0" localSheetId="51">'306'!$P$61</definedName>
    <definedName name="OSRRefP22_10x_0" localSheetId="53">'307'!$P$119:$P$121</definedName>
    <definedName name="OSRRefP22_10x_0" localSheetId="55">'308'!$P$107</definedName>
    <definedName name="OSRRefP22_10x_0" localSheetId="67">'309'!$P$65:$P$67</definedName>
    <definedName name="OSRRefP22_10x_0" localSheetId="66">'310'!$P$73</definedName>
    <definedName name="OSRRefP22_10x_0" localSheetId="74">'310 &amp; 491'!$P$82</definedName>
    <definedName name="OSRRefP22_10x_0" localSheetId="56">'311'!$P$107</definedName>
    <definedName name="OSRRefP22_10x_0" localSheetId="68">'313'!$P$67:$P$69</definedName>
    <definedName name="OSRRefP22_10x_0" localSheetId="54">'314'!$P$96</definedName>
    <definedName name="OSRRefP22_10x_0" localSheetId="59">'315'!$P$98:$P$100</definedName>
    <definedName name="OSRRefP22_10x_0" localSheetId="62">'316'!$P$74:$P$75</definedName>
    <definedName name="OSRRefP22_10x_0" localSheetId="65">'317'!$P$99:$P$100</definedName>
    <definedName name="OSRRefP22_10x_0" localSheetId="69">'321'!$P$64:$P$65</definedName>
    <definedName name="OSRRefP22_10x_0" localSheetId="70">'322'!$P$66:$P$68</definedName>
    <definedName name="OSRRefP22_10x_0" localSheetId="71">'325'!$P$65</definedName>
    <definedName name="OSRRefP22_10x_0" localSheetId="60">'326'!$P$96</definedName>
    <definedName name="OSRRefP22_10x_0" localSheetId="52">'330'!$P$125:$P$126</definedName>
    <definedName name="OSRRefP22_10x_0" localSheetId="58">'331'!$P$113</definedName>
    <definedName name="OSRRefP22_10x_0" localSheetId="61">'332'!$P$83:$P$84</definedName>
    <definedName name="OSRRefP22_10x_0" localSheetId="76">'405'!$P$65</definedName>
    <definedName name="OSRRefP22_10x_0" localSheetId="77">'406'!$P$67:$P$69</definedName>
    <definedName name="OSRRefP22_10x_0" localSheetId="78">'411'!$P$61:$P$63</definedName>
    <definedName name="OSRRefP22_10x_0" localSheetId="79">'412'!$P$67</definedName>
    <definedName name="OSRRefP22_10x_0" localSheetId="81">'413'!$P$67:$P$73</definedName>
    <definedName name="OSRRefP22_10x_0" localSheetId="82">'414'!$P$66</definedName>
    <definedName name="OSRRefP22_10x_0" localSheetId="83">'415'!$P$65</definedName>
    <definedName name="OSRRefP22_10x_0" localSheetId="84">'418'!$P$66:$P$67</definedName>
    <definedName name="OSRRefP22_10x_0" localSheetId="86">'424'!$P$66</definedName>
    <definedName name="OSRRefP22_10x_0" localSheetId="87">'425'!$P$70:$P$71</definedName>
    <definedName name="OSRRefP22_10x_0" localSheetId="90">'430'!$P$59</definedName>
    <definedName name="OSRRefP22_10x_0" localSheetId="91">'433'!$P$65:$P$67</definedName>
    <definedName name="OSRRefP22_10x_0" localSheetId="93">'444'!$P$65</definedName>
    <definedName name="OSRRefP22_10x_0" localSheetId="94">'450'!$P$66</definedName>
    <definedName name="OSRRefP22_10x_0" localSheetId="75">'491'!$P$76:$P$77</definedName>
    <definedName name="OSRRefP22_10x_0" localSheetId="89">'492'!$P$69</definedName>
    <definedName name="OSRRefP22_10x_0" localSheetId="96">'501'!$P$58:$P$61</definedName>
    <definedName name="OSRRefP22_10x_0" localSheetId="39">'Div 2'!$P$62</definedName>
    <definedName name="OSRRefP22_10x_0" localSheetId="47">'Div 3'!$P$216:$P$217</definedName>
    <definedName name="OSRRefP22_10x_0" localSheetId="73">'Div 4'!$P$78</definedName>
    <definedName name="OSRRefP22_10x_0" localSheetId="95">'Div 5'!$P$58:$P$61</definedName>
    <definedName name="OSRRefP22_10x_0" localSheetId="64">'Div 6'!$P$99:$P$100</definedName>
    <definedName name="OSRRefP22_10x_0" localSheetId="2">Summary!$P$249:$P$250</definedName>
    <definedName name="OSRRefP22_11x_0" localSheetId="41">'201'!$P$62:$P$64</definedName>
    <definedName name="OSRRefP22_11x_0" localSheetId="42">'202'!$P$61:$P$63</definedName>
    <definedName name="OSRRefP22_11x_0" localSheetId="43">'203'!$P$63</definedName>
    <definedName name="OSRRefP22_11x_0" localSheetId="44">'204'!$P$67</definedName>
    <definedName name="OSRRefP22_11x_0" localSheetId="48">'300'!$P$214</definedName>
    <definedName name="OSRRefP22_11x_0" localSheetId="49">'300 &amp; 317'!$P$239</definedName>
    <definedName name="OSRRefP22_11x_0" localSheetId="50">'301'!$P$65</definedName>
    <definedName name="OSRRefP22_11x_0" localSheetId="53">'307'!$P$123</definedName>
    <definedName name="OSRRefP22_11x_0" localSheetId="55">'308'!$P$109:$P$111</definedName>
    <definedName name="OSRRefP22_11x_0" localSheetId="67">'309'!$P$69:$P$71</definedName>
    <definedName name="OSRRefP22_11x_0" localSheetId="66">'310'!$P$75</definedName>
    <definedName name="OSRRefP22_11x_0" localSheetId="74">'310 &amp; 491'!$P$84:$P$85</definedName>
    <definedName name="OSRRefP22_11x_0" localSheetId="56">'311'!$P$109:$P$111</definedName>
    <definedName name="OSRRefP22_11x_0" localSheetId="68">'313'!$P$71</definedName>
    <definedName name="OSRRefP22_11x_0" localSheetId="59">'315'!$P$102:$P$103</definedName>
    <definedName name="OSRRefP22_11x_0" localSheetId="62">'316'!$P$77:$P$81</definedName>
    <definedName name="OSRRefP22_11x_0" localSheetId="65">'317'!$P$102</definedName>
    <definedName name="OSRRefP22_11x_0" localSheetId="69">'321'!$P$67:$P$69</definedName>
    <definedName name="OSRRefP22_11x_0" localSheetId="70">'322'!$P$70:$P$76</definedName>
    <definedName name="OSRRefP22_11x_0" localSheetId="71">'325'!$P$67:$P$69</definedName>
    <definedName name="OSRRefP22_11x_0" localSheetId="60">'326'!$P$98</definedName>
    <definedName name="OSRRefP22_11x_0" localSheetId="52">'330'!$P$128</definedName>
    <definedName name="OSRRefP22_11x_0" localSheetId="58">'331'!$P$115</definedName>
    <definedName name="OSRRefP22_11x_0" localSheetId="61">'332'!$P$86:$P$87</definedName>
    <definedName name="OSRRefP22_11x_0" localSheetId="76">'405'!$P$67:$P$69</definedName>
    <definedName name="OSRRefP22_11x_0" localSheetId="77">'406'!$P$71:$P$76</definedName>
    <definedName name="OSRRefP22_11x_0" localSheetId="78">'411'!$P$65:$P$69</definedName>
    <definedName name="OSRRefP22_11x_0" localSheetId="79">'412'!$P$69:$P$71</definedName>
    <definedName name="OSRRefP22_11x_0" localSheetId="81">'413'!$P$75:$P$76</definedName>
    <definedName name="OSRRefP22_11x_0" localSheetId="82">'414'!$P$68</definedName>
    <definedName name="OSRRefP22_11x_0" localSheetId="83">'415'!$P$67:$P$70</definedName>
    <definedName name="OSRRefP22_11x_0" localSheetId="84">'418'!$P$69:$P$71</definedName>
    <definedName name="OSRRefP22_11x_0" localSheetId="86">'424'!$P$68:$P$72</definedName>
    <definedName name="OSRRefP22_11x_0" localSheetId="87">'425'!$P$73:$P$75</definedName>
    <definedName name="OSRRefP22_11x_0" localSheetId="91">'433'!$P$69:$P$72</definedName>
    <definedName name="OSRRefP22_11x_0" localSheetId="93">'444'!$P$67:$P$69</definedName>
    <definedName name="OSRRefP22_11x_0" localSheetId="94">'450'!$P$68</definedName>
    <definedName name="OSRRefP22_11x_0" localSheetId="75">'491'!$P$79</definedName>
    <definedName name="OSRRefP22_11x_0" localSheetId="89">'492'!$P$71</definedName>
    <definedName name="OSRRefP22_11x_0" localSheetId="96">'501'!$P$63</definedName>
    <definedName name="OSRRefP22_11x_0" localSheetId="39">'Div 2'!$P$64</definedName>
    <definedName name="OSRRefP22_11x_0" localSheetId="47">'Div 3'!$P$219</definedName>
    <definedName name="OSRRefP22_11x_0" localSheetId="73">'Div 4'!$P$80:$P$81</definedName>
    <definedName name="OSRRefP22_11x_0" localSheetId="95">'Div 5'!$P$63</definedName>
    <definedName name="OSRRefP22_11x_0" localSheetId="64">'Div 6'!$P$102</definedName>
    <definedName name="OSRRefP22_11x_0" localSheetId="2">Summary!$P$252:$P$253</definedName>
    <definedName name="OSRRefP22_12x_0" localSheetId="41">'201'!$P$66</definedName>
    <definedName name="OSRRefP22_12x_0" localSheetId="42">'202'!$P$65</definedName>
    <definedName name="OSRRefP22_12x_0" localSheetId="43">'203'!$P$65:$P$67</definedName>
    <definedName name="OSRRefP22_12x_0" localSheetId="44">'204'!$P$69:$P$70</definedName>
    <definedName name="OSRRefP22_12x_0" localSheetId="48">'300'!$P$216</definedName>
    <definedName name="OSRRefP22_12x_0" localSheetId="49">'300 &amp; 317'!$P$241</definedName>
    <definedName name="OSRRefP22_12x_0" localSheetId="50">'301'!$P$67</definedName>
    <definedName name="OSRRefP22_12x_0" localSheetId="53">'307'!$P$125</definedName>
    <definedName name="OSRRefP22_12x_0" localSheetId="55">'308'!$P$113:$P$114</definedName>
    <definedName name="OSRRefP22_12x_0" localSheetId="67">'309'!$P$73</definedName>
    <definedName name="OSRRefP22_12x_0" localSheetId="66">'310'!$P$77</definedName>
    <definedName name="OSRRefP22_12x_0" localSheetId="74">'310 &amp; 491'!$P$87</definedName>
    <definedName name="OSRRefP22_12x_0" localSheetId="56">'311'!$P$113:$P$114</definedName>
    <definedName name="OSRRefP22_12x_0" localSheetId="68">'313'!$P$73:$P$78</definedName>
    <definedName name="OSRRefP22_12x_0" localSheetId="59">'315'!$P$105:$P$109</definedName>
    <definedName name="OSRRefP22_12x_0" localSheetId="62">'316'!$P$83:$P$84</definedName>
    <definedName name="OSRRefP22_12x_0" localSheetId="65">'317'!$P$104</definedName>
    <definedName name="OSRRefP22_12x_0" localSheetId="69">'321'!$P$71:$P$74</definedName>
    <definedName name="OSRRefP22_12x_0" localSheetId="70">'322'!$P$78</definedName>
    <definedName name="OSRRefP22_12x_0" localSheetId="71">'325'!$P$71:$P$74</definedName>
    <definedName name="OSRRefP22_12x_0" localSheetId="60">'326'!$P$100</definedName>
    <definedName name="OSRRefP22_12x_0" localSheetId="52">'330'!$P$130:$P$132</definedName>
    <definedName name="OSRRefP22_12x_0" localSheetId="58">'331'!$P$117</definedName>
    <definedName name="OSRRefP22_12x_0" localSheetId="61">'332'!$P$89:$P$93</definedName>
    <definedName name="OSRRefP22_12x_0" localSheetId="76">'405'!$P$71</definedName>
    <definedName name="OSRRefP22_12x_0" localSheetId="77">'406'!$P$78:$P$79</definedName>
    <definedName name="OSRRefP22_12x_0" localSheetId="78">'411'!$P$71</definedName>
    <definedName name="OSRRefP22_12x_0" localSheetId="79">'412'!$P$73:$P$80</definedName>
    <definedName name="OSRRefP22_12x_0" localSheetId="81">'413'!$P$78</definedName>
    <definedName name="OSRRefP22_12x_0" localSheetId="82">'414'!$P$70</definedName>
    <definedName name="OSRRefP22_12x_0" localSheetId="83">'415'!$P$72:$P$76</definedName>
    <definedName name="OSRRefP22_12x_0" localSheetId="84">'418'!$P$73:$P$75</definedName>
    <definedName name="OSRRefP22_12x_0" localSheetId="86">'424'!$P$74:$P$75</definedName>
    <definedName name="OSRRefP22_12x_0" localSheetId="87">'425'!$P$77</definedName>
    <definedName name="OSRRefP22_12x_0" localSheetId="91">'433'!$P$74:$P$81</definedName>
    <definedName name="OSRRefP22_12x_0" localSheetId="93">'444'!$P$71:$P$74</definedName>
    <definedName name="OSRRefP22_12x_0" localSheetId="94">'450'!$P$70:$P$73</definedName>
    <definedName name="OSRRefP22_12x_0" localSheetId="75">'491'!$P$81</definedName>
    <definedName name="OSRRefP22_12x_0" localSheetId="89">'492'!$P$73</definedName>
    <definedName name="OSRRefP22_12x_0" localSheetId="96">'501'!$P$65:$P$67</definedName>
    <definedName name="OSRRefP22_12x_0" localSheetId="39">'Div 2'!$P$66:$P$68</definedName>
    <definedName name="OSRRefP22_12x_0" localSheetId="47">'Div 3'!$P$221</definedName>
    <definedName name="OSRRefP22_12x_0" localSheetId="73">'Div 4'!$P$83</definedName>
    <definedName name="OSRRefP22_12x_0" localSheetId="95">'Div 5'!$P$65:$P$67</definedName>
    <definedName name="OSRRefP22_12x_0" localSheetId="64">'Div 6'!$P$104</definedName>
    <definedName name="OSRRefP22_12x_0" localSheetId="2">Summary!$P$255</definedName>
    <definedName name="OSRRefP22_13x_0" localSheetId="41">'201'!$P$68:$P$70</definedName>
    <definedName name="OSRRefP22_13x_0" localSheetId="42">'202'!$P$67</definedName>
    <definedName name="OSRRefP22_13x_0" localSheetId="43">'203'!$P$69</definedName>
    <definedName name="OSRRefP22_13x_0" localSheetId="48">'300'!$P$218</definedName>
    <definedName name="OSRRefP22_13x_0" localSheetId="49">'300 &amp; 317'!$P$243</definedName>
    <definedName name="OSRRefP22_13x_0" localSheetId="50">'301'!$P$69</definedName>
    <definedName name="OSRRefP22_13x_0" localSheetId="55">'308'!$P$116</definedName>
    <definedName name="OSRRefP22_13x_0" localSheetId="67">'309'!$P$75</definedName>
    <definedName name="OSRRefP22_13x_0" localSheetId="66">'310'!$P$79</definedName>
    <definedName name="OSRRefP22_13x_0" localSheetId="74">'310 &amp; 491'!$P$89</definedName>
    <definedName name="OSRRefP22_13x_0" localSheetId="56">'311'!$P$116</definedName>
    <definedName name="OSRRefP22_13x_0" localSheetId="68">'313'!$P$80</definedName>
    <definedName name="OSRRefP22_13x_0" localSheetId="59">'315'!$P$111</definedName>
    <definedName name="OSRRefP22_13x_0" localSheetId="62">'316'!$P$86</definedName>
    <definedName name="OSRRefP22_13x_0" localSheetId="69">'321'!$P$76</definedName>
    <definedName name="OSRRefP22_13x_0" localSheetId="70">'322'!$P$80</definedName>
    <definedName name="OSRRefP22_13x_0" localSheetId="71">'325'!$P$76</definedName>
    <definedName name="OSRRefP22_13x_0" localSheetId="60">'326'!$P$102:$P$103</definedName>
    <definedName name="OSRRefP22_13x_0" localSheetId="52">'330'!$P$134</definedName>
    <definedName name="OSRRefP22_13x_0" localSheetId="58">'331'!$P$119</definedName>
    <definedName name="OSRRefP22_13x_0" localSheetId="61">'332'!$P$95:$P$96</definedName>
    <definedName name="OSRRefP22_13x_0" localSheetId="76">'405'!$P$73:$P$75</definedName>
    <definedName name="OSRRefP22_13x_0" localSheetId="77">'406'!$P$81</definedName>
    <definedName name="OSRRefP22_13x_0" localSheetId="78">'411'!$P$73:$P$80</definedName>
    <definedName name="OSRRefP22_13x_0" localSheetId="79">'412'!$P$82</definedName>
    <definedName name="OSRRefP22_13x_0" localSheetId="81">'413'!$P$80</definedName>
    <definedName name="OSRRefP22_13x_0" localSheetId="82">'414'!$P$72:$P$78</definedName>
    <definedName name="OSRRefP22_13x_0" localSheetId="83">'415'!$P$78:$P$79</definedName>
    <definedName name="OSRRefP22_13x_0" localSheetId="84">'418'!$P$77:$P$78</definedName>
    <definedName name="OSRRefP22_13x_0" localSheetId="87">'425'!$P$79:$P$85</definedName>
    <definedName name="OSRRefP22_13x_0" localSheetId="91">'433'!$P$83</definedName>
    <definedName name="OSRRefP22_13x_0" localSheetId="93">'444'!$P$76:$P$83</definedName>
    <definedName name="OSRRefP22_13x_0" localSheetId="94">'450'!$P$75:$P$77</definedName>
    <definedName name="OSRRefP22_13x_0" localSheetId="75">'491'!$P$83</definedName>
    <definedName name="OSRRefP22_13x_0" localSheetId="89">'492'!$P$75:$P$78</definedName>
    <definedName name="OSRRefP22_13x_0" localSheetId="96">'501'!$P$69</definedName>
    <definedName name="OSRRefP22_13x_0" localSheetId="39">'Div 2'!$P$70:$P$73</definedName>
    <definedName name="OSRRefP22_13x_0" localSheetId="47">'Div 3'!$P$223</definedName>
    <definedName name="OSRRefP22_13x_0" localSheetId="73">'Div 4'!$P$85</definedName>
    <definedName name="OSRRefP22_13x_0" localSheetId="95">'Div 5'!$P$69</definedName>
    <definedName name="OSRRefP22_13x_0" localSheetId="2">Summary!$P$257</definedName>
    <definedName name="OSRRefP22_14x_0" localSheetId="41">'201'!$P$72</definedName>
    <definedName name="OSRRefP22_14x_0" localSheetId="42">'202'!$P$69:$P$70</definedName>
    <definedName name="OSRRefP22_14x_0" localSheetId="43">'203'!$P$71</definedName>
    <definedName name="OSRRefP22_14x_0" localSheetId="48">'300'!$P$220</definedName>
    <definedName name="OSRRefP22_14x_0" localSheetId="49">'300 &amp; 317'!$P$245</definedName>
    <definedName name="OSRRefP22_14x_0" localSheetId="50">'301'!$P$71</definedName>
    <definedName name="OSRRefP22_14x_0" localSheetId="55">'308'!$P$118:$P$119</definedName>
    <definedName name="OSRRefP22_14x_0" localSheetId="66">'310'!$P$81</definedName>
    <definedName name="OSRRefP22_14x_0" localSheetId="74">'310 &amp; 491'!$P$91</definedName>
    <definedName name="OSRRefP22_14x_0" localSheetId="56">'311'!$P$118:$P$119</definedName>
    <definedName name="OSRRefP22_14x_0" localSheetId="68">'313'!$P$82</definedName>
    <definedName name="OSRRefP22_14x_0" localSheetId="59">'315'!$P$113</definedName>
    <definedName name="OSRRefP22_14x_0" localSheetId="69">'321'!$P$78</definedName>
    <definedName name="OSRRefP22_14x_0" localSheetId="71">'325'!$P$78:$P$84</definedName>
    <definedName name="OSRRefP22_14x_0" localSheetId="60">'326'!$P$105:$P$107</definedName>
    <definedName name="OSRRefP22_14x_0" localSheetId="52">'330'!$P$136</definedName>
    <definedName name="OSRRefP22_14x_0" localSheetId="58">'331'!$P$121:$P$122</definedName>
    <definedName name="OSRRefP22_14x_0" localSheetId="61">'332'!$P$98</definedName>
    <definedName name="OSRRefP22_14x_0" localSheetId="76">'405'!$P$77:$P$78</definedName>
    <definedName name="OSRRefP22_14x_0" localSheetId="77">'406'!$P$83:$P$84</definedName>
    <definedName name="OSRRefP22_14x_0" localSheetId="78">'411'!$P$82</definedName>
    <definedName name="OSRRefP22_14x_0" localSheetId="79">'412'!$P$84</definedName>
    <definedName name="OSRRefP22_14x_0" localSheetId="82">'414'!$P$80</definedName>
    <definedName name="OSRRefP22_14x_0" localSheetId="83">'415'!$P$81:$P$89</definedName>
    <definedName name="OSRRefP22_14x_0" localSheetId="84">'418'!$P$80:$P$87</definedName>
    <definedName name="OSRRefP22_14x_0" localSheetId="87">'425'!$P$87:$P$88</definedName>
    <definedName name="OSRRefP22_14x_0" localSheetId="91">'433'!$P$85</definedName>
    <definedName name="OSRRefP22_14x_0" localSheetId="93">'444'!$P$85</definedName>
    <definedName name="OSRRefP22_14x_0" localSheetId="94">'450'!$P$79:$P$84</definedName>
    <definedName name="OSRRefP22_14x_0" localSheetId="75">'491'!$P$85</definedName>
    <definedName name="OSRRefP22_14x_0" localSheetId="89">'492'!$P$80:$P$83</definedName>
    <definedName name="OSRRefP22_14x_0" localSheetId="96">'501'!$P$71</definedName>
    <definedName name="OSRRefP22_14x_0" localSheetId="39">'Div 2'!$P$75:$P$78</definedName>
    <definedName name="OSRRefP22_14x_0" localSheetId="47">'Div 3'!$P$225</definedName>
    <definedName name="OSRRefP22_14x_0" localSheetId="73">'Div 4'!$P$87</definedName>
    <definedName name="OSRRefP22_14x_0" localSheetId="95">'Div 5'!$P$71</definedName>
    <definedName name="OSRRefP22_14x_0" localSheetId="2">Summary!$P$259</definedName>
    <definedName name="OSRRefP22_15x_0" localSheetId="41">'201'!$P$74</definedName>
    <definedName name="OSRRefP22_15x_0" localSheetId="42">'202'!$P$72</definedName>
    <definedName name="OSRRefP22_15x_0" localSheetId="43">'203'!$P$73</definedName>
    <definedName name="OSRRefP22_15x_0" localSheetId="48">'300'!$P$222</definedName>
    <definedName name="OSRRefP22_15x_0" localSheetId="49">'300 &amp; 317'!$P$247</definedName>
    <definedName name="OSRRefP22_15x_0" localSheetId="50">'301'!$P$73:$P$76</definedName>
    <definedName name="OSRRefP22_15x_0" localSheetId="66">'310'!$P$83:$P$85</definedName>
    <definedName name="OSRRefP22_15x_0" localSheetId="74">'310 &amp; 491'!$P$93</definedName>
    <definedName name="OSRRefP22_15x_0" localSheetId="59">'315'!$P$115:$P$116</definedName>
    <definedName name="OSRRefP22_15x_0" localSheetId="71">'325'!$P$86</definedName>
    <definedName name="OSRRefP22_15x_0" localSheetId="60">'326'!$P$109:$P$110</definedName>
    <definedName name="OSRRefP22_15x_0" localSheetId="52">'330'!$P$138</definedName>
    <definedName name="OSRRefP22_15x_0" localSheetId="58">'331'!$P$124:$P$126</definedName>
    <definedName name="OSRRefP22_15x_0" localSheetId="76">'405'!$P$80:$P$88</definedName>
    <definedName name="OSRRefP22_15x_0" localSheetId="78">'411'!$P$84</definedName>
    <definedName name="OSRRefP22_15x_0" localSheetId="79">'412'!$P$86</definedName>
    <definedName name="OSRRefP22_15x_0" localSheetId="82">'414'!$P$82</definedName>
    <definedName name="OSRRefP22_15x_0" localSheetId="83">'415'!$P$91</definedName>
    <definedName name="OSRRefP22_15x_0" localSheetId="84">'418'!$P$89</definedName>
    <definedName name="OSRRefP22_15x_0" localSheetId="87">'425'!$P$90</definedName>
    <definedName name="OSRRefP22_15x_0" localSheetId="91">'433'!$P$87:$P$88</definedName>
    <definedName name="OSRRefP22_15x_0" localSheetId="93">'444'!$P$87</definedName>
    <definedName name="OSRRefP22_15x_0" localSheetId="94">'450'!$P$86</definedName>
    <definedName name="OSRRefP22_15x_0" localSheetId="75">'491'!$P$87:$P$90</definedName>
    <definedName name="OSRRefP22_15x_0" localSheetId="89">'492'!$P$85:$P$93</definedName>
    <definedName name="OSRRefP22_15x_0" localSheetId="39">'Div 2'!$P$80:$P$81</definedName>
    <definedName name="OSRRefP22_15x_0" localSheetId="47">'Div 3'!$P$227</definedName>
    <definedName name="OSRRefP22_15x_0" localSheetId="73">'Div 4'!$P$89</definedName>
    <definedName name="OSRRefP22_15x_0" localSheetId="2">Summary!$P$261</definedName>
    <definedName name="OSRRefP22_16x_0" localSheetId="41">'201'!$P$76:$P$77</definedName>
    <definedName name="OSRRefP22_16x_0" localSheetId="42">'202'!$P$74</definedName>
    <definedName name="OSRRefP22_16x_0" localSheetId="48">'300'!$P$224:$P$227</definedName>
    <definedName name="OSRRefP22_16x_0" localSheetId="49">'300 &amp; 317'!$P$249:$P$252</definedName>
    <definedName name="OSRRefP22_16x_0" localSheetId="50">'301'!$P$78:$P$80</definedName>
    <definedName name="OSRRefP22_16x_0" localSheetId="66">'310'!$P$87:$P$88</definedName>
    <definedName name="OSRRefP22_16x_0" localSheetId="74">'310 &amp; 491'!$P$95</definedName>
    <definedName name="OSRRefP22_16x_0" localSheetId="71">'325'!$P$88</definedName>
    <definedName name="OSRRefP22_16x_0" localSheetId="60">'326'!$P$112:$P$117</definedName>
    <definedName name="OSRRefP22_16x_0" localSheetId="58">'331'!$P$128:$P$130</definedName>
    <definedName name="OSRRefP22_16x_0" localSheetId="76">'405'!$P$90</definedName>
    <definedName name="OSRRefP22_16x_0" localSheetId="78">'411'!$P$86:$P$88</definedName>
    <definedName name="OSRRefP22_16x_0" localSheetId="83">'415'!$P$93</definedName>
    <definedName name="OSRRefP22_16x_0" localSheetId="84">'418'!$P$91</definedName>
    <definedName name="OSRRefP22_16x_0" localSheetId="87">'425'!$P$92</definedName>
    <definedName name="OSRRefP22_16x_0" localSheetId="93">'444'!$P$89</definedName>
    <definedName name="OSRRefP22_16x_0" localSheetId="94">'450'!$P$88</definedName>
    <definedName name="OSRRefP22_16x_0" localSheetId="75">'491'!$P$92:$P$95</definedName>
    <definedName name="OSRRefP22_16x_0" localSheetId="89">'492'!$P$95</definedName>
    <definedName name="OSRRefP22_16x_0" localSheetId="39">'Div 2'!$P$83:$P$84</definedName>
    <definedName name="OSRRefP22_16x_0" localSheetId="47">'Div 3'!$P$229</definedName>
    <definedName name="OSRRefP22_16x_0" localSheetId="73">'Div 4'!$P$91</definedName>
    <definedName name="OSRRefP22_16x_0" localSheetId="2">Summary!$P$263</definedName>
    <definedName name="OSRRefP22_17x_0" localSheetId="48">'300'!$P$229:$P$232</definedName>
    <definedName name="OSRRefP22_17x_0" localSheetId="49">'300 &amp; 317'!$P$254:$P$257</definedName>
    <definedName name="OSRRefP22_17x_0" localSheetId="50">'301'!$P$82:$P$83</definedName>
    <definedName name="OSRRefP22_17x_0" localSheetId="66">'310'!$P$90:$P$94</definedName>
    <definedName name="OSRRefP22_17x_0" localSheetId="74">'310 &amp; 491'!$P$97:$P$100</definedName>
    <definedName name="OSRRefP22_17x_0" localSheetId="71">'325'!$P$90</definedName>
    <definedName name="OSRRefP22_17x_0" localSheetId="60">'326'!$P$119:$P$120</definedName>
    <definedName name="OSRRefP22_17x_0" localSheetId="58">'331'!$P$132:$P$133</definedName>
    <definedName name="OSRRefP22_17x_0" localSheetId="76">'405'!$P$92</definedName>
    <definedName name="OSRRefP22_17x_0" localSheetId="78">'411'!$P$90</definedName>
    <definedName name="OSRRefP22_17x_0" localSheetId="83">'415'!$P$95:$P$96</definedName>
    <definedName name="OSRRefP22_17x_0" localSheetId="84">'418'!$P$93:$P$94</definedName>
    <definedName name="OSRRefP22_17x_0" localSheetId="94">'450'!$P$90:$P$91</definedName>
    <definedName name="OSRRefP22_17x_0" localSheetId="75">'491'!$P$97:$P$101</definedName>
    <definedName name="OSRRefP22_17x_0" localSheetId="89">'492'!$P$97</definedName>
    <definedName name="OSRRefP22_17x_0" localSheetId="39">'Div 2'!$P$86:$P$90</definedName>
    <definedName name="OSRRefP22_17x_0" localSheetId="47">'Div 3'!$P$231</definedName>
    <definedName name="OSRRefP22_17x_0" localSheetId="73">'Div 4'!$P$93:$P$96</definedName>
    <definedName name="OSRRefP22_17x_0" localSheetId="2">Summary!$P$265</definedName>
    <definedName name="OSRRefP22_18x_0" localSheetId="48">'300'!$P$234:$P$237</definedName>
    <definedName name="OSRRefP22_18x_0" localSheetId="49">'300 &amp; 317'!$P$259:$P$262</definedName>
    <definedName name="OSRRefP22_18x_0" localSheetId="50">'301'!$P$85:$P$90</definedName>
    <definedName name="OSRRefP22_18x_0" localSheetId="66">'310'!$P$96</definedName>
    <definedName name="OSRRefP22_18x_0" localSheetId="74">'310 &amp; 491'!$P$102:$P$105</definedName>
    <definedName name="OSRRefP22_18x_0" localSheetId="71">'325'!$P$92</definedName>
    <definedName name="OSRRefP22_18x_0" localSheetId="60">'326'!$P$122</definedName>
    <definedName name="OSRRefP22_18x_0" localSheetId="58">'331'!$P$135:$P$140</definedName>
    <definedName name="OSRRefP22_18x_0" localSheetId="76">'405'!$P$94</definedName>
    <definedName name="OSRRefP22_18x_0" localSheetId="83">'415'!$P$98</definedName>
    <definedName name="OSRRefP22_18x_0" localSheetId="75">'491'!$P$103:$P$104</definedName>
    <definedName name="OSRRefP22_18x_0" localSheetId="89">'492'!$P$99:$P$100</definedName>
    <definedName name="OSRRefP22_18x_0" localSheetId="39">'Div 2'!$P$92:$P$93</definedName>
    <definedName name="OSRRefP22_18x_0" localSheetId="47">'Div 3'!$P$233:$P$236</definedName>
    <definedName name="OSRRefP22_18x_0" localSheetId="73">'Div 4'!$P$98:$P$101</definedName>
    <definedName name="OSRRefP22_18x_0" localSheetId="2">Summary!$P$267:$P$270</definedName>
    <definedName name="OSRRefP22_19x_0" localSheetId="48">'300'!$P$239:$P$240</definedName>
    <definedName name="OSRRefP22_19x_0" localSheetId="49">'300 &amp; 317'!$P$264:$P$265</definedName>
    <definedName name="OSRRefP22_19x_0" localSheetId="50">'301'!$P$92</definedName>
    <definedName name="OSRRefP22_19x_0" localSheetId="66">'310'!$P$98:$P$106</definedName>
    <definedName name="OSRRefP22_19x_0" localSheetId="74">'310 &amp; 491'!$P$107:$P$112</definedName>
    <definedName name="OSRRefP22_19x_0" localSheetId="60">'326'!$P$124</definedName>
    <definedName name="OSRRefP22_19x_0" localSheetId="58">'331'!$P$142:$P$143</definedName>
    <definedName name="OSRRefP22_19x_0" localSheetId="76">'405'!$P$96</definedName>
    <definedName name="OSRRefP22_19x_0" localSheetId="75">'491'!$P$106:$P$115</definedName>
    <definedName name="OSRRefP22_19x_0" localSheetId="39">'Div 2'!$P$95</definedName>
    <definedName name="OSRRefP22_19x_0" localSheetId="47">'Div 3'!$P$238:$P$241</definedName>
    <definedName name="OSRRefP22_19x_0" localSheetId="73">'Div 4'!$P$103:$P$107</definedName>
    <definedName name="OSRRefP22_19x_0" localSheetId="2">Summary!$P$272:$P$275</definedName>
    <definedName name="OSRRefP22_1x_0" localSheetId="40">'200'!$P$22</definedName>
    <definedName name="OSRRefP22_1x_0" localSheetId="41">'201'!$P$30:$P$39</definedName>
    <definedName name="OSRRefP22_1x_0" localSheetId="42">'202'!$P$30:$P$39</definedName>
    <definedName name="OSRRefP22_1x_0" localSheetId="43">'203'!$P$31:$P$40</definedName>
    <definedName name="OSRRefP22_1x_0" localSheetId="44">'204'!$P$32:$P$41</definedName>
    <definedName name="OSRRefP22_1x_0" localSheetId="45">'205'!$P$30:$P$39</definedName>
    <definedName name="OSRRefP22_1x_0" localSheetId="46">'206'!$P$30:$P$39</definedName>
    <definedName name="OSRRefP22_1x_0" localSheetId="48">'300'!$P$178:$P$187</definedName>
    <definedName name="OSRRefP22_1x_0" localSheetId="49">'300 &amp; 317'!$P$203:$P$212</definedName>
    <definedName name="OSRRefP22_1x_0" localSheetId="50">'301'!$P$30:$P$39</definedName>
    <definedName name="OSRRefP22_1x_0" localSheetId="51">'306'!$P$30:$P$39</definedName>
    <definedName name="OSRRefP22_1x_0" localSheetId="53">'307'!$P$89:$P$98</definedName>
    <definedName name="OSRRefP22_1x_0" localSheetId="55">'308'!$P$76:$P$85</definedName>
    <definedName name="OSRRefP22_1x_0" localSheetId="67">'309'!$P$36:$P$45</definedName>
    <definedName name="OSRRefP22_1x_0" localSheetId="66">'310'!$P$44:$P$53</definedName>
    <definedName name="OSRRefP22_1x_0" localSheetId="74">'310 &amp; 491'!$P$52:$P$61</definedName>
    <definedName name="OSRRefP22_1x_0" localSheetId="56">'311'!$P$76:$P$85</definedName>
    <definedName name="OSRRefP22_1x_0" localSheetId="68">'313'!$P$40:$P$49</definedName>
    <definedName name="OSRRefP22_1x_0" localSheetId="54">'314'!$P$68:$P$77</definedName>
    <definedName name="OSRRefP22_1x_0" localSheetId="59">'315'!$P$68:$P$77</definedName>
    <definedName name="OSRRefP22_1x_0" localSheetId="62">'316'!$P$46:$P$55</definedName>
    <definedName name="OSRRefP22_1x_0" localSheetId="65">'317'!$P$71:$P$80</definedName>
    <definedName name="OSRRefP22_1x_0" localSheetId="63">'320'!$P$40:$P$49</definedName>
    <definedName name="OSRRefP22_1x_0" localSheetId="69">'321'!$P$35:$P$44</definedName>
    <definedName name="OSRRefP22_1x_0" localSheetId="70">'322'!$P$36:$P$45</definedName>
    <definedName name="OSRRefP22_1x_0" localSheetId="71">'325'!$P$36:$P$45</definedName>
    <definedName name="OSRRefP22_1x_0" localSheetId="60">'326'!$P$68:$P$77</definedName>
    <definedName name="OSRRefP22_1x_0" localSheetId="72">'327'!$P$26</definedName>
    <definedName name="OSRRefP22_1x_0" localSheetId="52">'330'!$P$96:$P$105</definedName>
    <definedName name="OSRRefP22_1x_0" localSheetId="58">'331'!$P$83:$P$92</definedName>
    <definedName name="OSRRefP22_1x_0" localSheetId="61">'332'!$P$55:$P$64</definedName>
    <definedName name="OSRRefP22_1x_0" localSheetId="76">'405'!$P$36:$P$45</definedName>
    <definedName name="OSRRefP22_1x_0" localSheetId="77">'406'!$P$37:$P$46</definedName>
    <definedName name="OSRRefP22_1x_0" localSheetId="78">'411'!$P$31:$P$40</definedName>
    <definedName name="OSRRefP22_1x_0" localSheetId="79">'412'!$P$37:$P$46</definedName>
    <definedName name="OSRRefP22_1x_0" localSheetId="81">'413'!$P$37:$P$46</definedName>
    <definedName name="OSRRefP22_1x_0" localSheetId="82">'414'!$P$37:$P$46</definedName>
    <definedName name="OSRRefP22_1x_0" localSheetId="83">'415'!$P$36:$P$45</definedName>
    <definedName name="OSRRefP22_1x_0" localSheetId="84">'418'!$P$37:$P$46</definedName>
    <definedName name="OSRRefP22_1x_0" localSheetId="80">'420'!$P$33:$P$36</definedName>
    <definedName name="OSRRefP22_1x_0" localSheetId="85">'423'!$P$31:$P$40</definedName>
    <definedName name="OSRRefP22_1x_0" localSheetId="86">'424'!$P$36:$P$45</definedName>
    <definedName name="OSRRefP22_1x_0" localSheetId="87">'425'!$P$40:$P$49</definedName>
    <definedName name="OSRRefP22_1x_0" localSheetId="90">'430'!$P$30:$P$39</definedName>
    <definedName name="OSRRefP22_1x_0" localSheetId="91">'433'!$P$38:$P$47</definedName>
    <definedName name="OSRRefP22_1x_0" localSheetId="92">'435'!$P$36:$P$45</definedName>
    <definedName name="OSRRefP22_1x_0" localSheetId="93">'444'!$P$38:$P$47</definedName>
    <definedName name="OSRRefP22_1x_0" localSheetId="94">'450'!$P$38:$P$47</definedName>
    <definedName name="OSRRefP22_1x_0" localSheetId="88">'455'!$P$29:$P$38</definedName>
    <definedName name="OSRRefP22_1x_0" localSheetId="75">'491'!$P$46:$P$55</definedName>
    <definedName name="OSRRefP22_1x_0" localSheetId="89">'492'!$P$40:$P$49</definedName>
    <definedName name="OSRRefP22_1x_0" localSheetId="96">'501'!$P$31:$P$40</definedName>
    <definedName name="OSRRefP22_1x_0" localSheetId="39">'Div 2'!$P$33:$P$42</definedName>
    <definedName name="OSRRefP22_1x_0" localSheetId="47">'Div 3'!$P$183:$P$192</definedName>
    <definedName name="OSRRefP22_1x_0" localSheetId="73">'Div 4'!$P$46:$P$55</definedName>
    <definedName name="OSRRefP22_1x_0" localSheetId="95">'Div 5'!$P$31:$P$40</definedName>
    <definedName name="OSRRefP22_1x_0" localSheetId="64">'Div 6'!$P$71:$P$80</definedName>
    <definedName name="OSRRefP22_1x_0" localSheetId="2">Summary!$P$215:$P$224</definedName>
    <definedName name="OSRRefP22_20x_0" localSheetId="48">'300'!$P$242:$P$248</definedName>
    <definedName name="OSRRefP22_20x_0" localSheetId="49">'300 &amp; 317'!$P$267:$P$273</definedName>
    <definedName name="OSRRefP22_20x_0" localSheetId="50">'301'!$P$94</definedName>
    <definedName name="OSRRefP22_20x_0" localSheetId="66">'310'!$P$108</definedName>
    <definedName name="OSRRefP22_20x_0" localSheetId="74">'310 &amp; 491'!$P$114:$P$115</definedName>
    <definedName name="OSRRefP22_20x_0" localSheetId="60">'326'!$P$126</definedName>
    <definedName name="OSRRefP22_20x_0" localSheetId="58">'331'!$P$145</definedName>
    <definedName name="OSRRefP22_20x_0" localSheetId="75">'491'!$P$117:$P$118</definedName>
    <definedName name="OSRRefP22_20x_0" localSheetId="39">'Div 2'!$P$97:$P$98</definedName>
    <definedName name="OSRRefP22_20x_0" localSheetId="47">'Div 3'!$P$243:$P$248</definedName>
    <definedName name="OSRRefP22_20x_0" localSheetId="73">'Div 4'!$P$109:$P$110</definedName>
    <definedName name="OSRRefP22_20x_0" localSheetId="2">Summary!$P$277:$P$282</definedName>
    <definedName name="OSRRefP22_21x_0" localSheetId="48">'300'!$P$250:$P$251</definedName>
    <definedName name="OSRRefP22_21x_0" localSheetId="49">'300 &amp; 317'!$P$275:$P$276</definedName>
    <definedName name="OSRRefP22_21x_0" localSheetId="50">'301'!$P$96:$P$98</definedName>
    <definedName name="OSRRefP22_21x_0" localSheetId="66">'310'!$P$110</definedName>
    <definedName name="OSRRefP22_21x_0" localSheetId="74">'310 &amp; 491'!$P$117:$P$126</definedName>
    <definedName name="OSRRefP22_21x_0" localSheetId="58">'331'!$P$147:$P$148</definedName>
    <definedName name="OSRRefP22_21x_0" localSheetId="75">'491'!$P$120</definedName>
    <definedName name="OSRRefP22_21x_0" localSheetId="47">'Div 3'!$P$250:$P$251</definedName>
    <definedName name="OSRRefP22_21x_0" localSheetId="73">'Div 4'!$P$112:$P$121</definedName>
    <definedName name="OSRRefP22_21x_0" localSheetId="2">Summary!$P$284:$P$285</definedName>
    <definedName name="OSRRefP22_22x_0" localSheetId="48">'300'!$P$253</definedName>
    <definedName name="OSRRefP22_22x_0" localSheetId="49">'300 &amp; 317'!$P$278</definedName>
    <definedName name="OSRRefP22_22x_0" localSheetId="50">'301'!$P$100</definedName>
    <definedName name="OSRRefP22_22x_0" localSheetId="66">'310'!$P$112</definedName>
    <definedName name="OSRRefP22_22x_0" localSheetId="74">'310 &amp; 491'!$P$128:$P$129</definedName>
    <definedName name="OSRRefP22_22x_0" localSheetId="58">'331'!$P$150</definedName>
    <definedName name="OSRRefP22_22x_0" localSheetId="75">'491'!$P$122:$P$124</definedName>
    <definedName name="OSRRefP22_22x_0" localSheetId="47">'Div 3'!$P$253:$P$261</definedName>
    <definedName name="OSRRefP22_22x_0" localSheetId="73">'Div 4'!$P$123:$P$124</definedName>
    <definedName name="OSRRefP22_22x_0" localSheetId="2">Summary!$P$287:$P$296</definedName>
    <definedName name="OSRRefP22_23x_0" localSheetId="48">'300'!$P$255:$P$257</definedName>
    <definedName name="OSRRefP22_23x_0" localSheetId="49">'300 &amp; 317'!$P$280:$P$282</definedName>
    <definedName name="OSRRefP22_23x_0" localSheetId="66">'310'!$P$114</definedName>
    <definedName name="OSRRefP22_23x_0" localSheetId="74">'310 &amp; 491'!$P$131</definedName>
    <definedName name="OSRRefP22_23x_0" localSheetId="75">'491'!$P$126</definedName>
    <definedName name="OSRRefP22_23x_0" localSheetId="47">'Div 3'!$P$263:$P$264</definedName>
    <definedName name="OSRRefP22_23x_0" localSheetId="73">'Div 4'!$P$126</definedName>
    <definedName name="OSRRefP22_23x_0" localSheetId="2">Summary!$P$298:$P$299</definedName>
    <definedName name="OSRRefP22_24x_0" localSheetId="48">'300'!$P$259</definedName>
    <definedName name="OSRRefP22_24x_0" localSheetId="49">'300 &amp; 317'!$P$284</definedName>
    <definedName name="OSRRefP22_24x_0" localSheetId="74">'310 &amp; 491'!$P$133:$P$135</definedName>
    <definedName name="OSRRefP22_24x_0" localSheetId="47">'Div 3'!$P$266</definedName>
    <definedName name="OSRRefP22_24x_0" localSheetId="73">'Div 4'!$P$128:$P$130</definedName>
    <definedName name="OSRRefP22_24x_0" localSheetId="2">Summary!$P$301</definedName>
    <definedName name="OSRRefP22_25x_0" localSheetId="74">'310 &amp; 491'!$P$137</definedName>
    <definedName name="OSRRefP22_25x_0" localSheetId="47">'Div 3'!$P$268:$P$270</definedName>
    <definedName name="OSRRefP22_25x_0" localSheetId="73">'Div 4'!$P$132</definedName>
    <definedName name="OSRRefP22_25x_0" localSheetId="2">Summary!$P$303:$P$305</definedName>
    <definedName name="OSRRefP22_26x_0" localSheetId="47">'Div 3'!$P$272</definedName>
    <definedName name="OSRRefP22_26x_0" localSheetId="2">Summary!$P$307</definedName>
    <definedName name="OSRRefP22_2x_0" localSheetId="40">'200'!$P$24</definedName>
    <definedName name="OSRRefP22_2x_0" localSheetId="41">'201'!$P$41</definedName>
    <definedName name="OSRRefP22_2x_0" localSheetId="42">'202'!$P$41</definedName>
    <definedName name="OSRRefP22_2x_0" localSheetId="43">'203'!$P$42</definedName>
    <definedName name="OSRRefP22_2x_0" localSheetId="44">'204'!$P$43</definedName>
    <definedName name="OSRRefP22_2x_0" localSheetId="45">'205'!$P$41</definedName>
    <definedName name="OSRRefP22_2x_0" localSheetId="46">'206'!$P$41</definedName>
    <definedName name="OSRRefP22_2x_0" localSheetId="48">'300'!$P$189</definedName>
    <definedName name="OSRRefP22_2x_0" localSheetId="49">'300 &amp; 317'!$P$214</definedName>
    <definedName name="OSRRefP22_2x_0" localSheetId="50">'301'!$P$41</definedName>
    <definedName name="OSRRefP22_2x_0" localSheetId="51">'306'!$P$41</definedName>
    <definedName name="OSRRefP22_2x_0" localSheetId="53">'307'!$P$100</definedName>
    <definedName name="OSRRefP22_2x_0" localSheetId="55">'308'!$P$87</definedName>
    <definedName name="OSRRefP22_2x_0" localSheetId="67">'309'!$P$47</definedName>
    <definedName name="OSRRefP22_2x_0" localSheetId="66">'310'!$P$55</definedName>
    <definedName name="OSRRefP22_2x_0" localSheetId="74">'310 &amp; 491'!$P$63</definedName>
    <definedName name="OSRRefP22_2x_0" localSheetId="56">'311'!$P$87</definedName>
    <definedName name="OSRRefP22_2x_0" localSheetId="68">'313'!$P$51</definedName>
    <definedName name="OSRRefP22_2x_0" localSheetId="54">'314'!$P$79</definedName>
    <definedName name="OSRRefP22_2x_0" localSheetId="59">'315'!$P$79</definedName>
    <definedName name="OSRRefP22_2x_0" localSheetId="62">'316'!$P$57</definedName>
    <definedName name="OSRRefP22_2x_0" localSheetId="65">'317'!$P$82</definedName>
    <definedName name="OSRRefP22_2x_0" localSheetId="63">'320'!$P$51</definedName>
    <definedName name="OSRRefP22_2x_0" localSheetId="69">'321'!$P$46</definedName>
    <definedName name="OSRRefP22_2x_0" localSheetId="70">'322'!$P$47</definedName>
    <definedName name="OSRRefP22_2x_0" localSheetId="71">'325'!$P$47</definedName>
    <definedName name="OSRRefP22_2x_0" localSheetId="60">'326'!$P$79</definedName>
    <definedName name="OSRRefP22_2x_0" localSheetId="72">'327'!$P$28</definedName>
    <definedName name="OSRRefP22_2x_0" localSheetId="52">'330'!$P$107</definedName>
    <definedName name="OSRRefP22_2x_0" localSheetId="58">'331'!$P$94</definedName>
    <definedName name="OSRRefP22_2x_0" localSheetId="61">'332'!$P$66</definedName>
    <definedName name="OSRRefP22_2x_0" localSheetId="76">'405'!$P$47</definedName>
    <definedName name="OSRRefP22_2x_0" localSheetId="77">'406'!$P$48</definedName>
    <definedName name="OSRRefP22_2x_0" localSheetId="78">'411'!$P$42</definedName>
    <definedName name="OSRRefP22_2x_0" localSheetId="79">'412'!$P$48</definedName>
    <definedName name="OSRRefP22_2x_0" localSheetId="81">'413'!$P$48</definedName>
    <definedName name="OSRRefP22_2x_0" localSheetId="82">'414'!$P$48</definedName>
    <definedName name="OSRRefP22_2x_0" localSheetId="83">'415'!$P$47</definedName>
    <definedName name="OSRRefP22_2x_0" localSheetId="84">'418'!$P$48</definedName>
    <definedName name="OSRRefP22_2x_0" localSheetId="80">'420'!$P$38</definedName>
    <definedName name="OSRRefP22_2x_0" localSheetId="85">'423'!$P$42</definedName>
    <definedName name="OSRRefP22_2x_0" localSheetId="86">'424'!$P$47</definedName>
    <definedName name="OSRRefP22_2x_0" localSheetId="87">'425'!$P$51</definedName>
    <definedName name="OSRRefP22_2x_0" localSheetId="90">'430'!$P$41</definedName>
    <definedName name="OSRRefP22_2x_0" localSheetId="91">'433'!$P$49</definedName>
    <definedName name="OSRRefP22_2x_0" localSheetId="92">'435'!$P$47</definedName>
    <definedName name="OSRRefP22_2x_0" localSheetId="93">'444'!$P$49</definedName>
    <definedName name="OSRRefP22_2x_0" localSheetId="94">'450'!$P$49</definedName>
    <definedName name="OSRRefP22_2x_0" localSheetId="75">'491'!$P$57</definedName>
    <definedName name="OSRRefP22_2x_0" localSheetId="89">'492'!$P$51</definedName>
    <definedName name="OSRRefP22_2x_0" localSheetId="96">'501'!$P$42</definedName>
    <definedName name="OSRRefP22_2x_0" localSheetId="39">'Div 2'!$P$44</definedName>
    <definedName name="OSRRefP22_2x_0" localSheetId="47">'Div 3'!$P$194</definedName>
    <definedName name="OSRRefP22_2x_0" localSheetId="73">'Div 4'!$P$57</definedName>
    <definedName name="OSRRefP22_2x_0" localSheetId="95">'Div 5'!$P$42</definedName>
    <definedName name="OSRRefP22_2x_0" localSheetId="64">'Div 6'!$P$82</definedName>
    <definedName name="OSRRefP22_2x_0" localSheetId="2">Summary!$P$226</definedName>
    <definedName name="OSRRefP22_3x_0" localSheetId="40">'200'!$P$26</definedName>
    <definedName name="OSRRefP22_3x_0" localSheetId="41">'201'!$P$43</definedName>
    <definedName name="OSRRefP22_3x_0" localSheetId="42">'202'!$P$43</definedName>
    <definedName name="OSRRefP22_3x_0" localSheetId="43">'203'!$P$44</definedName>
    <definedName name="OSRRefP22_3x_0" localSheetId="44">'204'!$P$45:$P$46</definedName>
    <definedName name="OSRRefP22_3x_0" localSheetId="45">'205'!$P$43</definedName>
    <definedName name="OSRRefP22_3x_0" localSheetId="46">'206'!$P$43</definedName>
    <definedName name="OSRRefP22_3x_0" localSheetId="48">'300'!$P$191:$P$192</definedName>
    <definedName name="OSRRefP22_3x_0" localSheetId="49">'300 &amp; 317'!$P$216:$P$217</definedName>
    <definedName name="OSRRefP22_3x_0" localSheetId="50">'301'!$P$43:$P$44</definedName>
    <definedName name="OSRRefP22_3x_0" localSheetId="51">'306'!$P$43</definedName>
    <definedName name="OSRRefP22_3x_0" localSheetId="53">'307'!$P$102</definedName>
    <definedName name="OSRRefP22_3x_0" localSheetId="55">'308'!$P$89:$P$90</definedName>
    <definedName name="OSRRefP22_3x_0" localSheetId="67">'309'!$P$49</definedName>
    <definedName name="OSRRefP22_3x_0" localSheetId="66">'310'!$P$57</definedName>
    <definedName name="OSRRefP22_3x_0" localSheetId="74">'310 &amp; 491'!$P$65</definedName>
    <definedName name="OSRRefP22_3x_0" localSheetId="56">'311'!$P$89:$P$90</definedName>
    <definedName name="OSRRefP22_3x_0" localSheetId="68">'313'!$P$53</definedName>
    <definedName name="OSRRefP22_3x_0" localSheetId="54">'314'!$P$81:$P$82</definedName>
    <definedName name="OSRRefP22_3x_0" localSheetId="59">'315'!$P$81:$P$82</definedName>
    <definedName name="OSRRefP22_3x_0" localSheetId="62">'316'!$P$59</definedName>
    <definedName name="OSRRefP22_3x_0" localSheetId="65">'317'!$P$84</definedName>
    <definedName name="OSRRefP22_3x_0" localSheetId="63">'320'!$P$53</definedName>
    <definedName name="OSRRefP22_3x_0" localSheetId="69">'321'!$P$48</definedName>
    <definedName name="OSRRefP22_3x_0" localSheetId="70">'322'!$P$49</definedName>
    <definedName name="OSRRefP22_3x_0" localSheetId="71">'325'!$P$49</definedName>
    <definedName name="OSRRefP22_3x_0" localSheetId="60">'326'!$P$81:$P$82</definedName>
    <definedName name="OSRRefP22_3x_0" localSheetId="52">'330'!$P$109</definedName>
    <definedName name="OSRRefP22_3x_0" localSheetId="58">'331'!$P$96:$P$97</definedName>
    <definedName name="OSRRefP22_3x_0" localSheetId="61">'332'!$P$68</definedName>
    <definedName name="OSRRefP22_3x_0" localSheetId="76">'405'!$P$49</definedName>
    <definedName name="OSRRefP22_3x_0" localSheetId="77">'406'!$P$50</definedName>
    <definedName name="OSRRefP22_3x_0" localSheetId="78">'411'!$P$44:$P$47</definedName>
    <definedName name="OSRRefP22_3x_0" localSheetId="79">'412'!$P$50</definedName>
    <definedName name="OSRRefP22_3x_0" localSheetId="81">'413'!$P$50</definedName>
    <definedName name="OSRRefP22_3x_0" localSheetId="82">'414'!$P$50</definedName>
    <definedName name="OSRRefP22_3x_0" localSheetId="83">'415'!$P$49</definedName>
    <definedName name="OSRRefP22_3x_0" localSheetId="84">'418'!$P$50</definedName>
    <definedName name="OSRRefP22_3x_0" localSheetId="80">'420'!$P$40</definedName>
    <definedName name="OSRRefP22_3x_0" localSheetId="85">'423'!$P$44</definedName>
    <definedName name="OSRRefP22_3x_0" localSheetId="86">'424'!$P$49</definedName>
    <definedName name="OSRRefP22_3x_0" localSheetId="87">'425'!$P$53</definedName>
    <definedName name="OSRRefP22_3x_0" localSheetId="90">'430'!$P$43</definedName>
    <definedName name="OSRRefP22_3x_0" localSheetId="91">'433'!$P$51</definedName>
    <definedName name="OSRRefP22_3x_0" localSheetId="92">'435'!$P$49</definedName>
    <definedName name="OSRRefP22_3x_0" localSheetId="93">'444'!$P$51</definedName>
    <definedName name="OSRRefP22_3x_0" localSheetId="94">'450'!$P$51:$P$52</definedName>
    <definedName name="OSRRefP22_3x_0" localSheetId="75">'491'!$P$59</definedName>
    <definedName name="OSRRefP22_3x_0" localSheetId="89">'492'!$P$53:$P$54</definedName>
    <definedName name="OSRRefP22_3x_0" localSheetId="96">'501'!$P$44</definedName>
    <definedName name="OSRRefP22_3x_0" localSheetId="39">'Div 2'!$P$46</definedName>
    <definedName name="OSRRefP22_3x_0" localSheetId="47">'Div 3'!$P$196:$P$197</definedName>
    <definedName name="OSRRefP22_3x_0" localSheetId="73">'Div 4'!$P$59:$P$60</definedName>
    <definedName name="OSRRefP22_3x_0" localSheetId="95">'Div 5'!$P$44</definedName>
    <definedName name="OSRRefP22_3x_0" localSheetId="64">'Div 6'!$P$84</definedName>
    <definedName name="OSRRefP22_3x_0" localSheetId="2">Summary!$P$228:$P$229</definedName>
    <definedName name="OSRRefP22_4x_0" localSheetId="40">'200'!$P$28:$P$29</definedName>
    <definedName name="OSRRefP22_4x_0" localSheetId="41">'201'!$P$45:$P$46</definedName>
    <definedName name="OSRRefP22_4x_0" localSheetId="42">'202'!$P$45</definedName>
    <definedName name="OSRRefP22_4x_0" localSheetId="43">'203'!$P$46</definedName>
    <definedName name="OSRRefP22_4x_0" localSheetId="44">'204'!$P$48</definedName>
    <definedName name="OSRRefP22_4x_0" localSheetId="45">'205'!$P$45</definedName>
    <definedName name="OSRRefP22_4x_0" localSheetId="46">'206'!$P$45</definedName>
    <definedName name="OSRRefP22_4x_0" localSheetId="48">'300'!$P$194</definedName>
    <definedName name="OSRRefP22_4x_0" localSheetId="49">'300 &amp; 317'!$P$219</definedName>
    <definedName name="OSRRefP22_4x_0" localSheetId="50">'301'!$P$46</definedName>
    <definedName name="OSRRefP22_4x_0" localSheetId="51">'306'!$P$45</definedName>
    <definedName name="OSRRefP22_4x_0" localSheetId="53">'307'!$P$104:$P$105</definedName>
    <definedName name="OSRRefP22_4x_0" localSheetId="55">'308'!$P$92</definedName>
    <definedName name="OSRRefP22_4x_0" localSheetId="67">'309'!$P$51</definedName>
    <definedName name="OSRRefP22_4x_0" localSheetId="66">'310'!$P$59</definedName>
    <definedName name="OSRRefP22_4x_0" localSheetId="74">'310 &amp; 491'!$P$67</definedName>
    <definedName name="OSRRefP22_4x_0" localSheetId="56">'311'!$P$92</definedName>
    <definedName name="OSRRefP22_4x_0" localSheetId="68">'313'!$P$55</definedName>
    <definedName name="OSRRefP22_4x_0" localSheetId="54">'314'!$P$84</definedName>
    <definedName name="OSRRefP22_4x_0" localSheetId="59">'315'!$P$84</definedName>
    <definedName name="OSRRefP22_4x_0" localSheetId="62">'316'!$P$61</definedName>
    <definedName name="OSRRefP22_4x_0" localSheetId="65">'317'!$P$86</definedName>
    <definedName name="OSRRefP22_4x_0" localSheetId="63">'320'!$P$55:$P$56</definedName>
    <definedName name="OSRRefP22_4x_0" localSheetId="69">'321'!$P$50</definedName>
    <definedName name="OSRRefP22_4x_0" localSheetId="70">'322'!$P$51</definedName>
    <definedName name="OSRRefP22_4x_0" localSheetId="71">'325'!$P$51</definedName>
    <definedName name="OSRRefP22_4x_0" localSheetId="60">'326'!$P$84</definedName>
    <definedName name="OSRRefP22_4x_0" localSheetId="52">'330'!$P$111:$P$112</definedName>
    <definedName name="OSRRefP22_4x_0" localSheetId="58">'331'!$P$99</definedName>
    <definedName name="OSRRefP22_4x_0" localSheetId="61">'332'!$P$70</definedName>
    <definedName name="OSRRefP22_4x_0" localSheetId="76">'405'!$P$51</definedName>
    <definedName name="OSRRefP22_4x_0" localSheetId="77">'406'!$P$52</definedName>
    <definedName name="OSRRefP22_4x_0" localSheetId="78">'411'!$P$49</definedName>
    <definedName name="OSRRefP22_4x_0" localSheetId="79">'412'!$P$52</definedName>
    <definedName name="OSRRefP22_4x_0" localSheetId="81">'413'!$P$52</definedName>
    <definedName name="OSRRefP22_4x_0" localSheetId="82">'414'!$P$52</definedName>
    <definedName name="OSRRefP22_4x_0" localSheetId="83">'415'!$P$51</definedName>
    <definedName name="OSRRefP22_4x_0" localSheetId="84">'418'!$P$52</definedName>
    <definedName name="OSRRefP22_4x_0" localSheetId="80">'420'!$P$42</definedName>
    <definedName name="OSRRefP22_4x_0" localSheetId="85">'423'!$P$46</definedName>
    <definedName name="OSRRefP22_4x_0" localSheetId="86">'424'!$P$51</definedName>
    <definedName name="OSRRefP22_4x_0" localSheetId="87">'425'!$P$55</definedName>
    <definedName name="OSRRefP22_4x_0" localSheetId="90">'430'!$P$45</definedName>
    <definedName name="OSRRefP22_4x_0" localSheetId="91">'433'!$P$53</definedName>
    <definedName name="OSRRefP22_4x_0" localSheetId="92">'435'!$P$51</definedName>
    <definedName name="OSRRefP22_4x_0" localSheetId="93">'444'!$P$53</definedName>
    <definedName name="OSRRefP22_4x_0" localSheetId="94">'450'!$P$54</definedName>
    <definedName name="OSRRefP22_4x_0" localSheetId="75">'491'!$P$61</definedName>
    <definedName name="OSRRefP22_4x_0" localSheetId="89">'492'!$P$56</definedName>
    <definedName name="OSRRefP22_4x_0" localSheetId="96">'501'!$P$46</definedName>
    <definedName name="OSRRefP22_4x_0" localSheetId="39">'Div 2'!$P$48</definedName>
    <definedName name="OSRRefP22_4x_0" localSheetId="47">'Div 3'!$P$199</definedName>
    <definedName name="OSRRefP22_4x_0" localSheetId="73">'Div 4'!$P$62</definedName>
    <definedName name="OSRRefP22_4x_0" localSheetId="95">'Div 5'!$P$46</definedName>
    <definedName name="OSRRefP22_4x_0" localSheetId="64">'Div 6'!$P$86</definedName>
    <definedName name="OSRRefP22_4x_0" localSheetId="2">Summary!$P$231</definedName>
    <definedName name="OSRRefP22_5x_0" localSheetId="41">'201'!$P$48</definedName>
    <definedName name="OSRRefP22_5x_0" localSheetId="42">'202'!$P$47</definedName>
    <definedName name="OSRRefP22_5x_0" localSheetId="43">'203'!$P$48</definedName>
    <definedName name="OSRRefP22_5x_0" localSheetId="44">'204'!$P$50</definedName>
    <definedName name="OSRRefP22_5x_0" localSheetId="45">'205'!$P$47:$P$48</definedName>
    <definedName name="OSRRefP22_5x_0" localSheetId="46">'206'!$P$47</definedName>
    <definedName name="OSRRefP22_5x_0" localSheetId="48">'300'!$P$196:$P$199</definedName>
    <definedName name="OSRRefP22_5x_0" localSheetId="49">'300 &amp; 317'!$P$221:$P$224</definedName>
    <definedName name="OSRRefP22_5x_0" localSheetId="50">'301'!$P$48:$P$51</definedName>
    <definedName name="OSRRefP22_5x_0" localSheetId="51">'306'!$P$47</definedName>
    <definedName name="OSRRefP22_5x_0" localSheetId="53">'307'!$P$107</definedName>
    <definedName name="OSRRefP22_5x_0" localSheetId="55">'308'!$P$94</definedName>
    <definedName name="OSRRefP22_5x_0" localSheetId="67">'309'!$P$53:$P$54</definedName>
    <definedName name="OSRRefP22_5x_0" localSheetId="66">'310'!$P$61:$P$63</definedName>
    <definedName name="OSRRefP22_5x_0" localSheetId="74">'310 &amp; 491'!$P$69:$P$72</definedName>
    <definedName name="OSRRefP22_5x_0" localSheetId="56">'311'!$P$94</definedName>
    <definedName name="OSRRefP22_5x_0" localSheetId="68">'313'!$P$57</definedName>
    <definedName name="OSRRefP22_5x_0" localSheetId="54">'314'!$P$86</definedName>
    <definedName name="OSRRefP22_5x_0" localSheetId="59">'315'!$P$86:$P$87</definedName>
    <definedName name="OSRRefP22_5x_0" localSheetId="62">'316'!$P$63</definedName>
    <definedName name="OSRRefP22_5x_0" localSheetId="65">'317'!$P$88</definedName>
    <definedName name="OSRRefP22_5x_0" localSheetId="63">'320'!$P$58</definedName>
    <definedName name="OSRRefP22_5x_0" localSheetId="69">'321'!$P$52</definedName>
    <definedName name="OSRRefP22_5x_0" localSheetId="70">'322'!$P$53:$P$54</definedName>
    <definedName name="OSRRefP22_5x_0" localSheetId="71">'325'!$P$53:$P$55</definedName>
    <definedName name="OSRRefP22_5x_0" localSheetId="60">'326'!$P$86</definedName>
    <definedName name="OSRRefP22_5x_0" localSheetId="52">'330'!$P$114</definedName>
    <definedName name="OSRRefP22_5x_0" localSheetId="58">'331'!$P$101:$P$102</definedName>
    <definedName name="OSRRefP22_5x_0" localSheetId="61">'332'!$P$72</definedName>
    <definedName name="OSRRefP22_5x_0" localSheetId="76">'405'!$P$53:$P$55</definedName>
    <definedName name="OSRRefP22_5x_0" localSheetId="77">'406'!$P$54:$P$55</definedName>
    <definedName name="OSRRefP22_5x_0" localSheetId="78">'411'!$P$51</definedName>
    <definedName name="OSRRefP22_5x_0" localSheetId="79">'412'!$P$54:$P$56</definedName>
    <definedName name="OSRRefP22_5x_0" localSheetId="81">'413'!$P$54</definedName>
    <definedName name="OSRRefP22_5x_0" localSheetId="82">'414'!$P$54:$P$55</definedName>
    <definedName name="OSRRefP22_5x_0" localSheetId="83">'415'!$P$53:$P$55</definedName>
    <definedName name="OSRRefP22_5x_0" localSheetId="84">'418'!$P$54:$P$56</definedName>
    <definedName name="OSRRefP22_5x_0" localSheetId="80">'420'!$P$44</definedName>
    <definedName name="OSRRefP22_5x_0" localSheetId="85">'423'!$P$48</definedName>
    <definedName name="OSRRefP22_5x_0" localSheetId="86">'424'!$P$53</definedName>
    <definedName name="OSRRefP22_5x_0" localSheetId="87">'425'!$P$57:$P$58</definedName>
    <definedName name="OSRRefP22_5x_0" localSheetId="90">'430'!$P$47</definedName>
    <definedName name="OSRRefP22_5x_0" localSheetId="91">'433'!$P$55</definedName>
    <definedName name="OSRRefP22_5x_0" localSheetId="92">'435'!$P$53</definedName>
    <definedName name="OSRRefP22_5x_0" localSheetId="93">'444'!$P$55</definedName>
    <definedName name="OSRRefP22_5x_0" localSheetId="94">'450'!$P$56</definedName>
    <definedName name="OSRRefP22_5x_0" localSheetId="75">'491'!$P$63:$P$66</definedName>
    <definedName name="OSRRefP22_5x_0" localSheetId="89">'492'!$P$58</definedName>
    <definedName name="OSRRefP22_5x_0" localSheetId="96">'501'!$P$48</definedName>
    <definedName name="OSRRefP22_5x_0" localSheetId="39">'Div 2'!$P$50:$P$51</definedName>
    <definedName name="OSRRefP22_5x_0" localSheetId="47">'Div 3'!$P$201:$P$204</definedName>
    <definedName name="OSRRefP22_5x_0" localSheetId="73">'Div 4'!$P$64:$P$67</definedName>
    <definedName name="OSRRefP22_5x_0" localSheetId="95">'Div 5'!$P$48</definedName>
    <definedName name="OSRRefP22_5x_0" localSheetId="64">'Div 6'!$P$88</definedName>
    <definedName name="OSRRefP22_5x_0" localSheetId="2">Summary!$P$233:$P$236</definedName>
    <definedName name="OSRRefP22_6x_0" localSheetId="41">'201'!$P$50</definedName>
    <definedName name="OSRRefP22_6x_0" localSheetId="42">'202'!$P$49</definedName>
    <definedName name="OSRRefP22_6x_0" localSheetId="43">'203'!$P$50</definedName>
    <definedName name="OSRRefP22_6x_0" localSheetId="44">'204'!$P$52</definedName>
    <definedName name="OSRRefP22_6x_0" localSheetId="45">'205'!$P$50</definedName>
    <definedName name="OSRRefP22_6x_0" localSheetId="46">'206'!$P$49</definedName>
    <definedName name="OSRRefP22_6x_0" localSheetId="48">'300'!$P$201:$P$202</definedName>
    <definedName name="OSRRefP22_6x_0" localSheetId="49">'300 &amp; 317'!$P$226:$P$227</definedName>
    <definedName name="OSRRefP22_6x_0" localSheetId="50">'301'!$P$53:$P$54</definedName>
    <definedName name="OSRRefP22_6x_0" localSheetId="51">'306'!$P$49</definedName>
    <definedName name="OSRRefP22_6x_0" localSheetId="53">'307'!$P$109</definedName>
    <definedName name="OSRRefP22_6x_0" localSheetId="55">'308'!$P$96:$P$97</definedName>
    <definedName name="OSRRefP22_6x_0" localSheetId="67">'309'!$P$56</definedName>
    <definedName name="OSRRefP22_6x_0" localSheetId="66">'310'!$P$65</definedName>
    <definedName name="OSRRefP22_6x_0" localSheetId="74">'310 &amp; 491'!$P$74</definedName>
    <definedName name="OSRRefP22_6x_0" localSheetId="56">'311'!$P$96:$P$97</definedName>
    <definedName name="OSRRefP22_6x_0" localSheetId="68">'313'!$P$59</definedName>
    <definedName name="OSRRefP22_6x_0" localSheetId="54">'314'!$P$88</definedName>
    <definedName name="OSRRefP22_6x_0" localSheetId="59">'315'!$P$89</definedName>
    <definedName name="OSRRefP22_6x_0" localSheetId="62">'316'!$P$65</definedName>
    <definedName name="OSRRefP22_6x_0" localSheetId="65">'317'!$P$90</definedName>
    <definedName name="OSRRefP22_6x_0" localSheetId="63">'320'!$P$60</definedName>
    <definedName name="OSRRefP22_6x_0" localSheetId="69">'321'!$P$54</definedName>
    <definedName name="OSRRefP22_6x_0" localSheetId="70">'322'!$P$56</definedName>
    <definedName name="OSRRefP22_6x_0" localSheetId="71">'325'!$P$57</definedName>
    <definedName name="OSRRefP22_6x_0" localSheetId="60">'326'!$P$88</definedName>
    <definedName name="OSRRefP22_6x_0" localSheetId="52">'330'!$P$116</definedName>
    <definedName name="OSRRefP22_6x_0" localSheetId="58">'331'!$P$104</definedName>
    <definedName name="OSRRefP22_6x_0" localSheetId="61">'332'!$P$74</definedName>
    <definedName name="OSRRefP22_6x_0" localSheetId="76">'405'!$P$57</definedName>
    <definedName name="OSRRefP22_6x_0" localSheetId="77">'406'!$P$57</definedName>
    <definedName name="OSRRefP22_6x_0" localSheetId="78">'411'!$P$53</definedName>
    <definedName name="OSRRefP22_6x_0" localSheetId="79">'412'!$P$58</definedName>
    <definedName name="OSRRefP22_6x_0" localSheetId="81">'413'!$P$56</definedName>
    <definedName name="OSRRefP22_6x_0" localSheetId="82">'414'!$P$57</definedName>
    <definedName name="OSRRefP22_6x_0" localSheetId="83">'415'!$P$57</definedName>
    <definedName name="OSRRefP22_6x_0" localSheetId="84">'418'!$P$58</definedName>
    <definedName name="OSRRefP22_6x_0" localSheetId="80">'420'!$P$46:$P$47</definedName>
    <definedName name="OSRRefP22_6x_0" localSheetId="85">'423'!$P$50</definedName>
    <definedName name="OSRRefP22_6x_0" localSheetId="86">'424'!$P$55</definedName>
    <definedName name="OSRRefP22_6x_0" localSheetId="87">'425'!$P$60</definedName>
    <definedName name="OSRRefP22_6x_0" localSheetId="90">'430'!$P$49</definedName>
    <definedName name="OSRRefP22_6x_0" localSheetId="91">'433'!$P$57</definedName>
    <definedName name="OSRRefP22_6x_0" localSheetId="92">'435'!$P$55</definedName>
    <definedName name="OSRRefP22_6x_0" localSheetId="93">'444'!$P$57</definedName>
    <definedName name="OSRRefP22_6x_0" localSheetId="94">'450'!$P$58</definedName>
    <definedName name="OSRRefP22_6x_0" localSheetId="75">'491'!$P$68</definedName>
    <definedName name="OSRRefP22_6x_0" localSheetId="89">'492'!$P$60:$P$61</definedName>
    <definedName name="OSRRefP22_6x_0" localSheetId="96">'501'!$P$50</definedName>
    <definedName name="OSRRefP22_6x_0" localSheetId="39">'Div 2'!$P$53:$P$54</definedName>
    <definedName name="OSRRefP22_6x_0" localSheetId="47">'Div 3'!$P$206:$P$207</definedName>
    <definedName name="OSRRefP22_6x_0" localSheetId="73">'Div 4'!$P$69</definedName>
    <definedName name="OSRRefP22_6x_0" localSheetId="95">'Div 5'!$P$50</definedName>
    <definedName name="OSRRefP22_6x_0" localSheetId="64">'Div 6'!$P$90</definedName>
    <definedName name="OSRRefP22_6x_0" localSheetId="2">Summary!$P$238:$P$239</definedName>
    <definedName name="OSRRefP22_7x_0" localSheetId="41">'201'!$P$52</definedName>
    <definedName name="OSRRefP22_7x_0" localSheetId="42">'202'!$P$51</definedName>
    <definedName name="OSRRefP22_7x_0" localSheetId="43">'203'!$P$52</definedName>
    <definedName name="OSRRefP22_7x_0" localSheetId="44">'204'!$P$54:$P$57</definedName>
    <definedName name="OSRRefP22_7x_0" localSheetId="45">'205'!$P$52:$P$53</definedName>
    <definedName name="OSRRefP22_7x_0" localSheetId="46">'206'!$P$51:$P$52</definedName>
    <definedName name="OSRRefP22_7x_0" localSheetId="48">'300'!$P$204:$P$205</definedName>
    <definedName name="OSRRefP22_7x_0" localSheetId="49">'300 &amp; 317'!$P$229:$P$230</definedName>
    <definedName name="OSRRefP22_7x_0" localSheetId="50">'301'!$P$56:$P$57</definedName>
    <definedName name="OSRRefP22_7x_0" localSheetId="51">'306'!$P$51:$P$52</definedName>
    <definedName name="OSRRefP22_7x_0" localSheetId="53">'307'!$P$111</definedName>
    <definedName name="OSRRefP22_7x_0" localSheetId="55">'308'!$P$99</definedName>
    <definedName name="OSRRefP22_7x_0" localSheetId="67">'309'!$P$58</definedName>
    <definedName name="OSRRefP22_7x_0" localSheetId="66">'310'!$P$67</definedName>
    <definedName name="OSRRefP22_7x_0" localSheetId="74">'310 &amp; 491'!$P$76</definedName>
    <definedName name="OSRRefP22_7x_0" localSheetId="56">'311'!$P$99</definedName>
    <definedName name="OSRRefP22_7x_0" localSheetId="68">'313'!$P$61</definedName>
    <definedName name="OSRRefP22_7x_0" localSheetId="54">'314'!$P$90</definedName>
    <definedName name="OSRRefP22_7x_0" localSheetId="59">'315'!$P$91</definedName>
    <definedName name="OSRRefP22_7x_0" localSheetId="62">'316'!$P$67</definedName>
    <definedName name="OSRRefP22_7x_0" localSheetId="65">'317'!$P$92</definedName>
    <definedName name="OSRRefP22_7x_0" localSheetId="63">'320'!$P$62:$P$63</definedName>
    <definedName name="OSRRefP22_7x_0" localSheetId="69">'321'!$P$56</definedName>
    <definedName name="OSRRefP22_7x_0" localSheetId="70">'322'!$P$58</definedName>
    <definedName name="OSRRefP22_7x_0" localSheetId="71">'325'!$P$59</definedName>
    <definedName name="OSRRefP22_7x_0" localSheetId="60">'326'!$P$90</definedName>
    <definedName name="OSRRefP22_7x_0" localSheetId="52">'330'!$P$118</definedName>
    <definedName name="OSRRefP22_7x_0" localSheetId="58">'331'!$P$106</definedName>
    <definedName name="OSRRefP22_7x_0" localSheetId="61">'332'!$P$76:$P$77</definedName>
    <definedName name="OSRRefP22_7x_0" localSheetId="76">'405'!$P$59</definedName>
    <definedName name="OSRRefP22_7x_0" localSheetId="77">'406'!$P$59</definedName>
    <definedName name="OSRRefP22_7x_0" localSheetId="78">'411'!$P$55</definedName>
    <definedName name="OSRRefP22_7x_0" localSheetId="79">'412'!$P$60</definedName>
    <definedName name="OSRRefP22_7x_0" localSheetId="81">'413'!$P$58</definedName>
    <definedName name="OSRRefP22_7x_0" localSheetId="82">'414'!$P$59</definedName>
    <definedName name="OSRRefP22_7x_0" localSheetId="83">'415'!$P$59</definedName>
    <definedName name="OSRRefP22_7x_0" localSheetId="84">'418'!$P$60</definedName>
    <definedName name="OSRRefP22_7x_0" localSheetId="80">'420'!$P$49</definedName>
    <definedName name="OSRRefP22_7x_0" localSheetId="86">'424'!$P$57</definedName>
    <definedName name="OSRRefP22_7x_0" localSheetId="87">'425'!$P$62</definedName>
    <definedName name="OSRRefP22_7x_0" localSheetId="90">'430'!$P$51:$P$53</definedName>
    <definedName name="OSRRefP22_7x_0" localSheetId="91">'433'!$P$59</definedName>
    <definedName name="OSRRefP22_7x_0" localSheetId="92">'435'!$P$57:$P$59</definedName>
    <definedName name="OSRRefP22_7x_0" localSheetId="93">'444'!$P$59</definedName>
    <definedName name="OSRRefP22_7x_0" localSheetId="94">'450'!$P$60</definedName>
    <definedName name="OSRRefP22_7x_0" localSheetId="75">'491'!$P$70</definedName>
    <definedName name="OSRRefP22_7x_0" localSheetId="89">'492'!$P$63</definedName>
    <definedName name="OSRRefP22_7x_0" localSheetId="96">'501'!$P$52</definedName>
    <definedName name="OSRRefP22_7x_0" localSheetId="39">'Div 2'!$P$56</definedName>
    <definedName name="OSRRefP22_7x_0" localSheetId="47">'Div 3'!$P$209:$P$210</definedName>
    <definedName name="OSRRefP22_7x_0" localSheetId="73">'Div 4'!$P$71:$P$72</definedName>
    <definedName name="OSRRefP22_7x_0" localSheetId="95">'Div 5'!$P$52</definedName>
    <definedName name="OSRRefP22_7x_0" localSheetId="64">'Div 6'!$P$92</definedName>
    <definedName name="OSRRefP22_7x_0" localSheetId="2">Summary!$P$241:$P$243</definedName>
    <definedName name="OSRRefP22_8x_0" localSheetId="41">'201'!$P$54</definedName>
    <definedName name="OSRRefP22_8x_0" localSheetId="42">'202'!$P$53</definedName>
    <definedName name="OSRRefP22_8x_0" localSheetId="43">'203'!$P$54</definedName>
    <definedName name="OSRRefP22_8x_0" localSheetId="44">'204'!$P$59</definedName>
    <definedName name="OSRRefP22_8x_0" localSheetId="45">'205'!$P$55</definedName>
    <definedName name="OSRRefP22_8x_0" localSheetId="46">'206'!$P$54</definedName>
    <definedName name="OSRRefP22_8x_0" localSheetId="48">'300'!$P$207</definedName>
    <definedName name="OSRRefP22_8x_0" localSheetId="49">'300 &amp; 317'!$P$232</definedName>
    <definedName name="OSRRefP22_8x_0" localSheetId="50">'301'!$P$59</definedName>
    <definedName name="OSRRefP22_8x_0" localSheetId="51">'306'!$P$54:$P$57</definedName>
    <definedName name="OSRRefP22_8x_0" localSheetId="53">'307'!$P$113:$P$114</definedName>
    <definedName name="OSRRefP22_8x_0" localSheetId="55">'308'!$P$101</definedName>
    <definedName name="OSRRefP22_8x_0" localSheetId="67">'309'!$P$60</definedName>
    <definedName name="OSRRefP22_8x_0" localSheetId="66">'310'!$P$69</definedName>
    <definedName name="OSRRefP22_8x_0" localSheetId="74">'310 &amp; 491'!$P$78</definedName>
    <definedName name="OSRRefP22_8x_0" localSheetId="56">'311'!$P$101</definedName>
    <definedName name="OSRRefP22_8x_0" localSheetId="68">'313'!$P$63</definedName>
    <definedName name="OSRRefP22_8x_0" localSheetId="54">'314'!$P$92</definedName>
    <definedName name="OSRRefP22_8x_0" localSheetId="59">'315'!$P$93</definedName>
    <definedName name="OSRRefP22_8x_0" localSheetId="62">'316'!$P$69</definedName>
    <definedName name="OSRRefP22_8x_0" localSheetId="65">'317'!$P$94</definedName>
    <definedName name="OSRRefP22_8x_0" localSheetId="63">'320'!$P$65</definedName>
    <definedName name="OSRRefP22_8x_0" localSheetId="69">'321'!$P$58</definedName>
    <definedName name="OSRRefP22_8x_0" localSheetId="70">'322'!$P$60</definedName>
    <definedName name="OSRRefP22_8x_0" localSheetId="71">'325'!$P$61</definedName>
    <definedName name="OSRRefP22_8x_0" localSheetId="60">'326'!$P$92</definedName>
    <definedName name="OSRRefP22_8x_0" localSheetId="52">'330'!$P$120</definedName>
    <definedName name="OSRRefP22_8x_0" localSheetId="58">'331'!$P$108:$P$109</definedName>
    <definedName name="OSRRefP22_8x_0" localSheetId="61">'332'!$P$79</definedName>
    <definedName name="OSRRefP22_8x_0" localSheetId="76">'405'!$P$61</definedName>
    <definedName name="OSRRefP22_8x_0" localSheetId="77">'406'!$P$61</definedName>
    <definedName name="OSRRefP22_8x_0" localSheetId="78">'411'!$P$57</definedName>
    <definedName name="OSRRefP22_8x_0" localSheetId="79">'412'!$P$62</definedName>
    <definedName name="OSRRefP22_8x_0" localSheetId="81">'413'!$P$60:$P$62</definedName>
    <definedName name="OSRRefP22_8x_0" localSheetId="82">'414'!$P$61</definedName>
    <definedName name="OSRRefP22_8x_0" localSheetId="83">'415'!$P$61</definedName>
    <definedName name="OSRRefP22_8x_0" localSheetId="84">'418'!$P$62</definedName>
    <definedName name="OSRRefP22_8x_0" localSheetId="86">'424'!$P$59:$P$60</definedName>
    <definedName name="OSRRefP22_8x_0" localSheetId="87">'425'!$P$64</definedName>
    <definedName name="OSRRefP22_8x_0" localSheetId="90">'430'!$P$55</definedName>
    <definedName name="OSRRefP22_8x_0" localSheetId="91">'433'!$P$61</definedName>
    <definedName name="OSRRefP22_8x_0" localSheetId="92">'435'!$P$61</definedName>
    <definedName name="OSRRefP22_8x_0" localSheetId="93">'444'!$P$61</definedName>
    <definedName name="OSRRefP22_8x_0" localSheetId="94">'450'!$P$62</definedName>
    <definedName name="OSRRefP22_8x_0" localSheetId="75">'491'!$P$72</definedName>
    <definedName name="OSRRefP22_8x_0" localSheetId="89">'492'!$P$65</definedName>
    <definedName name="OSRRefP22_8x_0" localSheetId="96">'501'!$P$54</definedName>
    <definedName name="OSRRefP22_8x_0" localSheetId="39">'Div 2'!$P$58</definedName>
    <definedName name="OSRRefP22_8x_0" localSheetId="47">'Div 3'!$P$212</definedName>
    <definedName name="OSRRefP22_8x_0" localSheetId="73">'Div 4'!$P$74</definedName>
    <definedName name="OSRRefP22_8x_0" localSheetId="95">'Div 5'!$P$54</definedName>
    <definedName name="OSRRefP22_8x_0" localSheetId="64">'Div 6'!$P$94</definedName>
    <definedName name="OSRRefP22_8x_0" localSheetId="2">Summary!$P$245</definedName>
    <definedName name="OSRRefP22_9x_0" localSheetId="41">'201'!$P$56</definedName>
    <definedName name="OSRRefP22_9x_0" localSheetId="42">'202'!$P$55:$P$57</definedName>
    <definedName name="OSRRefP22_9x_0" localSheetId="43">'203'!$P$56:$P$58</definedName>
    <definedName name="OSRRefP22_9x_0" localSheetId="44">'204'!$P$61:$P$62</definedName>
    <definedName name="OSRRefP22_9x_0" localSheetId="45">'205'!$P$57</definedName>
    <definedName name="OSRRefP22_9x_0" localSheetId="46">'206'!$P$56</definedName>
    <definedName name="OSRRefP22_9x_0" localSheetId="48">'300'!$P$209</definedName>
    <definedName name="OSRRefP22_9x_0" localSheetId="49">'300 &amp; 317'!$P$234</definedName>
    <definedName name="OSRRefP22_9x_0" localSheetId="50">'301'!$P$61</definedName>
    <definedName name="OSRRefP22_9x_0" localSheetId="51">'306'!$P$59</definedName>
    <definedName name="OSRRefP22_9x_0" localSheetId="53">'307'!$P$116:$P$117</definedName>
    <definedName name="OSRRefP22_9x_0" localSheetId="55">'308'!$P$103:$P$105</definedName>
    <definedName name="OSRRefP22_9x_0" localSheetId="67">'309'!$P$62:$P$63</definedName>
    <definedName name="OSRRefP22_9x_0" localSheetId="66">'310'!$P$71</definedName>
    <definedName name="OSRRefP22_9x_0" localSheetId="74">'310 &amp; 491'!$P$80</definedName>
    <definedName name="OSRRefP22_9x_0" localSheetId="56">'311'!$P$103:$P$105</definedName>
    <definedName name="OSRRefP22_9x_0" localSheetId="68">'313'!$P$65</definedName>
    <definedName name="OSRRefP22_9x_0" localSheetId="54">'314'!$P$94</definedName>
    <definedName name="OSRRefP22_9x_0" localSheetId="59">'315'!$P$95:$P$96</definedName>
    <definedName name="OSRRefP22_9x_0" localSheetId="62">'316'!$P$71:$P$72</definedName>
    <definedName name="OSRRefP22_9x_0" localSheetId="65">'317'!$P$96:$P$97</definedName>
    <definedName name="OSRRefP22_9x_0" localSheetId="69">'321'!$P$60:$P$62</definedName>
    <definedName name="OSRRefP22_9x_0" localSheetId="70">'322'!$P$62:$P$64</definedName>
    <definedName name="OSRRefP22_9x_0" localSheetId="71">'325'!$P$63</definedName>
    <definedName name="OSRRefP22_9x_0" localSheetId="60">'326'!$P$94</definedName>
    <definedName name="OSRRefP22_9x_0" localSheetId="52">'330'!$P$122:$P$123</definedName>
    <definedName name="OSRRefP22_9x_0" localSheetId="58">'331'!$P$111</definedName>
    <definedName name="OSRRefP22_9x_0" localSheetId="61">'332'!$P$81</definedName>
    <definedName name="OSRRefP22_9x_0" localSheetId="76">'405'!$P$63</definedName>
    <definedName name="OSRRefP22_9x_0" localSheetId="77">'406'!$P$63:$P$65</definedName>
    <definedName name="OSRRefP22_9x_0" localSheetId="78">'411'!$P$59</definedName>
    <definedName name="OSRRefP22_9x_0" localSheetId="79">'412'!$P$64:$P$65</definedName>
    <definedName name="OSRRefP22_9x_0" localSheetId="81">'413'!$P$64:$P$65</definedName>
    <definedName name="OSRRefP22_9x_0" localSheetId="82">'414'!$P$63:$P$64</definedName>
    <definedName name="OSRRefP22_9x_0" localSheetId="83">'415'!$P$63</definedName>
    <definedName name="OSRRefP22_9x_0" localSheetId="84">'418'!$P$64</definedName>
    <definedName name="OSRRefP22_9x_0" localSheetId="86">'424'!$P$62:$P$64</definedName>
    <definedName name="OSRRefP22_9x_0" localSheetId="87">'425'!$P$66:$P$68</definedName>
    <definedName name="OSRRefP22_9x_0" localSheetId="90">'430'!$P$57</definedName>
    <definedName name="OSRRefP22_9x_0" localSheetId="91">'433'!$P$63</definedName>
    <definedName name="OSRRefP22_9x_0" localSheetId="93">'444'!$P$63</definedName>
    <definedName name="OSRRefP22_9x_0" localSheetId="94">'450'!$P$64</definedName>
    <definedName name="OSRRefP22_9x_0" localSheetId="75">'491'!$P$74</definedName>
    <definedName name="OSRRefP22_9x_0" localSheetId="89">'492'!$P$67</definedName>
    <definedName name="OSRRefP22_9x_0" localSheetId="96">'501'!$P$56</definedName>
    <definedName name="OSRRefP22_9x_0" localSheetId="39">'Div 2'!$P$60</definedName>
    <definedName name="OSRRefP22_9x_0" localSheetId="47">'Div 3'!$P$214</definedName>
    <definedName name="OSRRefP22_9x_0" localSheetId="73">'Div 4'!$P$76</definedName>
    <definedName name="OSRRefP22_9x_0" localSheetId="95">'Div 5'!$P$56</definedName>
    <definedName name="OSRRefP22_9x_0" localSheetId="64">'Div 6'!$P$96:$P$97</definedName>
    <definedName name="OSRRefP22_9x_0" localSheetId="2">Summary!$P$247</definedName>
    <definedName name="OSRRefP22x_0" localSheetId="40">'200'!$P$20,'200'!$P$22,'200'!$P$24,'200'!$P$26,'200'!$P$28:$P$29</definedName>
    <definedName name="OSRRefP22x_0" localSheetId="41">'201'!$P$20:$P$28,'201'!$P$30:$P$39,'201'!$P$41,'201'!$P$43,'201'!$P$45:$P$46,'201'!$P$48,'201'!$P$50,'201'!$P$52,'201'!$P$54,'201'!$P$56,'201'!$P$58:$P$60,'201'!$P$62:$P$64,'201'!$P$66,'201'!$P$68:$P$70,'201'!$P$72,'201'!$P$74,'201'!$P$76:$P$77</definedName>
    <definedName name="OSRRefP22x_0" localSheetId="42">'202'!$P$20:$P$28,'202'!$P$30:$P$39,'202'!$P$41,'202'!$P$43,'202'!$P$45,'202'!$P$47,'202'!$P$49,'202'!$P$51,'202'!$P$53,'202'!$P$55:$P$57,'202'!$P$59,'202'!$P$61:$P$63,'202'!$P$65,'202'!$P$67,'202'!$P$69:$P$70,'202'!$P$72,'202'!$P$74</definedName>
    <definedName name="OSRRefP22x_0" localSheetId="43">'203'!$P$20:$P$29,'203'!$P$31:$P$40,'203'!$P$42,'203'!$P$44,'203'!$P$46,'203'!$P$48,'203'!$P$50,'203'!$P$52,'203'!$P$54,'203'!$P$56:$P$58,'203'!$P$60:$P$61,'203'!$P$63,'203'!$P$65:$P$67,'203'!$P$69,'203'!$P$71,'203'!$P$73</definedName>
    <definedName name="OSRRefP22x_0" localSheetId="44">'204'!$P$21:$P$30,'204'!$P$32:$P$41,'204'!$P$43,'204'!$P$45:$P$46,'204'!$P$48,'204'!$P$50,'204'!$P$52,'204'!$P$54:$P$57,'204'!$P$59,'204'!$P$61:$P$62,'204'!$P$64:$P$65,'204'!$P$67,'204'!$P$69:$P$70</definedName>
    <definedName name="OSRRefP22x_0" localSheetId="45">'205'!$P$20:$P$28,'205'!$P$30:$P$39,'205'!$P$41,'205'!$P$43,'205'!$P$45,'205'!$P$47:$P$48,'205'!$P$50,'205'!$P$52:$P$53,'205'!$P$55,'205'!$P$57</definedName>
    <definedName name="OSRRefP22x_0" localSheetId="46">'206'!$P$20:$P$28,'206'!$P$30:$P$39,'206'!$P$41,'206'!$P$43,'206'!$P$45,'206'!$P$47,'206'!$P$49,'206'!$P$51:$P$52,'206'!$P$54,'206'!$P$56,'206'!$P$58</definedName>
    <definedName name="OSRRefP22x_0" localSheetId="48">'300'!$P$167:$P$176,'300'!$P$178:$P$187,'300'!$P$189,'300'!$P$191:$P$192,'300'!$P$194,'300'!$P$196:$P$199,'300'!$P$201:$P$202,'300'!$P$204:$P$205,'300'!$P$207,'300'!$P$209,'300'!$P$211:$P$212,'300'!$P$214,'300'!$P$216,'300'!$P$218,'300'!$P$220,'300'!$P$222,'300'!$P$224:$P$227,'300'!$P$229:$P$232,'300'!$P$234:$P$237,'300'!$P$239:$P$240,'300'!$P$242:$P$248,'300'!$P$250:$P$251,'300'!$P$253,'300'!$P$255:$P$257,'300'!$P$259</definedName>
    <definedName name="OSRRefP22x_0" localSheetId="49">'300 &amp; 317'!$P$192:$P$201,'300 &amp; 317'!$P$203:$P$212,'300 &amp; 317'!$P$214,'300 &amp; 317'!$P$216:$P$217,'300 &amp; 317'!$P$219,'300 &amp; 317'!$P$221:$P$224,'300 &amp; 317'!$P$226:$P$227,'300 &amp; 317'!$P$229:$P$230,'300 &amp; 317'!$P$232,'300 &amp; 317'!$P$234,'300 &amp; 317'!$P$236:$P$237,'300 &amp; 317'!$P$239,'300 &amp; 317'!$P$241,'300 &amp; 317'!$P$243,'300 &amp; 317'!$P$245,'300 &amp; 317'!$P$247,'300 &amp; 317'!$P$249:$P$252,'300 &amp; 317'!$P$254:$P$257,'300 &amp; 317'!$P$259:$P$262,'300 &amp; 317'!$P$264:$P$265,'300 &amp; 317'!$P$267:$P$273,'300 &amp; 317'!$P$275:$P$276,'300 &amp; 317'!$P$278,'300 &amp; 317'!$P$280:$P$282,'300 &amp; 317'!$P$284</definedName>
    <definedName name="OSRRefP22x_0" localSheetId="50">'301'!$P$20:$P$28,'301'!$P$30:$P$39,'301'!$P$41,'301'!$P$43:$P$44,'301'!$P$46,'301'!$P$48:$P$51,'301'!$P$53:$P$54,'301'!$P$56:$P$57,'301'!$P$59,'301'!$P$61,'301'!$P$63,'301'!$P$65,'301'!$P$67,'301'!$P$69,'301'!$P$71,'301'!$P$73:$P$76,'301'!$P$78:$P$80,'301'!$P$82:$P$83,'301'!$P$85:$P$90,'301'!$P$92,'301'!$P$94,'301'!$P$96:$P$98,'301'!$P$100</definedName>
    <definedName name="OSRRefP22x_0" localSheetId="51">'306'!$P$20:$P$28,'306'!$P$30:$P$39,'306'!$P$41,'306'!$P$43,'306'!$P$45,'306'!$P$47,'306'!$P$49,'306'!$P$51:$P$52,'306'!$P$54:$P$57,'306'!$P$59,'306'!$P$61</definedName>
    <definedName name="OSRRefP22x_0" localSheetId="53">'307'!$P$79:$P$87,'307'!$P$89:$P$98,'307'!$P$100,'307'!$P$102,'307'!$P$104:$P$105,'307'!$P$107,'307'!$P$109,'307'!$P$111,'307'!$P$113:$P$114,'307'!$P$116:$P$117,'307'!$P$119:$P$121,'307'!$P$123,'307'!$P$125</definedName>
    <definedName name="OSRRefP22x_0" localSheetId="55">'308'!$P$65:$P$74,'308'!$P$76:$P$85,'308'!$P$87,'308'!$P$89:$P$90,'308'!$P$92,'308'!$P$94,'308'!$P$96:$P$97,'308'!$P$99,'308'!$P$101,'308'!$P$103:$P$105,'308'!$P$107,'308'!$P$109:$P$111,'308'!$P$113:$P$114,'308'!$P$116,'308'!$P$118:$P$119</definedName>
    <definedName name="OSRRefP22x_0" localSheetId="67">'309'!$P$26:$P$34,'309'!$P$36:$P$45,'309'!$P$47,'309'!$P$49,'309'!$P$51,'309'!$P$53:$P$54,'309'!$P$56,'309'!$P$58,'309'!$P$60,'309'!$P$62:$P$63,'309'!$P$65:$P$67,'309'!$P$69:$P$71,'309'!$P$73,'309'!$P$75</definedName>
    <definedName name="OSRRefP22x_0" localSheetId="66">'310'!$P$34:$P$42,'310'!$P$44:$P$53,'310'!$P$55,'310'!$P$57,'310'!$P$59,'310'!$P$61:$P$63,'310'!$P$65,'310'!$P$67,'310'!$P$69,'310'!$P$71,'310'!$P$73,'310'!$P$75,'310'!$P$77,'310'!$P$79,'310'!$P$81,'310'!$P$83:$P$85,'310'!$P$87:$P$88,'310'!$P$90:$P$94,'310'!$P$96,'310'!$P$98:$P$106,'310'!$P$108,'310'!$P$110,'310'!$P$112,'310'!$P$114</definedName>
    <definedName name="OSRRefP22x_0" localSheetId="74">'310 &amp; 491'!$P$41:$P$50,'310 &amp; 491'!$P$52:$P$61,'310 &amp; 491'!$P$63,'310 &amp; 491'!$P$65,'310 &amp; 491'!$P$67,'310 &amp; 491'!$P$69:$P$72,'310 &amp; 491'!$P$74,'310 &amp; 491'!$P$76,'310 &amp; 491'!$P$78,'310 &amp; 491'!$P$80,'310 &amp; 491'!$P$82,'310 &amp; 491'!$P$84:$P$85,'310 &amp; 491'!$P$87,'310 &amp; 491'!$P$89,'310 &amp; 491'!$P$91,'310 &amp; 491'!$P$93,'310 &amp; 491'!$P$95,'310 &amp; 491'!$P$97:$P$100,'310 &amp; 491'!$P$102:$P$105,'310 &amp; 491'!$P$107:$P$112,'310 &amp; 491'!$P$114:$P$115,'310 &amp; 491'!$P$117:$P$126,'310 &amp; 491'!$P$128:$P$129,'310 &amp; 491'!$P$131,'310 &amp; 491'!$P$133:$P$135,'310 &amp; 491'!$P$137</definedName>
    <definedName name="OSRRefP22x_0" localSheetId="56">'311'!$P$65:$P$74,'311'!$P$76:$P$85,'311'!$P$87,'311'!$P$89:$P$90,'311'!$P$92,'311'!$P$94,'311'!$P$96:$P$97,'311'!$P$99,'311'!$P$101,'311'!$P$103:$P$105,'311'!$P$107,'311'!$P$109:$P$111,'311'!$P$113:$P$114,'311'!$P$116,'311'!$P$118:$P$119</definedName>
    <definedName name="OSRRefP22x_0" localSheetId="68">'313'!$P$30:$P$38,'313'!$P$40:$P$49,'313'!$P$51,'313'!$P$53,'313'!$P$55,'313'!$P$57,'313'!$P$59,'313'!$P$61,'313'!$P$63,'313'!$P$65,'313'!$P$67:$P$69,'313'!$P$71,'313'!$P$73:$P$78,'313'!$P$80,'313'!$P$82</definedName>
    <definedName name="OSRRefP22x_0" localSheetId="54">'314'!$P$58:$P$66,'314'!$P$68:$P$77,'314'!$P$79,'314'!$P$81:$P$82,'314'!$P$84,'314'!$P$86,'314'!$P$88,'314'!$P$90,'314'!$P$92,'314'!$P$94,'314'!$P$96</definedName>
    <definedName name="OSRRefP22x_0" localSheetId="59">'315'!$P$58:$P$66,'315'!$P$68:$P$77,'315'!$P$79,'315'!$P$81:$P$82,'315'!$P$84,'315'!$P$86:$P$87,'315'!$P$89,'315'!$P$91,'315'!$P$93,'315'!$P$95:$P$96,'315'!$P$98:$P$100,'315'!$P$102:$P$103,'315'!$P$105:$P$109,'315'!$P$111,'315'!$P$113,'315'!$P$115:$P$116</definedName>
    <definedName name="OSRRefP22x_0" localSheetId="62">'316'!$P$36:$P$44,'316'!$P$46:$P$55,'316'!$P$57,'316'!$P$59,'316'!$P$61,'316'!$P$63,'316'!$P$65,'316'!$P$67,'316'!$P$69,'316'!$P$71:$P$72,'316'!$P$74:$P$75,'316'!$P$77:$P$81,'316'!$P$83:$P$84,'316'!$P$86</definedName>
    <definedName name="OSRRefP22x_0" localSheetId="65">'317'!$P$60:$P$69,'317'!$P$71:$P$80,'317'!$P$82,'317'!$P$84,'317'!$P$86,'317'!$P$88,'317'!$P$90,'317'!$P$92,'317'!$P$94,'317'!$P$96:$P$97,'317'!$P$99:$P$100,'317'!$P$102,'317'!$P$104</definedName>
    <definedName name="OSRRefP22x_0" localSheetId="63">'320'!$P$31:$P$38,'320'!$P$40:$P$49,'320'!$P$51,'320'!$P$53,'320'!$P$55:$P$56,'320'!$P$58,'320'!$P$60,'320'!$P$62:$P$63,'320'!$P$65</definedName>
    <definedName name="OSRRefP22x_0" localSheetId="69">'321'!$P$26:$P$33,'321'!$P$35:$P$44,'321'!$P$46,'321'!$P$48,'321'!$P$50,'321'!$P$52,'321'!$P$54,'321'!$P$56,'321'!$P$58,'321'!$P$60:$P$62,'321'!$P$64:$P$65,'321'!$P$67:$P$69,'321'!$P$71:$P$74,'321'!$P$76,'321'!$P$78</definedName>
    <definedName name="OSRRefP22x_0" localSheetId="70">'322'!$P$26:$P$34,'322'!$P$36:$P$45,'322'!$P$47,'322'!$P$49,'322'!$P$51,'322'!$P$53:$P$54,'322'!$P$56,'322'!$P$58,'322'!$P$60,'322'!$P$62:$P$64,'322'!$P$66:$P$68,'322'!$P$70:$P$76,'322'!$P$78,'322'!$P$80</definedName>
    <definedName name="OSRRefP22x_0" localSheetId="71">'325'!$P$26:$P$34,'325'!$P$36:$P$45,'325'!$P$47,'325'!$P$49,'325'!$P$51,'325'!$P$53:$P$55,'325'!$P$57,'325'!$P$59,'325'!$P$61,'325'!$P$63,'325'!$P$65,'325'!$P$67:$P$69,'325'!$P$71:$P$74,'325'!$P$76,'325'!$P$78:$P$84,'325'!$P$86,'325'!$P$88,'325'!$P$90,'325'!$P$92</definedName>
    <definedName name="OSRRefP22x_0" localSheetId="60">'326'!$P$58:$P$66,'326'!$P$68:$P$77,'326'!$P$79,'326'!$P$81:$P$82,'326'!$P$84,'326'!$P$86,'326'!$P$88,'326'!$P$90,'326'!$P$92,'326'!$P$94,'326'!$P$96,'326'!$P$98,'326'!$P$100,'326'!$P$102:$P$103,'326'!$P$105:$P$107,'326'!$P$109:$P$110,'326'!$P$112:$P$117,'326'!$P$119:$P$120,'326'!$P$122,'326'!$P$124,'326'!$P$126</definedName>
    <definedName name="OSRRefP22x_0" localSheetId="72">'327'!$P$24,'327'!$P$26,'327'!$P$28</definedName>
    <definedName name="OSRRefP22x_0" localSheetId="52">'330'!$P$86:$P$94,'330'!$P$96:$P$105,'330'!$P$107,'330'!$P$109,'330'!$P$111:$P$112,'330'!$P$114,'330'!$P$116,'330'!$P$118,'330'!$P$120,'330'!$P$122:$P$123,'330'!$P$125:$P$126,'330'!$P$128,'330'!$P$130:$P$132,'330'!$P$134,'330'!$P$136,'330'!$P$138</definedName>
    <definedName name="OSRRefP22x_0" localSheetId="58">'331'!$P$73:$P$81,'331'!$P$83:$P$92,'331'!$P$94,'331'!$P$96:$P$97,'331'!$P$99,'331'!$P$101:$P$102,'331'!$P$104,'331'!$P$106,'331'!$P$108:$P$109,'331'!$P$111,'331'!$P$113,'331'!$P$115,'331'!$P$117,'331'!$P$119,'331'!$P$121:$P$122,'331'!$P$124:$P$126,'331'!$P$128:$P$130,'331'!$P$132:$P$133,'331'!$P$135:$P$140,'331'!$P$142:$P$143,'331'!$P$145,'331'!$P$147:$P$148,'331'!$P$150</definedName>
    <definedName name="OSRRefP22x_0" localSheetId="61">'332'!$P$45:$P$53,'332'!$P$55:$P$64,'332'!$P$66,'332'!$P$68,'332'!$P$70,'332'!$P$72,'332'!$P$74,'332'!$P$76:$P$77,'332'!$P$79,'332'!$P$81,'332'!$P$83:$P$84,'332'!$P$86:$P$87,'332'!$P$89:$P$93,'332'!$P$95:$P$96,'332'!$P$98</definedName>
    <definedName name="OSRRefP22x_0" localSheetId="76">'405'!$P$26:$P$34,'405'!$P$36:$P$45,'405'!$P$47,'405'!$P$49,'405'!$P$51,'405'!$P$53:$P$55,'405'!$P$57,'405'!$P$59,'405'!$P$61,'405'!$P$63,'405'!$P$65,'405'!$P$67:$P$69,'405'!$P$71,'405'!$P$73:$P$75,'405'!$P$77:$P$78,'405'!$P$80:$P$88,'405'!$P$90,'405'!$P$92,'405'!$P$94,'405'!$P$96</definedName>
    <definedName name="OSRRefP22x_0" localSheetId="77">'406'!$P$27:$P$35,'406'!$P$37:$P$46,'406'!$P$48,'406'!$P$50,'406'!$P$52,'406'!$P$54:$P$55,'406'!$P$57,'406'!$P$59,'406'!$P$61,'406'!$P$63:$P$65,'406'!$P$67:$P$69,'406'!$P$71:$P$76,'406'!$P$78:$P$79,'406'!$P$81,'406'!$P$83:$P$84</definedName>
    <definedName name="OSRRefP22x_0" localSheetId="78">'411'!$P$20:$P$29,'411'!$P$31:$P$40,'411'!$P$42,'411'!$P$44:$P$47,'411'!$P$49,'411'!$P$51,'411'!$P$53,'411'!$P$55,'411'!$P$57,'411'!$P$59,'411'!$P$61:$P$63,'411'!$P$65:$P$69,'411'!$P$71,'411'!$P$73:$P$80,'411'!$P$82,'411'!$P$84,'411'!$P$86:$P$88,'411'!$P$90</definedName>
    <definedName name="OSRRefP22x_0" localSheetId="79">'412'!$P$27:$P$35,'412'!$P$37:$P$46,'412'!$P$48,'412'!$P$50,'412'!$P$52,'412'!$P$54:$P$56,'412'!$P$58,'412'!$P$60,'412'!$P$62,'412'!$P$64:$P$65,'412'!$P$67,'412'!$P$69:$P$71,'412'!$P$73:$P$80,'412'!$P$82,'412'!$P$84,'412'!$P$86</definedName>
    <definedName name="OSRRefP22x_0" localSheetId="81">'413'!$P$27:$P$35,'413'!$P$37:$P$46,'413'!$P$48,'413'!$P$50,'413'!$P$52,'413'!$P$54,'413'!$P$56,'413'!$P$58,'413'!$P$60:$P$62,'413'!$P$64:$P$65,'413'!$P$67:$P$73,'413'!$P$75:$P$76,'413'!$P$78,'413'!$P$80</definedName>
    <definedName name="OSRRefP22x_0" localSheetId="82">'414'!$P$27:$P$35,'414'!$P$37:$P$46,'414'!$P$48,'414'!$P$50,'414'!$P$52,'414'!$P$54:$P$55,'414'!$P$57,'414'!$P$59,'414'!$P$61,'414'!$P$63:$P$64,'414'!$P$66,'414'!$P$68,'414'!$P$70,'414'!$P$72:$P$78,'414'!$P$80,'414'!$P$82</definedName>
    <definedName name="OSRRefP22x_0" localSheetId="83">'415'!$P$26:$P$34,'415'!$P$36:$P$45,'415'!$P$47,'415'!$P$49,'415'!$P$51,'415'!$P$53:$P$55,'415'!$P$57,'415'!$P$59,'415'!$P$61,'415'!$P$63,'415'!$P$65,'415'!$P$67:$P$70,'415'!$P$72:$P$76,'415'!$P$78:$P$79,'415'!$P$81:$P$89,'415'!$P$91,'415'!$P$93,'415'!$P$95:$P$96,'415'!$P$98</definedName>
    <definedName name="OSRRefP22x_0" localSheetId="84">'418'!$P$27:$P$35,'418'!$P$37:$P$46,'418'!$P$48,'418'!$P$50,'418'!$P$52,'418'!$P$54:$P$56,'418'!$P$58,'418'!$P$60,'418'!$P$62,'418'!$P$64,'418'!$P$66:$P$67,'418'!$P$69:$P$71,'418'!$P$73:$P$75,'418'!$P$77:$P$78,'418'!$P$80:$P$87,'418'!$P$89,'418'!$P$91,'418'!$P$93:$P$94</definedName>
    <definedName name="OSRRefP22x_0" localSheetId="80">'420'!$P$24:$P$31,'420'!$P$33:$P$36,'420'!$P$38,'420'!$P$40,'420'!$P$42,'420'!$P$44,'420'!$P$46:$P$47,'420'!$P$49</definedName>
    <definedName name="OSRRefP22x_0" localSheetId="85">'423'!$P$21:$P$29,'423'!$P$31:$P$40,'423'!$P$42,'423'!$P$44,'423'!$P$46,'423'!$P$48,'423'!$P$50</definedName>
    <definedName name="OSRRefP22x_0" localSheetId="86">'424'!$P$27:$P$34,'424'!$P$36:$P$45,'424'!$P$47,'424'!$P$49,'424'!$P$51,'424'!$P$53,'424'!$P$55,'424'!$P$57,'424'!$P$59:$P$60,'424'!$P$62:$P$64,'424'!$P$66,'424'!$P$68:$P$72,'424'!$P$74:$P$75</definedName>
    <definedName name="OSRRefP22x_0" localSheetId="87">'425'!$P$29:$P$38,'425'!$P$40:$P$49,'425'!$P$51,'425'!$P$53,'425'!$P$55,'425'!$P$57:$P$58,'425'!$P$60,'425'!$P$62,'425'!$P$64,'425'!$P$66:$P$68,'425'!$P$70:$P$71,'425'!$P$73:$P$75,'425'!$P$77,'425'!$P$79:$P$85,'425'!$P$87:$P$88,'425'!$P$90,'425'!$P$92</definedName>
    <definedName name="OSRRefP22x_0" localSheetId="90">'430'!$P$20:$P$28,'430'!$P$30:$P$39,'430'!$P$41,'430'!$P$43,'430'!$P$45,'430'!$P$47,'430'!$P$49,'430'!$P$51:$P$53,'430'!$P$55,'430'!$P$57,'430'!$P$59</definedName>
    <definedName name="OSRRefP22x_0" localSheetId="91">'433'!$P$27:$P$36,'433'!$P$38:$P$47,'433'!$P$49,'433'!$P$51,'433'!$P$53,'433'!$P$55,'433'!$P$57,'433'!$P$59,'433'!$P$61,'433'!$P$63,'433'!$P$65:$P$67,'433'!$P$69:$P$72,'433'!$P$74:$P$81,'433'!$P$83,'433'!$P$85,'433'!$P$87:$P$88</definedName>
    <definedName name="OSRRefP22x_0" localSheetId="92">'435'!$P$27:$P$34,'435'!$P$36:$P$45,'435'!$P$47,'435'!$P$49,'435'!$P$51,'435'!$P$53,'435'!$P$55,'435'!$P$57:$P$59,'435'!$P$61</definedName>
    <definedName name="OSRRefP22x_0" localSheetId="93">'444'!$P$27:$P$36,'444'!$P$38:$P$47,'444'!$P$49,'444'!$P$51,'444'!$P$53,'444'!$P$55,'444'!$P$57,'444'!$P$59,'444'!$P$61,'444'!$P$63,'444'!$P$65,'444'!$P$67:$P$69,'444'!$P$71:$P$74,'444'!$P$76:$P$83,'444'!$P$85,'444'!$P$87,'444'!$P$89</definedName>
    <definedName name="OSRRefP22x_0" localSheetId="94">'450'!$P$27:$P$36,'450'!$P$38:$P$47,'450'!$P$49,'450'!$P$51:$P$52,'450'!$P$54,'450'!$P$56,'450'!$P$58,'450'!$P$60,'450'!$P$62,'450'!$P$64,'450'!$P$66,'450'!$P$68,'450'!$P$70:$P$73,'450'!$P$75:$P$77,'450'!$P$79:$P$84,'450'!$P$86,'450'!$P$88,'450'!$P$90:$P$91</definedName>
    <definedName name="OSRRefP22x_0" localSheetId="88">'455'!$P$20:$P$27,'455'!$P$29:$P$38</definedName>
    <definedName name="OSRRefP22x_0" localSheetId="75">'491'!$P$35:$P$44,'491'!$P$46:$P$55,'491'!$P$57,'491'!$P$59,'491'!$P$61,'491'!$P$63:$P$66,'491'!$P$68,'491'!$P$70,'491'!$P$72,'491'!$P$74,'491'!$P$76:$P$77,'491'!$P$79,'491'!$P$81,'491'!$P$83,'491'!$P$85,'491'!$P$87:$P$90,'491'!$P$92:$P$95,'491'!$P$97:$P$101,'491'!$P$103:$P$104,'491'!$P$106:$P$115,'491'!$P$117:$P$118,'491'!$P$120,'491'!$P$122:$P$124,'491'!$P$126</definedName>
    <definedName name="OSRRefP22x_0" localSheetId="89">'492'!$P$29:$P$38,'492'!$P$40:$P$49,'492'!$P$51,'492'!$P$53:$P$54,'492'!$P$56,'492'!$P$58,'492'!$P$60:$P$61,'492'!$P$63,'492'!$P$65,'492'!$P$67,'492'!$P$69,'492'!$P$71,'492'!$P$73,'492'!$P$75:$P$78,'492'!$P$80:$P$83,'492'!$P$85:$P$93,'492'!$P$95,'492'!$P$97,'492'!$P$99:$P$100</definedName>
    <definedName name="OSRRefP22x_0" localSheetId="96">'501'!$P$21:$P$29,'501'!$P$31:$P$40,'501'!$P$42,'501'!$P$44,'501'!$P$46,'501'!$P$48,'501'!$P$50,'501'!$P$52,'501'!$P$54,'501'!$P$56,'501'!$P$58:$P$61,'501'!$P$63,'501'!$P$65:$P$67,'501'!$P$69,'501'!$P$71</definedName>
    <definedName name="OSRRefP22x_0" localSheetId="39">'Div 2'!$P$21:$P$31,'Div 2'!$P$33:$P$42,'Div 2'!$P$44,'Div 2'!$P$46,'Div 2'!$P$48,'Div 2'!$P$50:$P$51,'Div 2'!$P$53:$P$54,'Div 2'!$P$56,'Div 2'!$P$58,'Div 2'!$P$60,'Div 2'!$P$62,'Div 2'!$P$64,'Div 2'!$P$66:$P$68,'Div 2'!$P$70:$P$73,'Div 2'!$P$75:$P$78,'Div 2'!$P$80:$P$81,'Div 2'!$P$83:$P$84,'Div 2'!$P$86:$P$90,'Div 2'!$P$92:$P$93,'Div 2'!$P$95,'Div 2'!$P$97:$P$98</definedName>
    <definedName name="OSRRefP22x_0" localSheetId="47">'Div 3'!$P$172:$P$181,'Div 3'!$P$183:$P$192,'Div 3'!$P$194,'Div 3'!$P$196:$P$197,'Div 3'!$P$199,'Div 3'!$P$201:$P$204,'Div 3'!$P$206:$P$207,'Div 3'!$P$209:$P$210,'Div 3'!$P$212,'Div 3'!$P$214,'Div 3'!$P$216:$P$217,'Div 3'!$P$219,'Div 3'!$P$221,'Div 3'!$P$223,'Div 3'!$P$225,'Div 3'!$P$227,'Div 3'!$P$229,'Div 3'!$P$231,'Div 3'!$P$233:$P$236,'Div 3'!$P$238:$P$241,'Div 3'!$P$243:$P$248,'Div 3'!$P$250:$P$251,'Div 3'!$P$253:$P$261,'Div 3'!$P$263:$P$264,'Div 3'!$P$266,'Div 3'!$P$268:$P$270,'Div 3'!$P$272</definedName>
    <definedName name="OSRRefP22x_0" localSheetId="73">'Div 4'!$P$35:$P$44,'Div 4'!$P$46:$P$55,'Div 4'!$P$57,'Div 4'!$P$59:$P$60,'Div 4'!$P$62,'Div 4'!$P$64:$P$67,'Div 4'!$P$69,'Div 4'!$P$71:$P$72,'Div 4'!$P$74,'Div 4'!$P$76,'Div 4'!$P$78,'Div 4'!$P$80:$P$81,'Div 4'!$P$83,'Div 4'!$P$85,'Div 4'!$P$87,'Div 4'!$P$89,'Div 4'!$P$91,'Div 4'!$P$93:$P$96,'Div 4'!$P$98:$P$101,'Div 4'!$P$103:$P$107,'Div 4'!$P$109:$P$110,'Div 4'!$P$112:$P$121,'Div 4'!$P$123:$P$124,'Div 4'!$P$126,'Div 4'!$P$128:$P$130,'Div 4'!$P$132</definedName>
    <definedName name="OSRRefP22x_0" localSheetId="95">'Div 5'!$P$21:$P$29,'Div 5'!$P$31:$P$40,'Div 5'!$P$42,'Div 5'!$P$44,'Div 5'!$P$46,'Div 5'!$P$48,'Div 5'!$P$50,'Div 5'!$P$52,'Div 5'!$P$54,'Div 5'!$P$56,'Div 5'!$P$58:$P$61,'Div 5'!$P$63,'Div 5'!$P$65:$P$67,'Div 5'!$P$69,'Div 5'!$P$71</definedName>
    <definedName name="OSRRefP22x_0" localSheetId="64">'Div 6'!$P$60:$P$69,'Div 6'!$P$71:$P$80,'Div 6'!$P$82,'Div 6'!$P$84,'Div 6'!$P$86,'Div 6'!$P$88,'Div 6'!$P$90,'Div 6'!$P$92,'Div 6'!$P$94,'Div 6'!$P$96:$P$97,'Div 6'!$P$99:$P$100,'Div 6'!$P$102,'Div 6'!$P$104</definedName>
    <definedName name="OSRRefP22x_0" localSheetId="2">Summary!$P$204:$P$213,Summary!$P$215:$P$224,Summary!$P$226,Summary!$P$228:$P$229,Summary!$P$231,Summary!$P$233:$P$236,Summary!$P$238:$P$239,Summary!$P$241:$P$243,Summary!$P$245,Summary!$P$247,Summary!$P$249:$P$250,Summary!$P$252:$P$253,Summary!$P$255,Summary!$P$257,Summary!$P$259,Summary!$P$261,Summary!$P$263,Summary!$P$265,Summary!$P$267:$P$270,Summary!$P$272:$P$275,Summary!$P$277:$P$282,Summary!$P$284:$P$285,Summary!$P$287:$P$296,Summary!$P$298:$P$299,Summary!$P$301,Summary!$P$303:$P$305,Summary!$P$307</definedName>
    <definedName name="OSRRefP25x_0" localSheetId="48">'300'!$P$262:$P$270</definedName>
    <definedName name="OSRRefP25x_0" localSheetId="49">'300 &amp; 317'!$P$287:$P$298</definedName>
    <definedName name="OSRRefP25x_0" localSheetId="50">'301'!$P$103:$P$106</definedName>
    <definedName name="OSRRefP25x_0" localSheetId="53">'307'!$P$128</definedName>
    <definedName name="OSRRefP25x_0" localSheetId="55">'308'!$P$122:$P$125</definedName>
    <definedName name="OSRRefP25x_0" localSheetId="74">'310 &amp; 491'!$P$140:$P$143</definedName>
    <definedName name="OSRRefP25x_0" localSheetId="56">'311'!$P$122:$P$125</definedName>
    <definedName name="OSRRefP25x_0" localSheetId="59">'315'!$P$119:$P$121</definedName>
    <definedName name="OSRRefP25x_0" localSheetId="62">'316'!$P$89:$P$90</definedName>
    <definedName name="OSRRefP25x_0" localSheetId="65">'317'!$P$107:$P$110</definedName>
    <definedName name="OSRRefP25x_0" localSheetId="63">'320'!$P$68:$P$72</definedName>
    <definedName name="OSRRefP25x_0" localSheetId="52">'330'!$P$141</definedName>
    <definedName name="OSRRefP25x_0" localSheetId="58">'331'!$P$153:$P$155</definedName>
    <definedName name="OSRRefP25x_0" localSheetId="61">'332'!$P$101:$P$107</definedName>
    <definedName name="OSRRefP25x_0" localSheetId="78">'411'!$P$93:$P$94</definedName>
    <definedName name="OSRRefP25x_0" localSheetId="81">'413'!$P$83</definedName>
    <definedName name="OSRRefP25x_0" localSheetId="83">'415'!$P$101</definedName>
    <definedName name="OSRRefP25x_0" localSheetId="85">'423'!$P$53</definedName>
    <definedName name="OSRRefP25x_0" localSheetId="86">'424'!$P$78</definedName>
    <definedName name="OSRRefP25x_0" localSheetId="87">'425'!$P$95</definedName>
    <definedName name="OSRRefP25x_0" localSheetId="88">'455'!$P$41:$P$44</definedName>
    <definedName name="OSRRefP25x_0" localSheetId="75">'491'!$P$129:$P$132</definedName>
    <definedName name="OSRRefP25x_0" localSheetId="96">'501'!$P$74</definedName>
    <definedName name="OSRRefP25x_0" localSheetId="47">'Div 3'!$P$275:$P$283</definedName>
    <definedName name="OSRRefP25x_0" localSheetId="73">'Div 4'!$P$135:$P$138</definedName>
    <definedName name="OSRRefP25x_0" localSheetId="95">'Div 5'!$P$74</definedName>
    <definedName name="OSRRefP25x_0" localSheetId="64">'Div 6'!$P$107:$P$110</definedName>
    <definedName name="OSRRefP25x_0" localSheetId="2">Summary!$P$310:$P$322</definedName>
    <definedName name="OSRRefT13x_0" localSheetId="44">'204'!$T$13</definedName>
    <definedName name="OSRRefT13x_0" localSheetId="48">'300'!$T$13:$T$108</definedName>
    <definedName name="OSRRefT13x_0" localSheetId="49">'300 &amp; 317'!$T$13:$T$126</definedName>
    <definedName name="OSRRefT13x_0" localSheetId="53">'307'!$T$13:$T$50</definedName>
    <definedName name="OSRRefT13x_0" localSheetId="55">'308'!$T$13:$T$40</definedName>
    <definedName name="OSRRefT13x_0" localSheetId="67">'309'!$T$13:$T$15</definedName>
    <definedName name="OSRRefT13x_0" localSheetId="66">'310'!$T$13:$T$23</definedName>
    <definedName name="OSRRefT13x_0" localSheetId="74">'310 &amp; 491'!$T$13:$T$30</definedName>
    <definedName name="OSRRefT13x_0" localSheetId="56">'311'!$T$13:$T$40</definedName>
    <definedName name="OSRRefT13x_0" localSheetId="68">'313'!$T$13:$T$19</definedName>
    <definedName name="OSRRefT13x_0" localSheetId="54">'314'!$T$13:$T$34</definedName>
    <definedName name="OSRRefT13x_0" localSheetId="59">'315'!$T$13:$T$34</definedName>
    <definedName name="OSRRefT13x_0" localSheetId="62">'316'!$T$13:$T$28</definedName>
    <definedName name="OSRRefT13x_0" localSheetId="65">'317'!$T$13:$T$38</definedName>
    <definedName name="OSRRefT13x_0" localSheetId="63">'320'!$T$13:$T$17</definedName>
    <definedName name="OSRRefT13x_0" localSheetId="69">'321'!$T$13:$T$15</definedName>
    <definedName name="OSRRefT13x_0" localSheetId="70">'322'!$T$13:$T$15</definedName>
    <definedName name="OSRRefT13x_0" localSheetId="57">'324'!$T$13:$T$15</definedName>
    <definedName name="OSRRefT13x_0" localSheetId="71">'325'!$T$13:$T$15</definedName>
    <definedName name="OSRRefT13x_0" localSheetId="60">'326'!$T$13:$T$33</definedName>
    <definedName name="OSRRefT13x_0" localSheetId="72">'327'!$T$13:$T$14</definedName>
    <definedName name="OSRRefT13x_0" localSheetId="52">'330'!$T$13:$T$54</definedName>
    <definedName name="OSRRefT13x_0" localSheetId="58">'331'!$T$13:$T$42</definedName>
    <definedName name="OSRRefT13x_0" localSheetId="61">'332'!$T$13:$T$31</definedName>
    <definedName name="OSRRefT13x_0" localSheetId="76">'405'!$T$13:$T$15</definedName>
    <definedName name="OSRRefT13x_0" localSheetId="77">'406'!$T$13:$T$16</definedName>
    <definedName name="OSRRefT13x_0" localSheetId="79">'412'!$T$13:$T$16</definedName>
    <definedName name="OSRRefT13x_0" localSheetId="81">'413'!$T$13:$T$16</definedName>
    <definedName name="OSRRefT13x_0" localSheetId="82">'414'!$T$13:$T$16</definedName>
    <definedName name="OSRRefT13x_0" localSheetId="83">'415'!$T$13:$T$15</definedName>
    <definedName name="OSRRefT13x_0" localSheetId="84">'418'!$T$13:$T$16</definedName>
    <definedName name="OSRRefT13x_0" localSheetId="80">'420'!$T$13:$T$14</definedName>
    <definedName name="OSRRefT13x_0" localSheetId="86">'424'!$T$13:$T$16</definedName>
    <definedName name="OSRRefT13x_0" localSheetId="87">'425'!$T$13:$T$18</definedName>
    <definedName name="OSRRefT13x_0" localSheetId="91">'433'!$T$13:$T$16</definedName>
    <definedName name="OSRRefT13x_0" localSheetId="92">'435'!$T$13:$T$16</definedName>
    <definedName name="OSRRefT13x_0" localSheetId="93">'444'!$T$13:$T$16</definedName>
    <definedName name="OSRRefT13x_0" localSheetId="94">'450'!$T$13:$T$16</definedName>
    <definedName name="OSRRefT13x_0" localSheetId="75">'491'!$T$13:$T$24</definedName>
    <definedName name="OSRRefT13x_0" localSheetId="89">'492'!$T$13:$T$18</definedName>
    <definedName name="OSRRefT13x_0" localSheetId="96">'501'!$T$13</definedName>
    <definedName name="OSRRefT13x_0" localSheetId="39">'Div 2'!$T$13</definedName>
    <definedName name="OSRRefT13x_0" localSheetId="47">'Div 3'!$T$13:$T$111</definedName>
    <definedName name="OSRRefT13x_0" localSheetId="73">'Div 4'!$T$13:$T$24</definedName>
    <definedName name="OSRRefT13x_0" localSheetId="95">'Div 5'!$T$13</definedName>
    <definedName name="OSRRefT13x_0" localSheetId="64">'Div 6'!$T$13:$T$38</definedName>
    <definedName name="OSRRefT13x_0" localSheetId="2">Summary!$T$13:$T$136</definedName>
    <definedName name="OSRRefT16x_0" localSheetId="48">'300'!$T$111:$T$161</definedName>
    <definedName name="OSRRefT16x_0" localSheetId="49">'300 &amp; 317'!$T$129:$T$186</definedName>
    <definedName name="OSRRefT16x_0" localSheetId="53">'307'!$T$53:$T$73</definedName>
    <definedName name="OSRRefT16x_0" localSheetId="55">'308'!$T$43:$T$59</definedName>
    <definedName name="OSRRefT16x_0" localSheetId="67">'309'!$T$18:$T$20</definedName>
    <definedName name="OSRRefT16x_0" localSheetId="66">'310'!$T$26:$T$28</definedName>
    <definedName name="OSRRefT16x_0" localSheetId="74">'310 &amp; 491'!$T$33:$T$35</definedName>
    <definedName name="OSRRefT16x_0" localSheetId="56">'311'!$T$43:$T$59</definedName>
    <definedName name="OSRRefT16x_0" localSheetId="68">'313'!$T$22:$T$24</definedName>
    <definedName name="OSRRefT16x_0" localSheetId="54">'314'!$T$37:$T$52</definedName>
    <definedName name="OSRRefT16x_0" localSheetId="59">'315'!$T$37:$T$52</definedName>
    <definedName name="OSRRefT16x_0" localSheetId="65">'317'!$T$41:$T$54</definedName>
    <definedName name="OSRRefT16x_0" localSheetId="63">'320'!$T$20:$T$25</definedName>
    <definedName name="OSRRefT16x_0" localSheetId="69">'321'!$T$18:$T$20</definedName>
    <definedName name="OSRRefT16x_0" localSheetId="70">'322'!$T$18:$T$20</definedName>
    <definedName name="OSRRefT16x_0" localSheetId="57">'324'!$T$18:$T$20</definedName>
    <definedName name="OSRRefT16x_0" localSheetId="71">'325'!$T$18:$T$20</definedName>
    <definedName name="OSRRefT16x_0" localSheetId="60">'326'!$T$36:$T$52</definedName>
    <definedName name="OSRRefT16x_0" localSheetId="72">'327'!$T$17:$T$18</definedName>
    <definedName name="OSRRefT16x_0" localSheetId="52">'330'!$T$57:$T$80</definedName>
    <definedName name="OSRRefT16x_0" localSheetId="58">'331'!$T$45:$T$67</definedName>
    <definedName name="OSRRefT16x_0" localSheetId="61">'332'!$T$34:$T$39</definedName>
    <definedName name="OSRRefT16x_0" localSheetId="76">'405'!$T$18:$T$20</definedName>
    <definedName name="OSRRefT16x_0" localSheetId="77">'406'!$T$19:$T$21</definedName>
    <definedName name="OSRRefT16x_0" localSheetId="79">'412'!$T$19:$T$21</definedName>
    <definedName name="OSRRefT16x_0" localSheetId="81">'413'!$T$19:$T$21</definedName>
    <definedName name="OSRRefT16x_0" localSheetId="82">'414'!$T$19:$T$21</definedName>
    <definedName name="OSRRefT16x_0" localSheetId="83">'415'!$T$18:$T$20</definedName>
    <definedName name="OSRRefT16x_0" localSheetId="84">'418'!$T$19:$T$21</definedName>
    <definedName name="OSRRefT16x_0" localSheetId="80">'420'!$T$17:$T$18</definedName>
    <definedName name="OSRRefT16x_0" localSheetId="85">'423'!$T$15</definedName>
    <definedName name="OSRRefT16x_0" localSheetId="86">'424'!$T$19:$T$21</definedName>
    <definedName name="OSRRefT16x_0" localSheetId="87">'425'!$T$21:$T$23</definedName>
    <definedName name="OSRRefT16x_0" localSheetId="91">'433'!$T$19:$T$21</definedName>
    <definedName name="OSRRefT16x_0" localSheetId="92">'435'!$T$19:$T$21</definedName>
    <definedName name="OSRRefT16x_0" localSheetId="93">'444'!$T$19:$T$21</definedName>
    <definedName name="OSRRefT16x_0" localSheetId="94">'450'!$T$19:$T$21</definedName>
    <definedName name="OSRRefT16x_0" localSheetId="75">'491'!$T$27:$T$29</definedName>
    <definedName name="OSRRefT16x_0" localSheetId="89">'492'!$T$21:$T$23</definedName>
    <definedName name="OSRRefT16x_0" localSheetId="47">'Div 3'!$T$114:$T$166</definedName>
    <definedName name="OSRRefT16x_0" localSheetId="73">'Div 4'!$T$27:$T$29</definedName>
    <definedName name="OSRRefT16x_0" localSheetId="64">'Div 6'!$T$41:$T$54</definedName>
    <definedName name="OSRRefT16x_0" localSheetId="2">Summary!$T$139:$T$198</definedName>
    <definedName name="OSRRefT22_0x_0" localSheetId="40">'200'!$T$20</definedName>
    <definedName name="OSRRefT22_0x_0" localSheetId="41">'201'!$T$20:$T$28</definedName>
    <definedName name="OSRRefT22_0x_0" localSheetId="42">'202'!$T$20:$T$28</definedName>
    <definedName name="OSRRefT22_0x_0" localSheetId="43">'203'!$T$20:$T$29</definedName>
    <definedName name="OSRRefT22_0x_0" localSheetId="44">'204'!$T$21:$T$30</definedName>
    <definedName name="OSRRefT22_0x_0" localSheetId="45">'205'!$T$20:$T$28</definedName>
    <definedName name="OSRRefT22_0x_0" localSheetId="46">'206'!$T$20:$T$28</definedName>
    <definedName name="OSRRefT22_0x_0" localSheetId="48">'300'!$T$167:$T$176</definedName>
    <definedName name="OSRRefT22_0x_0" localSheetId="49">'300 &amp; 317'!$T$192:$T$201</definedName>
    <definedName name="OSRRefT22_0x_0" localSheetId="50">'301'!$T$20:$T$28</definedName>
    <definedName name="OSRRefT22_0x_0" localSheetId="51">'306'!$T$20:$T$28</definedName>
    <definedName name="OSRRefT22_0x_0" localSheetId="53">'307'!$T$79:$T$87</definedName>
    <definedName name="OSRRefT22_0x_0" localSheetId="55">'308'!$T$65:$T$74</definedName>
    <definedName name="OSRRefT22_0x_0" localSheetId="67">'309'!$T$26:$T$34</definedName>
    <definedName name="OSRRefT22_0x_0" localSheetId="66">'310'!$T$34:$T$42</definedName>
    <definedName name="OSRRefT22_0x_0" localSheetId="74">'310 &amp; 491'!$T$41:$T$50</definedName>
    <definedName name="OSRRefT22_0x_0" localSheetId="56">'311'!$T$65:$T$74</definedName>
    <definedName name="OSRRefT22_0x_0" localSheetId="68">'313'!$T$30:$T$38</definedName>
    <definedName name="OSRRefT22_0x_0" localSheetId="54">'314'!$T$58:$T$66</definedName>
    <definedName name="OSRRefT22_0x_0" localSheetId="59">'315'!$T$58:$T$66</definedName>
    <definedName name="OSRRefT22_0x_0" localSheetId="62">'316'!$T$36:$T$44</definedName>
    <definedName name="OSRRefT22_0x_0" localSheetId="65">'317'!$T$60:$T$69</definedName>
    <definedName name="OSRRefT22_0x_0" localSheetId="63">'320'!$T$31:$T$38</definedName>
    <definedName name="OSRRefT22_0x_0" localSheetId="69">'321'!$T$26:$T$33</definedName>
    <definedName name="OSRRefT22_0x_0" localSheetId="70">'322'!$T$26:$T$34</definedName>
    <definedName name="OSRRefT22_0x_0" localSheetId="71">'325'!$T$26:$T$34</definedName>
    <definedName name="OSRRefT22_0x_0" localSheetId="60">'326'!$T$58:$T$66</definedName>
    <definedName name="OSRRefT22_0x_0" localSheetId="72">'327'!$T$24</definedName>
    <definedName name="OSRRefT22_0x_0" localSheetId="52">'330'!$T$86:$T$94</definedName>
    <definedName name="OSRRefT22_0x_0" localSheetId="58">'331'!$T$73:$T$81</definedName>
    <definedName name="OSRRefT22_0x_0" localSheetId="61">'332'!$T$45:$T$53</definedName>
    <definedName name="OSRRefT22_0x_0" localSheetId="76">'405'!$T$26:$T$34</definedName>
    <definedName name="OSRRefT22_0x_0" localSheetId="77">'406'!$T$27:$T$35</definedName>
    <definedName name="OSRRefT22_0x_0" localSheetId="78">'411'!$T$20:$T$29</definedName>
    <definedName name="OSRRefT22_0x_0" localSheetId="79">'412'!$T$27:$T$35</definedName>
    <definedName name="OSRRefT22_0x_0" localSheetId="81">'413'!$T$27:$T$35</definedName>
    <definedName name="OSRRefT22_0x_0" localSheetId="82">'414'!$T$27:$T$35</definedName>
    <definedName name="OSRRefT22_0x_0" localSheetId="83">'415'!$T$26:$T$34</definedName>
    <definedName name="OSRRefT22_0x_0" localSheetId="84">'418'!$T$27:$T$35</definedName>
    <definedName name="OSRRefT22_0x_0" localSheetId="80">'420'!$T$24:$T$31</definedName>
    <definedName name="OSRRefT22_0x_0" localSheetId="85">'423'!$T$21:$T$29</definedName>
    <definedName name="OSRRefT22_0x_0" localSheetId="86">'424'!$T$27:$T$34</definedName>
    <definedName name="OSRRefT22_0x_0" localSheetId="87">'425'!$T$29:$T$38</definedName>
    <definedName name="OSRRefT22_0x_0" localSheetId="90">'430'!$T$20:$T$28</definedName>
    <definedName name="OSRRefT22_0x_0" localSheetId="91">'433'!$T$27:$T$36</definedName>
    <definedName name="OSRRefT22_0x_0" localSheetId="92">'435'!$T$27:$T$34</definedName>
    <definedName name="OSRRefT22_0x_0" localSheetId="93">'444'!$T$27:$T$36</definedName>
    <definedName name="OSRRefT22_0x_0" localSheetId="94">'450'!$T$27:$T$36</definedName>
    <definedName name="OSRRefT22_0x_0" localSheetId="88">'455'!$T$20:$T$27</definedName>
    <definedName name="OSRRefT22_0x_0" localSheetId="75">'491'!$T$35:$T$44</definedName>
    <definedName name="OSRRefT22_0x_0" localSheetId="89">'492'!$T$29:$T$38</definedName>
    <definedName name="OSRRefT22_0x_0" localSheetId="96">'501'!$T$21:$T$29</definedName>
    <definedName name="OSRRefT22_0x_0" localSheetId="39">'Div 2'!$T$21:$T$31</definedName>
    <definedName name="OSRRefT22_0x_0" localSheetId="47">'Div 3'!$T$172:$T$181</definedName>
    <definedName name="OSRRefT22_0x_0" localSheetId="73">'Div 4'!$T$35:$T$44</definedName>
    <definedName name="OSRRefT22_0x_0" localSheetId="95">'Div 5'!$T$21:$T$29</definedName>
    <definedName name="OSRRefT22_0x_0" localSheetId="64">'Div 6'!$T$60:$T$69</definedName>
    <definedName name="OSRRefT22_0x_0" localSheetId="2">Summary!$T$204:$T$213</definedName>
    <definedName name="OSRRefT22_10x_0" localSheetId="41">'201'!$T$58:$T$60</definedName>
    <definedName name="OSRRefT22_10x_0" localSheetId="42">'202'!$T$59</definedName>
    <definedName name="OSRRefT22_10x_0" localSheetId="43">'203'!$T$60:$T$61</definedName>
    <definedName name="OSRRefT22_10x_0" localSheetId="44">'204'!$T$64:$T$65</definedName>
    <definedName name="OSRRefT22_10x_0" localSheetId="46">'206'!$T$58</definedName>
    <definedName name="OSRRefT22_10x_0" localSheetId="48">'300'!$T$211:$T$212</definedName>
    <definedName name="OSRRefT22_10x_0" localSheetId="49">'300 &amp; 317'!$T$236:$T$237</definedName>
    <definedName name="OSRRefT22_10x_0" localSheetId="50">'301'!$T$63</definedName>
    <definedName name="OSRRefT22_10x_0" localSheetId="51">'306'!$T$61</definedName>
    <definedName name="OSRRefT22_10x_0" localSheetId="53">'307'!$T$119:$T$121</definedName>
    <definedName name="OSRRefT22_10x_0" localSheetId="55">'308'!$T$107</definedName>
    <definedName name="OSRRefT22_10x_0" localSheetId="67">'309'!$T$65:$T$67</definedName>
    <definedName name="OSRRefT22_10x_0" localSheetId="66">'310'!$T$73</definedName>
    <definedName name="OSRRefT22_10x_0" localSheetId="74">'310 &amp; 491'!$T$82</definedName>
    <definedName name="OSRRefT22_10x_0" localSheetId="56">'311'!$T$107</definedName>
    <definedName name="OSRRefT22_10x_0" localSheetId="68">'313'!$T$67:$T$69</definedName>
    <definedName name="OSRRefT22_10x_0" localSheetId="54">'314'!$T$96</definedName>
    <definedName name="OSRRefT22_10x_0" localSheetId="59">'315'!$T$98:$T$100</definedName>
    <definedName name="OSRRefT22_10x_0" localSheetId="62">'316'!$T$74:$T$75</definedName>
    <definedName name="OSRRefT22_10x_0" localSheetId="65">'317'!$T$99:$T$100</definedName>
    <definedName name="OSRRefT22_10x_0" localSheetId="69">'321'!$T$64:$T$65</definedName>
    <definedName name="OSRRefT22_10x_0" localSheetId="70">'322'!$T$66:$T$68</definedName>
    <definedName name="OSRRefT22_10x_0" localSheetId="71">'325'!$T$65</definedName>
    <definedName name="OSRRefT22_10x_0" localSheetId="60">'326'!$T$96</definedName>
    <definedName name="OSRRefT22_10x_0" localSheetId="52">'330'!$T$125:$T$126</definedName>
    <definedName name="OSRRefT22_10x_0" localSheetId="58">'331'!$T$113</definedName>
    <definedName name="OSRRefT22_10x_0" localSheetId="61">'332'!$T$83:$T$84</definedName>
    <definedName name="OSRRefT22_10x_0" localSheetId="76">'405'!$T$65</definedName>
    <definedName name="OSRRefT22_10x_0" localSheetId="77">'406'!$T$67:$T$69</definedName>
    <definedName name="OSRRefT22_10x_0" localSheetId="78">'411'!$T$61:$T$63</definedName>
    <definedName name="OSRRefT22_10x_0" localSheetId="79">'412'!$T$67</definedName>
    <definedName name="OSRRefT22_10x_0" localSheetId="81">'413'!$T$67:$T$73</definedName>
    <definedName name="OSRRefT22_10x_0" localSheetId="82">'414'!$T$66</definedName>
    <definedName name="OSRRefT22_10x_0" localSheetId="83">'415'!$T$65</definedName>
    <definedName name="OSRRefT22_10x_0" localSheetId="84">'418'!$T$66:$T$67</definedName>
    <definedName name="OSRRefT22_10x_0" localSheetId="86">'424'!$T$66</definedName>
    <definedName name="OSRRefT22_10x_0" localSheetId="87">'425'!$T$70:$T$71</definedName>
    <definedName name="OSRRefT22_10x_0" localSheetId="90">'430'!$T$59</definedName>
    <definedName name="OSRRefT22_10x_0" localSheetId="91">'433'!$T$65:$T$67</definedName>
    <definedName name="OSRRefT22_10x_0" localSheetId="93">'444'!$T$65</definedName>
    <definedName name="OSRRefT22_10x_0" localSheetId="94">'450'!$T$66</definedName>
    <definedName name="OSRRefT22_10x_0" localSheetId="75">'491'!$T$76:$T$77</definedName>
    <definedName name="OSRRefT22_10x_0" localSheetId="89">'492'!$T$69</definedName>
    <definedName name="OSRRefT22_10x_0" localSheetId="96">'501'!$T$58:$T$61</definedName>
    <definedName name="OSRRefT22_10x_0" localSheetId="39">'Div 2'!$T$62</definedName>
    <definedName name="OSRRefT22_10x_0" localSheetId="47">'Div 3'!$T$216:$T$217</definedName>
    <definedName name="OSRRefT22_10x_0" localSheetId="73">'Div 4'!$T$78</definedName>
    <definedName name="OSRRefT22_10x_0" localSheetId="95">'Div 5'!$T$58:$T$61</definedName>
    <definedName name="OSRRefT22_10x_0" localSheetId="64">'Div 6'!$T$99:$T$100</definedName>
    <definedName name="OSRRefT22_10x_0" localSheetId="2">Summary!$T$249:$T$250</definedName>
    <definedName name="OSRRefT22_11x_0" localSheetId="41">'201'!$T$62:$T$64</definedName>
    <definedName name="OSRRefT22_11x_0" localSheetId="42">'202'!$T$61:$T$63</definedName>
    <definedName name="OSRRefT22_11x_0" localSheetId="43">'203'!$T$63</definedName>
    <definedName name="OSRRefT22_11x_0" localSheetId="44">'204'!$T$67</definedName>
    <definedName name="OSRRefT22_11x_0" localSheetId="48">'300'!$T$214</definedName>
    <definedName name="OSRRefT22_11x_0" localSheetId="49">'300 &amp; 317'!$T$239</definedName>
    <definedName name="OSRRefT22_11x_0" localSheetId="50">'301'!$T$65</definedName>
    <definedName name="OSRRefT22_11x_0" localSheetId="53">'307'!$T$123</definedName>
    <definedName name="OSRRefT22_11x_0" localSheetId="55">'308'!$T$109:$T$111</definedName>
    <definedName name="OSRRefT22_11x_0" localSheetId="67">'309'!$T$69:$T$71</definedName>
    <definedName name="OSRRefT22_11x_0" localSheetId="66">'310'!$T$75</definedName>
    <definedName name="OSRRefT22_11x_0" localSheetId="74">'310 &amp; 491'!$T$84:$T$85</definedName>
    <definedName name="OSRRefT22_11x_0" localSheetId="56">'311'!$T$109:$T$111</definedName>
    <definedName name="OSRRefT22_11x_0" localSheetId="68">'313'!$T$71</definedName>
    <definedName name="OSRRefT22_11x_0" localSheetId="59">'315'!$T$102:$T$103</definedName>
    <definedName name="OSRRefT22_11x_0" localSheetId="62">'316'!$T$77:$T$81</definedName>
    <definedName name="OSRRefT22_11x_0" localSheetId="65">'317'!$T$102</definedName>
    <definedName name="OSRRefT22_11x_0" localSheetId="69">'321'!$T$67:$T$69</definedName>
    <definedName name="OSRRefT22_11x_0" localSheetId="70">'322'!$T$70:$T$76</definedName>
    <definedName name="OSRRefT22_11x_0" localSheetId="71">'325'!$T$67:$T$69</definedName>
    <definedName name="OSRRefT22_11x_0" localSheetId="60">'326'!$T$98</definedName>
    <definedName name="OSRRefT22_11x_0" localSheetId="52">'330'!$T$128</definedName>
    <definedName name="OSRRefT22_11x_0" localSheetId="58">'331'!$T$115</definedName>
    <definedName name="OSRRefT22_11x_0" localSheetId="61">'332'!$T$86:$T$87</definedName>
    <definedName name="OSRRefT22_11x_0" localSheetId="76">'405'!$T$67:$T$69</definedName>
    <definedName name="OSRRefT22_11x_0" localSheetId="77">'406'!$T$71:$T$76</definedName>
    <definedName name="OSRRefT22_11x_0" localSheetId="78">'411'!$T$65:$T$69</definedName>
    <definedName name="OSRRefT22_11x_0" localSheetId="79">'412'!$T$69:$T$71</definedName>
    <definedName name="OSRRefT22_11x_0" localSheetId="81">'413'!$T$75:$T$76</definedName>
    <definedName name="OSRRefT22_11x_0" localSheetId="82">'414'!$T$68</definedName>
    <definedName name="OSRRefT22_11x_0" localSheetId="83">'415'!$T$67:$T$70</definedName>
    <definedName name="OSRRefT22_11x_0" localSheetId="84">'418'!$T$69:$T$71</definedName>
    <definedName name="OSRRefT22_11x_0" localSheetId="86">'424'!$T$68:$T$72</definedName>
    <definedName name="OSRRefT22_11x_0" localSheetId="87">'425'!$T$73:$T$75</definedName>
    <definedName name="OSRRefT22_11x_0" localSheetId="91">'433'!$T$69:$T$72</definedName>
    <definedName name="OSRRefT22_11x_0" localSheetId="93">'444'!$T$67:$T$69</definedName>
    <definedName name="OSRRefT22_11x_0" localSheetId="94">'450'!$T$68</definedName>
    <definedName name="OSRRefT22_11x_0" localSheetId="75">'491'!$T$79</definedName>
    <definedName name="OSRRefT22_11x_0" localSheetId="89">'492'!$T$71</definedName>
    <definedName name="OSRRefT22_11x_0" localSheetId="96">'501'!$T$63</definedName>
    <definedName name="OSRRefT22_11x_0" localSheetId="39">'Div 2'!$T$64</definedName>
    <definedName name="OSRRefT22_11x_0" localSheetId="47">'Div 3'!$T$219</definedName>
    <definedName name="OSRRefT22_11x_0" localSheetId="73">'Div 4'!$T$80:$T$81</definedName>
    <definedName name="OSRRefT22_11x_0" localSheetId="95">'Div 5'!$T$63</definedName>
    <definedName name="OSRRefT22_11x_0" localSheetId="64">'Div 6'!$T$102</definedName>
    <definedName name="OSRRefT22_11x_0" localSheetId="2">Summary!$T$252:$T$253</definedName>
    <definedName name="OSRRefT22_12x_0" localSheetId="41">'201'!$T$66</definedName>
    <definedName name="OSRRefT22_12x_0" localSheetId="42">'202'!$T$65</definedName>
    <definedName name="OSRRefT22_12x_0" localSheetId="43">'203'!$T$65:$T$67</definedName>
    <definedName name="OSRRefT22_12x_0" localSheetId="44">'204'!$T$69:$T$70</definedName>
    <definedName name="OSRRefT22_12x_0" localSheetId="48">'300'!$T$216</definedName>
    <definedName name="OSRRefT22_12x_0" localSheetId="49">'300 &amp; 317'!$T$241</definedName>
    <definedName name="OSRRefT22_12x_0" localSheetId="50">'301'!$T$67</definedName>
    <definedName name="OSRRefT22_12x_0" localSheetId="53">'307'!$T$125</definedName>
    <definedName name="OSRRefT22_12x_0" localSheetId="55">'308'!$T$113:$T$114</definedName>
    <definedName name="OSRRefT22_12x_0" localSheetId="67">'309'!$T$73</definedName>
    <definedName name="OSRRefT22_12x_0" localSheetId="66">'310'!$T$77</definedName>
    <definedName name="OSRRefT22_12x_0" localSheetId="74">'310 &amp; 491'!$T$87</definedName>
    <definedName name="OSRRefT22_12x_0" localSheetId="56">'311'!$T$113:$T$114</definedName>
    <definedName name="OSRRefT22_12x_0" localSheetId="68">'313'!$T$73:$T$78</definedName>
    <definedName name="OSRRefT22_12x_0" localSheetId="59">'315'!$T$105:$T$109</definedName>
    <definedName name="OSRRefT22_12x_0" localSheetId="62">'316'!$T$83:$T$84</definedName>
    <definedName name="OSRRefT22_12x_0" localSheetId="65">'317'!$T$104</definedName>
    <definedName name="OSRRefT22_12x_0" localSheetId="69">'321'!$T$71:$T$74</definedName>
    <definedName name="OSRRefT22_12x_0" localSheetId="70">'322'!$T$78</definedName>
    <definedName name="OSRRefT22_12x_0" localSheetId="71">'325'!$T$71:$T$74</definedName>
    <definedName name="OSRRefT22_12x_0" localSheetId="60">'326'!$T$100</definedName>
    <definedName name="OSRRefT22_12x_0" localSheetId="52">'330'!$T$130:$T$132</definedName>
    <definedName name="OSRRefT22_12x_0" localSheetId="58">'331'!$T$117</definedName>
    <definedName name="OSRRefT22_12x_0" localSheetId="61">'332'!$T$89:$T$93</definedName>
    <definedName name="OSRRefT22_12x_0" localSheetId="76">'405'!$T$71</definedName>
    <definedName name="OSRRefT22_12x_0" localSheetId="77">'406'!$T$78:$T$79</definedName>
    <definedName name="OSRRefT22_12x_0" localSheetId="78">'411'!$T$71</definedName>
    <definedName name="OSRRefT22_12x_0" localSheetId="79">'412'!$T$73:$T$80</definedName>
    <definedName name="OSRRefT22_12x_0" localSheetId="81">'413'!$T$78</definedName>
    <definedName name="OSRRefT22_12x_0" localSheetId="82">'414'!$T$70</definedName>
    <definedName name="OSRRefT22_12x_0" localSheetId="83">'415'!$T$72:$T$76</definedName>
    <definedName name="OSRRefT22_12x_0" localSheetId="84">'418'!$T$73:$T$75</definedName>
    <definedName name="OSRRefT22_12x_0" localSheetId="86">'424'!$T$74:$T$75</definedName>
    <definedName name="OSRRefT22_12x_0" localSheetId="87">'425'!$T$77</definedName>
    <definedName name="OSRRefT22_12x_0" localSheetId="91">'433'!$T$74:$T$81</definedName>
    <definedName name="OSRRefT22_12x_0" localSheetId="93">'444'!$T$71:$T$74</definedName>
    <definedName name="OSRRefT22_12x_0" localSheetId="94">'450'!$T$70:$T$73</definedName>
    <definedName name="OSRRefT22_12x_0" localSheetId="75">'491'!$T$81</definedName>
    <definedName name="OSRRefT22_12x_0" localSheetId="89">'492'!$T$73</definedName>
    <definedName name="OSRRefT22_12x_0" localSheetId="96">'501'!$T$65:$T$67</definedName>
    <definedName name="OSRRefT22_12x_0" localSheetId="39">'Div 2'!$T$66:$T$68</definedName>
    <definedName name="OSRRefT22_12x_0" localSheetId="47">'Div 3'!$T$221</definedName>
    <definedName name="OSRRefT22_12x_0" localSheetId="73">'Div 4'!$T$83</definedName>
    <definedName name="OSRRefT22_12x_0" localSheetId="95">'Div 5'!$T$65:$T$67</definedName>
    <definedName name="OSRRefT22_12x_0" localSheetId="64">'Div 6'!$T$104</definedName>
    <definedName name="OSRRefT22_12x_0" localSheetId="2">Summary!$T$255</definedName>
    <definedName name="OSRRefT22_13x_0" localSheetId="41">'201'!$T$68:$T$70</definedName>
    <definedName name="OSRRefT22_13x_0" localSheetId="42">'202'!$T$67</definedName>
    <definedName name="OSRRefT22_13x_0" localSheetId="43">'203'!$T$69</definedName>
    <definedName name="OSRRefT22_13x_0" localSheetId="48">'300'!$T$218</definedName>
    <definedName name="OSRRefT22_13x_0" localSheetId="49">'300 &amp; 317'!$T$243</definedName>
    <definedName name="OSRRefT22_13x_0" localSheetId="50">'301'!$T$69</definedName>
    <definedName name="OSRRefT22_13x_0" localSheetId="55">'308'!$T$116</definedName>
    <definedName name="OSRRefT22_13x_0" localSheetId="67">'309'!$T$75</definedName>
    <definedName name="OSRRefT22_13x_0" localSheetId="66">'310'!$T$79</definedName>
    <definedName name="OSRRefT22_13x_0" localSheetId="74">'310 &amp; 491'!$T$89</definedName>
    <definedName name="OSRRefT22_13x_0" localSheetId="56">'311'!$T$116</definedName>
    <definedName name="OSRRefT22_13x_0" localSheetId="68">'313'!$T$80</definedName>
    <definedName name="OSRRefT22_13x_0" localSheetId="59">'315'!$T$111</definedName>
    <definedName name="OSRRefT22_13x_0" localSheetId="62">'316'!$T$86</definedName>
    <definedName name="OSRRefT22_13x_0" localSheetId="69">'321'!$T$76</definedName>
    <definedName name="OSRRefT22_13x_0" localSheetId="70">'322'!$T$80</definedName>
    <definedName name="OSRRefT22_13x_0" localSheetId="71">'325'!$T$76</definedName>
    <definedName name="OSRRefT22_13x_0" localSheetId="60">'326'!$T$102:$T$103</definedName>
    <definedName name="OSRRefT22_13x_0" localSheetId="52">'330'!$T$134</definedName>
    <definedName name="OSRRefT22_13x_0" localSheetId="58">'331'!$T$119</definedName>
    <definedName name="OSRRefT22_13x_0" localSheetId="61">'332'!$T$95:$T$96</definedName>
    <definedName name="OSRRefT22_13x_0" localSheetId="76">'405'!$T$73:$T$75</definedName>
    <definedName name="OSRRefT22_13x_0" localSheetId="77">'406'!$T$81</definedName>
    <definedName name="OSRRefT22_13x_0" localSheetId="78">'411'!$T$73:$T$80</definedName>
    <definedName name="OSRRefT22_13x_0" localSheetId="79">'412'!$T$82</definedName>
    <definedName name="OSRRefT22_13x_0" localSheetId="81">'413'!$T$80</definedName>
    <definedName name="OSRRefT22_13x_0" localSheetId="82">'414'!$T$72:$T$78</definedName>
    <definedName name="OSRRefT22_13x_0" localSheetId="83">'415'!$T$78:$T$79</definedName>
    <definedName name="OSRRefT22_13x_0" localSheetId="84">'418'!$T$77:$T$78</definedName>
    <definedName name="OSRRefT22_13x_0" localSheetId="87">'425'!$T$79:$T$85</definedName>
    <definedName name="OSRRefT22_13x_0" localSheetId="91">'433'!$T$83</definedName>
    <definedName name="OSRRefT22_13x_0" localSheetId="93">'444'!$T$76:$T$83</definedName>
    <definedName name="OSRRefT22_13x_0" localSheetId="94">'450'!$T$75:$T$77</definedName>
    <definedName name="OSRRefT22_13x_0" localSheetId="75">'491'!$T$83</definedName>
    <definedName name="OSRRefT22_13x_0" localSheetId="89">'492'!$T$75:$T$78</definedName>
    <definedName name="OSRRefT22_13x_0" localSheetId="96">'501'!$T$69</definedName>
    <definedName name="OSRRefT22_13x_0" localSheetId="39">'Div 2'!$T$70:$T$73</definedName>
    <definedName name="OSRRefT22_13x_0" localSheetId="47">'Div 3'!$T$223</definedName>
    <definedName name="OSRRefT22_13x_0" localSheetId="73">'Div 4'!$T$85</definedName>
    <definedName name="OSRRefT22_13x_0" localSheetId="95">'Div 5'!$T$69</definedName>
    <definedName name="OSRRefT22_13x_0" localSheetId="2">Summary!$T$257</definedName>
    <definedName name="OSRRefT22_14x_0" localSheetId="41">'201'!$T$72</definedName>
    <definedName name="OSRRefT22_14x_0" localSheetId="42">'202'!$T$69:$T$70</definedName>
    <definedName name="OSRRefT22_14x_0" localSheetId="43">'203'!$T$71</definedName>
    <definedName name="OSRRefT22_14x_0" localSheetId="48">'300'!$T$220</definedName>
    <definedName name="OSRRefT22_14x_0" localSheetId="49">'300 &amp; 317'!$T$245</definedName>
    <definedName name="OSRRefT22_14x_0" localSheetId="50">'301'!$T$71</definedName>
    <definedName name="OSRRefT22_14x_0" localSheetId="55">'308'!$T$118:$T$119</definedName>
    <definedName name="OSRRefT22_14x_0" localSheetId="66">'310'!$T$81</definedName>
    <definedName name="OSRRefT22_14x_0" localSheetId="74">'310 &amp; 491'!$T$91</definedName>
    <definedName name="OSRRefT22_14x_0" localSheetId="56">'311'!$T$118:$T$119</definedName>
    <definedName name="OSRRefT22_14x_0" localSheetId="68">'313'!$T$82</definedName>
    <definedName name="OSRRefT22_14x_0" localSheetId="59">'315'!$T$113</definedName>
    <definedName name="OSRRefT22_14x_0" localSheetId="69">'321'!$T$78</definedName>
    <definedName name="OSRRefT22_14x_0" localSheetId="71">'325'!$T$78:$T$84</definedName>
    <definedName name="OSRRefT22_14x_0" localSheetId="60">'326'!$T$105:$T$107</definedName>
    <definedName name="OSRRefT22_14x_0" localSheetId="52">'330'!$T$136</definedName>
    <definedName name="OSRRefT22_14x_0" localSheetId="58">'331'!$T$121:$T$122</definedName>
    <definedName name="OSRRefT22_14x_0" localSheetId="61">'332'!$T$98</definedName>
    <definedName name="OSRRefT22_14x_0" localSheetId="76">'405'!$T$77:$T$78</definedName>
    <definedName name="OSRRefT22_14x_0" localSheetId="77">'406'!$T$83:$T$84</definedName>
    <definedName name="OSRRefT22_14x_0" localSheetId="78">'411'!$T$82</definedName>
    <definedName name="OSRRefT22_14x_0" localSheetId="79">'412'!$T$84</definedName>
    <definedName name="OSRRefT22_14x_0" localSheetId="82">'414'!$T$80</definedName>
    <definedName name="OSRRefT22_14x_0" localSheetId="83">'415'!$T$81:$T$89</definedName>
    <definedName name="OSRRefT22_14x_0" localSheetId="84">'418'!$T$80:$T$87</definedName>
    <definedName name="OSRRefT22_14x_0" localSheetId="87">'425'!$T$87:$T$88</definedName>
    <definedName name="OSRRefT22_14x_0" localSheetId="91">'433'!$T$85</definedName>
    <definedName name="OSRRefT22_14x_0" localSheetId="93">'444'!$T$85</definedName>
    <definedName name="OSRRefT22_14x_0" localSheetId="94">'450'!$T$79:$T$84</definedName>
    <definedName name="OSRRefT22_14x_0" localSheetId="75">'491'!$T$85</definedName>
    <definedName name="OSRRefT22_14x_0" localSheetId="89">'492'!$T$80:$T$83</definedName>
    <definedName name="OSRRefT22_14x_0" localSheetId="96">'501'!$T$71</definedName>
    <definedName name="OSRRefT22_14x_0" localSheetId="39">'Div 2'!$T$75:$T$78</definedName>
    <definedName name="OSRRefT22_14x_0" localSheetId="47">'Div 3'!$T$225</definedName>
    <definedName name="OSRRefT22_14x_0" localSheetId="73">'Div 4'!$T$87</definedName>
    <definedName name="OSRRefT22_14x_0" localSheetId="95">'Div 5'!$T$71</definedName>
    <definedName name="OSRRefT22_14x_0" localSheetId="2">Summary!$T$259</definedName>
    <definedName name="OSRRefT22_15x_0" localSheetId="41">'201'!$T$74</definedName>
    <definedName name="OSRRefT22_15x_0" localSheetId="42">'202'!$T$72</definedName>
    <definedName name="OSRRefT22_15x_0" localSheetId="43">'203'!$T$73</definedName>
    <definedName name="OSRRefT22_15x_0" localSheetId="48">'300'!$T$222</definedName>
    <definedName name="OSRRefT22_15x_0" localSheetId="49">'300 &amp; 317'!$T$247</definedName>
    <definedName name="OSRRefT22_15x_0" localSheetId="50">'301'!$T$73:$T$76</definedName>
    <definedName name="OSRRefT22_15x_0" localSheetId="66">'310'!$T$83:$T$85</definedName>
    <definedName name="OSRRefT22_15x_0" localSheetId="74">'310 &amp; 491'!$T$93</definedName>
    <definedName name="OSRRefT22_15x_0" localSheetId="59">'315'!$T$115:$T$116</definedName>
    <definedName name="OSRRefT22_15x_0" localSheetId="71">'325'!$T$86</definedName>
    <definedName name="OSRRefT22_15x_0" localSheetId="60">'326'!$T$109:$T$110</definedName>
    <definedName name="OSRRefT22_15x_0" localSheetId="52">'330'!$T$138</definedName>
    <definedName name="OSRRefT22_15x_0" localSheetId="58">'331'!$T$124:$T$126</definedName>
    <definedName name="OSRRefT22_15x_0" localSheetId="76">'405'!$T$80:$T$88</definedName>
    <definedName name="OSRRefT22_15x_0" localSheetId="78">'411'!$T$84</definedName>
    <definedName name="OSRRefT22_15x_0" localSheetId="79">'412'!$T$86</definedName>
    <definedName name="OSRRefT22_15x_0" localSheetId="82">'414'!$T$82</definedName>
    <definedName name="OSRRefT22_15x_0" localSheetId="83">'415'!$T$91</definedName>
    <definedName name="OSRRefT22_15x_0" localSheetId="84">'418'!$T$89</definedName>
    <definedName name="OSRRefT22_15x_0" localSheetId="87">'425'!$T$90</definedName>
    <definedName name="OSRRefT22_15x_0" localSheetId="91">'433'!$T$87:$T$88</definedName>
    <definedName name="OSRRefT22_15x_0" localSheetId="93">'444'!$T$87</definedName>
    <definedName name="OSRRefT22_15x_0" localSheetId="94">'450'!$T$86</definedName>
    <definedName name="OSRRefT22_15x_0" localSheetId="75">'491'!$T$87:$T$90</definedName>
    <definedName name="OSRRefT22_15x_0" localSheetId="89">'492'!$T$85:$T$93</definedName>
    <definedName name="OSRRefT22_15x_0" localSheetId="39">'Div 2'!$T$80:$T$81</definedName>
    <definedName name="OSRRefT22_15x_0" localSheetId="47">'Div 3'!$T$227</definedName>
    <definedName name="OSRRefT22_15x_0" localSheetId="73">'Div 4'!$T$89</definedName>
    <definedName name="OSRRefT22_15x_0" localSheetId="2">Summary!$T$261</definedName>
    <definedName name="OSRRefT22_16x_0" localSheetId="41">'201'!$T$76:$T$77</definedName>
    <definedName name="OSRRefT22_16x_0" localSheetId="42">'202'!$T$74</definedName>
    <definedName name="OSRRefT22_16x_0" localSheetId="48">'300'!$T$224:$T$227</definedName>
    <definedName name="OSRRefT22_16x_0" localSheetId="49">'300 &amp; 317'!$T$249:$T$252</definedName>
    <definedName name="OSRRefT22_16x_0" localSheetId="50">'301'!$T$78:$T$80</definedName>
    <definedName name="OSRRefT22_16x_0" localSheetId="66">'310'!$T$87:$T$88</definedName>
    <definedName name="OSRRefT22_16x_0" localSheetId="74">'310 &amp; 491'!$T$95</definedName>
    <definedName name="OSRRefT22_16x_0" localSheetId="71">'325'!$T$88</definedName>
    <definedName name="OSRRefT22_16x_0" localSheetId="60">'326'!$T$112:$T$117</definedName>
    <definedName name="OSRRefT22_16x_0" localSheetId="58">'331'!$T$128:$T$130</definedName>
    <definedName name="OSRRefT22_16x_0" localSheetId="76">'405'!$T$90</definedName>
    <definedName name="OSRRefT22_16x_0" localSheetId="78">'411'!$T$86:$T$88</definedName>
    <definedName name="OSRRefT22_16x_0" localSheetId="83">'415'!$T$93</definedName>
    <definedName name="OSRRefT22_16x_0" localSheetId="84">'418'!$T$91</definedName>
    <definedName name="OSRRefT22_16x_0" localSheetId="87">'425'!$T$92</definedName>
    <definedName name="OSRRefT22_16x_0" localSheetId="93">'444'!$T$89</definedName>
    <definedName name="OSRRefT22_16x_0" localSheetId="94">'450'!$T$88</definedName>
    <definedName name="OSRRefT22_16x_0" localSheetId="75">'491'!$T$92:$T$95</definedName>
    <definedName name="OSRRefT22_16x_0" localSheetId="89">'492'!$T$95</definedName>
    <definedName name="OSRRefT22_16x_0" localSheetId="39">'Div 2'!$T$83:$T$84</definedName>
    <definedName name="OSRRefT22_16x_0" localSheetId="47">'Div 3'!$T$229</definedName>
    <definedName name="OSRRefT22_16x_0" localSheetId="73">'Div 4'!$T$91</definedName>
    <definedName name="OSRRefT22_16x_0" localSheetId="2">Summary!$T$263</definedName>
    <definedName name="OSRRefT22_17x_0" localSheetId="48">'300'!$T$229:$T$232</definedName>
    <definedName name="OSRRefT22_17x_0" localSheetId="49">'300 &amp; 317'!$T$254:$T$257</definedName>
    <definedName name="OSRRefT22_17x_0" localSheetId="50">'301'!$T$82:$T$83</definedName>
    <definedName name="OSRRefT22_17x_0" localSheetId="66">'310'!$T$90:$T$94</definedName>
    <definedName name="OSRRefT22_17x_0" localSheetId="74">'310 &amp; 491'!$T$97:$T$100</definedName>
    <definedName name="OSRRefT22_17x_0" localSheetId="71">'325'!$T$90</definedName>
    <definedName name="OSRRefT22_17x_0" localSheetId="60">'326'!$T$119:$T$120</definedName>
    <definedName name="OSRRefT22_17x_0" localSheetId="58">'331'!$T$132:$T$133</definedName>
    <definedName name="OSRRefT22_17x_0" localSheetId="76">'405'!$T$92</definedName>
    <definedName name="OSRRefT22_17x_0" localSheetId="78">'411'!$T$90</definedName>
    <definedName name="OSRRefT22_17x_0" localSheetId="83">'415'!$T$95:$T$96</definedName>
    <definedName name="OSRRefT22_17x_0" localSheetId="84">'418'!$T$93:$T$94</definedName>
    <definedName name="OSRRefT22_17x_0" localSheetId="94">'450'!$T$90:$T$91</definedName>
    <definedName name="OSRRefT22_17x_0" localSheetId="75">'491'!$T$97:$T$101</definedName>
    <definedName name="OSRRefT22_17x_0" localSheetId="89">'492'!$T$97</definedName>
    <definedName name="OSRRefT22_17x_0" localSheetId="39">'Div 2'!$T$86:$T$90</definedName>
    <definedName name="OSRRefT22_17x_0" localSheetId="47">'Div 3'!$T$231</definedName>
    <definedName name="OSRRefT22_17x_0" localSheetId="73">'Div 4'!$T$93:$T$96</definedName>
    <definedName name="OSRRefT22_17x_0" localSheetId="2">Summary!$T$265</definedName>
    <definedName name="OSRRefT22_18x_0" localSheetId="48">'300'!$T$234:$T$237</definedName>
    <definedName name="OSRRefT22_18x_0" localSheetId="49">'300 &amp; 317'!$T$259:$T$262</definedName>
    <definedName name="OSRRefT22_18x_0" localSheetId="50">'301'!$T$85:$T$90</definedName>
    <definedName name="OSRRefT22_18x_0" localSheetId="66">'310'!$T$96</definedName>
    <definedName name="OSRRefT22_18x_0" localSheetId="74">'310 &amp; 491'!$T$102:$T$105</definedName>
    <definedName name="OSRRefT22_18x_0" localSheetId="71">'325'!$T$92</definedName>
    <definedName name="OSRRefT22_18x_0" localSheetId="60">'326'!$T$122</definedName>
    <definedName name="OSRRefT22_18x_0" localSheetId="58">'331'!$T$135:$T$140</definedName>
    <definedName name="OSRRefT22_18x_0" localSheetId="76">'405'!$T$94</definedName>
    <definedName name="OSRRefT22_18x_0" localSheetId="83">'415'!$T$98</definedName>
    <definedName name="OSRRefT22_18x_0" localSheetId="75">'491'!$T$103:$T$104</definedName>
    <definedName name="OSRRefT22_18x_0" localSheetId="89">'492'!$T$99:$T$100</definedName>
    <definedName name="OSRRefT22_18x_0" localSheetId="39">'Div 2'!$T$92:$T$93</definedName>
    <definedName name="OSRRefT22_18x_0" localSheetId="47">'Div 3'!$T$233:$T$236</definedName>
    <definedName name="OSRRefT22_18x_0" localSheetId="73">'Div 4'!$T$98:$T$101</definedName>
    <definedName name="OSRRefT22_18x_0" localSheetId="2">Summary!$T$267:$T$270</definedName>
    <definedName name="OSRRefT22_19x_0" localSheetId="48">'300'!$T$239:$T$240</definedName>
    <definedName name="OSRRefT22_19x_0" localSheetId="49">'300 &amp; 317'!$T$264:$T$265</definedName>
    <definedName name="OSRRefT22_19x_0" localSheetId="50">'301'!$T$92</definedName>
    <definedName name="OSRRefT22_19x_0" localSheetId="66">'310'!$T$98:$T$106</definedName>
    <definedName name="OSRRefT22_19x_0" localSheetId="74">'310 &amp; 491'!$T$107:$T$112</definedName>
    <definedName name="OSRRefT22_19x_0" localSheetId="60">'326'!$T$124</definedName>
    <definedName name="OSRRefT22_19x_0" localSheetId="58">'331'!$T$142:$T$143</definedName>
    <definedName name="OSRRefT22_19x_0" localSheetId="76">'405'!$T$96</definedName>
    <definedName name="OSRRefT22_19x_0" localSheetId="75">'491'!$T$106:$T$115</definedName>
    <definedName name="OSRRefT22_19x_0" localSheetId="39">'Div 2'!$T$95</definedName>
    <definedName name="OSRRefT22_19x_0" localSheetId="47">'Div 3'!$T$238:$T$241</definedName>
    <definedName name="OSRRefT22_19x_0" localSheetId="73">'Div 4'!$T$103:$T$107</definedName>
    <definedName name="OSRRefT22_19x_0" localSheetId="2">Summary!$T$272:$T$275</definedName>
    <definedName name="OSRRefT22_1x_0" localSheetId="40">'200'!$T$22</definedName>
    <definedName name="OSRRefT22_1x_0" localSheetId="41">'201'!$T$30:$T$39</definedName>
    <definedName name="OSRRefT22_1x_0" localSheetId="42">'202'!$T$30:$T$39</definedName>
    <definedName name="OSRRefT22_1x_0" localSheetId="43">'203'!$T$31:$T$40</definedName>
    <definedName name="OSRRefT22_1x_0" localSheetId="44">'204'!$T$32:$T$41</definedName>
    <definedName name="OSRRefT22_1x_0" localSheetId="45">'205'!$T$30:$T$39</definedName>
    <definedName name="OSRRefT22_1x_0" localSheetId="46">'206'!$T$30:$T$39</definedName>
    <definedName name="OSRRefT22_1x_0" localSheetId="48">'300'!$T$178:$T$187</definedName>
    <definedName name="OSRRefT22_1x_0" localSheetId="49">'300 &amp; 317'!$T$203:$T$212</definedName>
    <definedName name="OSRRefT22_1x_0" localSheetId="50">'301'!$T$30:$T$39</definedName>
    <definedName name="OSRRefT22_1x_0" localSheetId="51">'306'!$T$30:$T$39</definedName>
    <definedName name="OSRRefT22_1x_0" localSheetId="53">'307'!$T$89:$T$98</definedName>
    <definedName name="OSRRefT22_1x_0" localSheetId="55">'308'!$T$76:$T$85</definedName>
    <definedName name="OSRRefT22_1x_0" localSheetId="67">'309'!$T$36:$T$45</definedName>
    <definedName name="OSRRefT22_1x_0" localSheetId="66">'310'!$T$44:$T$53</definedName>
    <definedName name="OSRRefT22_1x_0" localSheetId="74">'310 &amp; 491'!$T$52:$T$61</definedName>
    <definedName name="OSRRefT22_1x_0" localSheetId="56">'311'!$T$76:$T$85</definedName>
    <definedName name="OSRRefT22_1x_0" localSheetId="68">'313'!$T$40:$T$49</definedName>
    <definedName name="OSRRefT22_1x_0" localSheetId="54">'314'!$T$68:$T$77</definedName>
    <definedName name="OSRRefT22_1x_0" localSheetId="59">'315'!$T$68:$T$77</definedName>
    <definedName name="OSRRefT22_1x_0" localSheetId="62">'316'!$T$46:$T$55</definedName>
    <definedName name="OSRRefT22_1x_0" localSheetId="65">'317'!$T$71:$T$80</definedName>
    <definedName name="OSRRefT22_1x_0" localSheetId="63">'320'!$T$40:$T$49</definedName>
    <definedName name="OSRRefT22_1x_0" localSheetId="69">'321'!$T$35:$T$44</definedName>
    <definedName name="OSRRefT22_1x_0" localSheetId="70">'322'!$T$36:$T$45</definedName>
    <definedName name="OSRRefT22_1x_0" localSheetId="71">'325'!$T$36:$T$45</definedName>
    <definedName name="OSRRefT22_1x_0" localSheetId="60">'326'!$T$68:$T$77</definedName>
    <definedName name="OSRRefT22_1x_0" localSheetId="72">'327'!$T$26</definedName>
    <definedName name="OSRRefT22_1x_0" localSheetId="52">'330'!$T$96:$T$105</definedName>
    <definedName name="OSRRefT22_1x_0" localSheetId="58">'331'!$T$83:$T$92</definedName>
    <definedName name="OSRRefT22_1x_0" localSheetId="61">'332'!$T$55:$T$64</definedName>
    <definedName name="OSRRefT22_1x_0" localSheetId="76">'405'!$T$36:$T$45</definedName>
    <definedName name="OSRRefT22_1x_0" localSheetId="77">'406'!$T$37:$T$46</definedName>
    <definedName name="OSRRefT22_1x_0" localSheetId="78">'411'!$T$31:$T$40</definedName>
    <definedName name="OSRRefT22_1x_0" localSheetId="79">'412'!$T$37:$T$46</definedName>
    <definedName name="OSRRefT22_1x_0" localSheetId="81">'413'!$T$37:$T$46</definedName>
    <definedName name="OSRRefT22_1x_0" localSheetId="82">'414'!$T$37:$T$46</definedName>
    <definedName name="OSRRefT22_1x_0" localSheetId="83">'415'!$T$36:$T$45</definedName>
    <definedName name="OSRRefT22_1x_0" localSheetId="84">'418'!$T$37:$T$46</definedName>
    <definedName name="OSRRefT22_1x_0" localSheetId="80">'420'!$T$33:$T$36</definedName>
    <definedName name="OSRRefT22_1x_0" localSheetId="85">'423'!$T$31:$T$40</definedName>
    <definedName name="OSRRefT22_1x_0" localSheetId="86">'424'!$T$36:$T$45</definedName>
    <definedName name="OSRRefT22_1x_0" localSheetId="87">'425'!$T$40:$T$49</definedName>
    <definedName name="OSRRefT22_1x_0" localSheetId="90">'430'!$T$30:$T$39</definedName>
    <definedName name="OSRRefT22_1x_0" localSheetId="91">'433'!$T$38:$T$47</definedName>
    <definedName name="OSRRefT22_1x_0" localSheetId="92">'435'!$T$36:$T$45</definedName>
    <definedName name="OSRRefT22_1x_0" localSheetId="93">'444'!$T$38:$T$47</definedName>
    <definedName name="OSRRefT22_1x_0" localSheetId="94">'450'!$T$38:$T$47</definedName>
    <definedName name="OSRRefT22_1x_0" localSheetId="88">'455'!$T$29:$T$38</definedName>
    <definedName name="OSRRefT22_1x_0" localSheetId="75">'491'!$T$46:$T$55</definedName>
    <definedName name="OSRRefT22_1x_0" localSheetId="89">'492'!$T$40:$T$49</definedName>
    <definedName name="OSRRefT22_1x_0" localSheetId="96">'501'!$T$31:$T$40</definedName>
    <definedName name="OSRRefT22_1x_0" localSheetId="39">'Div 2'!$T$33:$T$42</definedName>
    <definedName name="OSRRefT22_1x_0" localSheetId="47">'Div 3'!$T$183:$T$192</definedName>
    <definedName name="OSRRefT22_1x_0" localSheetId="73">'Div 4'!$T$46:$T$55</definedName>
    <definedName name="OSRRefT22_1x_0" localSheetId="95">'Div 5'!$T$31:$T$40</definedName>
    <definedName name="OSRRefT22_1x_0" localSheetId="64">'Div 6'!$T$71:$T$80</definedName>
    <definedName name="OSRRefT22_1x_0" localSheetId="2">Summary!$T$215:$T$224</definedName>
    <definedName name="OSRRefT22_20x_0" localSheetId="48">'300'!$T$242:$T$248</definedName>
    <definedName name="OSRRefT22_20x_0" localSheetId="49">'300 &amp; 317'!$T$267:$T$273</definedName>
    <definedName name="OSRRefT22_20x_0" localSheetId="50">'301'!$T$94</definedName>
    <definedName name="OSRRefT22_20x_0" localSheetId="66">'310'!$T$108</definedName>
    <definedName name="OSRRefT22_20x_0" localSheetId="74">'310 &amp; 491'!$T$114:$T$115</definedName>
    <definedName name="OSRRefT22_20x_0" localSheetId="60">'326'!$T$126</definedName>
    <definedName name="OSRRefT22_20x_0" localSheetId="58">'331'!$T$145</definedName>
    <definedName name="OSRRefT22_20x_0" localSheetId="75">'491'!$T$117:$T$118</definedName>
    <definedName name="OSRRefT22_20x_0" localSheetId="39">'Div 2'!$T$97:$T$98</definedName>
    <definedName name="OSRRefT22_20x_0" localSheetId="47">'Div 3'!$T$243:$T$248</definedName>
    <definedName name="OSRRefT22_20x_0" localSheetId="73">'Div 4'!$T$109:$T$110</definedName>
    <definedName name="OSRRefT22_20x_0" localSheetId="2">Summary!$T$277:$T$282</definedName>
    <definedName name="OSRRefT22_21x_0" localSheetId="48">'300'!$T$250:$T$251</definedName>
    <definedName name="OSRRefT22_21x_0" localSheetId="49">'300 &amp; 317'!$T$275:$T$276</definedName>
    <definedName name="OSRRefT22_21x_0" localSheetId="50">'301'!$T$96:$T$98</definedName>
    <definedName name="OSRRefT22_21x_0" localSheetId="66">'310'!$T$110</definedName>
    <definedName name="OSRRefT22_21x_0" localSheetId="74">'310 &amp; 491'!$T$117:$T$126</definedName>
    <definedName name="OSRRefT22_21x_0" localSheetId="58">'331'!$T$147:$T$148</definedName>
    <definedName name="OSRRefT22_21x_0" localSheetId="75">'491'!$T$120</definedName>
    <definedName name="OSRRefT22_21x_0" localSheetId="47">'Div 3'!$T$250:$T$251</definedName>
    <definedName name="OSRRefT22_21x_0" localSheetId="73">'Div 4'!$T$112:$T$121</definedName>
    <definedName name="OSRRefT22_21x_0" localSheetId="2">Summary!$T$284:$T$285</definedName>
    <definedName name="OSRRefT22_22x_0" localSheetId="48">'300'!$T$253</definedName>
    <definedName name="OSRRefT22_22x_0" localSheetId="49">'300 &amp; 317'!$T$278</definedName>
    <definedName name="OSRRefT22_22x_0" localSheetId="50">'301'!$T$100</definedName>
    <definedName name="OSRRefT22_22x_0" localSheetId="66">'310'!$T$112</definedName>
    <definedName name="OSRRefT22_22x_0" localSheetId="74">'310 &amp; 491'!$T$128:$T$129</definedName>
    <definedName name="OSRRefT22_22x_0" localSheetId="58">'331'!$T$150</definedName>
    <definedName name="OSRRefT22_22x_0" localSheetId="75">'491'!$T$122:$T$124</definedName>
    <definedName name="OSRRefT22_22x_0" localSheetId="47">'Div 3'!$T$253:$T$261</definedName>
    <definedName name="OSRRefT22_22x_0" localSheetId="73">'Div 4'!$T$123:$T$124</definedName>
    <definedName name="OSRRefT22_22x_0" localSheetId="2">Summary!$T$287:$T$296</definedName>
    <definedName name="OSRRefT22_23x_0" localSheetId="48">'300'!$T$255:$T$257</definedName>
    <definedName name="OSRRefT22_23x_0" localSheetId="49">'300 &amp; 317'!$T$280:$T$282</definedName>
    <definedName name="OSRRefT22_23x_0" localSheetId="66">'310'!$T$114</definedName>
    <definedName name="OSRRefT22_23x_0" localSheetId="74">'310 &amp; 491'!$T$131</definedName>
    <definedName name="OSRRefT22_23x_0" localSheetId="75">'491'!$T$126</definedName>
    <definedName name="OSRRefT22_23x_0" localSheetId="47">'Div 3'!$T$263:$T$264</definedName>
    <definedName name="OSRRefT22_23x_0" localSheetId="73">'Div 4'!$T$126</definedName>
    <definedName name="OSRRefT22_23x_0" localSheetId="2">Summary!$T$298:$T$299</definedName>
    <definedName name="OSRRefT22_24x_0" localSheetId="48">'300'!$T$259</definedName>
    <definedName name="OSRRefT22_24x_0" localSheetId="49">'300 &amp; 317'!$T$284</definedName>
    <definedName name="OSRRefT22_24x_0" localSheetId="74">'310 &amp; 491'!$T$133:$T$135</definedName>
    <definedName name="OSRRefT22_24x_0" localSheetId="47">'Div 3'!$T$266</definedName>
    <definedName name="OSRRefT22_24x_0" localSheetId="73">'Div 4'!$T$128:$T$130</definedName>
    <definedName name="OSRRefT22_24x_0" localSheetId="2">Summary!$T$301</definedName>
    <definedName name="OSRRefT22_25x_0" localSheetId="74">'310 &amp; 491'!$T$137</definedName>
    <definedName name="OSRRefT22_25x_0" localSheetId="47">'Div 3'!$T$268:$T$270</definedName>
    <definedName name="OSRRefT22_25x_0" localSheetId="73">'Div 4'!$T$132</definedName>
    <definedName name="OSRRefT22_25x_0" localSheetId="2">Summary!$T$303:$T$305</definedName>
    <definedName name="OSRRefT22_26x_0" localSheetId="47">'Div 3'!$T$272</definedName>
    <definedName name="OSRRefT22_26x_0" localSheetId="2">Summary!$T$307</definedName>
    <definedName name="OSRRefT22_2x_0" localSheetId="40">'200'!$T$24</definedName>
    <definedName name="OSRRefT22_2x_0" localSheetId="41">'201'!$T$41</definedName>
    <definedName name="OSRRefT22_2x_0" localSheetId="42">'202'!$T$41</definedName>
    <definedName name="OSRRefT22_2x_0" localSheetId="43">'203'!$T$42</definedName>
    <definedName name="OSRRefT22_2x_0" localSheetId="44">'204'!$T$43</definedName>
    <definedName name="OSRRefT22_2x_0" localSheetId="45">'205'!$T$41</definedName>
    <definedName name="OSRRefT22_2x_0" localSheetId="46">'206'!$T$41</definedName>
    <definedName name="OSRRefT22_2x_0" localSheetId="48">'300'!$T$189</definedName>
    <definedName name="OSRRefT22_2x_0" localSheetId="49">'300 &amp; 317'!$T$214</definedName>
    <definedName name="OSRRefT22_2x_0" localSheetId="50">'301'!$T$41</definedName>
    <definedName name="OSRRefT22_2x_0" localSheetId="51">'306'!$T$41</definedName>
    <definedName name="OSRRefT22_2x_0" localSheetId="53">'307'!$T$100</definedName>
    <definedName name="OSRRefT22_2x_0" localSheetId="55">'308'!$T$87</definedName>
    <definedName name="OSRRefT22_2x_0" localSheetId="67">'309'!$T$47</definedName>
    <definedName name="OSRRefT22_2x_0" localSheetId="66">'310'!$T$55</definedName>
    <definedName name="OSRRefT22_2x_0" localSheetId="74">'310 &amp; 491'!$T$63</definedName>
    <definedName name="OSRRefT22_2x_0" localSheetId="56">'311'!$T$87</definedName>
    <definedName name="OSRRefT22_2x_0" localSheetId="68">'313'!$T$51</definedName>
    <definedName name="OSRRefT22_2x_0" localSheetId="54">'314'!$T$79</definedName>
    <definedName name="OSRRefT22_2x_0" localSheetId="59">'315'!$T$79</definedName>
    <definedName name="OSRRefT22_2x_0" localSheetId="62">'316'!$T$57</definedName>
    <definedName name="OSRRefT22_2x_0" localSheetId="65">'317'!$T$82</definedName>
    <definedName name="OSRRefT22_2x_0" localSheetId="63">'320'!$T$51</definedName>
    <definedName name="OSRRefT22_2x_0" localSheetId="69">'321'!$T$46</definedName>
    <definedName name="OSRRefT22_2x_0" localSheetId="70">'322'!$T$47</definedName>
    <definedName name="OSRRefT22_2x_0" localSheetId="71">'325'!$T$47</definedName>
    <definedName name="OSRRefT22_2x_0" localSheetId="60">'326'!$T$79</definedName>
    <definedName name="OSRRefT22_2x_0" localSheetId="72">'327'!$T$28</definedName>
    <definedName name="OSRRefT22_2x_0" localSheetId="52">'330'!$T$107</definedName>
    <definedName name="OSRRefT22_2x_0" localSheetId="58">'331'!$T$94</definedName>
    <definedName name="OSRRefT22_2x_0" localSheetId="61">'332'!$T$66</definedName>
    <definedName name="OSRRefT22_2x_0" localSheetId="76">'405'!$T$47</definedName>
    <definedName name="OSRRefT22_2x_0" localSheetId="77">'406'!$T$48</definedName>
    <definedName name="OSRRefT22_2x_0" localSheetId="78">'411'!$T$42</definedName>
    <definedName name="OSRRefT22_2x_0" localSheetId="79">'412'!$T$48</definedName>
    <definedName name="OSRRefT22_2x_0" localSheetId="81">'413'!$T$48</definedName>
    <definedName name="OSRRefT22_2x_0" localSheetId="82">'414'!$T$48</definedName>
    <definedName name="OSRRefT22_2x_0" localSheetId="83">'415'!$T$47</definedName>
    <definedName name="OSRRefT22_2x_0" localSheetId="84">'418'!$T$48</definedName>
    <definedName name="OSRRefT22_2x_0" localSheetId="80">'420'!$T$38</definedName>
    <definedName name="OSRRefT22_2x_0" localSheetId="85">'423'!$T$42</definedName>
    <definedName name="OSRRefT22_2x_0" localSheetId="86">'424'!$T$47</definedName>
    <definedName name="OSRRefT22_2x_0" localSheetId="87">'425'!$T$51</definedName>
    <definedName name="OSRRefT22_2x_0" localSheetId="90">'430'!$T$41</definedName>
    <definedName name="OSRRefT22_2x_0" localSheetId="91">'433'!$T$49</definedName>
    <definedName name="OSRRefT22_2x_0" localSheetId="92">'435'!$T$47</definedName>
    <definedName name="OSRRefT22_2x_0" localSheetId="93">'444'!$T$49</definedName>
    <definedName name="OSRRefT22_2x_0" localSheetId="94">'450'!$T$49</definedName>
    <definedName name="OSRRefT22_2x_0" localSheetId="75">'491'!$T$57</definedName>
    <definedName name="OSRRefT22_2x_0" localSheetId="89">'492'!$T$51</definedName>
    <definedName name="OSRRefT22_2x_0" localSheetId="96">'501'!$T$42</definedName>
    <definedName name="OSRRefT22_2x_0" localSheetId="39">'Div 2'!$T$44</definedName>
    <definedName name="OSRRefT22_2x_0" localSheetId="47">'Div 3'!$T$194</definedName>
    <definedName name="OSRRefT22_2x_0" localSheetId="73">'Div 4'!$T$57</definedName>
    <definedName name="OSRRefT22_2x_0" localSheetId="95">'Div 5'!$T$42</definedName>
    <definedName name="OSRRefT22_2x_0" localSheetId="64">'Div 6'!$T$82</definedName>
    <definedName name="OSRRefT22_2x_0" localSheetId="2">Summary!$T$226</definedName>
    <definedName name="OSRRefT22_3x_0" localSheetId="40">'200'!$T$26</definedName>
    <definedName name="OSRRefT22_3x_0" localSheetId="41">'201'!$T$43</definedName>
    <definedName name="OSRRefT22_3x_0" localSheetId="42">'202'!$T$43</definedName>
    <definedName name="OSRRefT22_3x_0" localSheetId="43">'203'!$T$44</definedName>
    <definedName name="OSRRefT22_3x_0" localSheetId="44">'204'!$T$45:$T$46</definedName>
    <definedName name="OSRRefT22_3x_0" localSheetId="45">'205'!$T$43</definedName>
    <definedName name="OSRRefT22_3x_0" localSheetId="46">'206'!$T$43</definedName>
    <definedName name="OSRRefT22_3x_0" localSheetId="48">'300'!$T$191:$T$192</definedName>
    <definedName name="OSRRefT22_3x_0" localSheetId="49">'300 &amp; 317'!$T$216:$T$217</definedName>
    <definedName name="OSRRefT22_3x_0" localSheetId="50">'301'!$T$43:$T$44</definedName>
    <definedName name="OSRRefT22_3x_0" localSheetId="51">'306'!$T$43</definedName>
    <definedName name="OSRRefT22_3x_0" localSheetId="53">'307'!$T$102</definedName>
    <definedName name="OSRRefT22_3x_0" localSheetId="55">'308'!$T$89:$T$90</definedName>
    <definedName name="OSRRefT22_3x_0" localSheetId="67">'309'!$T$49</definedName>
    <definedName name="OSRRefT22_3x_0" localSheetId="66">'310'!$T$57</definedName>
    <definedName name="OSRRefT22_3x_0" localSheetId="74">'310 &amp; 491'!$T$65</definedName>
    <definedName name="OSRRefT22_3x_0" localSheetId="56">'311'!$T$89:$T$90</definedName>
    <definedName name="OSRRefT22_3x_0" localSheetId="68">'313'!$T$53</definedName>
    <definedName name="OSRRefT22_3x_0" localSheetId="54">'314'!$T$81:$T$82</definedName>
    <definedName name="OSRRefT22_3x_0" localSheetId="59">'315'!$T$81:$T$82</definedName>
    <definedName name="OSRRefT22_3x_0" localSheetId="62">'316'!$T$59</definedName>
    <definedName name="OSRRefT22_3x_0" localSheetId="65">'317'!$T$84</definedName>
    <definedName name="OSRRefT22_3x_0" localSheetId="63">'320'!$T$53</definedName>
    <definedName name="OSRRefT22_3x_0" localSheetId="69">'321'!$T$48</definedName>
    <definedName name="OSRRefT22_3x_0" localSheetId="70">'322'!$T$49</definedName>
    <definedName name="OSRRefT22_3x_0" localSheetId="71">'325'!$T$49</definedName>
    <definedName name="OSRRefT22_3x_0" localSheetId="60">'326'!$T$81:$T$82</definedName>
    <definedName name="OSRRefT22_3x_0" localSheetId="52">'330'!$T$109</definedName>
    <definedName name="OSRRefT22_3x_0" localSheetId="58">'331'!$T$96:$T$97</definedName>
    <definedName name="OSRRefT22_3x_0" localSheetId="61">'332'!$T$68</definedName>
    <definedName name="OSRRefT22_3x_0" localSheetId="76">'405'!$T$49</definedName>
    <definedName name="OSRRefT22_3x_0" localSheetId="77">'406'!$T$50</definedName>
    <definedName name="OSRRefT22_3x_0" localSheetId="78">'411'!$T$44:$T$47</definedName>
    <definedName name="OSRRefT22_3x_0" localSheetId="79">'412'!$T$50</definedName>
    <definedName name="OSRRefT22_3x_0" localSheetId="81">'413'!$T$50</definedName>
    <definedName name="OSRRefT22_3x_0" localSheetId="82">'414'!$T$50</definedName>
    <definedName name="OSRRefT22_3x_0" localSheetId="83">'415'!$T$49</definedName>
    <definedName name="OSRRefT22_3x_0" localSheetId="84">'418'!$T$50</definedName>
    <definedName name="OSRRefT22_3x_0" localSheetId="80">'420'!$T$40</definedName>
    <definedName name="OSRRefT22_3x_0" localSheetId="85">'423'!$T$44</definedName>
    <definedName name="OSRRefT22_3x_0" localSheetId="86">'424'!$T$49</definedName>
    <definedName name="OSRRefT22_3x_0" localSheetId="87">'425'!$T$53</definedName>
    <definedName name="OSRRefT22_3x_0" localSheetId="90">'430'!$T$43</definedName>
    <definedName name="OSRRefT22_3x_0" localSheetId="91">'433'!$T$51</definedName>
    <definedName name="OSRRefT22_3x_0" localSheetId="92">'435'!$T$49</definedName>
    <definedName name="OSRRefT22_3x_0" localSheetId="93">'444'!$T$51</definedName>
    <definedName name="OSRRefT22_3x_0" localSheetId="94">'450'!$T$51:$T$52</definedName>
    <definedName name="OSRRefT22_3x_0" localSheetId="75">'491'!$T$59</definedName>
    <definedName name="OSRRefT22_3x_0" localSheetId="89">'492'!$T$53:$T$54</definedName>
    <definedName name="OSRRefT22_3x_0" localSheetId="96">'501'!$T$44</definedName>
    <definedName name="OSRRefT22_3x_0" localSheetId="39">'Div 2'!$T$46</definedName>
    <definedName name="OSRRefT22_3x_0" localSheetId="47">'Div 3'!$T$196:$T$197</definedName>
    <definedName name="OSRRefT22_3x_0" localSheetId="73">'Div 4'!$T$59:$T$60</definedName>
    <definedName name="OSRRefT22_3x_0" localSheetId="95">'Div 5'!$T$44</definedName>
    <definedName name="OSRRefT22_3x_0" localSheetId="64">'Div 6'!$T$84</definedName>
    <definedName name="OSRRefT22_3x_0" localSheetId="2">Summary!$T$228:$T$229</definedName>
    <definedName name="OSRRefT22_4x_0" localSheetId="40">'200'!$T$28:$T$29</definedName>
    <definedName name="OSRRefT22_4x_0" localSheetId="41">'201'!$T$45:$T$46</definedName>
    <definedName name="OSRRefT22_4x_0" localSheetId="42">'202'!$T$45</definedName>
    <definedName name="OSRRefT22_4x_0" localSheetId="43">'203'!$T$46</definedName>
    <definedName name="OSRRefT22_4x_0" localSheetId="44">'204'!$T$48</definedName>
    <definedName name="OSRRefT22_4x_0" localSheetId="45">'205'!$T$45</definedName>
    <definedName name="OSRRefT22_4x_0" localSheetId="46">'206'!$T$45</definedName>
    <definedName name="OSRRefT22_4x_0" localSheetId="48">'300'!$T$194</definedName>
    <definedName name="OSRRefT22_4x_0" localSheetId="49">'300 &amp; 317'!$T$219</definedName>
    <definedName name="OSRRefT22_4x_0" localSheetId="50">'301'!$T$46</definedName>
    <definedName name="OSRRefT22_4x_0" localSheetId="51">'306'!$T$45</definedName>
    <definedName name="OSRRefT22_4x_0" localSheetId="53">'307'!$T$104:$T$105</definedName>
    <definedName name="OSRRefT22_4x_0" localSheetId="55">'308'!$T$92</definedName>
    <definedName name="OSRRefT22_4x_0" localSheetId="67">'309'!$T$51</definedName>
    <definedName name="OSRRefT22_4x_0" localSheetId="66">'310'!$T$59</definedName>
    <definedName name="OSRRefT22_4x_0" localSheetId="74">'310 &amp; 491'!$T$67</definedName>
    <definedName name="OSRRefT22_4x_0" localSheetId="56">'311'!$T$92</definedName>
    <definedName name="OSRRefT22_4x_0" localSheetId="68">'313'!$T$55</definedName>
    <definedName name="OSRRefT22_4x_0" localSheetId="54">'314'!$T$84</definedName>
    <definedName name="OSRRefT22_4x_0" localSheetId="59">'315'!$T$84</definedName>
    <definedName name="OSRRefT22_4x_0" localSheetId="62">'316'!$T$61</definedName>
    <definedName name="OSRRefT22_4x_0" localSheetId="65">'317'!$T$86</definedName>
    <definedName name="OSRRefT22_4x_0" localSheetId="63">'320'!$T$55:$T$56</definedName>
    <definedName name="OSRRefT22_4x_0" localSheetId="69">'321'!$T$50</definedName>
    <definedName name="OSRRefT22_4x_0" localSheetId="70">'322'!$T$51</definedName>
    <definedName name="OSRRefT22_4x_0" localSheetId="71">'325'!$T$51</definedName>
    <definedName name="OSRRefT22_4x_0" localSheetId="60">'326'!$T$84</definedName>
    <definedName name="OSRRefT22_4x_0" localSheetId="52">'330'!$T$111:$T$112</definedName>
    <definedName name="OSRRefT22_4x_0" localSheetId="58">'331'!$T$99</definedName>
    <definedName name="OSRRefT22_4x_0" localSheetId="61">'332'!$T$70</definedName>
    <definedName name="OSRRefT22_4x_0" localSheetId="76">'405'!$T$51</definedName>
    <definedName name="OSRRefT22_4x_0" localSheetId="77">'406'!$T$52</definedName>
    <definedName name="OSRRefT22_4x_0" localSheetId="78">'411'!$T$49</definedName>
    <definedName name="OSRRefT22_4x_0" localSheetId="79">'412'!$T$52</definedName>
    <definedName name="OSRRefT22_4x_0" localSheetId="81">'413'!$T$52</definedName>
    <definedName name="OSRRefT22_4x_0" localSheetId="82">'414'!$T$52</definedName>
    <definedName name="OSRRefT22_4x_0" localSheetId="83">'415'!$T$51</definedName>
    <definedName name="OSRRefT22_4x_0" localSheetId="84">'418'!$T$52</definedName>
    <definedName name="OSRRefT22_4x_0" localSheetId="80">'420'!$T$42</definedName>
    <definedName name="OSRRefT22_4x_0" localSheetId="85">'423'!$T$46</definedName>
    <definedName name="OSRRefT22_4x_0" localSheetId="86">'424'!$T$51</definedName>
    <definedName name="OSRRefT22_4x_0" localSheetId="87">'425'!$T$55</definedName>
    <definedName name="OSRRefT22_4x_0" localSheetId="90">'430'!$T$45</definedName>
    <definedName name="OSRRefT22_4x_0" localSheetId="91">'433'!$T$53</definedName>
    <definedName name="OSRRefT22_4x_0" localSheetId="92">'435'!$T$51</definedName>
    <definedName name="OSRRefT22_4x_0" localSheetId="93">'444'!$T$53</definedName>
    <definedName name="OSRRefT22_4x_0" localSheetId="94">'450'!$T$54</definedName>
    <definedName name="OSRRefT22_4x_0" localSheetId="75">'491'!$T$61</definedName>
    <definedName name="OSRRefT22_4x_0" localSheetId="89">'492'!$T$56</definedName>
    <definedName name="OSRRefT22_4x_0" localSheetId="96">'501'!$T$46</definedName>
    <definedName name="OSRRefT22_4x_0" localSheetId="39">'Div 2'!$T$48</definedName>
    <definedName name="OSRRefT22_4x_0" localSheetId="47">'Div 3'!$T$199</definedName>
    <definedName name="OSRRefT22_4x_0" localSheetId="73">'Div 4'!$T$62</definedName>
    <definedName name="OSRRefT22_4x_0" localSheetId="95">'Div 5'!$T$46</definedName>
    <definedName name="OSRRefT22_4x_0" localSheetId="64">'Div 6'!$T$86</definedName>
    <definedName name="OSRRefT22_4x_0" localSheetId="2">Summary!$T$231</definedName>
    <definedName name="OSRRefT22_5x_0" localSheetId="41">'201'!$T$48</definedName>
    <definedName name="OSRRefT22_5x_0" localSheetId="42">'202'!$T$47</definedName>
    <definedName name="OSRRefT22_5x_0" localSheetId="43">'203'!$T$48</definedName>
    <definedName name="OSRRefT22_5x_0" localSheetId="44">'204'!$T$50</definedName>
    <definedName name="OSRRefT22_5x_0" localSheetId="45">'205'!$T$47:$T$48</definedName>
    <definedName name="OSRRefT22_5x_0" localSheetId="46">'206'!$T$47</definedName>
    <definedName name="OSRRefT22_5x_0" localSheetId="48">'300'!$T$196:$T$199</definedName>
    <definedName name="OSRRefT22_5x_0" localSheetId="49">'300 &amp; 317'!$T$221:$T$224</definedName>
    <definedName name="OSRRefT22_5x_0" localSheetId="50">'301'!$T$48:$T$51</definedName>
    <definedName name="OSRRefT22_5x_0" localSheetId="51">'306'!$T$47</definedName>
    <definedName name="OSRRefT22_5x_0" localSheetId="53">'307'!$T$107</definedName>
    <definedName name="OSRRefT22_5x_0" localSheetId="55">'308'!$T$94</definedName>
    <definedName name="OSRRefT22_5x_0" localSheetId="67">'309'!$T$53:$T$54</definedName>
    <definedName name="OSRRefT22_5x_0" localSheetId="66">'310'!$T$61:$T$63</definedName>
    <definedName name="OSRRefT22_5x_0" localSheetId="74">'310 &amp; 491'!$T$69:$T$72</definedName>
    <definedName name="OSRRefT22_5x_0" localSheetId="56">'311'!$T$94</definedName>
    <definedName name="OSRRefT22_5x_0" localSheetId="68">'313'!$T$57</definedName>
    <definedName name="OSRRefT22_5x_0" localSheetId="54">'314'!$T$86</definedName>
    <definedName name="OSRRefT22_5x_0" localSheetId="59">'315'!$T$86:$T$87</definedName>
    <definedName name="OSRRefT22_5x_0" localSheetId="62">'316'!$T$63</definedName>
    <definedName name="OSRRefT22_5x_0" localSheetId="65">'317'!$T$88</definedName>
    <definedName name="OSRRefT22_5x_0" localSheetId="63">'320'!$T$58</definedName>
    <definedName name="OSRRefT22_5x_0" localSheetId="69">'321'!$T$52</definedName>
    <definedName name="OSRRefT22_5x_0" localSheetId="70">'322'!$T$53:$T$54</definedName>
    <definedName name="OSRRefT22_5x_0" localSheetId="71">'325'!$T$53:$T$55</definedName>
    <definedName name="OSRRefT22_5x_0" localSheetId="60">'326'!$T$86</definedName>
    <definedName name="OSRRefT22_5x_0" localSheetId="52">'330'!$T$114</definedName>
    <definedName name="OSRRefT22_5x_0" localSheetId="58">'331'!$T$101:$T$102</definedName>
    <definedName name="OSRRefT22_5x_0" localSheetId="61">'332'!$T$72</definedName>
    <definedName name="OSRRefT22_5x_0" localSheetId="76">'405'!$T$53:$T$55</definedName>
    <definedName name="OSRRefT22_5x_0" localSheetId="77">'406'!$T$54:$T$55</definedName>
    <definedName name="OSRRefT22_5x_0" localSheetId="78">'411'!$T$51</definedName>
    <definedName name="OSRRefT22_5x_0" localSheetId="79">'412'!$T$54:$T$56</definedName>
    <definedName name="OSRRefT22_5x_0" localSheetId="81">'413'!$T$54</definedName>
    <definedName name="OSRRefT22_5x_0" localSheetId="82">'414'!$T$54:$T$55</definedName>
    <definedName name="OSRRefT22_5x_0" localSheetId="83">'415'!$T$53:$T$55</definedName>
    <definedName name="OSRRefT22_5x_0" localSheetId="84">'418'!$T$54:$T$56</definedName>
    <definedName name="OSRRefT22_5x_0" localSheetId="80">'420'!$T$44</definedName>
    <definedName name="OSRRefT22_5x_0" localSheetId="85">'423'!$T$48</definedName>
    <definedName name="OSRRefT22_5x_0" localSheetId="86">'424'!$T$53</definedName>
    <definedName name="OSRRefT22_5x_0" localSheetId="87">'425'!$T$57:$T$58</definedName>
    <definedName name="OSRRefT22_5x_0" localSheetId="90">'430'!$T$47</definedName>
    <definedName name="OSRRefT22_5x_0" localSheetId="91">'433'!$T$55</definedName>
    <definedName name="OSRRefT22_5x_0" localSheetId="92">'435'!$T$53</definedName>
    <definedName name="OSRRefT22_5x_0" localSheetId="93">'444'!$T$55</definedName>
    <definedName name="OSRRefT22_5x_0" localSheetId="94">'450'!$T$56</definedName>
    <definedName name="OSRRefT22_5x_0" localSheetId="75">'491'!$T$63:$T$66</definedName>
    <definedName name="OSRRefT22_5x_0" localSheetId="89">'492'!$T$58</definedName>
    <definedName name="OSRRefT22_5x_0" localSheetId="96">'501'!$T$48</definedName>
    <definedName name="OSRRefT22_5x_0" localSheetId="39">'Div 2'!$T$50:$T$51</definedName>
    <definedName name="OSRRefT22_5x_0" localSheetId="47">'Div 3'!$T$201:$T$204</definedName>
    <definedName name="OSRRefT22_5x_0" localSheetId="73">'Div 4'!$T$64:$T$67</definedName>
    <definedName name="OSRRefT22_5x_0" localSheetId="95">'Div 5'!$T$48</definedName>
    <definedName name="OSRRefT22_5x_0" localSheetId="64">'Div 6'!$T$88</definedName>
    <definedName name="OSRRefT22_5x_0" localSheetId="2">Summary!$T$233:$T$236</definedName>
    <definedName name="OSRRefT22_6x_0" localSheetId="41">'201'!$T$50</definedName>
    <definedName name="OSRRefT22_6x_0" localSheetId="42">'202'!$T$49</definedName>
    <definedName name="OSRRefT22_6x_0" localSheetId="43">'203'!$T$50</definedName>
    <definedName name="OSRRefT22_6x_0" localSheetId="44">'204'!$T$52</definedName>
    <definedName name="OSRRefT22_6x_0" localSheetId="45">'205'!$T$50</definedName>
    <definedName name="OSRRefT22_6x_0" localSheetId="46">'206'!$T$49</definedName>
    <definedName name="OSRRefT22_6x_0" localSheetId="48">'300'!$T$201:$T$202</definedName>
    <definedName name="OSRRefT22_6x_0" localSheetId="49">'300 &amp; 317'!$T$226:$T$227</definedName>
    <definedName name="OSRRefT22_6x_0" localSheetId="50">'301'!$T$53:$T$54</definedName>
    <definedName name="OSRRefT22_6x_0" localSheetId="51">'306'!$T$49</definedName>
    <definedName name="OSRRefT22_6x_0" localSheetId="53">'307'!$T$109</definedName>
    <definedName name="OSRRefT22_6x_0" localSheetId="55">'308'!$T$96:$T$97</definedName>
    <definedName name="OSRRefT22_6x_0" localSheetId="67">'309'!$T$56</definedName>
    <definedName name="OSRRefT22_6x_0" localSheetId="66">'310'!$T$65</definedName>
    <definedName name="OSRRefT22_6x_0" localSheetId="74">'310 &amp; 491'!$T$74</definedName>
    <definedName name="OSRRefT22_6x_0" localSheetId="56">'311'!$T$96:$T$97</definedName>
    <definedName name="OSRRefT22_6x_0" localSheetId="68">'313'!$T$59</definedName>
    <definedName name="OSRRefT22_6x_0" localSheetId="54">'314'!$T$88</definedName>
    <definedName name="OSRRefT22_6x_0" localSheetId="59">'315'!$T$89</definedName>
    <definedName name="OSRRefT22_6x_0" localSheetId="62">'316'!$T$65</definedName>
    <definedName name="OSRRefT22_6x_0" localSheetId="65">'317'!$T$90</definedName>
    <definedName name="OSRRefT22_6x_0" localSheetId="63">'320'!$T$60</definedName>
    <definedName name="OSRRefT22_6x_0" localSheetId="69">'321'!$T$54</definedName>
    <definedName name="OSRRefT22_6x_0" localSheetId="70">'322'!$T$56</definedName>
    <definedName name="OSRRefT22_6x_0" localSheetId="71">'325'!$T$57</definedName>
    <definedName name="OSRRefT22_6x_0" localSheetId="60">'326'!$T$88</definedName>
    <definedName name="OSRRefT22_6x_0" localSheetId="52">'330'!$T$116</definedName>
    <definedName name="OSRRefT22_6x_0" localSheetId="58">'331'!$T$104</definedName>
    <definedName name="OSRRefT22_6x_0" localSheetId="61">'332'!$T$74</definedName>
    <definedName name="OSRRefT22_6x_0" localSheetId="76">'405'!$T$57</definedName>
    <definedName name="OSRRefT22_6x_0" localSheetId="77">'406'!$T$57</definedName>
    <definedName name="OSRRefT22_6x_0" localSheetId="78">'411'!$T$53</definedName>
    <definedName name="OSRRefT22_6x_0" localSheetId="79">'412'!$T$58</definedName>
    <definedName name="OSRRefT22_6x_0" localSheetId="81">'413'!$T$56</definedName>
    <definedName name="OSRRefT22_6x_0" localSheetId="82">'414'!$T$57</definedName>
    <definedName name="OSRRefT22_6x_0" localSheetId="83">'415'!$T$57</definedName>
    <definedName name="OSRRefT22_6x_0" localSheetId="84">'418'!$T$58</definedName>
    <definedName name="OSRRefT22_6x_0" localSheetId="80">'420'!$T$46:$T$47</definedName>
    <definedName name="OSRRefT22_6x_0" localSheetId="85">'423'!$T$50</definedName>
    <definedName name="OSRRefT22_6x_0" localSheetId="86">'424'!$T$55</definedName>
    <definedName name="OSRRefT22_6x_0" localSheetId="87">'425'!$T$60</definedName>
    <definedName name="OSRRefT22_6x_0" localSheetId="90">'430'!$T$49</definedName>
    <definedName name="OSRRefT22_6x_0" localSheetId="91">'433'!$T$57</definedName>
    <definedName name="OSRRefT22_6x_0" localSheetId="92">'435'!$T$55</definedName>
    <definedName name="OSRRefT22_6x_0" localSheetId="93">'444'!$T$57</definedName>
    <definedName name="OSRRefT22_6x_0" localSheetId="94">'450'!$T$58</definedName>
    <definedName name="OSRRefT22_6x_0" localSheetId="75">'491'!$T$68</definedName>
    <definedName name="OSRRefT22_6x_0" localSheetId="89">'492'!$T$60:$T$61</definedName>
    <definedName name="OSRRefT22_6x_0" localSheetId="96">'501'!$T$50</definedName>
    <definedName name="OSRRefT22_6x_0" localSheetId="39">'Div 2'!$T$53:$T$54</definedName>
    <definedName name="OSRRefT22_6x_0" localSheetId="47">'Div 3'!$T$206:$T$207</definedName>
    <definedName name="OSRRefT22_6x_0" localSheetId="73">'Div 4'!$T$69</definedName>
    <definedName name="OSRRefT22_6x_0" localSheetId="95">'Div 5'!$T$50</definedName>
    <definedName name="OSRRefT22_6x_0" localSheetId="64">'Div 6'!$T$90</definedName>
    <definedName name="OSRRefT22_6x_0" localSheetId="2">Summary!$T$238:$T$239</definedName>
    <definedName name="OSRRefT22_7x_0" localSheetId="41">'201'!$T$52</definedName>
    <definedName name="OSRRefT22_7x_0" localSheetId="42">'202'!$T$51</definedName>
    <definedName name="OSRRefT22_7x_0" localSheetId="43">'203'!$T$52</definedName>
    <definedName name="OSRRefT22_7x_0" localSheetId="44">'204'!$T$54:$T$57</definedName>
    <definedName name="OSRRefT22_7x_0" localSheetId="45">'205'!$T$52:$T$53</definedName>
    <definedName name="OSRRefT22_7x_0" localSheetId="46">'206'!$T$51:$T$52</definedName>
    <definedName name="OSRRefT22_7x_0" localSheetId="48">'300'!$T$204:$T$205</definedName>
    <definedName name="OSRRefT22_7x_0" localSheetId="49">'300 &amp; 317'!$T$229:$T$230</definedName>
    <definedName name="OSRRefT22_7x_0" localSheetId="50">'301'!$T$56:$T$57</definedName>
    <definedName name="OSRRefT22_7x_0" localSheetId="51">'306'!$T$51:$T$52</definedName>
    <definedName name="OSRRefT22_7x_0" localSheetId="53">'307'!$T$111</definedName>
    <definedName name="OSRRefT22_7x_0" localSheetId="55">'308'!$T$99</definedName>
    <definedName name="OSRRefT22_7x_0" localSheetId="67">'309'!$T$58</definedName>
    <definedName name="OSRRefT22_7x_0" localSheetId="66">'310'!$T$67</definedName>
    <definedName name="OSRRefT22_7x_0" localSheetId="74">'310 &amp; 491'!$T$76</definedName>
    <definedName name="OSRRefT22_7x_0" localSheetId="56">'311'!$T$99</definedName>
    <definedName name="OSRRefT22_7x_0" localSheetId="68">'313'!$T$61</definedName>
    <definedName name="OSRRefT22_7x_0" localSheetId="54">'314'!$T$90</definedName>
    <definedName name="OSRRefT22_7x_0" localSheetId="59">'315'!$T$91</definedName>
    <definedName name="OSRRefT22_7x_0" localSheetId="62">'316'!$T$67</definedName>
    <definedName name="OSRRefT22_7x_0" localSheetId="65">'317'!$T$92</definedName>
    <definedName name="OSRRefT22_7x_0" localSheetId="63">'320'!$T$62:$T$63</definedName>
    <definedName name="OSRRefT22_7x_0" localSheetId="69">'321'!$T$56</definedName>
    <definedName name="OSRRefT22_7x_0" localSheetId="70">'322'!$T$58</definedName>
    <definedName name="OSRRefT22_7x_0" localSheetId="71">'325'!$T$59</definedName>
    <definedName name="OSRRefT22_7x_0" localSheetId="60">'326'!$T$90</definedName>
    <definedName name="OSRRefT22_7x_0" localSheetId="52">'330'!$T$118</definedName>
    <definedName name="OSRRefT22_7x_0" localSheetId="58">'331'!$T$106</definedName>
    <definedName name="OSRRefT22_7x_0" localSheetId="61">'332'!$T$76:$T$77</definedName>
    <definedName name="OSRRefT22_7x_0" localSheetId="76">'405'!$T$59</definedName>
    <definedName name="OSRRefT22_7x_0" localSheetId="77">'406'!$T$59</definedName>
    <definedName name="OSRRefT22_7x_0" localSheetId="78">'411'!$T$55</definedName>
    <definedName name="OSRRefT22_7x_0" localSheetId="79">'412'!$T$60</definedName>
    <definedName name="OSRRefT22_7x_0" localSheetId="81">'413'!$T$58</definedName>
    <definedName name="OSRRefT22_7x_0" localSheetId="82">'414'!$T$59</definedName>
    <definedName name="OSRRefT22_7x_0" localSheetId="83">'415'!$T$59</definedName>
    <definedName name="OSRRefT22_7x_0" localSheetId="84">'418'!$T$60</definedName>
    <definedName name="OSRRefT22_7x_0" localSheetId="80">'420'!$T$49</definedName>
    <definedName name="OSRRefT22_7x_0" localSheetId="86">'424'!$T$57</definedName>
    <definedName name="OSRRefT22_7x_0" localSheetId="87">'425'!$T$62</definedName>
    <definedName name="OSRRefT22_7x_0" localSheetId="90">'430'!$T$51:$T$53</definedName>
    <definedName name="OSRRefT22_7x_0" localSheetId="91">'433'!$T$59</definedName>
    <definedName name="OSRRefT22_7x_0" localSheetId="92">'435'!$T$57:$T$59</definedName>
    <definedName name="OSRRefT22_7x_0" localSheetId="93">'444'!$T$59</definedName>
    <definedName name="OSRRefT22_7x_0" localSheetId="94">'450'!$T$60</definedName>
    <definedName name="OSRRefT22_7x_0" localSheetId="75">'491'!$T$70</definedName>
    <definedName name="OSRRefT22_7x_0" localSheetId="89">'492'!$T$63</definedName>
    <definedName name="OSRRefT22_7x_0" localSheetId="96">'501'!$T$52</definedName>
    <definedName name="OSRRefT22_7x_0" localSheetId="39">'Div 2'!$T$56</definedName>
    <definedName name="OSRRefT22_7x_0" localSheetId="47">'Div 3'!$T$209:$T$210</definedName>
    <definedName name="OSRRefT22_7x_0" localSheetId="73">'Div 4'!$T$71:$T$72</definedName>
    <definedName name="OSRRefT22_7x_0" localSheetId="95">'Div 5'!$T$52</definedName>
    <definedName name="OSRRefT22_7x_0" localSheetId="64">'Div 6'!$T$92</definedName>
    <definedName name="OSRRefT22_7x_0" localSheetId="2">Summary!$T$241:$T$243</definedName>
    <definedName name="OSRRefT22_8x_0" localSheetId="41">'201'!$T$54</definedName>
    <definedName name="OSRRefT22_8x_0" localSheetId="42">'202'!$T$53</definedName>
    <definedName name="OSRRefT22_8x_0" localSheetId="43">'203'!$T$54</definedName>
    <definedName name="OSRRefT22_8x_0" localSheetId="44">'204'!$T$59</definedName>
    <definedName name="OSRRefT22_8x_0" localSheetId="45">'205'!$T$55</definedName>
    <definedName name="OSRRefT22_8x_0" localSheetId="46">'206'!$T$54</definedName>
    <definedName name="OSRRefT22_8x_0" localSheetId="48">'300'!$T$207</definedName>
    <definedName name="OSRRefT22_8x_0" localSheetId="49">'300 &amp; 317'!$T$232</definedName>
    <definedName name="OSRRefT22_8x_0" localSheetId="50">'301'!$T$59</definedName>
    <definedName name="OSRRefT22_8x_0" localSheetId="51">'306'!$T$54:$T$57</definedName>
    <definedName name="OSRRefT22_8x_0" localSheetId="53">'307'!$T$113:$T$114</definedName>
    <definedName name="OSRRefT22_8x_0" localSheetId="55">'308'!$T$101</definedName>
    <definedName name="OSRRefT22_8x_0" localSheetId="67">'309'!$T$60</definedName>
    <definedName name="OSRRefT22_8x_0" localSheetId="66">'310'!$T$69</definedName>
    <definedName name="OSRRefT22_8x_0" localSheetId="74">'310 &amp; 491'!$T$78</definedName>
    <definedName name="OSRRefT22_8x_0" localSheetId="56">'311'!$T$101</definedName>
    <definedName name="OSRRefT22_8x_0" localSheetId="68">'313'!$T$63</definedName>
    <definedName name="OSRRefT22_8x_0" localSheetId="54">'314'!$T$92</definedName>
    <definedName name="OSRRefT22_8x_0" localSheetId="59">'315'!$T$93</definedName>
    <definedName name="OSRRefT22_8x_0" localSheetId="62">'316'!$T$69</definedName>
    <definedName name="OSRRefT22_8x_0" localSheetId="65">'317'!$T$94</definedName>
    <definedName name="OSRRefT22_8x_0" localSheetId="63">'320'!$T$65</definedName>
    <definedName name="OSRRefT22_8x_0" localSheetId="69">'321'!$T$58</definedName>
    <definedName name="OSRRefT22_8x_0" localSheetId="70">'322'!$T$60</definedName>
    <definedName name="OSRRefT22_8x_0" localSheetId="71">'325'!$T$61</definedName>
    <definedName name="OSRRefT22_8x_0" localSheetId="60">'326'!$T$92</definedName>
    <definedName name="OSRRefT22_8x_0" localSheetId="52">'330'!$T$120</definedName>
    <definedName name="OSRRefT22_8x_0" localSheetId="58">'331'!$T$108:$T$109</definedName>
    <definedName name="OSRRefT22_8x_0" localSheetId="61">'332'!$T$79</definedName>
    <definedName name="OSRRefT22_8x_0" localSheetId="76">'405'!$T$61</definedName>
    <definedName name="OSRRefT22_8x_0" localSheetId="77">'406'!$T$61</definedName>
    <definedName name="OSRRefT22_8x_0" localSheetId="78">'411'!$T$57</definedName>
    <definedName name="OSRRefT22_8x_0" localSheetId="79">'412'!$T$62</definedName>
    <definedName name="OSRRefT22_8x_0" localSheetId="81">'413'!$T$60:$T$62</definedName>
    <definedName name="OSRRefT22_8x_0" localSheetId="82">'414'!$T$61</definedName>
    <definedName name="OSRRefT22_8x_0" localSheetId="83">'415'!$T$61</definedName>
    <definedName name="OSRRefT22_8x_0" localSheetId="84">'418'!$T$62</definedName>
    <definedName name="OSRRefT22_8x_0" localSheetId="86">'424'!$T$59:$T$60</definedName>
    <definedName name="OSRRefT22_8x_0" localSheetId="87">'425'!$T$64</definedName>
    <definedName name="OSRRefT22_8x_0" localSheetId="90">'430'!$T$55</definedName>
    <definedName name="OSRRefT22_8x_0" localSheetId="91">'433'!$T$61</definedName>
    <definedName name="OSRRefT22_8x_0" localSheetId="92">'435'!$T$61</definedName>
    <definedName name="OSRRefT22_8x_0" localSheetId="93">'444'!$T$61</definedName>
    <definedName name="OSRRefT22_8x_0" localSheetId="94">'450'!$T$62</definedName>
    <definedName name="OSRRefT22_8x_0" localSheetId="75">'491'!$T$72</definedName>
    <definedName name="OSRRefT22_8x_0" localSheetId="89">'492'!$T$65</definedName>
    <definedName name="OSRRefT22_8x_0" localSheetId="96">'501'!$T$54</definedName>
    <definedName name="OSRRefT22_8x_0" localSheetId="39">'Div 2'!$T$58</definedName>
    <definedName name="OSRRefT22_8x_0" localSheetId="47">'Div 3'!$T$212</definedName>
    <definedName name="OSRRefT22_8x_0" localSheetId="73">'Div 4'!$T$74</definedName>
    <definedName name="OSRRefT22_8x_0" localSheetId="95">'Div 5'!$T$54</definedName>
    <definedName name="OSRRefT22_8x_0" localSheetId="64">'Div 6'!$T$94</definedName>
    <definedName name="OSRRefT22_8x_0" localSheetId="2">Summary!$T$245</definedName>
    <definedName name="OSRRefT22_9x_0" localSheetId="41">'201'!$T$56</definedName>
    <definedName name="OSRRefT22_9x_0" localSheetId="42">'202'!$T$55:$T$57</definedName>
    <definedName name="OSRRefT22_9x_0" localSheetId="43">'203'!$T$56:$T$58</definedName>
    <definedName name="OSRRefT22_9x_0" localSheetId="44">'204'!$T$61:$T$62</definedName>
    <definedName name="OSRRefT22_9x_0" localSheetId="45">'205'!$T$57</definedName>
    <definedName name="OSRRefT22_9x_0" localSheetId="46">'206'!$T$56</definedName>
    <definedName name="OSRRefT22_9x_0" localSheetId="48">'300'!$T$209</definedName>
    <definedName name="OSRRefT22_9x_0" localSheetId="49">'300 &amp; 317'!$T$234</definedName>
    <definedName name="OSRRefT22_9x_0" localSheetId="50">'301'!$T$61</definedName>
    <definedName name="OSRRefT22_9x_0" localSheetId="51">'306'!$T$59</definedName>
    <definedName name="OSRRefT22_9x_0" localSheetId="53">'307'!$T$116:$T$117</definedName>
    <definedName name="OSRRefT22_9x_0" localSheetId="55">'308'!$T$103:$T$105</definedName>
    <definedName name="OSRRefT22_9x_0" localSheetId="67">'309'!$T$62:$T$63</definedName>
    <definedName name="OSRRefT22_9x_0" localSheetId="66">'310'!$T$71</definedName>
    <definedName name="OSRRefT22_9x_0" localSheetId="74">'310 &amp; 491'!$T$80</definedName>
    <definedName name="OSRRefT22_9x_0" localSheetId="56">'311'!$T$103:$T$105</definedName>
    <definedName name="OSRRefT22_9x_0" localSheetId="68">'313'!$T$65</definedName>
    <definedName name="OSRRefT22_9x_0" localSheetId="54">'314'!$T$94</definedName>
    <definedName name="OSRRefT22_9x_0" localSheetId="59">'315'!$T$95:$T$96</definedName>
    <definedName name="OSRRefT22_9x_0" localSheetId="62">'316'!$T$71:$T$72</definedName>
    <definedName name="OSRRefT22_9x_0" localSheetId="65">'317'!$T$96:$T$97</definedName>
    <definedName name="OSRRefT22_9x_0" localSheetId="69">'321'!$T$60:$T$62</definedName>
    <definedName name="OSRRefT22_9x_0" localSheetId="70">'322'!$T$62:$T$64</definedName>
    <definedName name="OSRRefT22_9x_0" localSheetId="71">'325'!$T$63</definedName>
    <definedName name="OSRRefT22_9x_0" localSheetId="60">'326'!$T$94</definedName>
    <definedName name="OSRRefT22_9x_0" localSheetId="52">'330'!$T$122:$T$123</definedName>
    <definedName name="OSRRefT22_9x_0" localSheetId="58">'331'!$T$111</definedName>
    <definedName name="OSRRefT22_9x_0" localSheetId="61">'332'!$T$81</definedName>
    <definedName name="OSRRefT22_9x_0" localSheetId="76">'405'!$T$63</definedName>
    <definedName name="OSRRefT22_9x_0" localSheetId="77">'406'!$T$63:$T$65</definedName>
    <definedName name="OSRRefT22_9x_0" localSheetId="78">'411'!$T$59</definedName>
    <definedName name="OSRRefT22_9x_0" localSheetId="79">'412'!$T$64:$T$65</definedName>
    <definedName name="OSRRefT22_9x_0" localSheetId="81">'413'!$T$64:$T$65</definedName>
    <definedName name="OSRRefT22_9x_0" localSheetId="82">'414'!$T$63:$T$64</definedName>
    <definedName name="OSRRefT22_9x_0" localSheetId="83">'415'!$T$63</definedName>
    <definedName name="OSRRefT22_9x_0" localSheetId="84">'418'!$T$64</definedName>
    <definedName name="OSRRefT22_9x_0" localSheetId="86">'424'!$T$62:$T$64</definedName>
    <definedName name="OSRRefT22_9x_0" localSheetId="87">'425'!$T$66:$T$68</definedName>
    <definedName name="OSRRefT22_9x_0" localSheetId="90">'430'!$T$57</definedName>
    <definedName name="OSRRefT22_9x_0" localSheetId="91">'433'!$T$63</definedName>
    <definedName name="OSRRefT22_9x_0" localSheetId="93">'444'!$T$63</definedName>
    <definedName name="OSRRefT22_9x_0" localSheetId="94">'450'!$T$64</definedName>
    <definedName name="OSRRefT22_9x_0" localSheetId="75">'491'!$T$74</definedName>
    <definedName name="OSRRefT22_9x_0" localSheetId="89">'492'!$T$67</definedName>
    <definedName name="OSRRefT22_9x_0" localSheetId="96">'501'!$T$56</definedName>
    <definedName name="OSRRefT22_9x_0" localSheetId="39">'Div 2'!$T$60</definedName>
    <definedName name="OSRRefT22_9x_0" localSheetId="47">'Div 3'!$T$214</definedName>
    <definedName name="OSRRefT22_9x_0" localSheetId="73">'Div 4'!$T$76</definedName>
    <definedName name="OSRRefT22_9x_0" localSheetId="95">'Div 5'!$T$56</definedName>
    <definedName name="OSRRefT22_9x_0" localSheetId="64">'Div 6'!$T$96:$T$97</definedName>
    <definedName name="OSRRefT22_9x_0" localSheetId="2">Summary!$T$247</definedName>
    <definedName name="OSRRefT22x_0" localSheetId="40">'200'!$T$20,'200'!$T$22,'200'!$T$24,'200'!$T$26,'200'!$T$28:$T$29</definedName>
    <definedName name="OSRRefT22x_0" localSheetId="41">'201'!$T$20:$T$28,'201'!$T$30:$T$39,'201'!$T$41,'201'!$T$43,'201'!$T$45:$T$46,'201'!$T$48,'201'!$T$50,'201'!$T$52,'201'!$T$54,'201'!$T$56,'201'!$T$58:$T$60,'201'!$T$62:$T$64,'201'!$T$66,'201'!$T$68:$T$70,'201'!$T$72,'201'!$T$74,'201'!$T$76:$T$77</definedName>
    <definedName name="OSRRefT22x_0" localSheetId="42">'202'!$T$20:$T$28,'202'!$T$30:$T$39,'202'!$T$41,'202'!$T$43,'202'!$T$45,'202'!$T$47,'202'!$T$49,'202'!$T$51,'202'!$T$53,'202'!$T$55:$T$57,'202'!$T$59,'202'!$T$61:$T$63,'202'!$T$65,'202'!$T$67,'202'!$T$69:$T$70,'202'!$T$72,'202'!$T$74</definedName>
    <definedName name="OSRRefT22x_0" localSheetId="43">'203'!$T$20:$T$29,'203'!$T$31:$T$40,'203'!$T$42,'203'!$T$44,'203'!$T$46,'203'!$T$48,'203'!$T$50,'203'!$T$52,'203'!$T$54,'203'!$T$56:$T$58,'203'!$T$60:$T$61,'203'!$T$63,'203'!$T$65:$T$67,'203'!$T$69,'203'!$T$71,'203'!$T$73</definedName>
    <definedName name="OSRRefT22x_0" localSheetId="44">'204'!$T$21:$T$30,'204'!$T$32:$T$41,'204'!$T$43,'204'!$T$45:$T$46,'204'!$T$48,'204'!$T$50,'204'!$T$52,'204'!$T$54:$T$57,'204'!$T$59,'204'!$T$61:$T$62,'204'!$T$64:$T$65,'204'!$T$67,'204'!$T$69:$T$70</definedName>
    <definedName name="OSRRefT22x_0" localSheetId="45">'205'!$T$20:$T$28,'205'!$T$30:$T$39,'205'!$T$41,'205'!$T$43,'205'!$T$45,'205'!$T$47:$T$48,'205'!$T$50,'205'!$T$52:$T$53,'205'!$T$55,'205'!$T$57</definedName>
    <definedName name="OSRRefT22x_0" localSheetId="46">'206'!$T$20:$T$28,'206'!$T$30:$T$39,'206'!$T$41,'206'!$T$43,'206'!$T$45,'206'!$T$47,'206'!$T$49,'206'!$T$51:$T$52,'206'!$T$54,'206'!$T$56,'206'!$T$58</definedName>
    <definedName name="OSRRefT22x_0" localSheetId="48">'300'!$T$167:$T$176,'300'!$T$178:$T$187,'300'!$T$189,'300'!$T$191:$T$192,'300'!$T$194,'300'!$T$196:$T$199,'300'!$T$201:$T$202,'300'!$T$204:$T$205,'300'!$T$207,'300'!$T$209,'300'!$T$211:$T$212,'300'!$T$214,'300'!$T$216,'300'!$T$218,'300'!$T$220,'300'!$T$222,'300'!$T$224:$T$227,'300'!$T$229:$T$232,'300'!$T$234:$T$237,'300'!$T$239:$T$240,'300'!$T$242:$T$248,'300'!$T$250:$T$251,'300'!$T$253,'300'!$T$255:$T$257,'300'!$T$259</definedName>
    <definedName name="OSRRefT22x_0" localSheetId="49">'300 &amp; 317'!$T$192:$T$201,'300 &amp; 317'!$T$203:$T$212,'300 &amp; 317'!$T$214,'300 &amp; 317'!$T$216:$T$217,'300 &amp; 317'!$T$219,'300 &amp; 317'!$T$221:$T$224,'300 &amp; 317'!$T$226:$T$227,'300 &amp; 317'!$T$229:$T$230,'300 &amp; 317'!$T$232,'300 &amp; 317'!$T$234,'300 &amp; 317'!$T$236:$T$237,'300 &amp; 317'!$T$239,'300 &amp; 317'!$T$241,'300 &amp; 317'!$T$243,'300 &amp; 317'!$T$245,'300 &amp; 317'!$T$247,'300 &amp; 317'!$T$249:$T$252,'300 &amp; 317'!$T$254:$T$257,'300 &amp; 317'!$T$259:$T$262,'300 &amp; 317'!$T$264:$T$265,'300 &amp; 317'!$T$267:$T$273,'300 &amp; 317'!$T$275:$T$276,'300 &amp; 317'!$T$278,'300 &amp; 317'!$T$280:$T$282,'300 &amp; 317'!$T$284</definedName>
    <definedName name="OSRRefT22x_0" localSheetId="50">'301'!$T$20:$T$28,'301'!$T$30:$T$39,'301'!$T$41,'301'!$T$43:$T$44,'301'!$T$46,'301'!$T$48:$T$51,'301'!$T$53:$T$54,'301'!$T$56:$T$57,'301'!$T$59,'301'!$T$61,'301'!$T$63,'301'!$T$65,'301'!$T$67,'301'!$T$69,'301'!$T$71,'301'!$T$73:$T$76,'301'!$T$78:$T$80,'301'!$T$82:$T$83,'301'!$T$85:$T$90,'301'!$T$92,'301'!$T$94,'301'!$T$96:$T$98,'301'!$T$100</definedName>
    <definedName name="OSRRefT22x_0" localSheetId="51">'306'!$T$20:$T$28,'306'!$T$30:$T$39,'306'!$T$41,'306'!$T$43,'306'!$T$45,'306'!$T$47,'306'!$T$49,'306'!$T$51:$T$52,'306'!$T$54:$T$57,'306'!$T$59,'306'!$T$61</definedName>
    <definedName name="OSRRefT22x_0" localSheetId="53">'307'!$T$79:$T$87,'307'!$T$89:$T$98,'307'!$T$100,'307'!$T$102,'307'!$T$104:$T$105,'307'!$T$107,'307'!$T$109,'307'!$T$111,'307'!$T$113:$T$114,'307'!$T$116:$T$117,'307'!$T$119:$T$121,'307'!$T$123,'307'!$T$125</definedName>
    <definedName name="OSRRefT22x_0" localSheetId="55">'308'!$T$65:$T$74,'308'!$T$76:$T$85,'308'!$T$87,'308'!$T$89:$T$90,'308'!$T$92,'308'!$T$94,'308'!$T$96:$T$97,'308'!$T$99,'308'!$T$101,'308'!$T$103:$T$105,'308'!$T$107,'308'!$T$109:$T$111,'308'!$T$113:$T$114,'308'!$T$116,'308'!$T$118:$T$119</definedName>
    <definedName name="OSRRefT22x_0" localSheetId="67">'309'!$T$26:$T$34,'309'!$T$36:$T$45,'309'!$T$47,'309'!$T$49,'309'!$T$51,'309'!$T$53:$T$54,'309'!$T$56,'309'!$T$58,'309'!$T$60,'309'!$T$62:$T$63,'309'!$T$65:$T$67,'309'!$T$69:$T$71,'309'!$T$73,'309'!$T$75</definedName>
    <definedName name="OSRRefT22x_0" localSheetId="66">'310'!$T$34:$T$42,'310'!$T$44:$T$53,'310'!$T$55,'310'!$T$57,'310'!$T$59,'310'!$T$61:$T$63,'310'!$T$65,'310'!$T$67,'310'!$T$69,'310'!$T$71,'310'!$T$73,'310'!$T$75,'310'!$T$77,'310'!$T$79,'310'!$T$81,'310'!$T$83:$T$85,'310'!$T$87:$T$88,'310'!$T$90:$T$94,'310'!$T$96,'310'!$T$98:$T$106,'310'!$T$108,'310'!$T$110,'310'!$T$112,'310'!$T$114</definedName>
    <definedName name="OSRRefT22x_0" localSheetId="74">'310 &amp; 491'!$T$41:$T$50,'310 &amp; 491'!$T$52:$T$61,'310 &amp; 491'!$T$63,'310 &amp; 491'!$T$65,'310 &amp; 491'!$T$67,'310 &amp; 491'!$T$69:$T$72,'310 &amp; 491'!$T$74,'310 &amp; 491'!$T$76,'310 &amp; 491'!$T$78,'310 &amp; 491'!$T$80,'310 &amp; 491'!$T$82,'310 &amp; 491'!$T$84:$T$85,'310 &amp; 491'!$T$87,'310 &amp; 491'!$T$89,'310 &amp; 491'!$T$91,'310 &amp; 491'!$T$93,'310 &amp; 491'!$T$95,'310 &amp; 491'!$T$97:$T$100,'310 &amp; 491'!$T$102:$T$105,'310 &amp; 491'!$T$107:$T$112,'310 &amp; 491'!$T$114:$T$115,'310 &amp; 491'!$T$117:$T$126,'310 &amp; 491'!$T$128:$T$129,'310 &amp; 491'!$T$131,'310 &amp; 491'!$T$133:$T$135,'310 &amp; 491'!$T$137</definedName>
    <definedName name="OSRRefT22x_0" localSheetId="56">'311'!$T$65:$T$74,'311'!$T$76:$T$85,'311'!$T$87,'311'!$T$89:$T$90,'311'!$T$92,'311'!$T$94,'311'!$T$96:$T$97,'311'!$T$99,'311'!$T$101,'311'!$T$103:$T$105,'311'!$T$107,'311'!$T$109:$T$111,'311'!$T$113:$T$114,'311'!$T$116,'311'!$T$118:$T$119</definedName>
    <definedName name="OSRRefT22x_0" localSheetId="68">'313'!$T$30:$T$38,'313'!$T$40:$T$49,'313'!$T$51,'313'!$T$53,'313'!$T$55,'313'!$T$57,'313'!$T$59,'313'!$T$61,'313'!$T$63,'313'!$T$65,'313'!$T$67:$T$69,'313'!$T$71,'313'!$T$73:$T$78,'313'!$T$80,'313'!$T$82</definedName>
    <definedName name="OSRRefT22x_0" localSheetId="54">'314'!$T$58:$T$66,'314'!$T$68:$T$77,'314'!$T$79,'314'!$T$81:$T$82,'314'!$T$84,'314'!$T$86,'314'!$T$88,'314'!$T$90,'314'!$T$92,'314'!$T$94,'314'!$T$96</definedName>
    <definedName name="OSRRefT22x_0" localSheetId="59">'315'!$T$58:$T$66,'315'!$T$68:$T$77,'315'!$T$79,'315'!$T$81:$T$82,'315'!$T$84,'315'!$T$86:$T$87,'315'!$T$89,'315'!$T$91,'315'!$T$93,'315'!$T$95:$T$96,'315'!$T$98:$T$100,'315'!$T$102:$T$103,'315'!$T$105:$T$109,'315'!$T$111,'315'!$T$113,'315'!$T$115:$T$116</definedName>
    <definedName name="OSRRefT22x_0" localSheetId="62">'316'!$T$36:$T$44,'316'!$T$46:$T$55,'316'!$T$57,'316'!$T$59,'316'!$T$61,'316'!$T$63,'316'!$T$65,'316'!$T$67,'316'!$T$69,'316'!$T$71:$T$72,'316'!$T$74:$T$75,'316'!$T$77:$T$81,'316'!$T$83:$T$84,'316'!$T$86</definedName>
    <definedName name="OSRRefT22x_0" localSheetId="65">'317'!$T$60:$T$69,'317'!$T$71:$T$80,'317'!$T$82,'317'!$T$84,'317'!$T$86,'317'!$T$88,'317'!$T$90,'317'!$T$92,'317'!$T$94,'317'!$T$96:$T$97,'317'!$T$99:$T$100,'317'!$T$102,'317'!$T$104</definedName>
    <definedName name="OSRRefT22x_0" localSheetId="63">'320'!$T$31:$T$38,'320'!$T$40:$T$49,'320'!$T$51,'320'!$T$53,'320'!$T$55:$T$56,'320'!$T$58,'320'!$T$60,'320'!$T$62:$T$63,'320'!$T$65</definedName>
    <definedName name="OSRRefT22x_0" localSheetId="69">'321'!$T$26:$T$33,'321'!$T$35:$T$44,'321'!$T$46,'321'!$T$48,'321'!$T$50,'321'!$T$52,'321'!$T$54,'321'!$T$56,'321'!$T$58,'321'!$T$60:$T$62,'321'!$T$64:$T$65,'321'!$T$67:$T$69,'321'!$T$71:$T$74,'321'!$T$76,'321'!$T$78</definedName>
    <definedName name="OSRRefT22x_0" localSheetId="70">'322'!$T$26:$T$34,'322'!$T$36:$T$45,'322'!$T$47,'322'!$T$49,'322'!$T$51,'322'!$T$53:$T$54,'322'!$T$56,'322'!$T$58,'322'!$T$60,'322'!$T$62:$T$64,'322'!$T$66:$T$68,'322'!$T$70:$T$76,'322'!$T$78,'322'!$T$80</definedName>
    <definedName name="OSRRefT22x_0" localSheetId="71">'325'!$T$26:$T$34,'325'!$T$36:$T$45,'325'!$T$47,'325'!$T$49,'325'!$T$51,'325'!$T$53:$T$55,'325'!$T$57,'325'!$T$59,'325'!$T$61,'325'!$T$63,'325'!$T$65,'325'!$T$67:$T$69,'325'!$T$71:$T$74,'325'!$T$76,'325'!$T$78:$T$84,'325'!$T$86,'325'!$T$88,'325'!$T$90,'325'!$T$92</definedName>
    <definedName name="OSRRefT22x_0" localSheetId="60">'326'!$T$58:$T$66,'326'!$T$68:$T$77,'326'!$T$79,'326'!$T$81:$T$82,'326'!$T$84,'326'!$T$86,'326'!$T$88,'326'!$T$90,'326'!$T$92,'326'!$T$94,'326'!$T$96,'326'!$T$98,'326'!$T$100,'326'!$T$102:$T$103,'326'!$T$105:$T$107,'326'!$T$109:$T$110,'326'!$T$112:$T$117,'326'!$T$119:$T$120,'326'!$T$122,'326'!$T$124,'326'!$T$126</definedName>
    <definedName name="OSRRefT22x_0" localSheetId="72">'327'!$T$24,'327'!$T$26,'327'!$T$28</definedName>
    <definedName name="OSRRefT22x_0" localSheetId="52">'330'!$T$86:$T$94,'330'!$T$96:$T$105,'330'!$T$107,'330'!$T$109,'330'!$T$111:$T$112,'330'!$T$114,'330'!$T$116,'330'!$T$118,'330'!$T$120,'330'!$T$122:$T$123,'330'!$T$125:$T$126,'330'!$T$128,'330'!$T$130:$T$132,'330'!$T$134,'330'!$T$136,'330'!$T$138</definedName>
    <definedName name="OSRRefT22x_0" localSheetId="58">'331'!$T$73:$T$81,'331'!$T$83:$T$92,'331'!$T$94,'331'!$T$96:$T$97,'331'!$T$99,'331'!$T$101:$T$102,'331'!$T$104,'331'!$T$106,'331'!$T$108:$T$109,'331'!$T$111,'331'!$T$113,'331'!$T$115,'331'!$T$117,'331'!$T$119,'331'!$T$121:$T$122,'331'!$T$124:$T$126,'331'!$T$128:$T$130,'331'!$T$132:$T$133,'331'!$T$135:$T$140,'331'!$T$142:$T$143,'331'!$T$145,'331'!$T$147:$T$148,'331'!$T$150</definedName>
    <definedName name="OSRRefT22x_0" localSheetId="61">'332'!$T$45:$T$53,'332'!$T$55:$T$64,'332'!$T$66,'332'!$T$68,'332'!$T$70,'332'!$T$72,'332'!$T$74,'332'!$T$76:$T$77,'332'!$T$79,'332'!$T$81,'332'!$T$83:$T$84,'332'!$T$86:$T$87,'332'!$T$89:$T$93,'332'!$T$95:$T$96,'332'!$T$98</definedName>
    <definedName name="OSRRefT22x_0" localSheetId="76">'405'!$T$26:$T$34,'405'!$T$36:$T$45,'405'!$T$47,'405'!$T$49,'405'!$T$51,'405'!$T$53:$T$55,'405'!$T$57,'405'!$T$59,'405'!$T$61,'405'!$T$63,'405'!$T$65,'405'!$T$67:$T$69,'405'!$T$71,'405'!$T$73:$T$75,'405'!$T$77:$T$78,'405'!$T$80:$T$88,'405'!$T$90,'405'!$T$92,'405'!$T$94,'405'!$T$96</definedName>
    <definedName name="OSRRefT22x_0" localSheetId="77">'406'!$T$27:$T$35,'406'!$T$37:$T$46,'406'!$T$48,'406'!$T$50,'406'!$T$52,'406'!$T$54:$T$55,'406'!$T$57,'406'!$T$59,'406'!$T$61,'406'!$T$63:$T$65,'406'!$T$67:$T$69,'406'!$T$71:$T$76,'406'!$T$78:$T$79,'406'!$T$81,'406'!$T$83:$T$84</definedName>
    <definedName name="OSRRefT22x_0" localSheetId="78">'411'!$T$20:$T$29,'411'!$T$31:$T$40,'411'!$T$42,'411'!$T$44:$T$47,'411'!$T$49,'411'!$T$51,'411'!$T$53,'411'!$T$55,'411'!$T$57,'411'!$T$59,'411'!$T$61:$T$63,'411'!$T$65:$T$69,'411'!$T$71,'411'!$T$73:$T$80,'411'!$T$82,'411'!$T$84,'411'!$T$86:$T$88,'411'!$T$90</definedName>
    <definedName name="OSRRefT22x_0" localSheetId="79">'412'!$T$27:$T$35,'412'!$T$37:$T$46,'412'!$T$48,'412'!$T$50,'412'!$T$52,'412'!$T$54:$T$56,'412'!$T$58,'412'!$T$60,'412'!$T$62,'412'!$T$64:$T$65,'412'!$T$67,'412'!$T$69:$T$71,'412'!$T$73:$T$80,'412'!$T$82,'412'!$T$84,'412'!$T$86</definedName>
    <definedName name="OSRRefT22x_0" localSheetId="81">'413'!$T$27:$T$35,'413'!$T$37:$T$46,'413'!$T$48,'413'!$T$50,'413'!$T$52,'413'!$T$54,'413'!$T$56,'413'!$T$58,'413'!$T$60:$T$62,'413'!$T$64:$T$65,'413'!$T$67:$T$73,'413'!$T$75:$T$76,'413'!$T$78,'413'!$T$80</definedName>
    <definedName name="OSRRefT22x_0" localSheetId="82">'414'!$T$27:$T$35,'414'!$T$37:$T$46,'414'!$T$48,'414'!$T$50,'414'!$T$52,'414'!$T$54:$T$55,'414'!$T$57,'414'!$T$59,'414'!$T$61,'414'!$T$63:$T$64,'414'!$T$66,'414'!$T$68,'414'!$T$70,'414'!$T$72:$T$78,'414'!$T$80,'414'!$T$82</definedName>
    <definedName name="OSRRefT22x_0" localSheetId="83">'415'!$T$26:$T$34,'415'!$T$36:$T$45,'415'!$T$47,'415'!$T$49,'415'!$T$51,'415'!$T$53:$T$55,'415'!$T$57,'415'!$T$59,'415'!$T$61,'415'!$T$63,'415'!$T$65,'415'!$T$67:$T$70,'415'!$T$72:$T$76,'415'!$T$78:$T$79,'415'!$T$81:$T$89,'415'!$T$91,'415'!$T$93,'415'!$T$95:$T$96,'415'!$T$98</definedName>
    <definedName name="OSRRefT22x_0" localSheetId="84">'418'!$T$27:$T$35,'418'!$T$37:$T$46,'418'!$T$48,'418'!$T$50,'418'!$T$52,'418'!$T$54:$T$56,'418'!$T$58,'418'!$T$60,'418'!$T$62,'418'!$T$64,'418'!$T$66:$T$67,'418'!$T$69:$T$71,'418'!$T$73:$T$75,'418'!$T$77:$T$78,'418'!$T$80:$T$87,'418'!$T$89,'418'!$T$91,'418'!$T$93:$T$94</definedName>
    <definedName name="OSRRefT22x_0" localSheetId="80">'420'!$T$24:$T$31,'420'!$T$33:$T$36,'420'!$T$38,'420'!$T$40,'420'!$T$42,'420'!$T$44,'420'!$T$46:$T$47,'420'!$T$49</definedName>
    <definedName name="OSRRefT22x_0" localSheetId="85">'423'!$T$21:$T$29,'423'!$T$31:$T$40,'423'!$T$42,'423'!$T$44,'423'!$T$46,'423'!$T$48,'423'!$T$50</definedName>
    <definedName name="OSRRefT22x_0" localSheetId="86">'424'!$T$27:$T$34,'424'!$T$36:$T$45,'424'!$T$47,'424'!$T$49,'424'!$T$51,'424'!$T$53,'424'!$T$55,'424'!$T$57,'424'!$T$59:$T$60,'424'!$T$62:$T$64,'424'!$T$66,'424'!$T$68:$T$72,'424'!$T$74:$T$75</definedName>
    <definedName name="OSRRefT22x_0" localSheetId="87">'425'!$T$29:$T$38,'425'!$T$40:$T$49,'425'!$T$51,'425'!$T$53,'425'!$T$55,'425'!$T$57:$T$58,'425'!$T$60,'425'!$T$62,'425'!$T$64,'425'!$T$66:$T$68,'425'!$T$70:$T$71,'425'!$T$73:$T$75,'425'!$T$77,'425'!$T$79:$T$85,'425'!$T$87:$T$88,'425'!$T$90,'425'!$T$92</definedName>
    <definedName name="OSRRefT22x_0" localSheetId="90">'430'!$T$20:$T$28,'430'!$T$30:$T$39,'430'!$T$41,'430'!$T$43,'430'!$T$45,'430'!$T$47,'430'!$T$49,'430'!$T$51:$T$53,'430'!$T$55,'430'!$T$57,'430'!$T$59</definedName>
    <definedName name="OSRRefT22x_0" localSheetId="91">'433'!$T$27:$T$36,'433'!$T$38:$T$47,'433'!$T$49,'433'!$T$51,'433'!$T$53,'433'!$T$55,'433'!$T$57,'433'!$T$59,'433'!$T$61,'433'!$T$63,'433'!$T$65:$T$67,'433'!$T$69:$T$72,'433'!$T$74:$T$81,'433'!$T$83,'433'!$T$85,'433'!$T$87:$T$88</definedName>
    <definedName name="OSRRefT22x_0" localSheetId="92">'435'!$T$27:$T$34,'435'!$T$36:$T$45,'435'!$T$47,'435'!$T$49,'435'!$T$51,'435'!$T$53,'435'!$T$55,'435'!$T$57:$T$59,'435'!$T$61</definedName>
    <definedName name="OSRRefT22x_0" localSheetId="93">'444'!$T$27:$T$36,'444'!$T$38:$T$47,'444'!$T$49,'444'!$T$51,'444'!$T$53,'444'!$T$55,'444'!$T$57,'444'!$T$59,'444'!$T$61,'444'!$T$63,'444'!$T$65,'444'!$T$67:$T$69,'444'!$T$71:$T$74,'444'!$T$76:$T$83,'444'!$T$85,'444'!$T$87,'444'!$T$89</definedName>
    <definedName name="OSRRefT22x_0" localSheetId="94">'450'!$T$27:$T$36,'450'!$T$38:$T$47,'450'!$T$49,'450'!$T$51:$T$52,'450'!$T$54,'450'!$T$56,'450'!$T$58,'450'!$T$60,'450'!$T$62,'450'!$T$64,'450'!$T$66,'450'!$T$68,'450'!$T$70:$T$73,'450'!$T$75:$T$77,'450'!$T$79:$T$84,'450'!$T$86,'450'!$T$88,'450'!$T$90:$T$91</definedName>
    <definedName name="OSRRefT22x_0" localSheetId="88">'455'!$T$20:$T$27,'455'!$T$29:$T$38</definedName>
    <definedName name="OSRRefT22x_0" localSheetId="75">'491'!$T$35:$T$44,'491'!$T$46:$T$55,'491'!$T$57,'491'!$T$59,'491'!$T$61,'491'!$T$63:$T$66,'491'!$T$68,'491'!$T$70,'491'!$T$72,'491'!$T$74,'491'!$T$76:$T$77,'491'!$T$79,'491'!$T$81,'491'!$T$83,'491'!$T$85,'491'!$T$87:$T$90,'491'!$T$92:$T$95,'491'!$T$97:$T$101,'491'!$T$103:$T$104,'491'!$T$106:$T$115,'491'!$T$117:$T$118,'491'!$T$120,'491'!$T$122:$T$124,'491'!$T$126</definedName>
    <definedName name="OSRRefT22x_0" localSheetId="89">'492'!$T$29:$T$38,'492'!$T$40:$T$49,'492'!$T$51,'492'!$T$53:$T$54,'492'!$T$56,'492'!$T$58,'492'!$T$60:$T$61,'492'!$T$63,'492'!$T$65,'492'!$T$67,'492'!$T$69,'492'!$T$71,'492'!$T$73,'492'!$T$75:$T$78,'492'!$T$80:$T$83,'492'!$T$85:$T$93,'492'!$T$95,'492'!$T$97,'492'!$T$99:$T$100</definedName>
    <definedName name="OSRRefT22x_0" localSheetId="96">'501'!$T$21:$T$29,'501'!$T$31:$T$40,'501'!$T$42,'501'!$T$44,'501'!$T$46,'501'!$T$48,'501'!$T$50,'501'!$T$52,'501'!$T$54,'501'!$T$56,'501'!$T$58:$T$61,'501'!$T$63,'501'!$T$65:$T$67,'501'!$T$69,'501'!$T$71</definedName>
    <definedName name="OSRRefT22x_0" localSheetId="39">'Div 2'!$T$21:$T$31,'Div 2'!$T$33:$T$42,'Div 2'!$T$44,'Div 2'!$T$46,'Div 2'!$T$48,'Div 2'!$T$50:$T$51,'Div 2'!$T$53:$T$54,'Div 2'!$T$56,'Div 2'!$T$58,'Div 2'!$T$60,'Div 2'!$T$62,'Div 2'!$T$64,'Div 2'!$T$66:$T$68,'Div 2'!$T$70:$T$73,'Div 2'!$T$75:$T$78,'Div 2'!$T$80:$T$81,'Div 2'!$T$83:$T$84,'Div 2'!$T$86:$T$90,'Div 2'!$T$92:$T$93,'Div 2'!$T$95,'Div 2'!$T$97:$T$98</definedName>
    <definedName name="OSRRefT22x_0" localSheetId="47">'Div 3'!$T$172:$T$181,'Div 3'!$T$183:$T$192,'Div 3'!$T$194,'Div 3'!$T$196:$T$197,'Div 3'!$T$199,'Div 3'!$T$201:$T$204,'Div 3'!$T$206:$T$207,'Div 3'!$T$209:$T$210,'Div 3'!$T$212,'Div 3'!$T$214,'Div 3'!$T$216:$T$217,'Div 3'!$T$219,'Div 3'!$T$221,'Div 3'!$T$223,'Div 3'!$T$225,'Div 3'!$T$227,'Div 3'!$T$229,'Div 3'!$T$231,'Div 3'!$T$233:$T$236,'Div 3'!$T$238:$T$241,'Div 3'!$T$243:$T$248,'Div 3'!$T$250:$T$251,'Div 3'!$T$253:$T$261,'Div 3'!$T$263:$T$264,'Div 3'!$T$266,'Div 3'!$T$268:$T$270,'Div 3'!$T$272</definedName>
    <definedName name="OSRRefT22x_0" localSheetId="73">'Div 4'!$T$35:$T$44,'Div 4'!$T$46:$T$55,'Div 4'!$T$57,'Div 4'!$T$59:$T$60,'Div 4'!$T$62,'Div 4'!$T$64:$T$67,'Div 4'!$T$69,'Div 4'!$T$71:$T$72,'Div 4'!$T$74,'Div 4'!$T$76,'Div 4'!$T$78,'Div 4'!$T$80:$T$81,'Div 4'!$T$83,'Div 4'!$T$85,'Div 4'!$T$87,'Div 4'!$T$89,'Div 4'!$T$91,'Div 4'!$T$93:$T$96,'Div 4'!$T$98:$T$101,'Div 4'!$T$103:$T$107,'Div 4'!$T$109:$T$110,'Div 4'!$T$112:$T$121,'Div 4'!$T$123:$T$124,'Div 4'!$T$126,'Div 4'!$T$128:$T$130,'Div 4'!$T$132</definedName>
    <definedName name="OSRRefT22x_0" localSheetId="95">'Div 5'!$T$21:$T$29,'Div 5'!$T$31:$T$40,'Div 5'!$T$42,'Div 5'!$T$44,'Div 5'!$T$46,'Div 5'!$T$48,'Div 5'!$T$50,'Div 5'!$T$52,'Div 5'!$T$54,'Div 5'!$T$56,'Div 5'!$T$58:$T$61,'Div 5'!$T$63,'Div 5'!$T$65:$T$67,'Div 5'!$T$69,'Div 5'!$T$71</definedName>
    <definedName name="OSRRefT22x_0" localSheetId="64">'Div 6'!$T$60:$T$69,'Div 6'!$T$71:$T$80,'Div 6'!$T$82,'Div 6'!$T$84,'Div 6'!$T$86,'Div 6'!$T$88,'Div 6'!$T$90,'Div 6'!$T$92,'Div 6'!$T$94,'Div 6'!$T$96:$T$97,'Div 6'!$T$99:$T$100,'Div 6'!$T$102,'Div 6'!$T$104</definedName>
    <definedName name="OSRRefT22x_0" localSheetId="2">Summary!$T$204:$T$213,Summary!$T$215:$T$224,Summary!$T$226,Summary!$T$228:$T$229,Summary!$T$231,Summary!$T$233:$T$236,Summary!$T$238:$T$239,Summary!$T$241:$T$243,Summary!$T$245,Summary!$T$247,Summary!$T$249:$T$250,Summary!$T$252:$T$253,Summary!$T$255,Summary!$T$257,Summary!$T$259,Summary!$T$261,Summary!$T$263,Summary!$T$265,Summary!$T$267:$T$270,Summary!$T$272:$T$275,Summary!$T$277:$T$282,Summary!$T$284:$T$285,Summary!$T$287:$T$296,Summary!$T$298:$T$299,Summary!$T$301,Summary!$T$303:$T$305,Summary!$T$307</definedName>
    <definedName name="OSRRefT25x_0" localSheetId="48">'300'!$T$262:$T$270</definedName>
    <definedName name="OSRRefT25x_0" localSheetId="49">'300 &amp; 317'!$T$287:$T$298</definedName>
    <definedName name="OSRRefT25x_0" localSheetId="50">'301'!$T$103:$T$106</definedName>
    <definedName name="OSRRefT25x_0" localSheetId="53">'307'!$T$128</definedName>
    <definedName name="OSRRefT25x_0" localSheetId="55">'308'!$T$122:$T$125</definedName>
    <definedName name="OSRRefT25x_0" localSheetId="74">'310 &amp; 491'!$T$140:$T$143</definedName>
    <definedName name="OSRRefT25x_0" localSheetId="56">'311'!$T$122:$T$125</definedName>
    <definedName name="OSRRefT25x_0" localSheetId="59">'315'!$T$119:$T$121</definedName>
    <definedName name="OSRRefT25x_0" localSheetId="62">'316'!$T$89:$T$90</definedName>
    <definedName name="OSRRefT25x_0" localSheetId="65">'317'!$T$107:$T$110</definedName>
    <definedName name="OSRRefT25x_0" localSheetId="63">'320'!$T$68:$T$72</definedName>
    <definedName name="OSRRefT25x_0" localSheetId="52">'330'!$T$141</definedName>
    <definedName name="OSRRefT25x_0" localSheetId="58">'331'!$T$153:$T$155</definedName>
    <definedName name="OSRRefT25x_0" localSheetId="61">'332'!$T$101:$T$107</definedName>
    <definedName name="OSRRefT25x_0" localSheetId="78">'411'!$T$93:$T$94</definedName>
    <definedName name="OSRRefT25x_0" localSheetId="81">'413'!$T$83</definedName>
    <definedName name="OSRRefT25x_0" localSheetId="83">'415'!$T$101</definedName>
    <definedName name="OSRRefT25x_0" localSheetId="85">'423'!$T$53</definedName>
    <definedName name="OSRRefT25x_0" localSheetId="86">'424'!$T$78</definedName>
    <definedName name="OSRRefT25x_0" localSheetId="87">'425'!$T$95</definedName>
    <definedName name="OSRRefT25x_0" localSheetId="88">'455'!$T$41:$T$44</definedName>
    <definedName name="OSRRefT25x_0" localSheetId="75">'491'!$T$129:$T$132</definedName>
    <definedName name="OSRRefT25x_0" localSheetId="96">'501'!$T$74</definedName>
    <definedName name="OSRRefT25x_0" localSheetId="47">'Div 3'!$T$275:$T$283</definedName>
    <definedName name="OSRRefT25x_0" localSheetId="73">'Div 4'!$T$135:$T$138</definedName>
    <definedName name="OSRRefT25x_0" localSheetId="95">'Div 5'!$T$74</definedName>
    <definedName name="OSRRefT25x_0" localSheetId="64">'Div 6'!$T$107:$T$110</definedName>
    <definedName name="OSRRefT25x_0" localSheetId="2">Summary!$T$310:$T$322</definedName>
    <definedName name="_xlnm.Print_Area" localSheetId="38">'100'!$A$1:$Z$34</definedName>
    <definedName name="_xlnm.Print_Area" localSheetId="40">'200'!$A$1:$Z$43</definedName>
    <definedName name="_xlnm.Print_Area" localSheetId="41">'201'!$A$1:$Z$91</definedName>
    <definedName name="_xlnm.Print_Area" localSheetId="42">'202'!$A$1:$Z$88</definedName>
    <definedName name="_xlnm.Print_Area" localSheetId="43">'203'!$A$1:$Z$87</definedName>
    <definedName name="_xlnm.Print_Area" localSheetId="44">'204'!$A$1:$Z$84</definedName>
    <definedName name="_xlnm.Print_Area" localSheetId="45">'205'!$A$1:$Z$71</definedName>
    <definedName name="_xlnm.Print_Area" localSheetId="46">'206'!$A$1:$Z$72</definedName>
    <definedName name="_xlnm.Print_Area" localSheetId="48">'300'!$A$1:$Z$282</definedName>
    <definedName name="_xlnm.Print_Area" localSheetId="49">'300 &amp; 317'!$A$1:$Z$310</definedName>
    <definedName name="_xlnm.Print_Area" localSheetId="50">'301'!$A$1:$Z$118</definedName>
    <definedName name="_xlnm.Print_Area" localSheetId="51">'306'!$A$1:$Z$75</definedName>
    <definedName name="_xlnm.Print_Area" localSheetId="53">'307'!$A$1:$Z$140</definedName>
    <definedName name="_xlnm.Print_Area" localSheetId="55">'308'!$A$1:$Z$137</definedName>
    <definedName name="_xlnm.Print_Area" localSheetId="67">'309'!$A$1:$Z$89</definedName>
    <definedName name="_xlnm.Print_Area" localSheetId="66">'310'!$A$1:$Z$128</definedName>
    <definedName name="_xlnm.Print_Area" localSheetId="74">'310 &amp; 491'!$A$1:$Z$155</definedName>
    <definedName name="_xlnm.Print_Area" localSheetId="56">'311'!$A$1:$Z$137</definedName>
    <definedName name="_xlnm.Print_Area" localSheetId="68">'313'!$A$1:$Z$96</definedName>
    <definedName name="_xlnm.Print_Area" localSheetId="54">'314'!$A$1:$Z$110</definedName>
    <definedName name="_xlnm.Print_Area" localSheetId="59">'315'!$A$1:$Z$133</definedName>
    <definedName name="_xlnm.Print_Area" localSheetId="62">'316'!$A$1:$Z$102</definedName>
    <definedName name="_xlnm.Print_Area" localSheetId="65">'317'!$A$1:$Z$122</definedName>
    <definedName name="_xlnm.Print_Area" localSheetId="63">'320'!$A$1:$Z$84</definedName>
    <definedName name="_xlnm.Print_Area" localSheetId="69">'321'!$A$1:$Z$92</definedName>
    <definedName name="_xlnm.Print_Area" localSheetId="70">'322'!$A$1:$Z$94</definedName>
    <definedName name="_xlnm.Print_Area" localSheetId="57">'324'!$A$1:$Z$38</definedName>
    <definedName name="_xlnm.Print_Area" localSheetId="71">'325'!$A$1:$Z$106</definedName>
    <definedName name="_xlnm.Print_Area" localSheetId="60">'326'!$A$1:$Z$140</definedName>
    <definedName name="_xlnm.Print_Area" localSheetId="72">'327'!$A$1:$Z$42</definedName>
    <definedName name="_xlnm.Print_Area" localSheetId="52">'330'!$A$1:$Z$153</definedName>
    <definedName name="_xlnm.Print_Area" localSheetId="58">'331'!$A$1:$Z$167</definedName>
    <definedName name="_xlnm.Print_Area" localSheetId="61">'332'!$A$1:$Z$119</definedName>
    <definedName name="_xlnm.Print_Area" localSheetId="76">'405'!$A$1:$Z$110</definedName>
    <definedName name="_xlnm.Print_Area" localSheetId="77">'406'!$A$1:$Z$98</definedName>
    <definedName name="_xlnm.Print_Area" localSheetId="78">'411'!$A$1:$Z$106</definedName>
    <definedName name="_xlnm.Print_Area" localSheetId="79">'412'!$A$1:$Z$100</definedName>
    <definedName name="_xlnm.Print_Area" localSheetId="81">'413'!$A$1:$Z$95</definedName>
    <definedName name="_xlnm.Print_Area" localSheetId="82">'414'!$A$1:$Z$96</definedName>
    <definedName name="_xlnm.Print_Area" localSheetId="83">'415'!$A$1:$Z$113</definedName>
    <definedName name="_xlnm.Print_Area" localSheetId="84">'418'!$A$1:$Z$108</definedName>
    <definedName name="_xlnm.Print_Area" localSheetId="80">'420'!$A$1:$Z$63</definedName>
    <definedName name="_xlnm.Print_Area" localSheetId="85">'423'!$A$1:$Z$65</definedName>
    <definedName name="_xlnm.Print_Area" localSheetId="86">'424'!$A$1:$Z$90</definedName>
    <definedName name="_xlnm.Print_Area" localSheetId="87">'425'!$A$1:$Z$107</definedName>
    <definedName name="_xlnm.Print_Area" localSheetId="90">'430'!$A$1:$Z$73</definedName>
    <definedName name="_xlnm.Print_Area" localSheetId="91">'433'!$A$1:$Z$102</definedName>
    <definedName name="_xlnm.Print_Area" localSheetId="92">'435'!$A$1:$Z$75</definedName>
    <definedName name="_xlnm.Print_Area" localSheetId="93">'444'!$A$1:$Z$103</definedName>
    <definedName name="_xlnm.Print_Area" localSheetId="94">'450'!$A$1:$Z$105</definedName>
    <definedName name="_xlnm.Print_Area" localSheetId="88">'455'!$A$1:$Z$56</definedName>
    <definedName name="_xlnm.Print_Area" localSheetId="75">'491'!$A$1:$Z$144</definedName>
    <definedName name="_xlnm.Print_Area" localSheetId="89">'492'!$A$1:$Z$114</definedName>
    <definedName name="_xlnm.Print_Area" localSheetId="96">'501'!$A$1:$Z$86</definedName>
    <definedName name="_xlnm.Print_Area" localSheetId="97">Dept!$A$1:$Z$39</definedName>
    <definedName name="_xlnm.Print_Area" localSheetId="37">'Div 1'!$A$1:$Z$34</definedName>
    <definedName name="_xlnm.Print_Area" localSheetId="39">'Div 2'!$A$1:$Z$112</definedName>
    <definedName name="_xlnm.Print_Area" localSheetId="47">'Div 3'!$A$1:$Z$295</definedName>
    <definedName name="_xlnm.Print_Area" localSheetId="73">'Div 4'!$A$1:$Z$150</definedName>
    <definedName name="_xlnm.Print_Area" localSheetId="95">'Div 5'!$A$1:$Z$86</definedName>
    <definedName name="_xlnm.Print_Area" localSheetId="64">'Div 6'!$A$1:$Z$122</definedName>
    <definedName name="_xlnm.Print_Area" localSheetId="13">'OSR_300 &amp; 317_1C00ID4'!$A$1:$Z$39</definedName>
    <definedName name="_xlnm.Print_Area" localSheetId="14">'OSR_300 (2)_...6aa5a22d_14M6XO4'!$A$1:$Z$39</definedName>
    <definedName name="_xlnm.Print_Area" localSheetId="10">'OSR_300 (2)_7...54cb56fc_UFX0O2'!$A$1:$Z$39</definedName>
    <definedName name="_xlnm.Print_Area" localSheetId="16">'OSR_300 (2)_e...5d0da5bf_6BPGAO'!$A$1:$Z$39</definedName>
    <definedName name="_xlnm.Print_Area" localSheetId="11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7">'OSR_310 &amp; 491_1NGRCS9'!$A$1:$Z$39</definedName>
    <definedName name="_xlnm.Print_Area" localSheetId="18">'OSR_310 (2)_...6e684f08_1FLCNJG'!$A$1:$Z$39</definedName>
    <definedName name="_xlnm.Print_Area" localSheetId="26">'OSR_310 (2)_...8cac1423_1JTU33X'!$A$1:$Z$39</definedName>
    <definedName name="_xlnm.Print_Area" localSheetId="12">'OSR_310 (2)_5...3d931dee_QNK8R2'!$A$1:$Z$39</definedName>
    <definedName name="_xlnm.Print_Area" localSheetId="15">OSR_310_1CMTOSB!$A$1:$Z$39</definedName>
    <definedName name="_xlnm.Print_Area" localSheetId="20">'OSR_330 (2)_...8a14c83e_1NSH7XI'!$A$1:$Z$39</definedName>
    <definedName name="_xlnm.Print_Area" localSheetId="17">OSR_330_10VFP5Y!$A$1:$Z$39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8">'OSR_491 (2)_...853a34aa_1UNC34K'!$A$1:$Z$39</definedName>
    <definedName name="_xlnm.Print_Area" localSheetId="29">OSR_491_9Z9JH5!$A$1:$Z$39</definedName>
    <definedName name="_xlnm.Print_Area" localSheetId="34">'OSR_492 (2)_...cd97c6a6_13HYXEV'!$A$1:$Z$39</definedName>
    <definedName name="_xlnm.Print_Area" localSheetId="31">OSR_492_943FP1!$A$1:$Z$39</definedName>
    <definedName name="_xlnm.Print_Area" localSheetId="4">'OSR_Current ...69b7dd8c_1IEQKFK'!$A$1:$Z$39</definedName>
    <definedName name="_xlnm.Print_Area" localSheetId="98">OSR_Dept_Y0WUKY!$A$1:$Z$39</definedName>
    <definedName name="_xlnm.Print_Area" localSheetId="8">'OSR_Div 1 (2)...789fe994_2NV3KA'!$A$1:$Z$39</definedName>
    <definedName name="_xlnm.Print_Area" localSheetId="5">'OSR_Div 1_7H47HR'!$A$1:$Z$39</definedName>
    <definedName name="_xlnm.Print_Area" localSheetId="7">'OSR_Div 2_1PQ800A'!$A$1:$Z$39</definedName>
    <definedName name="_xlnm.Print_Area" localSheetId="6">'OSR_Div 3 (2)...4cb81c06_PBSMLS'!$A$1:$Z$39</definedName>
    <definedName name="_xlnm.Print_Area" localSheetId="9">'OSR_Div 3_18723PH'!$A$1:$Z$39</definedName>
    <definedName name="_xlnm.Print_Area" localSheetId="32">'OSR_Div 4 (2)...1a9a4454_CQFRNE'!$A$1:$Z$39</definedName>
    <definedName name="_xlnm.Print_Area" localSheetId="30">'OSR_Div 4 (2...2533da42_174R6QX'!$A$1:$Z$39</definedName>
    <definedName name="_xlnm.Print_Area" localSheetId="25">'OSR_Div 4_1740TMT'!$A$1:$Z$39</definedName>
    <definedName name="_xlnm.Print_Area" localSheetId="36">'OSR_Div 5 (2)...32d16c57_IVJ1QO'!$A$1:$Z$39</definedName>
    <definedName name="_xlnm.Print_Area" localSheetId="33">'OSR_Div 5_16NAZO2'!$A$1:$Z$39</definedName>
    <definedName name="_xlnm.Print_Area" localSheetId="35">'OSR_Div 6_P37YY7'!$A$1:$Z$39</definedName>
    <definedName name="_xlnm.Print_Area" localSheetId="99">'OSR_Summary (...56e5d78f_5JEYZH'!$A$1:$Z$39</definedName>
    <definedName name="_xlnm.Print_Area" localSheetId="3">OSR_Summary_18VAVWG!$A$1:$Z$39</definedName>
    <definedName name="_xlnm.Print_Area" localSheetId="2">Summary!$A$1:$Z$336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5">'308'!$A:$C,'308'!$1:$10</definedName>
    <definedName name="_xlnm.Print_Titles" localSheetId="67">'309'!$A:$C,'309'!$1:$10</definedName>
    <definedName name="_xlnm.Print_Titles" localSheetId="66">'310'!$A:$C,'310'!$1:$10</definedName>
    <definedName name="_xlnm.Print_Titles" localSheetId="74">'310 &amp; 491'!$A:$C,'310 &amp; 491'!$1:$10</definedName>
    <definedName name="_xlnm.Print_Titles" localSheetId="56">'311'!$A:$C,'311'!$1:$10</definedName>
    <definedName name="_xlnm.Print_Titles" localSheetId="68">'313'!$A:$C,'313'!$1:$10</definedName>
    <definedName name="_xlnm.Print_Titles" localSheetId="54">'314'!$A:$C,'314'!$1:$10</definedName>
    <definedName name="_xlnm.Print_Titles" localSheetId="59">'315'!$A:$C,'315'!$1:$10</definedName>
    <definedName name="_xlnm.Print_Titles" localSheetId="62">'316'!$A:$C,'316'!$1:$10</definedName>
    <definedName name="_xlnm.Print_Titles" localSheetId="65">'317'!$A:$C,'317'!$1:$10</definedName>
    <definedName name="_xlnm.Print_Titles" localSheetId="63">'320'!$A:$C,'320'!$1:$10</definedName>
    <definedName name="_xlnm.Print_Titles" localSheetId="69">'321'!$A:$C,'321'!$1:$10</definedName>
    <definedName name="_xlnm.Print_Titles" localSheetId="70">'322'!$A:$C,'322'!$1:$10</definedName>
    <definedName name="_xlnm.Print_Titles" localSheetId="57">'324'!$A:$C,'324'!$1:$10</definedName>
    <definedName name="_xlnm.Print_Titles" localSheetId="71">'325'!$A:$C,'325'!$1:$10</definedName>
    <definedName name="_xlnm.Print_Titles" localSheetId="60">'326'!$A:$C,'326'!$1:$10</definedName>
    <definedName name="_xlnm.Print_Titles" localSheetId="72">'327'!$A:$C,'327'!$1:$10</definedName>
    <definedName name="_xlnm.Print_Titles" localSheetId="52">'330'!$A:$C,'330'!$1:$10</definedName>
    <definedName name="_xlnm.Print_Titles" localSheetId="58">'331'!$A:$C,'331'!$1:$10</definedName>
    <definedName name="_xlnm.Print_Titles" localSheetId="61">'332'!$A:$C,'332'!$1:$10</definedName>
    <definedName name="_xlnm.Print_Titles" localSheetId="76">'405'!$A:$C,'405'!$1:$10</definedName>
    <definedName name="_xlnm.Print_Titles" localSheetId="77">'406'!$A:$C,'406'!$1:$10</definedName>
    <definedName name="_xlnm.Print_Titles" localSheetId="78">'411'!$A:$C,'411'!$1:$10</definedName>
    <definedName name="_xlnm.Print_Titles" localSheetId="79">'412'!$A:$C,'412'!$1:$10</definedName>
    <definedName name="_xlnm.Print_Titles" localSheetId="81">'413'!$A:$C,'413'!$1:$10</definedName>
    <definedName name="_xlnm.Print_Titles" localSheetId="82">'414'!$A:$C,'414'!$1:$10</definedName>
    <definedName name="_xlnm.Print_Titles" localSheetId="83">'415'!$A:$C,'415'!$1:$10</definedName>
    <definedName name="_xlnm.Print_Titles" localSheetId="84">'418'!$A:$C,'418'!$1:$10</definedName>
    <definedName name="_xlnm.Print_Titles" localSheetId="80">'420'!$A:$C,'420'!$1:$10</definedName>
    <definedName name="_xlnm.Print_Titles" localSheetId="85">'423'!$A:$C,'423'!$1:$10</definedName>
    <definedName name="_xlnm.Print_Titles" localSheetId="86">'424'!$A:$C,'424'!$1:$10</definedName>
    <definedName name="_xlnm.Print_Titles" localSheetId="87">'425'!$A:$C,'425'!$1:$10</definedName>
    <definedName name="_xlnm.Print_Titles" localSheetId="90">'430'!$A:$C,'430'!$1:$10</definedName>
    <definedName name="_xlnm.Print_Titles" localSheetId="91">'433'!$A:$C,'433'!$1:$10</definedName>
    <definedName name="_xlnm.Print_Titles" localSheetId="92">'435'!$A:$C,'435'!$1:$10</definedName>
    <definedName name="_xlnm.Print_Titles" localSheetId="93">'444'!$A:$C,'444'!$1:$10</definedName>
    <definedName name="_xlnm.Print_Titles" localSheetId="94">'450'!$A:$C,'450'!$1:$10</definedName>
    <definedName name="_xlnm.Print_Titles" localSheetId="88">'455'!$A:$C,'455'!$1:$10</definedName>
    <definedName name="_xlnm.Print_Titles" localSheetId="75">'491'!$A:$C,'491'!$1:$10</definedName>
    <definedName name="_xlnm.Print_Titles" localSheetId="89">'492'!$A:$C,'492'!$1:$10</definedName>
    <definedName name="_xlnm.Print_Titles" localSheetId="96">'501'!$A:$C,'501'!$1:$10</definedName>
    <definedName name="_xlnm.Print_Titles" localSheetId="97">Dept!$A:$C,Dept!$1:$10</definedName>
    <definedName name="_xlnm.Print_Titles" localSheetId="37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3">'Div 4'!$A:$C,'Div 4'!$1:$10</definedName>
    <definedName name="_xlnm.Print_Titles" localSheetId="95">'Div 5'!$A:$C,'Div 5'!$1:$10</definedName>
    <definedName name="_xlnm.Print_Titles" localSheetId="64">'Div 6'!$A:$C,'Div 6'!$1:$10</definedName>
    <definedName name="_xlnm.Print_Titles" localSheetId="13">'OSR_300 &amp; 317_1C00ID4'!$A:$C,'OSR_300 &amp; 317_1C00ID4'!$1:$10</definedName>
    <definedName name="_xlnm.Print_Titles" localSheetId="14">'OSR_300 (2)_...6aa5a22d_14M6XO4'!$A:$C,'OSR_300 (2)_...6aa5a22d_14M6XO4'!$1:$10</definedName>
    <definedName name="_xlnm.Print_Titles" localSheetId="10">'OSR_300 (2)_7...54cb56fc_UFX0O2'!$A:$C,'OSR_300 (2)_7...54cb56fc_UFX0O2'!$1:$10</definedName>
    <definedName name="_xlnm.Print_Titles" localSheetId="16">'OSR_300 (2)_e...5d0da5bf_6BPGAO'!$A:$C,'OSR_300 (2)_e...5d0da5bf_6BPGAO'!$1:$10</definedName>
    <definedName name="_xlnm.Print_Titles" localSheetId="11">OSR_300_IYZXI6!$A:$C,OSR_300_IYZXI6!$1:$10</definedName>
    <definedName name="_xlnm.Print_Titles" localSheetId="22">'OSR_308 (2)_...47685838_1YQW4QY'!$A:$C,'OSR_308 (2)_...47685838_1YQW4QY'!$1:$10</definedName>
    <definedName name="_xlnm.Print_Titles" localSheetId="19">OSR_308_UAWDAG!$A:$C,OSR_308_UAWDAG!$1:$10</definedName>
    <definedName name="_xlnm.Print_Titles" localSheetId="27">'OSR_310 &amp; 491_1NGRCS9'!$A:$C,'OSR_310 &amp; 491_1NGRCS9'!$1:$10</definedName>
    <definedName name="_xlnm.Print_Titles" localSheetId="18">'OSR_310 (2)_...6e684f08_1FLCNJG'!$A:$C,'OSR_310 (2)_...6e684f08_1FLCNJG'!$1:$10</definedName>
    <definedName name="_xlnm.Print_Titles" localSheetId="26">'OSR_310 (2)_...8cac1423_1JTU33X'!$A:$C,'OSR_310 (2)_...8cac1423_1JTU33X'!$1:$10</definedName>
    <definedName name="_xlnm.Print_Titles" localSheetId="12">'OSR_310 (2)_5...3d931dee_QNK8R2'!$A:$C,'OSR_310 (2)_5...3d931dee_QNK8R2'!$1:$10</definedName>
    <definedName name="_xlnm.Print_Titles" localSheetId="15">OSR_310_1CMTOSB!$A:$C,OSR_310_1CMTOSB!$1:$10</definedName>
    <definedName name="_xlnm.Print_Titles" localSheetId="20">'OSR_330 (2)_...8a14c83e_1NSH7XI'!$A:$C,'OSR_330 (2)_...8a14c83e_1NSH7XI'!$1:$10</definedName>
    <definedName name="_xlnm.Print_Titles" localSheetId="17">OSR_330_10VFP5Y!$A:$C,OSR_330_10VFP5Y!$1:$10</definedName>
    <definedName name="_xlnm.Print_Titles" localSheetId="24">'OSR_331 (2)_...7280af70_1P5SPLT'!$A:$C,'OSR_331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8">'OSR_491 (2)_...853a34aa_1UNC34K'!$A:$C,'OSR_491 (2)_...853a34aa_1UNC34K'!$1:$10</definedName>
    <definedName name="_xlnm.Print_Titles" localSheetId="29">OSR_491_9Z9JH5!$A:$C,OSR_491_9Z9JH5!$1:$10</definedName>
    <definedName name="_xlnm.Print_Titles" localSheetId="34">'OSR_492 (2)_...cd97c6a6_13HYXEV'!$A:$C,'OSR_492 (2)_...cd97c6a6_13HYXEV'!$1:$10</definedName>
    <definedName name="_xlnm.Print_Titles" localSheetId="31">OSR_492_943FP1!$A:$C,OSR_492_943FP1!$1:$10</definedName>
    <definedName name="_xlnm.Print_Titles" localSheetId="4">'OSR_Current ...69b7dd8c_1IEQKFK'!$A:$C,'OSR_Current ...69b7dd8c_1IEQKFK'!$1:$10</definedName>
    <definedName name="_xlnm.Print_Titles" localSheetId="98">OSR_Dept_Y0WUKY!$A:$C,OSR_Dept_Y0WUKY!$1:$10</definedName>
    <definedName name="_xlnm.Print_Titles" localSheetId="8">'OSR_Div 1 (2)...789fe994_2NV3KA'!$A:$C,'OSR_Div 1 (2)...789fe994_2NV3KA'!$1:$10</definedName>
    <definedName name="_xlnm.Print_Titles" localSheetId="5">'OSR_Div 1_7H47HR'!$A:$C,'OSR_Div 1_7H47HR'!$1:$10</definedName>
    <definedName name="_xlnm.Print_Titles" localSheetId="7">'OSR_Div 2_1PQ800A'!$A:$C,'OSR_Div 2_1PQ800A'!$1:$10</definedName>
    <definedName name="_xlnm.Print_Titles" localSheetId="6">'OSR_Div 3 (2)...4cb81c06_PBSMLS'!$A:$C,'OSR_Div 3 (2)...4cb81c06_PBSMLS'!$1:$10</definedName>
    <definedName name="_xlnm.Print_Titles" localSheetId="9">'OSR_Div 3_18723PH'!$A:$C,'OSR_Div 3_18723PH'!$1:$10</definedName>
    <definedName name="_xlnm.Print_Titles" localSheetId="32">'OSR_Div 4 (2)...1a9a4454_CQFRNE'!$A:$C,'OSR_Div 4 (2)...1a9a4454_CQFRNE'!$1:$10</definedName>
    <definedName name="_xlnm.Print_Titles" localSheetId="30">'OSR_Div 4 (2...2533da42_174R6QX'!$A:$C,'OSR_Div 4 (2...2533da42_174R6QX'!$1:$10</definedName>
    <definedName name="_xlnm.Print_Titles" localSheetId="25">'OSR_Div 4_1740TMT'!$A:$C,'OSR_Div 4_1740TMT'!$1:$10</definedName>
    <definedName name="_xlnm.Print_Titles" localSheetId="36">'OSR_Div 5 (2)...32d16c57_IVJ1QO'!$A:$C,'OSR_Div 5 (2)...32d16c57_IVJ1QO'!$1:$10</definedName>
    <definedName name="_xlnm.Print_Titles" localSheetId="33">'OSR_Div 5_16NAZO2'!$A:$C,'OSR_Div 5_16NAZO2'!$1:$10</definedName>
    <definedName name="_xlnm.Print_Titles" localSheetId="35">'OSR_Div 6_P37YY7'!$A:$C,'OSR_Div 6_P37YY7'!$1:$10</definedName>
    <definedName name="_xlnm.Print_Titles" localSheetId="99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Z78" i="110" l="1"/>
  <c r="X78" i="110"/>
  <c r="V78" i="110"/>
  <c r="N78" i="110"/>
  <c r="L78" i="110"/>
  <c r="P74" i="110"/>
  <c r="X74" i="110" s="1"/>
  <c r="Z74" i="110" s="1"/>
  <c r="L74" i="110"/>
  <c r="N74" i="110" s="1"/>
  <c r="D74" i="110"/>
  <c r="B74" i="110"/>
  <c r="T73" i="110"/>
  <c r="P73" i="110"/>
  <c r="X73" i="110" s="1"/>
  <c r="L73" i="110"/>
  <c r="H73" i="110"/>
  <c r="D73" i="110"/>
  <c r="Z71" i="110"/>
  <c r="X71" i="110"/>
  <c r="L71" i="110"/>
  <c r="N71" i="110" s="1"/>
  <c r="B71" i="110"/>
  <c r="T70" i="110"/>
  <c r="P70" i="110"/>
  <c r="X70" i="110" s="1"/>
  <c r="Z70" i="110" s="1"/>
  <c r="H70" i="110"/>
  <c r="D70" i="110"/>
  <c r="L70" i="110" s="1"/>
  <c r="N70" i="110" s="1"/>
  <c r="B70" i="110"/>
  <c r="X69" i="110"/>
  <c r="Z69" i="110" s="1"/>
  <c r="L69" i="110"/>
  <c r="N69" i="110" s="1"/>
  <c r="B69" i="110"/>
  <c r="Z68" i="110"/>
  <c r="X68" i="110"/>
  <c r="T68" i="110"/>
  <c r="P68" i="110"/>
  <c r="H68" i="110"/>
  <c r="D68" i="110"/>
  <c r="L68" i="110" s="1"/>
  <c r="B68" i="110"/>
  <c r="Z67" i="110"/>
  <c r="X67" i="110"/>
  <c r="N67" i="110"/>
  <c r="L67" i="110"/>
  <c r="B67" i="110"/>
  <c r="Z66" i="110"/>
  <c r="X66" i="110"/>
  <c r="N66" i="110"/>
  <c r="L66" i="110"/>
  <c r="B66" i="110"/>
  <c r="X65" i="110"/>
  <c r="Z65" i="110" s="1"/>
  <c r="L65" i="110"/>
  <c r="N65" i="110" s="1"/>
  <c r="B65" i="110"/>
  <c r="X64" i="110"/>
  <c r="Z64" i="110" s="1"/>
  <c r="T64" i="110"/>
  <c r="P64" i="110"/>
  <c r="H64" i="110"/>
  <c r="D64" i="110"/>
  <c r="L64" i="110" s="1"/>
  <c r="B64" i="110"/>
  <c r="Z63" i="110"/>
  <c r="X63" i="110"/>
  <c r="N63" i="110"/>
  <c r="L63" i="110"/>
  <c r="B63" i="110"/>
  <c r="Z62" i="110"/>
  <c r="X62" i="110"/>
  <c r="T62" i="110"/>
  <c r="P62" i="110"/>
  <c r="H62" i="110"/>
  <c r="N62" i="110" s="1"/>
  <c r="D62" i="110"/>
  <c r="L62" i="110" s="1"/>
  <c r="B62" i="110"/>
  <c r="Z61" i="110"/>
  <c r="X61" i="110"/>
  <c r="N61" i="110"/>
  <c r="L61" i="110"/>
  <c r="B61" i="110"/>
  <c r="Z60" i="110"/>
  <c r="X60" i="110"/>
  <c r="R60" i="110"/>
  <c r="N60" i="110"/>
  <c r="L60" i="110"/>
  <c r="B60" i="110"/>
  <c r="X59" i="110"/>
  <c r="Z59" i="110" s="1"/>
  <c r="R59" i="110"/>
  <c r="L59" i="110"/>
  <c r="N59" i="110" s="1"/>
  <c r="B59" i="110"/>
  <c r="Z58" i="110"/>
  <c r="X58" i="110"/>
  <c r="N58" i="110"/>
  <c r="L58" i="110"/>
  <c r="B58" i="110"/>
  <c r="T57" i="110"/>
  <c r="P57" i="110"/>
  <c r="X57" i="110" s="1"/>
  <c r="Z57" i="110" s="1"/>
  <c r="H57" i="110"/>
  <c r="D57" i="110"/>
  <c r="B57" i="110"/>
  <c r="X56" i="110"/>
  <c r="Z56" i="110" s="1"/>
  <c r="N56" i="110"/>
  <c r="L56" i="110"/>
  <c r="B56" i="110"/>
  <c r="X55" i="110"/>
  <c r="Z55" i="110" s="1"/>
  <c r="V55" i="110"/>
  <c r="T55" i="110"/>
  <c r="P55" i="110"/>
  <c r="L55" i="110"/>
  <c r="H55" i="110"/>
  <c r="D55" i="110"/>
  <c r="B55" i="110"/>
  <c r="X54" i="110"/>
  <c r="Z54" i="110" s="1"/>
  <c r="N54" i="110"/>
  <c r="L54" i="110"/>
  <c r="B54" i="110"/>
  <c r="T53" i="110"/>
  <c r="R53" i="110"/>
  <c r="P53" i="110"/>
  <c r="H53" i="110"/>
  <c r="D53" i="110"/>
  <c r="L53" i="110" s="1"/>
  <c r="B53" i="110"/>
  <c r="Z52" i="110"/>
  <c r="X52" i="110"/>
  <c r="V52" i="110"/>
  <c r="L52" i="110"/>
  <c r="N52" i="110" s="1"/>
  <c r="B52" i="110"/>
  <c r="X51" i="110"/>
  <c r="T51" i="110"/>
  <c r="P51" i="110"/>
  <c r="H51" i="110"/>
  <c r="D51" i="110"/>
  <c r="L51" i="110" s="1"/>
  <c r="N51" i="110" s="1"/>
  <c r="B51" i="110"/>
  <c r="Z50" i="110"/>
  <c r="X50" i="110"/>
  <c r="V50" i="110"/>
  <c r="R50" i="110"/>
  <c r="N50" i="110"/>
  <c r="L50" i="110"/>
  <c r="B50" i="110"/>
  <c r="T49" i="110"/>
  <c r="P49" i="110"/>
  <c r="X49" i="110" s="1"/>
  <c r="L49" i="110"/>
  <c r="N49" i="110" s="1"/>
  <c r="H49" i="110"/>
  <c r="D49" i="110"/>
  <c r="B49" i="110"/>
  <c r="Z48" i="110"/>
  <c r="X48" i="110"/>
  <c r="L48" i="110"/>
  <c r="N48" i="110" s="1"/>
  <c r="B48" i="110"/>
  <c r="Z47" i="110"/>
  <c r="T47" i="110"/>
  <c r="P47" i="110"/>
  <c r="X47" i="110" s="1"/>
  <c r="H47" i="110"/>
  <c r="D47" i="110"/>
  <c r="B47" i="110"/>
  <c r="Z46" i="110"/>
  <c r="X46" i="110"/>
  <c r="V46" i="110"/>
  <c r="N46" i="110"/>
  <c r="L46" i="110"/>
  <c r="B46" i="110"/>
  <c r="Z45" i="110"/>
  <c r="T45" i="110"/>
  <c r="P45" i="110"/>
  <c r="X45" i="110" s="1"/>
  <c r="H45" i="110"/>
  <c r="D45" i="110"/>
  <c r="L45" i="110" s="1"/>
  <c r="B45" i="110"/>
  <c r="X44" i="110"/>
  <c r="Z44" i="110" s="1"/>
  <c r="N44" i="110"/>
  <c r="L44" i="110"/>
  <c r="B44" i="110"/>
  <c r="T43" i="110"/>
  <c r="R43" i="110"/>
  <c r="P43" i="110"/>
  <c r="X43" i="110" s="1"/>
  <c r="Z43" i="110" s="1"/>
  <c r="H43" i="110"/>
  <c r="D43" i="110"/>
  <c r="L43" i="110" s="1"/>
  <c r="B43" i="110"/>
  <c r="X42" i="110"/>
  <c r="Z42" i="110" s="1"/>
  <c r="N42" i="110"/>
  <c r="L42" i="110"/>
  <c r="B42" i="110"/>
  <c r="X41" i="110"/>
  <c r="V41" i="110"/>
  <c r="T41" i="110"/>
  <c r="R41" i="110"/>
  <c r="P41" i="110"/>
  <c r="H41" i="110"/>
  <c r="D41" i="110"/>
  <c r="B41" i="110"/>
  <c r="Z40" i="110"/>
  <c r="X40" i="110"/>
  <c r="V40" i="110"/>
  <c r="R40" i="110"/>
  <c r="N40" i="110"/>
  <c r="L40" i="110"/>
  <c r="J40" i="110"/>
  <c r="B40" i="110"/>
  <c r="Z39" i="110"/>
  <c r="X39" i="110"/>
  <c r="N39" i="110"/>
  <c r="L39" i="110"/>
  <c r="J39" i="110"/>
  <c r="B39" i="110"/>
  <c r="Z38" i="110"/>
  <c r="X38" i="110"/>
  <c r="V38" i="110"/>
  <c r="N38" i="110"/>
  <c r="L38" i="110"/>
  <c r="B38" i="110"/>
  <c r="Z37" i="110"/>
  <c r="X37" i="110"/>
  <c r="V37" i="110"/>
  <c r="R37" i="110"/>
  <c r="N37" i="110"/>
  <c r="L37" i="110"/>
  <c r="B37" i="110"/>
  <c r="Z36" i="110"/>
  <c r="X36" i="110"/>
  <c r="N36" i="110"/>
  <c r="L36" i="110"/>
  <c r="B36" i="110"/>
  <c r="Z35" i="110"/>
  <c r="X35" i="110"/>
  <c r="R35" i="110"/>
  <c r="N35" i="110"/>
  <c r="L35" i="110"/>
  <c r="B35" i="110"/>
  <c r="Z34" i="110"/>
  <c r="X34" i="110"/>
  <c r="V34" i="110"/>
  <c r="N34" i="110"/>
  <c r="L34" i="110"/>
  <c r="B34" i="110"/>
  <c r="Z33" i="110"/>
  <c r="X33" i="110"/>
  <c r="N33" i="110"/>
  <c r="L33" i="110"/>
  <c r="B33" i="110"/>
  <c r="X32" i="110"/>
  <c r="Z32" i="110" s="1"/>
  <c r="V32" i="110"/>
  <c r="R32" i="110"/>
  <c r="L32" i="110"/>
  <c r="N32" i="110" s="1"/>
  <c r="B32" i="110"/>
  <c r="Z31" i="110"/>
  <c r="X31" i="110"/>
  <c r="N31" i="110"/>
  <c r="L31" i="110"/>
  <c r="B31" i="110"/>
  <c r="Z30" i="110"/>
  <c r="V30" i="110"/>
  <c r="T30" i="110"/>
  <c r="P30" i="110"/>
  <c r="X30" i="110" s="1"/>
  <c r="H30" i="110"/>
  <c r="N30" i="110" s="1"/>
  <c r="D30" i="110"/>
  <c r="L30" i="110" s="1"/>
  <c r="B30" i="110"/>
  <c r="X29" i="110"/>
  <c r="Z29" i="110" s="1"/>
  <c r="R29" i="110"/>
  <c r="L29" i="110"/>
  <c r="N29" i="110" s="1"/>
  <c r="B29" i="110"/>
  <c r="X28" i="110"/>
  <c r="Z28" i="110" s="1"/>
  <c r="N28" i="110"/>
  <c r="L28" i="110"/>
  <c r="J28" i="110"/>
  <c r="B28" i="110"/>
  <c r="Z27" i="110"/>
  <c r="X27" i="110"/>
  <c r="V27" i="110"/>
  <c r="N27" i="110"/>
  <c r="L27" i="110"/>
  <c r="B27" i="110"/>
  <c r="Z26" i="110"/>
  <c r="X26" i="110"/>
  <c r="V26" i="110"/>
  <c r="R26" i="110"/>
  <c r="N26" i="110"/>
  <c r="L26" i="110"/>
  <c r="B26" i="110"/>
  <c r="X25" i="110"/>
  <c r="Z25" i="110" s="1"/>
  <c r="L25" i="110"/>
  <c r="N25" i="110" s="1"/>
  <c r="B25" i="110"/>
  <c r="X24" i="110"/>
  <c r="Z24" i="110" s="1"/>
  <c r="V24" i="110"/>
  <c r="N24" i="110"/>
  <c r="L24" i="110"/>
  <c r="B24" i="110"/>
  <c r="Z23" i="110"/>
  <c r="X23" i="110"/>
  <c r="N23" i="110"/>
  <c r="L23" i="110"/>
  <c r="B23" i="110"/>
  <c r="Z22" i="110"/>
  <c r="X22" i="110"/>
  <c r="V22" i="110"/>
  <c r="R22" i="110"/>
  <c r="L22" i="110"/>
  <c r="N22" i="110" s="1"/>
  <c r="B22" i="110"/>
  <c r="X21" i="110"/>
  <c r="Z21" i="110" s="1"/>
  <c r="R21" i="110"/>
  <c r="L21" i="110"/>
  <c r="N21" i="110" s="1"/>
  <c r="J21" i="110"/>
  <c r="B21" i="110"/>
  <c r="X20" i="110"/>
  <c r="V20" i="110"/>
  <c r="T20" i="110"/>
  <c r="Z20" i="110" s="1"/>
  <c r="P20" i="110"/>
  <c r="H20" i="110"/>
  <c r="D20" i="110"/>
  <c r="L20" i="110" s="1"/>
  <c r="B20" i="110"/>
  <c r="T19" i="110"/>
  <c r="R19" i="110"/>
  <c r="P19" i="110"/>
  <c r="H19" i="110"/>
  <c r="D19" i="110"/>
  <c r="Z15" i="110"/>
  <c r="T15" i="110"/>
  <c r="T17" i="110" s="1"/>
  <c r="P15" i="110"/>
  <c r="N15" i="110"/>
  <c r="H15" i="110"/>
  <c r="D15" i="110"/>
  <c r="L15" i="110" s="1"/>
  <c r="X13" i="110"/>
  <c r="Z13" i="110" s="1"/>
  <c r="P13" i="110"/>
  <c r="D13" i="110"/>
  <c r="B13" i="110"/>
  <c r="T12" i="110"/>
  <c r="V66" i="110" s="1"/>
  <c r="P12" i="110"/>
  <c r="R31" i="110" s="1"/>
  <c r="H12" i="110"/>
  <c r="J49" i="110" s="1"/>
  <c r="D6" i="110"/>
  <c r="D4" i="110"/>
  <c r="V53" i="109"/>
  <c r="F53" i="109"/>
  <c r="V50" i="109"/>
  <c r="J50" i="109"/>
  <c r="Z48" i="109"/>
  <c r="X48" i="109"/>
  <c r="R48" i="109"/>
  <c r="N48" i="109"/>
  <c r="L48" i="109"/>
  <c r="R46" i="109"/>
  <c r="J46" i="109"/>
  <c r="Z44" i="109"/>
  <c r="P44" i="109"/>
  <c r="X44" i="109" s="1"/>
  <c r="N44" i="109"/>
  <c r="F44" i="109"/>
  <c r="D44" i="109"/>
  <c r="L44" i="109" s="1"/>
  <c r="B44" i="109"/>
  <c r="Z43" i="109"/>
  <c r="P43" i="109"/>
  <c r="X43" i="109" s="1"/>
  <c r="N43" i="109"/>
  <c r="J43" i="109"/>
  <c r="D43" i="109"/>
  <c r="L43" i="109" s="1"/>
  <c r="B43" i="109"/>
  <c r="P42" i="109"/>
  <c r="X42" i="109" s="1"/>
  <c r="Z42" i="109" s="1"/>
  <c r="L42" i="109"/>
  <c r="N42" i="109" s="1"/>
  <c r="F42" i="109"/>
  <c r="D42" i="109"/>
  <c r="B42" i="109"/>
  <c r="Z41" i="109"/>
  <c r="X41" i="109"/>
  <c r="P41" i="109"/>
  <c r="J41" i="109"/>
  <c r="F41" i="109"/>
  <c r="D41" i="109"/>
  <c r="L41" i="109" s="1"/>
  <c r="N41" i="109" s="1"/>
  <c r="B41" i="109"/>
  <c r="T40" i="109"/>
  <c r="J40" i="109"/>
  <c r="H40" i="109"/>
  <c r="F40" i="109"/>
  <c r="Z38" i="109"/>
  <c r="X38" i="109"/>
  <c r="N38" i="109"/>
  <c r="L38" i="109"/>
  <c r="J38" i="109"/>
  <c r="B38" i="109"/>
  <c r="Z37" i="109"/>
  <c r="X37" i="109"/>
  <c r="R37" i="109"/>
  <c r="N37" i="109"/>
  <c r="L37" i="109"/>
  <c r="B37" i="109"/>
  <c r="Z36" i="109"/>
  <c r="X36" i="109"/>
  <c r="V36" i="109"/>
  <c r="N36" i="109"/>
  <c r="L36" i="109"/>
  <c r="J36" i="109"/>
  <c r="F36" i="109"/>
  <c r="B36" i="109"/>
  <c r="Z35" i="109"/>
  <c r="X35" i="109"/>
  <c r="N35" i="109"/>
  <c r="L35" i="109"/>
  <c r="J35" i="109"/>
  <c r="F35" i="109"/>
  <c r="B35" i="109"/>
  <c r="Z34" i="109"/>
  <c r="X34" i="109"/>
  <c r="N34" i="109"/>
  <c r="L34" i="109"/>
  <c r="J34" i="109"/>
  <c r="B34" i="109"/>
  <c r="Z33" i="109"/>
  <c r="X33" i="109"/>
  <c r="R33" i="109"/>
  <c r="N33" i="109"/>
  <c r="L33" i="109"/>
  <c r="B33" i="109"/>
  <c r="Z32" i="109"/>
  <c r="X32" i="109"/>
  <c r="V32" i="109"/>
  <c r="N32" i="109"/>
  <c r="L32" i="109"/>
  <c r="J32" i="109"/>
  <c r="F32" i="109"/>
  <c r="B32" i="109"/>
  <c r="Z31" i="109"/>
  <c r="X31" i="109"/>
  <c r="R31" i="109"/>
  <c r="N31" i="109"/>
  <c r="L31" i="109"/>
  <c r="J31" i="109"/>
  <c r="F31" i="109"/>
  <c r="B31" i="109"/>
  <c r="Z30" i="109"/>
  <c r="X30" i="109"/>
  <c r="N30" i="109"/>
  <c r="L30" i="109"/>
  <c r="J30" i="109"/>
  <c r="F30" i="109"/>
  <c r="B30" i="109"/>
  <c r="X29" i="109"/>
  <c r="Z29" i="109" s="1"/>
  <c r="R29" i="109"/>
  <c r="N29" i="109"/>
  <c r="L29" i="109"/>
  <c r="B29" i="109"/>
  <c r="V28" i="109"/>
  <c r="T28" i="109"/>
  <c r="R28" i="109"/>
  <c r="P28" i="109"/>
  <c r="X28" i="109" s="1"/>
  <c r="Z28" i="109" s="1"/>
  <c r="L28" i="109"/>
  <c r="N28" i="109" s="1"/>
  <c r="H28" i="109"/>
  <c r="D28" i="109"/>
  <c r="B28" i="109"/>
  <c r="Z27" i="109"/>
  <c r="X27" i="109"/>
  <c r="R27" i="109"/>
  <c r="N27" i="109"/>
  <c r="L27" i="109"/>
  <c r="J27" i="109"/>
  <c r="B27" i="109"/>
  <c r="X26" i="109"/>
  <c r="Z26" i="109" s="1"/>
  <c r="N26" i="109"/>
  <c r="L26" i="109"/>
  <c r="J26" i="109"/>
  <c r="F26" i="109"/>
  <c r="B26" i="109"/>
  <c r="Z25" i="109"/>
  <c r="X25" i="109"/>
  <c r="N25" i="109"/>
  <c r="L25" i="109"/>
  <c r="F25" i="109"/>
  <c r="B25" i="109"/>
  <c r="Z24" i="109"/>
  <c r="X24" i="109"/>
  <c r="V24" i="109"/>
  <c r="R24" i="109"/>
  <c r="N24" i="109"/>
  <c r="L24" i="109"/>
  <c r="B24" i="109"/>
  <c r="X23" i="109"/>
  <c r="Z23" i="109" s="1"/>
  <c r="R23" i="109"/>
  <c r="L23" i="109"/>
  <c r="N23" i="109" s="1"/>
  <c r="J23" i="109"/>
  <c r="B23" i="109"/>
  <c r="Z22" i="109"/>
  <c r="X22" i="109"/>
  <c r="N22" i="109"/>
  <c r="L22" i="109"/>
  <c r="J22" i="109"/>
  <c r="F22" i="109"/>
  <c r="B22" i="109"/>
  <c r="Z21" i="109"/>
  <c r="X21" i="109"/>
  <c r="N21" i="109"/>
  <c r="L21" i="109"/>
  <c r="F21" i="109"/>
  <c r="B21" i="109"/>
  <c r="Z20" i="109"/>
  <c r="X20" i="109"/>
  <c r="V20" i="109"/>
  <c r="R20" i="109"/>
  <c r="N20" i="109"/>
  <c r="L20" i="109"/>
  <c r="B20" i="109"/>
  <c r="X19" i="109"/>
  <c r="T19" i="109"/>
  <c r="Z19" i="109" s="1"/>
  <c r="P19" i="109"/>
  <c r="H19" i="109"/>
  <c r="D19" i="109"/>
  <c r="L19" i="109" s="1"/>
  <c r="N19" i="109" s="1"/>
  <c r="B19" i="109"/>
  <c r="T18" i="109"/>
  <c r="R18" i="109"/>
  <c r="P18" i="109"/>
  <c r="X18" i="109" s="1"/>
  <c r="Z18" i="109" s="1"/>
  <c r="H18" i="109"/>
  <c r="F18" i="109"/>
  <c r="D18" i="109"/>
  <c r="L18" i="109" s="1"/>
  <c r="R16" i="109"/>
  <c r="F16" i="109"/>
  <c r="Z14" i="109"/>
  <c r="T14" i="109"/>
  <c r="R14" i="109"/>
  <c r="P14" i="109"/>
  <c r="X14" i="109" s="1"/>
  <c r="H14" i="109"/>
  <c r="N14" i="109" s="1"/>
  <c r="F14" i="109"/>
  <c r="D14" i="109"/>
  <c r="L14" i="109" s="1"/>
  <c r="Z12" i="109"/>
  <c r="T12" i="109"/>
  <c r="V40" i="109" s="1"/>
  <c r="P12" i="109"/>
  <c r="R50" i="109" s="1"/>
  <c r="N12" i="109"/>
  <c r="L12" i="109"/>
  <c r="H12" i="109"/>
  <c r="J28" i="109" s="1"/>
  <c r="D12" i="109"/>
  <c r="F46" i="109" s="1"/>
  <c r="D6" i="109"/>
  <c r="D4" i="109"/>
  <c r="Z97" i="108"/>
  <c r="X97" i="108"/>
  <c r="N97" i="108"/>
  <c r="L97" i="108"/>
  <c r="T93" i="108"/>
  <c r="Z93" i="108" s="1"/>
  <c r="P93" i="108"/>
  <c r="X93" i="108" s="1"/>
  <c r="N93" i="108"/>
  <c r="H93" i="108"/>
  <c r="D93" i="108"/>
  <c r="L93" i="108" s="1"/>
  <c r="Z91" i="108"/>
  <c r="X91" i="108"/>
  <c r="N91" i="108"/>
  <c r="L91" i="108"/>
  <c r="J91" i="108"/>
  <c r="B91" i="108"/>
  <c r="Z90" i="108"/>
  <c r="X90" i="108"/>
  <c r="N90" i="108"/>
  <c r="L90" i="108"/>
  <c r="B90" i="108"/>
  <c r="T89" i="108"/>
  <c r="P89" i="108"/>
  <c r="X89" i="108" s="1"/>
  <c r="Z89" i="108" s="1"/>
  <c r="H89" i="108"/>
  <c r="N89" i="108" s="1"/>
  <c r="D89" i="108"/>
  <c r="L89" i="108" s="1"/>
  <c r="B89" i="108"/>
  <c r="X88" i="108"/>
  <c r="Z88" i="108" s="1"/>
  <c r="N88" i="108"/>
  <c r="L88" i="108"/>
  <c r="B88" i="108"/>
  <c r="Z87" i="108"/>
  <c r="X87" i="108"/>
  <c r="T87" i="108"/>
  <c r="P87" i="108"/>
  <c r="N87" i="108"/>
  <c r="L87" i="108"/>
  <c r="H87" i="108"/>
  <c r="D87" i="108"/>
  <c r="B87" i="108"/>
  <c r="X86" i="108"/>
  <c r="Z86" i="108" s="1"/>
  <c r="L86" i="108"/>
  <c r="N86" i="108" s="1"/>
  <c r="J86" i="108"/>
  <c r="B86" i="108"/>
  <c r="X85" i="108"/>
  <c r="T85" i="108"/>
  <c r="Z85" i="108" s="1"/>
  <c r="P85" i="108"/>
  <c r="H85" i="108"/>
  <c r="D85" i="108"/>
  <c r="B85" i="108"/>
  <c r="X84" i="108"/>
  <c r="Z84" i="108" s="1"/>
  <c r="N84" i="108"/>
  <c r="L84" i="108"/>
  <c r="B84" i="108"/>
  <c r="Z83" i="108"/>
  <c r="X83" i="108"/>
  <c r="N83" i="108"/>
  <c r="L83" i="108"/>
  <c r="B83" i="108"/>
  <c r="X82" i="108"/>
  <c r="Z82" i="108" s="1"/>
  <c r="N82" i="108"/>
  <c r="L82" i="108"/>
  <c r="B82" i="108"/>
  <c r="Z81" i="108"/>
  <c r="X81" i="108"/>
  <c r="N81" i="108"/>
  <c r="L81" i="108"/>
  <c r="B81" i="108"/>
  <c r="X80" i="108"/>
  <c r="Z80" i="108" s="1"/>
  <c r="L80" i="108"/>
  <c r="N80" i="108" s="1"/>
  <c r="B80" i="108"/>
  <c r="X79" i="108"/>
  <c r="Z79" i="108" s="1"/>
  <c r="N79" i="108"/>
  <c r="L79" i="108"/>
  <c r="B79" i="108"/>
  <c r="X78" i="108"/>
  <c r="Z78" i="108" s="1"/>
  <c r="T78" i="108"/>
  <c r="P78" i="108"/>
  <c r="H78" i="108"/>
  <c r="D78" i="108"/>
  <c r="L78" i="108" s="1"/>
  <c r="B78" i="108"/>
  <c r="X77" i="108"/>
  <c r="Z77" i="108" s="1"/>
  <c r="L77" i="108"/>
  <c r="N77" i="108" s="1"/>
  <c r="B77" i="108"/>
  <c r="X76" i="108"/>
  <c r="Z76" i="108" s="1"/>
  <c r="N76" i="108"/>
  <c r="L76" i="108"/>
  <c r="B76" i="108"/>
  <c r="Z75" i="108"/>
  <c r="X75" i="108"/>
  <c r="N75" i="108"/>
  <c r="L75" i="108"/>
  <c r="B75" i="108"/>
  <c r="T74" i="108"/>
  <c r="Z74" i="108" s="1"/>
  <c r="P74" i="108"/>
  <c r="X74" i="108" s="1"/>
  <c r="H74" i="108"/>
  <c r="D74" i="108"/>
  <c r="B74" i="108"/>
  <c r="Z73" i="108"/>
  <c r="X73" i="108"/>
  <c r="N73" i="108"/>
  <c r="L73" i="108"/>
  <c r="B73" i="108"/>
  <c r="Z72" i="108"/>
  <c r="X72" i="108"/>
  <c r="N72" i="108"/>
  <c r="L72" i="108"/>
  <c r="B72" i="108"/>
  <c r="Z71" i="108"/>
  <c r="X71" i="108"/>
  <c r="N71" i="108"/>
  <c r="L71" i="108"/>
  <c r="B71" i="108"/>
  <c r="X70" i="108"/>
  <c r="Z70" i="108" s="1"/>
  <c r="L70" i="108"/>
  <c r="N70" i="108" s="1"/>
  <c r="B70" i="108"/>
  <c r="X69" i="108"/>
  <c r="T69" i="108"/>
  <c r="Z69" i="108" s="1"/>
  <c r="P69" i="108"/>
  <c r="H69" i="108"/>
  <c r="D69" i="108"/>
  <c r="B69" i="108"/>
  <c r="X68" i="108"/>
  <c r="Z68" i="108" s="1"/>
  <c r="L68" i="108"/>
  <c r="N68" i="108" s="1"/>
  <c r="B68" i="108"/>
  <c r="T67" i="108"/>
  <c r="P67" i="108"/>
  <c r="X67" i="108" s="1"/>
  <c r="H67" i="108"/>
  <c r="F67" i="108"/>
  <c r="D67" i="108"/>
  <c r="L67" i="108" s="1"/>
  <c r="N67" i="108" s="1"/>
  <c r="B67" i="108"/>
  <c r="Z66" i="108"/>
  <c r="X66" i="108"/>
  <c r="L66" i="108"/>
  <c r="N66" i="108" s="1"/>
  <c r="B66" i="108"/>
  <c r="X65" i="108"/>
  <c r="Z65" i="108" s="1"/>
  <c r="T65" i="108"/>
  <c r="P65" i="108"/>
  <c r="H65" i="108"/>
  <c r="D65" i="108"/>
  <c r="L65" i="108" s="1"/>
  <c r="N65" i="108" s="1"/>
  <c r="B65" i="108"/>
  <c r="Z64" i="108"/>
  <c r="X64" i="108"/>
  <c r="L64" i="108"/>
  <c r="N64" i="108" s="1"/>
  <c r="B64" i="108"/>
  <c r="T63" i="108"/>
  <c r="P63" i="108"/>
  <c r="L63" i="108"/>
  <c r="H63" i="108"/>
  <c r="N63" i="108" s="1"/>
  <c r="D63" i="108"/>
  <c r="B63" i="108"/>
  <c r="Z62" i="108"/>
  <c r="X62" i="108"/>
  <c r="N62" i="108"/>
  <c r="L62" i="108"/>
  <c r="B62" i="108"/>
  <c r="Z61" i="108"/>
  <c r="T61" i="108"/>
  <c r="P61" i="108"/>
  <c r="X61" i="108" s="1"/>
  <c r="H61" i="108"/>
  <c r="N61" i="108" s="1"/>
  <c r="D61" i="108"/>
  <c r="L61" i="108" s="1"/>
  <c r="B61" i="108"/>
  <c r="X60" i="108"/>
  <c r="Z60" i="108" s="1"/>
  <c r="N60" i="108"/>
  <c r="L60" i="108"/>
  <c r="B60" i="108"/>
  <c r="T59" i="108"/>
  <c r="P59" i="108"/>
  <c r="X59" i="108" s="1"/>
  <c r="Z59" i="108" s="1"/>
  <c r="N59" i="108"/>
  <c r="L59" i="108"/>
  <c r="H59" i="108"/>
  <c r="D59" i="108"/>
  <c r="B59" i="108"/>
  <c r="X58" i="108"/>
  <c r="Z58" i="108" s="1"/>
  <c r="L58" i="108"/>
  <c r="N58" i="108" s="1"/>
  <c r="B58" i="108"/>
  <c r="X57" i="108"/>
  <c r="T57" i="108"/>
  <c r="Z57" i="108" s="1"/>
  <c r="R57" i="108"/>
  <c r="P57" i="108"/>
  <c r="H57" i="108"/>
  <c r="D57" i="108"/>
  <c r="B57" i="108"/>
  <c r="Z56" i="108"/>
  <c r="X56" i="108"/>
  <c r="N56" i="108"/>
  <c r="L56" i="108"/>
  <c r="B56" i="108"/>
  <c r="T55" i="108"/>
  <c r="Z55" i="108" s="1"/>
  <c r="P55" i="108"/>
  <c r="X55" i="108" s="1"/>
  <c r="N55" i="108"/>
  <c r="H55" i="108"/>
  <c r="D55" i="108"/>
  <c r="L55" i="108" s="1"/>
  <c r="B55" i="108"/>
  <c r="Z54" i="108"/>
  <c r="X54" i="108"/>
  <c r="L54" i="108"/>
  <c r="N54" i="108" s="1"/>
  <c r="B54" i="108"/>
  <c r="Z53" i="108"/>
  <c r="X53" i="108"/>
  <c r="T53" i="108"/>
  <c r="P53" i="108"/>
  <c r="H53" i="108"/>
  <c r="D53" i="108"/>
  <c r="L53" i="108" s="1"/>
  <c r="N53" i="108" s="1"/>
  <c r="B53" i="108"/>
  <c r="Z52" i="108"/>
  <c r="X52" i="108"/>
  <c r="L52" i="108"/>
  <c r="N52" i="108" s="1"/>
  <c r="B52" i="108"/>
  <c r="Z51" i="108"/>
  <c r="X51" i="108"/>
  <c r="L51" i="108"/>
  <c r="N51" i="108" s="1"/>
  <c r="B51" i="108"/>
  <c r="T50" i="108"/>
  <c r="P50" i="108"/>
  <c r="X50" i="108" s="1"/>
  <c r="H50" i="108"/>
  <c r="D50" i="108"/>
  <c r="L50" i="108" s="1"/>
  <c r="N50" i="108" s="1"/>
  <c r="B50" i="108"/>
  <c r="Z49" i="108"/>
  <c r="X49" i="108"/>
  <c r="N49" i="108"/>
  <c r="L49" i="108"/>
  <c r="B49" i="108"/>
  <c r="T48" i="108"/>
  <c r="P48" i="108"/>
  <c r="L48" i="108"/>
  <c r="N48" i="108" s="1"/>
  <c r="H48" i="108"/>
  <c r="D48" i="108"/>
  <c r="B48" i="108"/>
  <c r="Z47" i="108"/>
  <c r="X47" i="108"/>
  <c r="N47" i="108"/>
  <c r="L47" i="108"/>
  <c r="B47" i="108"/>
  <c r="Z46" i="108"/>
  <c r="X46" i="108"/>
  <c r="R46" i="108"/>
  <c r="N46" i="108"/>
  <c r="L46" i="108"/>
  <c r="B46" i="108"/>
  <c r="X45" i="108"/>
  <c r="Z45" i="108" s="1"/>
  <c r="N45" i="108"/>
  <c r="L45" i="108"/>
  <c r="B45" i="108"/>
  <c r="X44" i="108"/>
  <c r="Z44" i="108" s="1"/>
  <c r="R44" i="108"/>
  <c r="N44" i="108"/>
  <c r="L44" i="108"/>
  <c r="B44" i="108"/>
  <c r="Z43" i="108"/>
  <c r="X43" i="108"/>
  <c r="N43" i="108"/>
  <c r="L43" i="108"/>
  <c r="B43" i="108"/>
  <c r="X42" i="108"/>
  <c r="Z42" i="108" s="1"/>
  <c r="L42" i="108"/>
  <c r="N42" i="108" s="1"/>
  <c r="B42" i="108"/>
  <c r="X41" i="108"/>
  <c r="Z41" i="108" s="1"/>
  <c r="L41" i="108"/>
  <c r="N41" i="108" s="1"/>
  <c r="J41" i="108"/>
  <c r="B41" i="108"/>
  <c r="Z40" i="108"/>
  <c r="X40" i="108"/>
  <c r="N40" i="108"/>
  <c r="L40" i="108"/>
  <c r="B40" i="108"/>
  <c r="Z39" i="108"/>
  <c r="X39" i="108"/>
  <c r="N39" i="108"/>
  <c r="L39" i="108"/>
  <c r="B39" i="108"/>
  <c r="Z38" i="108"/>
  <c r="X38" i="108"/>
  <c r="N38" i="108"/>
  <c r="L38" i="108"/>
  <c r="B38" i="108"/>
  <c r="X37" i="108"/>
  <c r="Z37" i="108" s="1"/>
  <c r="T37" i="108"/>
  <c r="P37" i="108"/>
  <c r="N37" i="108"/>
  <c r="H37" i="108"/>
  <c r="D37" i="108"/>
  <c r="L37" i="108" s="1"/>
  <c r="B37" i="108"/>
  <c r="Z36" i="108"/>
  <c r="X36" i="108"/>
  <c r="N36" i="108"/>
  <c r="L36" i="108"/>
  <c r="B36" i="108"/>
  <c r="Z35" i="108"/>
  <c r="X35" i="108"/>
  <c r="N35" i="108"/>
  <c r="L35" i="108"/>
  <c r="B35" i="108"/>
  <c r="X34" i="108"/>
  <c r="Z34" i="108" s="1"/>
  <c r="L34" i="108"/>
  <c r="N34" i="108" s="1"/>
  <c r="B34" i="108"/>
  <c r="Z33" i="108"/>
  <c r="X33" i="108"/>
  <c r="N33" i="108"/>
  <c r="L33" i="108"/>
  <c r="B33" i="108"/>
  <c r="Z32" i="108"/>
  <c r="X32" i="108"/>
  <c r="N32" i="108"/>
  <c r="L32" i="108"/>
  <c r="B32" i="108"/>
  <c r="Z31" i="108"/>
  <c r="X31" i="108"/>
  <c r="N31" i="108"/>
  <c r="L31" i="108"/>
  <c r="B31" i="108"/>
  <c r="X30" i="108"/>
  <c r="Z30" i="108" s="1"/>
  <c r="L30" i="108"/>
  <c r="N30" i="108" s="1"/>
  <c r="B30" i="108"/>
  <c r="X29" i="108"/>
  <c r="Z29" i="108" s="1"/>
  <c r="N29" i="108"/>
  <c r="L29" i="108"/>
  <c r="B29" i="108"/>
  <c r="Z28" i="108"/>
  <c r="X28" i="108"/>
  <c r="N28" i="108"/>
  <c r="L28" i="108"/>
  <c r="F28" i="108"/>
  <c r="B28" i="108"/>
  <c r="Z27" i="108"/>
  <c r="X27" i="108"/>
  <c r="N27" i="108"/>
  <c r="L27" i="108"/>
  <c r="B27" i="108"/>
  <c r="T26" i="108"/>
  <c r="P26" i="108"/>
  <c r="H26" i="108"/>
  <c r="D26" i="108"/>
  <c r="L26" i="108" s="1"/>
  <c r="N26" i="108" s="1"/>
  <c r="B26" i="108"/>
  <c r="T25" i="108"/>
  <c r="P25" i="108"/>
  <c r="R25" i="108" s="1"/>
  <c r="H25" i="108"/>
  <c r="D25" i="108"/>
  <c r="P23" i="108"/>
  <c r="Z21" i="108"/>
  <c r="X21" i="108"/>
  <c r="N21" i="108"/>
  <c r="L21" i="108"/>
  <c r="B21" i="108"/>
  <c r="Z20" i="108"/>
  <c r="X20" i="108"/>
  <c r="N20" i="108"/>
  <c r="L20" i="108"/>
  <c r="B20" i="108"/>
  <c r="Z19" i="108"/>
  <c r="X19" i="108"/>
  <c r="L19" i="108"/>
  <c r="N19" i="108" s="1"/>
  <c r="J19" i="108"/>
  <c r="F19" i="108"/>
  <c r="B19" i="108"/>
  <c r="T18" i="108"/>
  <c r="P18" i="108"/>
  <c r="X18" i="108" s="1"/>
  <c r="Z18" i="108" s="1"/>
  <c r="H18" i="108"/>
  <c r="D18" i="108"/>
  <c r="Z16" i="108"/>
  <c r="X16" i="108"/>
  <c r="P16" i="108"/>
  <c r="N16" i="108"/>
  <c r="D16" i="108"/>
  <c r="L16" i="108" s="1"/>
  <c r="B16" i="108"/>
  <c r="Z15" i="108"/>
  <c r="P15" i="108"/>
  <c r="X15" i="108" s="1"/>
  <c r="N15" i="108"/>
  <c r="L15" i="108"/>
  <c r="D15" i="108"/>
  <c r="B15" i="108"/>
  <c r="X14" i="108"/>
  <c r="Z14" i="108" s="1"/>
  <c r="P14" i="108"/>
  <c r="L14" i="108"/>
  <c r="N14" i="108" s="1"/>
  <c r="D14" i="108"/>
  <c r="B14" i="108"/>
  <c r="Z13" i="108"/>
  <c r="X13" i="108"/>
  <c r="P13" i="108"/>
  <c r="P12" i="108" s="1"/>
  <c r="R85" i="108" s="1"/>
  <c r="N13" i="108"/>
  <c r="L13" i="108"/>
  <c r="D13" i="108"/>
  <c r="B13" i="108"/>
  <c r="T12" i="108"/>
  <c r="H12" i="108"/>
  <c r="D12" i="108"/>
  <c r="F47" i="108" s="1"/>
  <c r="D6" i="108"/>
  <c r="D4" i="108"/>
  <c r="X95" i="106"/>
  <c r="Z95" i="106" s="1"/>
  <c r="L95" i="106"/>
  <c r="N95" i="106" s="1"/>
  <c r="T91" i="106"/>
  <c r="Z91" i="106" s="1"/>
  <c r="P91" i="106"/>
  <c r="X91" i="106" s="1"/>
  <c r="N91" i="106"/>
  <c r="L91" i="106"/>
  <c r="H91" i="106"/>
  <c r="D91" i="106"/>
  <c r="Z89" i="106"/>
  <c r="X89" i="106"/>
  <c r="N89" i="106"/>
  <c r="L89" i="106"/>
  <c r="J89" i="106"/>
  <c r="B89" i="106"/>
  <c r="Z88" i="106"/>
  <c r="T88" i="106"/>
  <c r="P88" i="106"/>
  <c r="X88" i="106" s="1"/>
  <c r="J88" i="106"/>
  <c r="H88" i="106"/>
  <c r="D88" i="106"/>
  <c r="B88" i="106"/>
  <c r="X87" i="106"/>
  <c r="Z87" i="106" s="1"/>
  <c r="N87" i="106"/>
  <c r="L87" i="106"/>
  <c r="B87" i="106"/>
  <c r="Z86" i="106"/>
  <c r="X86" i="106"/>
  <c r="T86" i="106"/>
  <c r="P86" i="106"/>
  <c r="H86" i="106"/>
  <c r="D86" i="106"/>
  <c r="L86" i="106" s="1"/>
  <c r="N86" i="106" s="1"/>
  <c r="B86" i="106"/>
  <c r="X85" i="106"/>
  <c r="Z85" i="106" s="1"/>
  <c r="L85" i="106"/>
  <c r="N85" i="106" s="1"/>
  <c r="J85" i="106"/>
  <c r="B85" i="106"/>
  <c r="Z84" i="106"/>
  <c r="X84" i="106"/>
  <c r="T84" i="106"/>
  <c r="P84" i="106"/>
  <c r="H84" i="106"/>
  <c r="D84" i="106"/>
  <c r="L84" i="106" s="1"/>
  <c r="B84" i="106"/>
  <c r="X83" i="106"/>
  <c r="Z83" i="106" s="1"/>
  <c r="L83" i="106"/>
  <c r="N83" i="106" s="1"/>
  <c r="B83" i="106"/>
  <c r="Z82" i="106"/>
  <c r="X82" i="106"/>
  <c r="N82" i="106"/>
  <c r="L82" i="106"/>
  <c r="B82" i="106"/>
  <c r="Z81" i="106"/>
  <c r="X81" i="106"/>
  <c r="V81" i="106"/>
  <c r="N81" i="106"/>
  <c r="L81" i="106"/>
  <c r="J81" i="106"/>
  <c r="B81" i="106"/>
  <c r="Z80" i="106"/>
  <c r="X80" i="106"/>
  <c r="L80" i="106"/>
  <c r="N80" i="106" s="1"/>
  <c r="B80" i="106"/>
  <c r="Z79" i="106"/>
  <c r="X79" i="106"/>
  <c r="L79" i="106"/>
  <c r="N79" i="106" s="1"/>
  <c r="B79" i="106"/>
  <c r="Z78" i="106"/>
  <c r="X78" i="106"/>
  <c r="N78" i="106"/>
  <c r="L78" i="106"/>
  <c r="B78" i="106"/>
  <c r="X77" i="106"/>
  <c r="Z77" i="106" s="1"/>
  <c r="L77" i="106"/>
  <c r="N77" i="106" s="1"/>
  <c r="J77" i="106"/>
  <c r="B77" i="106"/>
  <c r="Z76" i="106"/>
  <c r="X76" i="106"/>
  <c r="N76" i="106"/>
  <c r="L76" i="106"/>
  <c r="B76" i="106"/>
  <c r="X75" i="106"/>
  <c r="Z75" i="106" s="1"/>
  <c r="T75" i="106"/>
  <c r="P75" i="106"/>
  <c r="J75" i="106"/>
  <c r="H75" i="106"/>
  <c r="N75" i="106" s="1"/>
  <c r="D75" i="106"/>
  <c r="L75" i="106" s="1"/>
  <c r="B75" i="106"/>
  <c r="Z74" i="106"/>
  <c r="X74" i="106"/>
  <c r="N74" i="106"/>
  <c r="L74" i="106"/>
  <c r="B74" i="106"/>
  <c r="X73" i="106"/>
  <c r="Z73" i="106" s="1"/>
  <c r="R73" i="106"/>
  <c r="L73" i="106"/>
  <c r="N73" i="106" s="1"/>
  <c r="B73" i="106"/>
  <c r="Z72" i="106"/>
  <c r="X72" i="106"/>
  <c r="N72" i="106"/>
  <c r="L72" i="106"/>
  <c r="J72" i="106"/>
  <c r="B72" i="106"/>
  <c r="X71" i="106"/>
  <c r="Z71" i="106" s="1"/>
  <c r="N71" i="106"/>
  <c r="L71" i="106"/>
  <c r="B71" i="106"/>
  <c r="Z70" i="106"/>
  <c r="X70" i="106"/>
  <c r="T70" i="106"/>
  <c r="P70" i="106"/>
  <c r="H70" i="106"/>
  <c r="D70" i="106"/>
  <c r="L70" i="106" s="1"/>
  <c r="B70" i="106"/>
  <c r="X69" i="106"/>
  <c r="Z69" i="106" s="1"/>
  <c r="L69" i="106"/>
  <c r="N69" i="106" s="1"/>
  <c r="J69" i="106"/>
  <c r="B69" i="106"/>
  <c r="Z68" i="106"/>
  <c r="X68" i="106"/>
  <c r="N68" i="106"/>
  <c r="L68" i="106"/>
  <c r="B68" i="106"/>
  <c r="Z67" i="106"/>
  <c r="X67" i="106"/>
  <c r="L67" i="106"/>
  <c r="N67" i="106" s="1"/>
  <c r="B67" i="106"/>
  <c r="T66" i="106"/>
  <c r="P66" i="106"/>
  <c r="L66" i="106"/>
  <c r="N66" i="106" s="1"/>
  <c r="J66" i="106"/>
  <c r="H66" i="106"/>
  <c r="D66" i="106"/>
  <c r="B66" i="106"/>
  <c r="X65" i="106"/>
  <c r="Z65" i="106" s="1"/>
  <c r="V65" i="106"/>
  <c r="L65" i="106"/>
  <c r="N65" i="106" s="1"/>
  <c r="J65" i="106"/>
  <c r="B65" i="106"/>
  <c r="T64" i="106"/>
  <c r="P64" i="106"/>
  <c r="X64" i="106" s="1"/>
  <c r="Z64" i="106" s="1"/>
  <c r="H64" i="106"/>
  <c r="F64" i="106"/>
  <c r="D64" i="106"/>
  <c r="B64" i="106"/>
  <c r="X63" i="106"/>
  <c r="Z63" i="106" s="1"/>
  <c r="N63" i="106"/>
  <c r="L63" i="106"/>
  <c r="B63" i="106"/>
  <c r="Z62" i="106"/>
  <c r="X62" i="106"/>
  <c r="T62" i="106"/>
  <c r="P62" i="106"/>
  <c r="H62" i="106"/>
  <c r="D62" i="106"/>
  <c r="L62" i="106" s="1"/>
  <c r="B62" i="106"/>
  <c r="Z61" i="106"/>
  <c r="X61" i="106"/>
  <c r="L61" i="106"/>
  <c r="N61" i="106" s="1"/>
  <c r="J61" i="106"/>
  <c r="B61" i="106"/>
  <c r="X60" i="106"/>
  <c r="Z60" i="106" s="1"/>
  <c r="V60" i="106"/>
  <c r="T60" i="106"/>
  <c r="P60" i="106"/>
  <c r="H60" i="106"/>
  <c r="D60" i="106"/>
  <c r="B60" i="106"/>
  <c r="Z59" i="106"/>
  <c r="X59" i="106"/>
  <c r="L59" i="106"/>
  <c r="N59" i="106" s="1"/>
  <c r="B59" i="106"/>
  <c r="T58" i="106"/>
  <c r="R58" i="106"/>
  <c r="P58" i="106"/>
  <c r="H58" i="106"/>
  <c r="D58" i="106"/>
  <c r="L58" i="106" s="1"/>
  <c r="N58" i="106" s="1"/>
  <c r="B58" i="106"/>
  <c r="X57" i="106"/>
  <c r="Z57" i="106" s="1"/>
  <c r="N57" i="106"/>
  <c r="L57" i="106"/>
  <c r="B57" i="106"/>
  <c r="T56" i="106"/>
  <c r="Z56" i="106" s="1"/>
  <c r="P56" i="106"/>
  <c r="X56" i="106" s="1"/>
  <c r="N56" i="106"/>
  <c r="L56" i="106"/>
  <c r="H56" i="106"/>
  <c r="D56" i="106"/>
  <c r="B56" i="106"/>
  <c r="Z55" i="106"/>
  <c r="X55" i="106"/>
  <c r="L55" i="106"/>
  <c r="N55" i="106" s="1"/>
  <c r="B55" i="106"/>
  <c r="T54" i="106"/>
  <c r="P54" i="106"/>
  <c r="X54" i="106" s="1"/>
  <c r="L54" i="106"/>
  <c r="N54" i="106" s="1"/>
  <c r="J54" i="106"/>
  <c r="H54" i="106"/>
  <c r="D54" i="106"/>
  <c r="B54" i="106"/>
  <c r="X53" i="106"/>
  <c r="Z53" i="106" s="1"/>
  <c r="L53" i="106"/>
  <c r="N53" i="106" s="1"/>
  <c r="J53" i="106"/>
  <c r="B53" i="106"/>
  <c r="T52" i="106"/>
  <c r="P52" i="106"/>
  <c r="X52" i="106" s="1"/>
  <c r="J52" i="106"/>
  <c r="H52" i="106"/>
  <c r="D52" i="106"/>
  <c r="B52" i="106"/>
  <c r="X51" i="106"/>
  <c r="Z51" i="106" s="1"/>
  <c r="N51" i="106"/>
  <c r="L51" i="106"/>
  <c r="B51" i="106"/>
  <c r="Z50" i="106"/>
  <c r="X50" i="106"/>
  <c r="T50" i="106"/>
  <c r="P50" i="106"/>
  <c r="H50" i="106"/>
  <c r="D50" i="106"/>
  <c r="L50" i="106" s="1"/>
  <c r="B50" i="106"/>
  <c r="Z49" i="106"/>
  <c r="X49" i="106"/>
  <c r="N49" i="106"/>
  <c r="L49" i="106"/>
  <c r="J49" i="106"/>
  <c r="B49" i="106"/>
  <c r="Z48" i="106"/>
  <c r="X48" i="106"/>
  <c r="T48" i="106"/>
  <c r="P48" i="106"/>
  <c r="H48" i="106"/>
  <c r="D48" i="106"/>
  <c r="B48" i="106"/>
  <c r="Z47" i="106"/>
  <c r="X47" i="106"/>
  <c r="N47" i="106"/>
  <c r="L47" i="106"/>
  <c r="B47" i="106"/>
  <c r="Z46" i="106"/>
  <c r="X46" i="106"/>
  <c r="N46" i="106"/>
  <c r="L46" i="106"/>
  <c r="B46" i="106"/>
  <c r="Z45" i="106"/>
  <c r="X45" i="106"/>
  <c r="V45" i="106"/>
  <c r="L45" i="106"/>
  <c r="N45" i="106" s="1"/>
  <c r="J45" i="106"/>
  <c r="B45" i="106"/>
  <c r="Z44" i="106"/>
  <c r="X44" i="106"/>
  <c r="N44" i="106"/>
  <c r="L44" i="106"/>
  <c r="B44" i="106"/>
  <c r="Z43" i="106"/>
  <c r="X43" i="106"/>
  <c r="N43" i="106"/>
  <c r="L43" i="106"/>
  <c r="B43" i="106"/>
  <c r="Z42" i="106"/>
  <c r="X42" i="106"/>
  <c r="N42" i="106"/>
  <c r="L42" i="106"/>
  <c r="B42" i="106"/>
  <c r="X41" i="106"/>
  <c r="Z41" i="106" s="1"/>
  <c r="V41" i="106"/>
  <c r="L41" i="106"/>
  <c r="N41" i="106" s="1"/>
  <c r="J41" i="106"/>
  <c r="B41" i="106"/>
  <c r="Z40" i="106"/>
  <c r="X40" i="106"/>
  <c r="N40" i="106"/>
  <c r="L40" i="106"/>
  <c r="B40" i="106"/>
  <c r="X39" i="106"/>
  <c r="Z39" i="106" s="1"/>
  <c r="L39" i="106"/>
  <c r="N39" i="106" s="1"/>
  <c r="B39" i="106"/>
  <c r="Z38" i="106"/>
  <c r="X38" i="106"/>
  <c r="N38" i="106"/>
  <c r="L38" i="106"/>
  <c r="B38" i="106"/>
  <c r="V37" i="106"/>
  <c r="T37" i="106"/>
  <c r="P37" i="106"/>
  <c r="X37" i="106" s="1"/>
  <c r="N37" i="106"/>
  <c r="L37" i="106"/>
  <c r="H37" i="106"/>
  <c r="D37" i="106"/>
  <c r="B37" i="106"/>
  <c r="X36" i="106"/>
  <c r="Z36" i="106" s="1"/>
  <c r="L36" i="106"/>
  <c r="N36" i="106" s="1"/>
  <c r="J36" i="106"/>
  <c r="B36" i="106"/>
  <c r="X35" i="106"/>
  <c r="Z35" i="106" s="1"/>
  <c r="N35" i="106"/>
  <c r="L35" i="106"/>
  <c r="B35" i="106"/>
  <c r="Z34" i="106"/>
  <c r="X34" i="106"/>
  <c r="N34" i="106"/>
  <c r="L34" i="106"/>
  <c r="B34" i="106"/>
  <c r="Z33" i="106"/>
  <c r="X33" i="106"/>
  <c r="V33" i="106"/>
  <c r="R33" i="106"/>
  <c r="N33" i="106"/>
  <c r="L33" i="106"/>
  <c r="B33" i="106"/>
  <c r="Z32" i="106"/>
  <c r="X32" i="106"/>
  <c r="N32" i="106"/>
  <c r="L32" i="106"/>
  <c r="J32" i="106"/>
  <c r="B32" i="106"/>
  <c r="X31" i="106"/>
  <c r="Z31" i="106" s="1"/>
  <c r="N31" i="106"/>
  <c r="L31" i="106"/>
  <c r="B31" i="106"/>
  <c r="Z30" i="106"/>
  <c r="X30" i="106"/>
  <c r="N30" i="106"/>
  <c r="L30" i="106"/>
  <c r="B30" i="106"/>
  <c r="X29" i="106"/>
  <c r="Z29" i="106" s="1"/>
  <c r="V29" i="106"/>
  <c r="R29" i="106"/>
  <c r="N29" i="106"/>
  <c r="L29" i="106"/>
  <c r="B29" i="106"/>
  <c r="X28" i="106"/>
  <c r="Z28" i="106" s="1"/>
  <c r="L28" i="106"/>
  <c r="N28" i="106" s="1"/>
  <c r="J28" i="106"/>
  <c r="B28" i="106"/>
  <c r="X27" i="106"/>
  <c r="Z27" i="106" s="1"/>
  <c r="N27" i="106"/>
  <c r="L27" i="106"/>
  <c r="B27" i="106"/>
  <c r="Z26" i="106"/>
  <c r="X26" i="106"/>
  <c r="T26" i="106"/>
  <c r="P26" i="106"/>
  <c r="J26" i="106"/>
  <c r="H26" i="106"/>
  <c r="F26" i="106"/>
  <c r="D26" i="106"/>
  <c r="L26" i="106" s="1"/>
  <c r="B26" i="106"/>
  <c r="T25" i="106"/>
  <c r="P25" i="106"/>
  <c r="X25" i="106" s="1"/>
  <c r="H25" i="106"/>
  <c r="D25" i="106"/>
  <c r="H23" i="106"/>
  <c r="Z21" i="106"/>
  <c r="X21" i="106"/>
  <c r="R21" i="106"/>
  <c r="N21" i="106"/>
  <c r="L21" i="106"/>
  <c r="J21" i="106"/>
  <c r="B21" i="106"/>
  <c r="Z20" i="106"/>
  <c r="X20" i="106"/>
  <c r="N20" i="106"/>
  <c r="L20" i="106"/>
  <c r="J20" i="106"/>
  <c r="B20" i="106"/>
  <c r="X19" i="106"/>
  <c r="Z19" i="106" s="1"/>
  <c r="R19" i="106"/>
  <c r="L19" i="106"/>
  <c r="N19" i="106" s="1"/>
  <c r="J19" i="106"/>
  <c r="B19" i="106"/>
  <c r="T18" i="106"/>
  <c r="R18" i="106"/>
  <c r="P18" i="106"/>
  <c r="N18" i="106"/>
  <c r="L18" i="106"/>
  <c r="J18" i="106"/>
  <c r="H18" i="106"/>
  <c r="D18" i="106"/>
  <c r="Z16" i="106"/>
  <c r="P16" i="106"/>
  <c r="X16" i="106" s="1"/>
  <c r="N16" i="106"/>
  <c r="L16" i="106"/>
  <c r="D16" i="106"/>
  <c r="B16" i="106"/>
  <c r="Z15" i="106"/>
  <c r="X15" i="106"/>
  <c r="P15" i="106"/>
  <c r="N15" i="106"/>
  <c r="D15" i="106"/>
  <c r="L15" i="106" s="1"/>
  <c r="B15" i="106"/>
  <c r="P14" i="106"/>
  <c r="X14" i="106" s="1"/>
  <c r="Z14" i="106" s="1"/>
  <c r="D14" i="106"/>
  <c r="L14" i="106" s="1"/>
  <c r="N14" i="106" s="1"/>
  <c r="B14" i="106"/>
  <c r="Z13" i="106"/>
  <c r="X13" i="106"/>
  <c r="P13" i="106"/>
  <c r="N13" i="106"/>
  <c r="D13" i="106"/>
  <c r="D12" i="106" s="1"/>
  <c r="F77" i="106" s="1"/>
  <c r="B13" i="106"/>
  <c r="T12" i="106"/>
  <c r="P12" i="106"/>
  <c r="R55" i="106" s="1"/>
  <c r="H12" i="106"/>
  <c r="D6" i="106"/>
  <c r="D4" i="106"/>
  <c r="X67" i="105"/>
  <c r="Z67" i="105" s="1"/>
  <c r="V67" i="105"/>
  <c r="N67" i="105"/>
  <c r="L67" i="105"/>
  <c r="T63" i="105"/>
  <c r="Z63" i="105" s="1"/>
  <c r="P63" i="105"/>
  <c r="X63" i="105" s="1"/>
  <c r="N63" i="105"/>
  <c r="J63" i="105"/>
  <c r="H63" i="105"/>
  <c r="D63" i="105"/>
  <c r="Z61" i="105"/>
  <c r="X61" i="105"/>
  <c r="N61" i="105"/>
  <c r="L61" i="105"/>
  <c r="B61" i="105"/>
  <c r="Z60" i="105"/>
  <c r="X60" i="105"/>
  <c r="T60" i="105"/>
  <c r="P60" i="105"/>
  <c r="L60" i="105"/>
  <c r="H60" i="105"/>
  <c r="N60" i="105" s="1"/>
  <c r="D60" i="105"/>
  <c r="B60" i="105"/>
  <c r="Z59" i="105"/>
  <c r="X59" i="105"/>
  <c r="N59" i="105"/>
  <c r="L59" i="105"/>
  <c r="J59" i="105"/>
  <c r="B59" i="105"/>
  <c r="X58" i="105"/>
  <c r="Z58" i="105" s="1"/>
  <c r="N58" i="105"/>
  <c r="L58" i="105"/>
  <c r="B58" i="105"/>
  <c r="Z57" i="105"/>
  <c r="X57" i="105"/>
  <c r="V57" i="105"/>
  <c r="N57" i="105"/>
  <c r="L57" i="105"/>
  <c r="B57" i="105"/>
  <c r="T56" i="105"/>
  <c r="P56" i="105"/>
  <c r="X56" i="105" s="1"/>
  <c r="H56" i="105"/>
  <c r="D56" i="105"/>
  <c r="B56" i="105"/>
  <c r="Z55" i="105"/>
  <c r="X55" i="105"/>
  <c r="N55" i="105"/>
  <c r="L55" i="105"/>
  <c r="J55" i="105"/>
  <c r="B55" i="105"/>
  <c r="T54" i="105"/>
  <c r="X54" i="105" s="1"/>
  <c r="Z54" i="105" s="1"/>
  <c r="P54" i="105"/>
  <c r="H54" i="105"/>
  <c r="D54" i="105"/>
  <c r="L54" i="105" s="1"/>
  <c r="B54" i="105"/>
  <c r="Z53" i="105"/>
  <c r="X53" i="105"/>
  <c r="N53" i="105"/>
  <c r="L53" i="105"/>
  <c r="B53" i="105"/>
  <c r="V52" i="105"/>
  <c r="T52" i="105"/>
  <c r="P52" i="105"/>
  <c r="X52" i="105" s="1"/>
  <c r="H52" i="105"/>
  <c r="L52" i="105" s="1"/>
  <c r="N52" i="105" s="1"/>
  <c r="D52" i="105"/>
  <c r="B52" i="105"/>
  <c r="Z51" i="105"/>
  <c r="X51" i="105"/>
  <c r="N51" i="105"/>
  <c r="L51" i="105"/>
  <c r="J51" i="105"/>
  <c r="B51" i="105"/>
  <c r="Z50" i="105"/>
  <c r="T50" i="105"/>
  <c r="P50" i="105"/>
  <c r="X50" i="105" s="1"/>
  <c r="H50" i="105"/>
  <c r="N50" i="105" s="1"/>
  <c r="D50" i="105"/>
  <c r="L50" i="105" s="1"/>
  <c r="B50" i="105"/>
  <c r="Z49" i="105"/>
  <c r="X49" i="105"/>
  <c r="N49" i="105"/>
  <c r="L49" i="105"/>
  <c r="B49" i="105"/>
  <c r="Z48" i="105"/>
  <c r="X48" i="105"/>
  <c r="T48" i="105"/>
  <c r="P48" i="105"/>
  <c r="H48" i="105"/>
  <c r="D48" i="105"/>
  <c r="L48" i="105" s="1"/>
  <c r="B48" i="105"/>
  <c r="Z47" i="105"/>
  <c r="X47" i="105"/>
  <c r="L47" i="105"/>
  <c r="N47" i="105" s="1"/>
  <c r="J47" i="105"/>
  <c r="B47" i="105"/>
  <c r="X46" i="105"/>
  <c r="Z46" i="105" s="1"/>
  <c r="V46" i="105"/>
  <c r="T46" i="105"/>
  <c r="P46" i="105"/>
  <c r="H46" i="105"/>
  <c r="D46" i="105"/>
  <c r="L46" i="105" s="1"/>
  <c r="B46" i="105"/>
  <c r="Z45" i="105"/>
  <c r="X45" i="105"/>
  <c r="N45" i="105"/>
  <c r="L45" i="105"/>
  <c r="B45" i="105"/>
  <c r="Z44" i="105"/>
  <c r="X44" i="105"/>
  <c r="V44" i="105"/>
  <c r="N44" i="105"/>
  <c r="L44" i="105"/>
  <c r="B44" i="105"/>
  <c r="X43" i="105"/>
  <c r="Z43" i="105" s="1"/>
  <c r="V43" i="105"/>
  <c r="L43" i="105"/>
  <c r="N43" i="105" s="1"/>
  <c r="J43" i="105"/>
  <c r="B43" i="105"/>
  <c r="Z42" i="105"/>
  <c r="X42" i="105"/>
  <c r="N42" i="105"/>
  <c r="L42" i="105"/>
  <c r="B42" i="105"/>
  <c r="Z41" i="105"/>
  <c r="X41" i="105"/>
  <c r="N41" i="105"/>
  <c r="L41" i="105"/>
  <c r="B41" i="105"/>
  <c r="Z40" i="105"/>
  <c r="X40" i="105"/>
  <c r="V40" i="105"/>
  <c r="N40" i="105"/>
  <c r="L40" i="105"/>
  <c r="B40" i="105"/>
  <c r="Z39" i="105"/>
  <c r="X39" i="105"/>
  <c r="V39" i="105"/>
  <c r="N39" i="105"/>
  <c r="L39" i="105"/>
  <c r="J39" i="105"/>
  <c r="B39" i="105"/>
  <c r="Z38" i="105"/>
  <c r="X38" i="105"/>
  <c r="N38" i="105"/>
  <c r="L38" i="105"/>
  <c r="B38" i="105"/>
  <c r="Z37" i="105"/>
  <c r="X37" i="105"/>
  <c r="N37" i="105"/>
  <c r="L37" i="105"/>
  <c r="B37" i="105"/>
  <c r="Z36" i="105"/>
  <c r="X36" i="105"/>
  <c r="V36" i="105"/>
  <c r="N36" i="105"/>
  <c r="L36" i="105"/>
  <c r="B36" i="105"/>
  <c r="V35" i="105"/>
  <c r="T35" i="105"/>
  <c r="Z35" i="105" s="1"/>
  <c r="P35" i="105"/>
  <c r="X35" i="105" s="1"/>
  <c r="L35" i="105"/>
  <c r="N35" i="105" s="1"/>
  <c r="H35" i="105"/>
  <c r="D35" i="105"/>
  <c r="B35" i="105"/>
  <c r="X34" i="105"/>
  <c r="Z34" i="105" s="1"/>
  <c r="L34" i="105"/>
  <c r="N34" i="105" s="1"/>
  <c r="J34" i="105"/>
  <c r="B34" i="105"/>
  <c r="Z33" i="105"/>
  <c r="X33" i="105"/>
  <c r="N33" i="105"/>
  <c r="L33" i="105"/>
  <c r="B33" i="105"/>
  <c r="Z32" i="105"/>
  <c r="X32" i="105"/>
  <c r="N32" i="105"/>
  <c r="L32" i="105"/>
  <c r="B32" i="105"/>
  <c r="Z31" i="105"/>
  <c r="X31" i="105"/>
  <c r="V31" i="105"/>
  <c r="N31" i="105"/>
  <c r="L31" i="105"/>
  <c r="B31" i="105"/>
  <c r="X30" i="105"/>
  <c r="Z30" i="105" s="1"/>
  <c r="V30" i="105"/>
  <c r="N30" i="105"/>
  <c r="L30" i="105"/>
  <c r="J30" i="105"/>
  <c r="B30" i="105"/>
  <c r="Z29" i="105"/>
  <c r="X29" i="105"/>
  <c r="N29" i="105"/>
  <c r="L29" i="105"/>
  <c r="B29" i="105"/>
  <c r="Z28" i="105"/>
  <c r="X28" i="105"/>
  <c r="N28" i="105"/>
  <c r="L28" i="105"/>
  <c r="B28" i="105"/>
  <c r="Z27" i="105"/>
  <c r="X27" i="105"/>
  <c r="V27" i="105"/>
  <c r="N27" i="105"/>
  <c r="L27" i="105"/>
  <c r="B27" i="105"/>
  <c r="X26" i="105"/>
  <c r="V26" i="105"/>
  <c r="T26" i="105"/>
  <c r="P26" i="105"/>
  <c r="N26" i="105"/>
  <c r="L26" i="105"/>
  <c r="H26" i="105"/>
  <c r="D26" i="105"/>
  <c r="B26" i="105"/>
  <c r="T25" i="105"/>
  <c r="P25" i="105"/>
  <c r="X25" i="105" s="1"/>
  <c r="Z25" i="105" s="1"/>
  <c r="H25" i="105"/>
  <c r="D25" i="105"/>
  <c r="T23" i="105"/>
  <c r="Z21" i="105"/>
  <c r="X21" i="105"/>
  <c r="N21" i="105"/>
  <c r="L21" i="105"/>
  <c r="B21" i="105"/>
  <c r="Z20" i="105"/>
  <c r="X20" i="105"/>
  <c r="N20" i="105"/>
  <c r="L20" i="105"/>
  <c r="J20" i="105"/>
  <c r="B20" i="105"/>
  <c r="Z19" i="105"/>
  <c r="X19" i="105"/>
  <c r="L19" i="105"/>
  <c r="N19" i="105" s="1"/>
  <c r="J19" i="105"/>
  <c r="B19" i="105"/>
  <c r="X18" i="105"/>
  <c r="Z18" i="105" s="1"/>
  <c r="V18" i="105"/>
  <c r="T18" i="105"/>
  <c r="P18" i="105"/>
  <c r="H18" i="105"/>
  <c r="D18" i="105"/>
  <c r="Z16" i="105"/>
  <c r="P16" i="105"/>
  <c r="X16" i="105" s="1"/>
  <c r="N16" i="105"/>
  <c r="D16" i="105"/>
  <c r="L16" i="105" s="1"/>
  <c r="B16" i="105"/>
  <c r="Z15" i="105"/>
  <c r="P15" i="105"/>
  <c r="X15" i="105" s="1"/>
  <c r="N15" i="105"/>
  <c r="D15" i="105"/>
  <c r="L15" i="105" s="1"/>
  <c r="B15" i="105"/>
  <c r="Z14" i="105"/>
  <c r="X14" i="105"/>
  <c r="P14" i="105"/>
  <c r="L14" i="105"/>
  <c r="N14" i="105" s="1"/>
  <c r="D14" i="105"/>
  <c r="B14" i="105"/>
  <c r="Z13" i="105"/>
  <c r="X13" i="105"/>
  <c r="P13" i="105"/>
  <c r="N13" i="105"/>
  <c r="D13" i="105"/>
  <c r="B13" i="105"/>
  <c r="T12" i="105"/>
  <c r="V50" i="105" s="1"/>
  <c r="H12" i="105"/>
  <c r="J61" i="105" s="1"/>
  <c r="D6" i="105"/>
  <c r="D4" i="105"/>
  <c r="Z94" i="104"/>
  <c r="X94" i="104"/>
  <c r="N94" i="104"/>
  <c r="L94" i="104"/>
  <c r="V90" i="104"/>
  <c r="T90" i="104"/>
  <c r="P90" i="104"/>
  <c r="H90" i="104"/>
  <c r="N90" i="104" s="1"/>
  <c r="D90" i="104"/>
  <c r="L90" i="104" s="1"/>
  <c r="Z88" i="104"/>
  <c r="X88" i="104"/>
  <c r="N88" i="104"/>
  <c r="L88" i="104"/>
  <c r="B88" i="104"/>
  <c r="Z87" i="104"/>
  <c r="X87" i="104"/>
  <c r="N87" i="104"/>
  <c r="L87" i="104"/>
  <c r="B87" i="104"/>
  <c r="T86" i="104"/>
  <c r="P86" i="104"/>
  <c r="X86" i="104" s="1"/>
  <c r="H86" i="104"/>
  <c r="D86" i="104"/>
  <c r="B86" i="104"/>
  <c r="X85" i="104"/>
  <c r="Z85" i="104" s="1"/>
  <c r="N85" i="104"/>
  <c r="L85" i="104"/>
  <c r="B85" i="104"/>
  <c r="Z84" i="104"/>
  <c r="X84" i="104"/>
  <c r="T84" i="104"/>
  <c r="P84" i="104"/>
  <c r="H84" i="104"/>
  <c r="N84" i="104" s="1"/>
  <c r="D84" i="104"/>
  <c r="L84" i="104" s="1"/>
  <c r="B84" i="104"/>
  <c r="Z83" i="104"/>
  <c r="X83" i="104"/>
  <c r="L83" i="104"/>
  <c r="N83" i="104" s="1"/>
  <c r="B83" i="104"/>
  <c r="X82" i="104"/>
  <c r="Z82" i="104" s="1"/>
  <c r="T82" i="104"/>
  <c r="P82" i="104"/>
  <c r="H82" i="104"/>
  <c r="D82" i="104"/>
  <c r="B82" i="104"/>
  <c r="X81" i="104"/>
  <c r="Z81" i="104" s="1"/>
  <c r="N81" i="104"/>
  <c r="L81" i="104"/>
  <c r="B81" i="104"/>
  <c r="Z80" i="104"/>
  <c r="X80" i="104"/>
  <c r="N80" i="104"/>
  <c r="L80" i="104"/>
  <c r="B80" i="104"/>
  <c r="X79" i="104"/>
  <c r="Z79" i="104" s="1"/>
  <c r="L79" i="104"/>
  <c r="N79" i="104" s="1"/>
  <c r="B79" i="104"/>
  <c r="X78" i="104"/>
  <c r="Z78" i="104" s="1"/>
  <c r="L78" i="104"/>
  <c r="N78" i="104" s="1"/>
  <c r="B78" i="104"/>
  <c r="X77" i="104"/>
  <c r="Z77" i="104" s="1"/>
  <c r="L77" i="104"/>
  <c r="N77" i="104" s="1"/>
  <c r="B77" i="104"/>
  <c r="Z76" i="104"/>
  <c r="X76" i="104"/>
  <c r="N76" i="104"/>
  <c r="L76" i="104"/>
  <c r="B76" i="104"/>
  <c r="X75" i="104"/>
  <c r="Z75" i="104" s="1"/>
  <c r="V75" i="104"/>
  <c r="L75" i="104"/>
  <c r="N75" i="104" s="1"/>
  <c r="B75" i="104"/>
  <c r="X74" i="104"/>
  <c r="Z74" i="104" s="1"/>
  <c r="L74" i="104"/>
  <c r="N74" i="104" s="1"/>
  <c r="B74" i="104"/>
  <c r="Z73" i="104"/>
  <c r="X73" i="104"/>
  <c r="T73" i="104"/>
  <c r="P73" i="104"/>
  <c r="J73" i="104"/>
  <c r="H73" i="104"/>
  <c r="N73" i="104" s="1"/>
  <c r="D73" i="104"/>
  <c r="L73" i="104" s="1"/>
  <c r="B73" i="104"/>
  <c r="Z72" i="104"/>
  <c r="X72" i="104"/>
  <c r="N72" i="104"/>
  <c r="L72" i="104"/>
  <c r="B72" i="104"/>
  <c r="X71" i="104"/>
  <c r="Z71" i="104" s="1"/>
  <c r="N71" i="104"/>
  <c r="L71" i="104"/>
  <c r="B71" i="104"/>
  <c r="X70" i="104"/>
  <c r="Z70" i="104" s="1"/>
  <c r="L70" i="104"/>
  <c r="N70" i="104" s="1"/>
  <c r="J70" i="104"/>
  <c r="B70" i="104"/>
  <c r="X69" i="104"/>
  <c r="Z69" i="104" s="1"/>
  <c r="L69" i="104"/>
  <c r="N69" i="104" s="1"/>
  <c r="B69" i="104"/>
  <c r="Z68" i="104"/>
  <c r="X68" i="104"/>
  <c r="T68" i="104"/>
  <c r="P68" i="104"/>
  <c r="J68" i="104"/>
  <c r="H68" i="104"/>
  <c r="D68" i="104"/>
  <c r="L68" i="104" s="1"/>
  <c r="B68" i="104"/>
  <c r="Z67" i="104"/>
  <c r="X67" i="104"/>
  <c r="L67" i="104"/>
  <c r="N67" i="104" s="1"/>
  <c r="B67" i="104"/>
  <c r="X66" i="104"/>
  <c r="Z66" i="104" s="1"/>
  <c r="N66" i="104"/>
  <c r="L66" i="104"/>
  <c r="B66" i="104"/>
  <c r="Z65" i="104"/>
  <c r="X65" i="104"/>
  <c r="N65" i="104"/>
  <c r="L65" i="104"/>
  <c r="B65" i="104"/>
  <c r="T64" i="104"/>
  <c r="P64" i="104"/>
  <c r="X64" i="104" s="1"/>
  <c r="N64" i="104"/>
  <c r="L64" i="104"/>
  <c r="J64" i="104"/>
  <c r="H64" i="104"/>
  <c r="D64" i="104"/>
  <c r="B64" i="104"/>
  <c r="X63" i="104"/>
  <c r="Z63" i="104" s="1"/>
  <c r="L63" i="104"/>
  <c r="N63" i="104" s="1"/>
  <c r="J63" i="104"/>
  <c r="B63" i="104"/>
  <c r="T62" i="104"/>
  <c r="P62" i="104"/>
  <c r="X62" i="104" s="1"/>
  <c r="N62" i="104"/>
  <c r="L62" i="104"/>
  <c r="H62" i="104"/>
  <c r="D62" i="104"/>
  <c r="B62" i="104"/>
  <c r="X61" i="104"/>
  <c r="Z61" i="104" s="1"/>
  <c r="N61" i="104"/>
  <c r="L61" i="104"/>
  <c r="J61" i="104"/>
  <c r="B61" i="104"/>
  <c r="Z60" i="104"/>
  <c r="X60" i="104"/>
  <c r="T60" i="104"/>
  <c r="P60" i="104"/>
  <c r="J60" i="104"/>
  <c r="H60" i="104"/>
  <c r="D60" i="104"/>
  <c r="L60" i="104" s="1"/>
  <c r="B60" i="104"/>
  <c r="Z59" i="104"/>
  <c r="X59" i="104"/>
  <c r="L59" i="104"/>
  <c r="N59" i="104" s="1"/>
  <c r="B59" i="104"/>
  <c r="X58" i="104"/>
  <c r="Z58" i="104" s="1"/>
  <c r="V58" i="104"/>
  <c r="T58" i="104"/>
  <c r="P58" i="104"/>
  <c r="H58" i="104"/>
  <c r="D58" i="104"/>
  <c r="B58" i="104"/>
  <c r="Z57" i="104"/>
  <c r="X57" i="104"/>
  <c r="L57" i="104"/>
  <c r="N57" i="104" s="1"/>
  <c r="B57" i="104"/>
  <c r="Z56" i="104"/>
  <c r="X56" i="104"/>
  <c r="T56" i="104"/>
  <c r="P56" i="104"/>
  <c r="H56" i="104"/>
  <c r="N56" i="104" s="1"/>
  <c r="D56" i="104"/>
  <c r="L56" i="104" s="1"/>
  <c r="B56" i="104"/>
  <c r="X55" i="104"/>
  <c r="Z55" i="104" s="1"/>
  <c r="N55" i="104"/>
  <c r="L55" i="104"/>
  <c r="B55" i="104"/>
  <c r="X54" i="104"/>
  <c r="V54" i="104"/>
  <c r="T54" i="104"/>
  <c r="P54" i="104"/>
  <c r="N54" i="104"/>
  <c r="L54" i="104"/>
  <c r="H54" i="104"/>
  <c r="D54" i="104"/>
  <c r="B54" i="104"/>
  <c r="Z53" i="104"/>
  <c r="X53" i="104"/>
  <c r="V53" i="104"/>
  <c r="N53" i="104"/>
  <c r="L53" i="104"/>
  <c r="J53" i="104"/>
  <c r="B53" i="104"/>
  <c r="T52" i="104"/>
  <c r="P52" i="104"/>
  <c r="X52" i="104" s="1"/>
  <c r="H52" i="104"/>
  <c r="D52" i="104"/>
  <c r="L52" i="104" s="1"/>
  <c r="B52" i="104"/>
  <c r="X51" i="104"/>
  <c r="Z51" i="104" s="1"/>
  <c r="L51" i="104"/>
  <c r="N51" i="104" s="1"/>
  <c r="J51" i="104"/>
  <c r="B51" i="104"/>
  <c r="T50" i="104"/>
  <c r="Z50" i="104" s="1"/>
  <c r="P50" i="104"/>
  <c r="X50" i="104" s="1"/>
  <c r="J50" i="104"/>
  <c r="H50" i="104"/>
  <c r="D50" i="104"/>
  <c r="L50" i="104" s="1"/>
  <c r="N50" i="104" s="1"/>
  <c r="B50" i="104"/>
  <c r="Z49" i="104"/>
  <c r="X49" i="104"/>
  <c r="L49" i="104"/>
  <c r="N49" i="104" s="1"/>
  <c r="J49" i="104"/>
  <c r="B49" i="104"/>
  <c r="T48" i="104"/>
  <c r="X48" i="104" s="1"/>
  <c r="Z48" i="104" s="1"/>
  <c r="P48" i="104"/>
  <c r="J48" i="104"/>
  <c r="H48" i="104"/>
  <c r="D48" i="104"/>
  <c r="L48" i="104" s="1"/>
  <c r="B48" i="104"/>
  <c r="Z47" i="104"/>
  <c r="X47" i="104"/>
  <c r="N47" i="104"/>
  <c r="L47" i="104"/>
  <c r="J47" i="104"/>
  <c r="B47" i="104"/>
  <c r="Z46" i="104"/>
  <c r="X46" i="104"/>
  <c r="N46" i="104"/>
  <c r="L46" i="104"/>
  <c r="B46" i="104"/>
  <c r="Z45" i="104"/>
  <c r="X45" i="104"/>
  <c r="L45" i="104"/>
  <c r="N45" i="104" s="1"/>
  <c r="B45" i="104"/>
  <c r="Z44" i="104"/>
  <c r="X44" i="104"/>
  <c r="N44" i="104"/>
  <c r="L44" i="104"/>
  <c r="J44" i="104"/>
  <c r="B44" i="104"/>
  <c r="Z43" i="104"/>
  <c r="X43" i="104"/>
  <c r="N43" i="104"/>
  <c r="L43" i="104"/>
  <c r="B43" i="104"/>
  <c r="Z42" i="104"/>
  <c r="X42" i="104"/>
  <c r="R42" i="104"/>
  <c r="N42" i="104"/>
  <c r="L42" i="104"/>
  <c r="B42" i="104"/>
  <c r="X41" i="104"/>
  <c r="Z41" i="104" s="1"/>
  <c r="R41" i="104"/>
  <c r="N41" i="104"/>
  <c r="L41" i="104"/>
  <c r="J41" i="104"/>
  <c r="B41" i="104"/>
  <c r="Z40" i="104"/>
  <c r="X40" i="104"/>
  <c r="N40" i="104"/>
  <c r="L40" i="104"/>
  <c r="B40" i="104"/>
  <c r="Z39" i="104"/>
  <c r="X39" i="104"/>
  <c r="V39" i="104"/>
  <c r="L39" i="104"/>
  <c r="N39" i="104" s="1"/>
  <c r="B39" i="104"/>
  <c r="Z38" i="104"/>
  <c r="X38" i="104"/>
  <c r="V38" i="104"/>
  <c r="N38" i="104"/>
  <c r="L38" i="104"/>
  <c r="J38" i="104"/>
  <c r="B38" i="104"/>
  <c r="T37" i="104"/>
  <c r="P37" i="104"/>
  <c r="X37" i="104" s="1"/>
  <c r="Z37" i="104" s="1"/>
  <c r="J37" i="104"/>
  <c r="H37" i="104"/>
  <c r="D37" i="104"/>
  <c r="B37" i="104"/>
  <c r="Z36" i="104"/>
  <c r="X36" i="104"/>
  <c r="N36" i="104"/>
  <c r="L36" i="104"/>
  <c r="B36" i="104"/>
  <c r="X35" i="104"/>
  <c r="Z35" i="104" s="1"/>
  <c r="L35" i="104"/>
  <c r="N35" i="104" s="1"/>
  <c r="B35" i="104"/>
  <c r="X34" i="104"/>
  <c r="Z34" i="104" s="1"/>
  <c r="L34" i="104"/>
  <c r="N34" i="104" s="1"/>
  <c r="J34" i="104"/>
  <c r="B34" i="104"/>
  <c r="Z33" i="104"/>
  <c r="X33" i="104"/>
  <c r="N33" i="104"/>
  <c r="L33" i="104"/>
  <c r="B33" i="104"/>
  <c r="Z32" i="104"/>
  <c r="X32" i="104"/>
  <c r="V32" i="104"/>
  <c r="N32" i="104"/>
  <c r="L32" i="104"/>
  <c r="B32" i="104"/>
  <c r="X31" i="104"/>
  <c r="Z31" i="104" s="1"/>
  <c r="L31" i="104"/>
  <c r="N31" i="104" s="1"/>
  <c r="J31" i="104"/>
  <c r="B31" i="104"/>
  <c r="X30" i="104"/>
  <c r="Z30" i="104" s="1"/>
  <c r="V30" i="104"/>
  <c r="N30" i="104"/>
  <c r="L30" i="104"/>
  <c r="B30" i="104"/>
  <c r="X29" i="104"/>
  <c r="Z29" i="104" s="1"/>
  <c r="V29" i="104"/>
  <c r="N29" i="104"/>
  <c r="L29" i="104"/>
  <c r="B29" i="104"/>
  <c r="Z28" i="104"/>
  <c r="X28" i="104"/>
  <c r="L28" i="104"/>
  <c r="N28" i="104" s="1"/>
  <c r="B28" i="104"/>
  <c r="X27" i="104"/>
  <c r="Z27" i="104" s="1"/>
  <c r="L27" i="104"/>
  <c r="N27" i="104" s="1"/>
  <c r="B27" i="104"/>
  <c r="T26" i="104"/>
  <c r="R26" i="104"/>
  <c r="P26" i="104"/>
  <c r="X26" i="104" s="1"/>
  <c r="H26" i="104"/>
  <c r="D26" i="104"/>
  <c r="B26" i="104"/>
  <c r="T25" i="104"/>
  <c r="P25" i="104"/>
  <c r="X25" i="104" s="1"/>
  <c r="H25" i="104"/>
  <c r="D25" i="104"/>
  <c r="P23" i="104"/>
  <c r="H23" i="104"/>
  <c r="Z21" i="104"/>
  <c r="X21" i="104"/>
  <c r="N21" i="104"/>
  <c r="L21" i="104"/>
  <c r="J21" i="104"/>
  <c r="B21" i="104"/>
  <c r="Z20" i="104"/>
  <c r="X20" i="104"/>
  <c r="V20" i="104"/>
  <c r="N20" i="104"/>
  <c r="L20" i="104"/>
  <c r="B20" i="104"/>
  <c r="Z19" i="104"/>
  <c r="X19" i="104"/>
  <c r="V19" i="104"/>
  <c r="N19" i="104"/>
  <c r="L19" i="104"/>
  <c r="B19" i="104"/>
  <c r="T18" i="104"/>
  <c r="P18" i="104"/>
  <c r="X18" i="104" s="1"/>
  <c r="L18" i="104"/>
  <c r="N18" i="104" s="1"/>
  <c r="J18" i="104"/>
  <c r="H18" i="104"/>
  <c r="D18" i="104"/>
  <c r="Z16" i="104"/>
  <c r="P16" i="104"/>
  <c r="X16" i="104" s="1"/>
  <c r="N16" i="104"/>
  <c r="L16" i="104"/>
  <c r="D16" i="104"/>
  <c r="B16" i="104"/>
  <c r="Z15" i="104"/>
  <c r="X15" i="104"/>
  <c r="P15" i="104"/>
  <c r="N15" i="104"/>
  <c r="L15" i="104"/>
  <c r="D15" i="104"/>
  <c r="B15" i="104"/>
  <c r="X14" i="104"/>
  <c r="Z14" i="104" s="1"/>
  <c r="P14" i="104"/>
  <c r="D14" i="104"/>
  <c r="B14" i="104"/>
  <c r="Z13" i="104"/>
  <c r="P13" i="104"/>
  <c r="X13" i="104" s="1"/>
  <c r="N13" i="104"/>
  <c r="D13" i="104"/>
  <c r="L13" i="104" s="1"/>
  <c r="B13" i="104"/>
  <c r="T12" i="104"/>
  <c r="P12" i="104"/>
  <c r="H12" i="104"/>
  <c r="J67" i="104" s="1"/>
  <c r="D6" i="104"/>
  <c r="D4" i="104"/>
  <c r="V70" i="103"/>
  <c r="V67" i="103"/>
  <c r="Z65" i="103"/>
  <c r="X65" i="103"/>
  <c r="V65" i="103"/>
  <c r="N65" i="103"/>
  <c r="L65" i="103"/>
  <c r="J65" i="103"/>
  <c r="F63" i="103"/>
  <c r="T61" i="103"/>
  <c r="Z61" i="103" s="1"/>
  <c r="P61" i="103"/>
  <c r="X61" i="103" s="1"/>
  <c r="H61" i="103"/>
  <c r="L61" i="103" s="1"/>
  <c r="F61" i="103"/>
  <c r="D61" i="103"/>
  <c r="X59" i="103"/>
  <c r="Z59" i="103" s="1"/>
  <c r="L59" i="103"/>
  <c r="N59" i="103" s="1"/>
  <c r="J59" i="103"/>
  <c r="F59" i="103"/>
  <c r="B59" i="103"/>
  <c r="Z58" i="103"/>
  <c r="X58" i="103"/>
  <c r="T58" i="103"/>
  <c r="P58" i="103"/>
  <c r="J58" i="103"/>
  <c r="H58" i="103"/>
  <c r="F58" i="103"/>
  <c r="D58" i="103"/>
  <c r="B58" i="103"/>
  <c r="Z57" i="103"/>
  <c r="X57" i="103"/>
  <c r="L57" i="103"/>
  <c r="N57" i="103" s="1"/>
  <c r="F57" i="103"/>
  <c r="B57" i="103"/>
  <c r="V56" i="103"/>
  <c r="T56" i="103"/>
  <c r="P56" i="103"/>
  <c r="H56" i="103"/>
  <c r="F56" i="103"/>
  <c r="D56" i="103"/>
  <c r="L56" i="103" s="1"/>
  <c r="N56" i="103" s="1"/>
  <c r="B56" i="103"/>
  <c r="X55" i="103"/>
  <c r="Z55" i="103" s="1"/>
  <c r="V55" i="103"/>
  <c r="L55" i="103"/>
  <c r="N55" i="103" s="1"/>
  <c r="B55" i="103"/>
  <c r="T54" i="103"/>
  <c r="R54" i="103"/>
  <c r="P54" i="103"/>
  <c r="X54" i="103" s="1"/>
  <c r="Z54" i="103" s="1"/>
  <c r="H54" i="103"/>
  <c r="D54" i="103"/>
  <c r="L54" i="103" s="1"/>
  <c r="N54" i="103" s="1"/>
  <c r="B54" i="103"/>
  <c r="Z53" i="103"/>
  <c r="X53" i="103"/>
  <c r="R53" i="103"/>
  <c r="N53" i="103"/>
  <c r="L53" i="103"/>
  <c r="F53" i="103"/>
  <c r="B53" i="103"/>
  <c r="X52" i="103"/>
  <c r="Z52" i="103" s="1"/>
  <c r="V52" i="103"/>
  <c r="R52" i="103"/>
  <c r="N52" i="103"/>
  <c r="L52" i="103"/>
  <c r="J52" i="103"/>
  <c r="F52" i="103"/>
  <c r="B52" i="103"/>
  <c r="X51" i="103"/>
  <c r="Z51" i="103" s="1"/>
  <c r="L51" i="103"/>
  <c r="N51" i="103" s="1"/>
  <c r="J51" i="103"/>
  <c r="F51" i="103"/>
  <c r="B51" i="103"/>
  <c r="Z50" i="103"/>
  <c r="X50" i="103"/>
  <c r="T50" i="103"/>
  <c r="P50" i="103"/>
  <c r="J50" i="103"/>
  <c r="H50" i="103"/>
  <c r="F50" i="103"/>
  <c r="D50" i="103"/>
  <c r="L50" i="103" s="1"/>
  <c r="B50" i="103"/>
  <c r="Z49" i="103"/>
  <c r="X49" i="103"/>
  <c r="N49" i="103"/>
  <c r="L49" i="103"/>
  <c r="F49" i="103"/>
  <c r="B49" i="103"/>
  <c r="V48" i="103"/>
  <c r="T48" i="103"/>
  <c r="P48" i="103"/>
  <c r="N48" i="103"/>
  <c r="H48" i="103"/>
  <c r="F48" i="103"/>
  <c r="D48" i="103"/>
  <c r="L48" i="103" s="1"/>
  <c r="B48" i="103"/>
  <c r="X47" i="103"/>
  <c r="Z47" i="103" s="1"/>
  <c r="V47" i="103"/>
  <c r="L47" i="103"/>
  <c r="N47" i="103" s="1"/>
  <c r="B47" i="103"/>
  <c r="T46" i="103"/>
  <c r="R46" i="103"/>
  <c r="P46" i="103"/>
  <c r="X46" i="103" s="1"/>
  <c r="Z46" i="103" s="1"/>
  <c r="J46" i="103"/>
  <c r="H46" i="103"/>
  <c r="D46" i="103"/>
  <c r="L46" i="103" s="1"/>
  <c r="N46" i="103" s="1"/>
  <c r="B46" i="103"/>
  <c r="Z45" i="103"/>
  <c r="X45" i="103"/>
  <c r="R45" i="103"/>
  <c r="N45" i="103"/>
  <c r="L45" i="103"/>
  <c r="F45" i="103"/>
  <c r="B45" i="103"/>
  <c r="V44" i="103"/>
  <c r="T44" i="103"/>
  <c r="P44" i="103"/>
  <c r="L44" i="103"/>
  <c r="N44" i="103" s="1"/>
  <c r="H44" i="103"/>
  <c r="F44" i="103"/>
  <c r="D44" i="103"/>
  <c r="B44" i="103"/>
  <c r="X43" i="103"/>
  <c r="Z43" i="103" s="1"/>
  <c r="V43" i="103"/>
  <c r="L43" i="103"/>
  <c r="N43" i="103" s="1"/>
  <c r="J43" i="103"/>
  <c r="B43" i="103"/>
  <c r="T42" i="103"/>
  <c r="R42" i="103"/>
  <c r="P42" i="103"/>
  <c r="X42" i="103" s="1"/>
  <c r="Z42" i="103" s="1"/>
  <c r="J42" i="103"/>
  <c r="H42" i="103"/>
  <c r="D42" i="103"/>
  <c r="B42" i="103"/>
  <c r="X41" i="103"/>
  <c r="Z41" i="103" s="1"/>
  <c r="R41" i="103"/>
  <c r="N41" i="103"/>
  <c r="L41" i="103"/>
  <c r="J41" i="103"/>
  <c r="F41" i="103"/>
  <c r="B41" i="103"/>
  <c r="T40" i="103"/>
  <c r="P40" i="103"/>
  <c r="X40" i="103" s="1"/>
  <c r="L40" i="103"/>
  <c r="N40" i="103" s="1"/>
  <c r="J40" i="103"/>
  <c r="H40" i="103"/>
  <c r="F40" i="103"/>
  <c r="D40" i="103"/>
  <c r="B40" i="103"/>
  <c r="Z39" i="103"/>
  <c r="X39" i="103"/>
  <c r="N39" i="103"/>
  <c r="L39" i="103"/>
  <c r="J39" i="103"/>
  <c r="F39" i="103"/>
  <c r="B39" i="103"/>
  <c r="Z38" i="103"/>
  <c r="X38" i="103"/>
  <c r="N38" i="103"/>
  <c r="L38" i="103"/>
  <c r="B38" i="103"/>
  <c r="Z37" i="103"/>
  <c r="X37" i="103"/>
  <c r="R37" i="103"/>
  <c r="N37" i="103"/>
  <c r="L37" i="103"/>
  <c r="F37" i="103"/>
  <c r="B37" i="103"/>
  <c r="Z36" i="103"/>
  <c r="X36" i="103"/>
  <c r="V36" i="103"/>
  <c r="R36" i="103"/>
  <c r="N36" i="103"/>
  <c r="L36" i="103"/>
  <c r="J36" i="103"/>
  <c r="F36" i="103"/>
  <c r="B36" i="103"/>
  <c r="Z35" i="103"/>
  <c r="X35" i="103"/>
  <c r="N35" i="103"/>
  <c r="L35" i="103"/>
  <c r="J35" i="103"/>
  <c r="F35" i="103"/>
  <c r="B35" i="103"/>
  <c r="Z34" i="103"/>
  <c r="X34" i="103"/>
  <c r="N34" i="103"/>
  <c r="L34" i="103"/>
  <c r="B34" i="103"/>
  <c r="Z33" i="103"/>
  <c r="X33" i="103"/>
  <c r="R33" i="103"/>
  <c r="N33" i="103"/>
  <c r="L33" i="103"/>
  <c r="F33" i="103"/>
  <c r="B33" i="103"/>
  <c r="Z32" i="103"/>
  <c r="X32" i="103"/>
  <c r="V32" i="103"/>
  <c r="R32" i="103"/>
  <c r="N32" i="103"/>
  <c r="L32" i="103"/>
  <c r="J32" i="103"/>
  <c r="F32" i="103"/>
  <c r="B32" i="103"/>
  <c r="X31" i="103"/>
  <c r="Z31" i="103" s="1"/>
  <c r="L31" i="103"/>
  <c r="N31" i="103" s="1"/>
  <c r="J31" i="103"/>
  <c r="F31" i="103"/>
  <c r="B31" i="103"/>
  <c r="Z30" i="103"/>
  <c r="X30" i="103"/>
  <c r="N30" i="103"/>
  <c r="L30" i="103"/>
  <c r="B30" i="103"/>
  <c r="Z29" i="103"/>
  <c r="T29" i="103"/>
  <c r="X29" i="103" s="1"/>
  <c r="R29" i="103"/>
  <c r="P29" i="103"/>
  <c r="H29" i="103"/>
  <c r="D29" i="103"/>
  <c r="L29" i="103" s="1"/>
  <c r="B29" i="103"/>
  <c r="Z28" i="103"/>
  <c r="X28" i="103"/>
  <c r="V28" i="103"/>
  <c r="R28" i="103"/>
  <c r="N28" i="103"/>
  <c r="L28" i="103"/>
  <c r="J28" i="103"/>
  <c r="B28" i="103"/>
  <c r="X27" i="103"/>
  <c r="Z27" i="103" s="1"/>
  <c r="V27" i="103"/>
  <c r="L27" i="103"/>
  <c r="N27" i="103" s="1"/>
  <c r="J27" i="103"/>
  <c r="B27" i="103"/>
  <c r="Z26" i="103"/>
  <c r="X26" i="103"/>
  <c r="N26" i="103"/>
  <c r="L26" i="103"/>
  <c r="J26" i="103"/>
  <c r="F26" i="103"/>
  <c r="B26" i="103"/>
  <c r="Z25" i="103"/>
  <c r="X25" i="103"/>
  <c r="N25" i="103"/>
  <c r="L25" i="103"/>
  <c r="F25" i="103"/>
  <c r="B25" i="103"/>
  <c r="Z24" i="103"/>
  <c r="X24" i="103"/>
  <c r="V24" i="103"/>
  <c r="R24" i="103"/>
  <c r="N24" i="103"/>
  <c r="L24" i="103"/>
  <c r="J24" i="103"/>
  <c r="B24" i="103"/>
  <c r="X23" i="103"/>
  <c r="Z23" i="103" s="1"/>
  <c r="V23" i="103"/>
  <c r="L23" i="103"/>
  <c r="N23" i="103" s="1"/>
  <c r="J23" i="103"/>
  <c r="B23" i="103"/>
  <c r="Z22" i="103"/>
  <c r="X22" i="103"/>
  <c r="N22" i="103"/>
  <c r="L22" i="103"/>
  <c r="J22" i="103"/>
  <c r="F22" i="103"/>
  <c r="B22" i="103"/>
  <c r="Z21" i="103"/>
  <c r="X21" i="103"/>
  <c r="L21" i="103"/>
  <c r="N21" i="103" s="1"/>
  <c r="J21" i="103"/>
  <c r="F21" i="103"/>
  <c r="B21" i="103"/>
  <c r="Z20" i="103"/>
  <c r="X20" i="103"/>
  <c r="V20" i="103"/>
  <c r="R20" i="103"/>
  <c r="N20" i="103"/>
  <c r="L20" i="103"/>
  <c r="J20" i="103"/>
  <c r="B20" i="103"/>
  <c r="V19" i="103"/>
  <c r="T19" i="103"/>
  <c r="P19" i="103"/>
  <c r="X19" i="103" s="1"/>
  <c r="N19" i="103"/>
  <c r="H19" i="103"/>
  <c r="D19" i="103"/>
  <c r="L19" i="103" s="1"/>
  <c r="B19" i="103"/>
  <c r="T18" i="103"/>
  <c r="R18" i="103"/>
  <c r="P18" i="103"/>
  <c r="J18" i="103"/>
  <c r="H18" i="103"/>
  <c r="F18" i="103"/>
  <c r="D18" i="103"/>
  <c r="L18" i="103" s="1"/>
  <c r="R16" i="103"/>
  <c r="J16" i="103"/>
  <c r="F16" i="103"/>
  <c r="Z14" i="103"/>
  <c r="T14" i="103"/>
  <c r="R14" i="103"/>
  <c r="P14" i="103"/>
  <c r="J14" i="103"/>
  <c r="H14" i="103"/>
  <c r="N14" i="103" s="1"/>
  <c r="F14" i="103"/>
  <c r="D14" i="103"/>
  <c r="L14" i="103" s="1"/>
  <c r="Z12" i="103"/>
  <c r="X12" i="103"/>
  <c r="T12" i="103"/>
  <c r="V58" i="103" s="1"/>
  <c r="P12" i="103"/>
  <c r="R56" i="103" s="1"/>
  <c r="N12" i="103"/>
  <c r="L12" i="103"/>
  <c r="H12" i="103"/>
  <c r="J44" i="103" s="1"/>
  <c r="D12" i="103"/>
  <c r="F65" i="103" s="1"/>
  <c r="D6" i="103"/>
  <c r="D4" i="103"/>
  <c r="X99" i="102"/>
  <c r="Z99" i="102" s="1"/>
  <c r="V99" i="102"/>
  <c r="N99" i="102"/>
  <c r="L99" i="102"/>
  <c r="P95" i="102"/>
  <c r="X95" i="102" s="1"/>
  <c r="Z95" i="102" s="1"/>
  <c r="L95" i="102"/>
  <c r="N95" i="102" s="1"/>
  <c r="J95" i="102"/>
  <c r="D95" i="102"/>
  <c r="B95" i="102"/>
  <c r="T94" i="102"/>
  <c r="P94" i="102"/>
  <c r="X94" i="102" s="1"/>
  <c r="Z94" i="102" s="1"/>
  <c r="J94" i="102"/>
  <c r="H94" i="102"/>
  <c r="D94" i="102"/>
  <c r="L94" i="102" s="1"/>
  <c r="Z92" i="102"/>
  <c r="X92" i="102"/>
  <c r="N92" i="102"/>
  <c r="L92" i="102"/>
  <c r="B92" i="102"/>
  <c r="T91" i="102"/>
  <c r="P91" i="102"/>
  <c r="N91" i="102"/>
  <c r="H91" i="102"/>
  <c r="D91" i="102"/>
  <c r="L91" i="102" s="1"/>
  <c r="B91" i="102"/>
  <c r="X90" i="102"/>
  <c r="Z90" i="102" s="1"/>
  <c r="N90" i="102"/>
  <c r="L90" i="102"/>
  <c r="B90" i="102"/>
  <c r="T89" i="102"/>
  <c r="P89" i="102"/>
  <c r="X89" i="102" s="1"/>
  <c r="Z89" i="102" s="1"/>
  <c r="H89" i="102"/>
  <c r="N89" i="102" s="1"/>
  <c r="D89" i="102"/>
  <c r="L89" i="102" s="1"/>
  <c r="B89" i="102"/>
  <c r="Z88" i="102"/>
  <c r="X88" i="102"/>
  <c r="N88" i="102"/>
  <c r="L88" i="102"/>
  <c r="B88" i="102"/>
  <c r="X87" i="102"/>
  <c r="Z87" i="102" s="1"/>
  <c r="N87" i="102"/>
  <c r="L87" i="102"/>
  <c r="J87" i="102"/>
  <c r="B87" i="102"/>
  <c r="T86" i="102"/>
  <c r="P86" i="102"/>
  <c r="X86" i="102" s="1"/>
  <c r="N86" i="102"/>
  <c r="H86" i="102"/>
  <c r="L86" i="102" s="1"/>
  <c r="D86" i="102"/>
  <c r="B86" i="102"/>
  <c r="Z85" i="102"/>
  <c r="X85" i="102"/>
  <c r="N85" i="102"/>
  <c r="L85" i="102"/>
  <c r="B85" i="102"/>
  <c r="Z84" i="102"/>
  <c r="X84" i="102"/>
  <c r="N84" i="102"/>
  <c r="L84" i="102"/>
  <c r="B84" i="102"/>
  <c r="Z83" i="102"/>
  <c r="X83" i="102"/>
  <c r="V83" i="102"/>
  <c r="N83" i="102"/>
  <c r="L83" i="102"/>
  <c r="B83" i="102"/>
  <c r="X82" i="102"/>
  <c r="Z82" i="102" s="1"/>
  <c r="N82" i="102"/>
  <c r="L82" i="102"/>
  <c r="B82" i="102"/>
  <c r="Z81" i="102"/>
  <c r="X81" i="102"/>
  <c r="N81" i="102"/>
  <c r="L81" i="102"/>
  <c r="B81" i="102"/>
  <c r="Z80" i="102"/>
  <c r="X80" i="102"/>
  <c r="N80" i="102"/>
  <c r="L80" i="102"/>
  <c r="B80" i="102"/>
  <c r="Z79" i="102"/>
  <c r="X79" i="102"/>
  <c r="N79" i="102"/>
  <c r="L79" i="102"/>
  <c r="B79" i="102"/>
  <c r="T78" i="102"/>
  <c r="P78" i="102"/>
  <c r="H78" i="102"/>
  <c r="D78" i="102"/>
  <c r="L78" i="102" s="1"/>
  <c r="N78" i="102" s="1"/>
  <c r="B78" i="102"/>
  <c r="X77" i="102"/>
  <c r="Z77" i="102" s="1"/>
  <c r="N77" i="102"/>
  <c r="L77" i="102"/>
  <c r="B77" i="102"/>
  <c r="T76" i="102"/>
  <c r="P76" i="102"/>
  <c r="N76" i="102"/>
  <c r="H76" i="102"/>
  <c r="D76" i="102"/>
  <c r="L76" i="102" s="1"/>
  <c r="B76" i="102"/>
  <c r="X75" i="102"/>
  <c r="Z75" i="102" s="1"/>
  <c r="N75" i="102"/>
  <c r="L75" i="102"/>
  <c r="B75" i="102"/>
  <c r="Z74" i="102"/>
  <c r="X74" i="102"/>
  <c r="N74" i="102"/>
  <c r="L74" i="102"/>
  <c r="B74" i="102"/>
  <c r="Z73" i="102"/>
  <c r="X73" i="102"/>
  <c r="N73" i="102"/>
  <c r="L73" i="102"/>
  <c r="B73" i="102"/>
  <c r="T72" i="102"/>
  <c r="P72" i="102"/>
  <c r="H72" i="102"/>
  <c r="D72" i="102"/>
  <c r="L72" i="102" s="1"/>
  <c r="B72" i="102"/>
  <c r="Z71" i="102"/>
  <c r="X71" i="102"/>
  <c r="N71" i="102"/>
  <c r="L71" i="102"/>
  <c r="B71" i="102"/>
  <c r="X70" i="102"/>
  <c r="Z70" i="102" s="1"/>
  <c r="L70" i="102"/>
  <c r="N70" i="102" s="1"/>
  <c r="B70" i="102"/>
  <c r="Z69" i="102"/>
  <c r="T69" i="102"/>
  <c r="P69" i="102"/>
  <c r="X69" i="102" s="1"/>
  <c r="H69" i="102"/>
  <c r="D69" i="102"/>
  <c r="B69" i="102"/>
  <c r="Z68" i="102"/>
  <c r="X68" i="102"/>
  <c r="L68" i="102"/>
  <c r="N68" i="102" s="1"/>
  <c r="B68" i="102"/>
  <c r="X67" i="102"/>
  <c r="Z67" i="102" s="1"/>
  <c r="V67" i="102"/>
  <c r="N67" i="102"/>
  <c r="L67" i="102"/>
  <c r="B67" i="102"/>
  <c r="X66" i="102"/>
  <c r="Z66" i="102" s="1"/>
  <c r="N66" i="102"/>
  <c r="L66" i="102"/>
  <c r="B66" i="102"/>
  <c r="T65" i="102"/>
  <c r="P65" i="102"/>
  <c r="X65" i="102" s="1"/>
  <c r="Z65" i="102" s="1"/>
  <c r="H65" i="102"/>
  <c r="N65" i="102" s="1"/>
  <c r="D65" i="102"/>
  <c r="L65" i="102" s="1"/>
  <c r="B65" i="102"/>
  <c r="X64" i="102"/>
  <c r="Z64" i="102" s="1"/>
  <c r="V64" i="102"/>
  <c r="N64" i="102"/>
  <c r="L64" i="102"/>
  <c r="B64" i="102"/>
  <c r="T63" i="102"/>
  <c r="P63" i="102"/>
  <c r="N63" i="102"/>
  <c r="L63" i="102"/>
  <c r="H63" i="102"/>
  <c r="D63" i="102"/>
  <c r="B63" i="102"/>
  <c r="X62" i="102"/>
  <c r="Z62" i="102" s="1"/>
  <c r="N62" i="102"/>
  <c r="L62" i="102"/>
  <c r="B62" i="102"/>
  <c r="Z61" i="102"/>
  <c r="T61" i="102"/>
  <c r="P61" i="102"/>
  <c r="X61" i="102" s="1"/>
  <c r="L61" i="102"/>
  <c r="H61" i="102"/>
  <c r="N61" i="102" s="1"/>
  <c r="D61" i="102"/>
  <c r="B61" i="102"/>
  <c r="Z60" i="102"/>
  <c r="X60" i="102"/>
  <c r="N60" i="102"/>
  <c r="L60" i="102"/>
  <c r="B60" i="102"/>
  <c r="T59" i="102"/>
  <c r="P59" i="102"/>
  <c r="X59" i="102" s="1"/>
  <c r="H59" i="102"/>
  <c r="N59" i="102" s="1"/>
  <c r="D59" i="102"/>
  <c r="B59" i="102"/>
  <c r="X58" i="102"/>
  <c r="Z58" i="102" s="1"/>
  <c r="L58" i="102"/>
  <c r="N58" i="102" s="1"/>
  <c r="B58" i="102"/>
  <c r="Z57" i="102"/>
  <c r="X57" i="102"/>
  <c r="N57" i="102"/>
  <c r="L57" i="102"/>
  <c r="B57" i="102"/>
  <c r="T56" i="102"/>
  <c r="P56" i="102"/>
  <c r="L56" i="102"/>
  <c r="N56" i="102" s="1"/>
  <c r="H56" i="102"/>
  <c r="D56" i="102"/>
  <c r="B56" i="102"/>
  <c r="X55" i="102"/>
  <c r="Z55" i="102" s="1"/>
  <c r="L55" i="102"/>
  <c r="N55" i="102" s="1"/>
  <c r="B55" i="102"/>
  <c r="V54" i="102"/>
  <c r="T54" i="102"/>
  <c r="P54" i="102"/>
  <c r="X54" i="102" s="1"/>
  <c r="H54" i="102"/>
  <c r="D54" i="102"/>
  <c r="B54" i="102"/>
  <c r="X53" i="102"/>
  <c r="Z53" i="102" s="1"/>
  <c r="N53" i="102"/>
  <c r="L53" i="102"/>
  <c r="B53" i="102"/>
  <c r="T52" i="102"/>
  <c r="P52" i="102"/>
  <c r="H52" i="102"/>
  <c r="D52" i="102"/>
  <c r="L52" i="102" s="1"/>
  <c r="N52" i="102" s="1"/>
  <c r="B52" i="102"/>
  <c r="X51" i="102"/>
  <c r="Z51" i="102" s="1"/>
  <c r="L51" i="102"/>
  <c r="N51" i="102" s="1"/>
  <c r="B51" i="102"/>
  <c r="X50" i="102"/>
  <c r="Z50" i="102" s="1"/>
  <c r="T50" i="102"/>
  <c r="P50" i="102"/>
  <c r="H50" i="102"/>
  <c r="D50" i="102"/>
  <c r="B50" i="102"/>
  <c r="Z49" i="102"/>
  <c r="X49" i="102"/>
  <c r="N49" i="102"/>
  <c r="L49" i="102"/>
  <c r="B49" i="102"/>
  <c r="Z48" i="102"/>
  <c r="X48" i="102"/>
  <c r="N48" i="102"/>
  <c r="L48" i="102"/>
  <c r="B48" i="102"/>
  <c r="X47" i="102"/>
  <c r="Z47" i="102" s="1"/>
  <c r="L47" i="102"/>
  <c r="N47" i="102" s="1"/>
  <c r="B47" i="102"/>
  <c r="X46" i="102"/>
  <c r="Z46" i="102" s="1"/>
  <c r="L46" i="102"/>
  <c r="N46" i="102" s="1"/>
  <c r="J46" i="102"/>
  <c r="B46" i="102"/>
  <c r="Z45" i="102"/>
  <c r="X45" i="102"/>
  <c r="N45" i="102"/>
  <c r="L45" i="102"/>
  <c r="B45" i="102"/>
  <c r="Z44" i="102"/>
  <c r="X44" i="102"/>
  <c r="N44" i="102"/>
  <c r="L44" i="102"/>
  <c r="B44" i="102"/>
  <c r="X43" i="102"/>
  <c r="Z43" i="102" s="1"/>
  <c r="L43" i="102"/>
  <c r="N43" i="102" s="1"/>
  <c r="B43" i="102"/>
  <c r="Z42" i="102"/>
  <c r="X42" i="102"/>
  <c r="N42" i="102"/>
  <c r="L42" i="102"/>
  <c r="J42" i="102"/>
  <c r="B42" i="102"/>
  <c r="X41" i="102"/>
  <c r="Z41" i="102" s="1"/>
  <c r="N41" i="102"/>
  <c r="L41" i="102"/>
  <c r="B41" i="102"/>
  <c r="Z40" i="102"/>
  <c r="X40" i="102"/>
  <c r="N40" i="102"/>
  <c r="L40" i="102"/>
  <c r="B40" i="102"/>
  <c r="T39" i="102"/>
  <c r="P39" i="102"/>
  <c r="L39" i="102"/>
  <c r="H39" i="102"/>
  <c r="N39" i="102" s="1"/>
  <c r="D39" i="102"/>
  <c r="B39" i="102"/>
  <c r="X38" i="102"/>
  <c r="Z38" i="102" s="1"/>
  <c r="V38" i="102"/>
  <c r="N38" i="102"/>
  <c r="L38" i="102"/>
  <c r="B38" i="102"/>
  <c r="Z37" i="102"/>
  <c r="X37" i="102"/>
  <c r="L37" i="102"/>
  <c r="N37" i="102" s="1"/>
  <c r="B37" i="102"/>
  <c r="Z36" i="102"/>
  <c r="X36" i="102"/>
  <c r="N36" i="102"/>
  <c r="L36" i="102"/>
  <c r="B36" i="102"/>
  <c r="Z35" i="102"/>
  <c r="X35" i="102"/>
  <c r="N35" i="102"/>
  <c r="L35" i="102"/>
  <c r="J35" i="102"/>
  <c r="B35" i="102"/>
  <c r="Z34" i="102"/>
  <c r="X34" i="102"/>
  <c r="V34" i="102"/>
  <c r="N34" i="102"/>
  <c r="L34" i="102"/>
  <c r="B34" i="102"/>
  <c r="Z33" i="102"/>
  <c r="X33" i="102"/>
  <c r="L33" i="102"/>
  <c r="N33" i="102" s="1"/>
  <c r="B33" i="102"/>
  <c r="Z32" i="102"/>
  <c r="X32" i="102"/>
  <c r="N32" i="102"/>
  <c r="L32" i="102"/>
  <c r="B32" i="102"/>
  <c r="X31" i="102"/>
  <c r="Z31" i="102" s="1"/>
  <c r="N31" i="102"/>
  <c r="L31" i="102"/>
  <c r="J31" i="102"/>
  <c r="B31" i="102"/>
  <c r="X30" i="102"/>
  <c r="Z30" i="102" s="1"/>
  <c r="V30" i="102"/>
  <c r="N30" i="102"/>
  <c r="L30" i="102"/>
  <c r="B30" i="102"/>
  <c r="Z29" i="102"/>
  <c r="X29" i="102"/>
  <c r="L29" i="102"/>
  <c r="N29" i="102" s="1"/>
  <c r="B29" i="102"/>
  <c r="T28" i="102"/>
  <c r="P28" i="102"/>
  <c r="L28" i="102"/>
  <c r="N28" i="102" s="1"/>
  <c r="J28" i="102"/>
  <c r="H28" i="102"/>
  <c r="D28" i="102"/>
  <c r="B28" i="102"/>
  <c r="V27" i="102"/>
  <c r="T27" i="102"/>
  <c r="P27" i="102"/>
  <c r="H27" i="102"/>
  <c r="D27" i="102"/>
  <c r="L27" i="102" s="1"/>
  <c r="N27" i="102" s="1"/>
  <c r="Z23" i="102"/>
  <c r="X23" i="102"/>
  <c r="V23" i="102"/>
  <c r="N23" i="102"/>
  <c r="L23" i="102"/>
  <c r="J23" i="102"/>
  <c r="B23" i="102"/>
  <c r="Z22" i="102"/>
  <c r="X22" i="102"/>
  <c r="N22" i="102"/>
  <c r="L22" i="102"/>
  <c r="B22" i="102"/>
  <c r="X21" i="102"/>
  <c r="Z21" i="102" s="1"/>
  <c r="L21" i="102"/>
  <c r="N21" i="102" s="1"/>
  <c r="B21" i="102"/>
  <c r="T20" i="102"/>
  <c r="P20" i="102"/>
  <c r="J20" i="102"/>
  <c r="H20" i="102"/>
  <c r="D20" i="102"/>
  <c r="L20" i="102" s="1"/>
  <c r="N20" i="102" s="1"/>
  <c r="Z18" i="102"/>
  <c r="P18" i="102"/>
  <c r="X18" i="102" s="1"/>
  <c r="N18" i="102"/>
  <c r="L18" i="102"/>
  <c r="D18" i="102"/>
  <c r="B18" i="102"/>
  <c r="Z17" i="102"/>
  <c r="X17" i="102"/>
  <c r="P17" i="102"/>
  <c r="N17" i="102"/>
  <c r="L17" i="102"/>
  <c r="D17" i="102"/>
  <c r="B17" i="102"/>
  <c r="P16" i="102"/>
  <c r="X16" i="102" s="1"/>
  <c r="Z16" i="102" s="1"/>
  <c r="L16" i="102"/>
  <c r="N16" i="102" s="1"/>
  <c r="D16" i="102"/>
  <c r="B16" i="102"/>
  <c r="Z15" i="102"/>
  <c r="P15" i="102"/>
  <c r="X15" i="102" s="1"/>
  <c r="N15" i="102"/>
  <c r="D15" i="102"/>
  <c r="L15" i="102" s="1"/>
  <c r="B15" i="102"/>
  <c r="Z14" i="102"/>
  <c r="P14" i="102"/>
  <c r="X14" i="102" s="1"/>
  <c r="N14" i="102"/>
  <c r="L14" i="102"/>
  <c r="D14" i="102"/>
  <c r="B14" i="102"/>
  <c r="Z13" i="102"/>
  <c r="X13" i="102"/>
  <c r="P13" i="102"/>
  <c r="D13" i="102"/>
  <c r="B13" i="102"/>
  <c r="T12" i="102"/>
  <c r="V62" i="102" s="1"/>
  <c r="H12" i="102"/>
  <c r="J74" i="102" s="1"/>
  <c r="D6" i="102"/>
  <c r="D4" i="102"/>
  <c r="Z82" i="101"/>
  <c r="X82" i="101"/>
  <c r="N82" i="101"/>
  <c r="L82" i="101"/>
  <c r="P78" i="101"/>
  <c r="X78" i="101" s="1"/>
  <c r="Z78" i="101" s="1"/>
  <c r="L78" i="101"/>
  <c r="N78" i="101" s="1"/>
  <c r="D78" i="101"/>
  <c r="D77" i="101" s="1"/>
  <c r="L77" i="101" s="1"/>
  <c r="B78" i="101"/>
  <c r="T77" i="101"/>
  <c r="P77" i="101"/>
  <c r="X77" i="101" s="1"/>
  <c r="Z77" i="101" s="1"/>
  <c r="H77" i="101"/>
  <c r="N77" i="101" s="1"/>
  <c r="Z75" i="101"/>
  <c r="X75" i="101"/>
  <c r="N75" i="101"/>
  <c r="L75" i="101"/>
  <c r="B75" i="101"/>
  <c r="Z74" i="101"/>
  <c r="X74" i="101"/>
  <c r="N74" i="101"/>
  <c r="L74" i="101"/>
  <c r="J74" i="101"/>
  <c r="B74" i="101"/>
  <c r="T73" i="101"/>
  <c r="P73" i="101"/>
  <c r="N73" i="101"/>
  <c r="H73" i="101"/>
  <c r="D73" i="101"/>
  <c r="L73" i="101" s="1"/>
  <c r="B73" i="101"/>
  <c r="Z72" i="101"/>
  <c r="X72" i="101"/>
  <c r="N72" i="101"/>
  <c r="L72" i="101"/>
  <c r="B72" i="101"/>
  <c r="X71" i="101"/>
  <c r="Z71" i="101" s="1"/>
  <c r="L71" i="101"/>
  <c r="N71" i="101" s="1"/>
  <c r="B71" i="101"/>
  <c r="Z70" i="101"/>
  <c r="X70" i="101"/>
  <c r="N70" i="101"/>
  <c r="L70" i="101"/>
  <c r="B70" i="101"/>
  <c r="Z69" i="101"/>
  <c r="X69" i="101"/>
  <c r="L69" i="101"/>
  <c r="N69" i="101" s="1"/>
  <c r="J69" i="101"/>
  <c r="B69" i="101"/>
  <c r="Z68" i="101"/>
  <c r="X68" i="101"/>
  <c r="N68" i="101"/>
  <c r="L68" i="101"/>
  <c r="B68" i="101"/>
  <c r="X67" i="101"/>
  <c r="Z67" i="101" s="1"/>
  <c r="T67" i="101"/>
  <c r="P67" i="101"/>
  <c r="J67" i="101"/>
  <c r="H67" i="101"/>
  <c r="D67" i="101"/>
  <c r="L67" i="101" s="1"/>
  <c r="B67" i="101"/>
  <c r="Z66" i="101"/>
  <c r="X66" i="101"/>
  <c r="N66" i="101"/>
  <c r="L66" i="101"/>
  <c r="B66" i="101"/>
  <c r="T65" i="101"/>
  <c r="P65" i="101"/>
  <c r="L65" i="101"/>
  <c r="H65" i="101"/>
  <c r="N65" i="101" s="1"/>
  <c r="D65" i="101"/>
  <c r="B65" i="101"/>
  <c r="Z64" i="101"/>
  <c r="X64" i="101"/>
  <c r="N64" i="101"/>
  <c r="L64" i="101"/>
  <c r="J64" i="101"/>
  <c r="B64" i="101"/>
  <c r="Z63" i="101"/>
  <c r="X63" i="101"/>
  <c r="N63" i="101"/>
  <c r="L63" i="101"/>
  <c r="B63" i="101"/>
  <c r="Z62" i="101"/>
  <c r="X62" i="101"/>
  <c r="N62" i="101"/>
  <c r="L62" i="101"/>
  <c r="J62" i="101"/>
  <c r="B62" i="101"/>
  <c r="T61" i="101"/>
  <c r="P61" i="101"/>
  <c r="H61" i="101"/>
  <c r="D61" i="101"/>
  <c r="L61" i="101" s="1"/>
  <c r="N61" i="101" s="1"/>
  <c r="B61" i="101"/>
  <c r="Z60" i="101"/>
  <c r="X60" i="101"/>
  <c r="N60" i="101"/>
  <c r="L60" i="101"/>
  <c r="J60" i="101"/>
  <c r="B60" i="101"/>
  <c r="Z59" i="101"/>
  <c r="X59" i="101"/>
  <c r="N59" i="101"/>
  <c r="L59" i="101"/>
  <c r="B59" i="101"/>
  <c r="V58" i="101"/>
  <c r="T58" i="101"/>
  <c r="P58" i="101"/>
  <c r="N58" i="101"/>
  <c r="J58" i="101"/>
  <c r="H58" i="101"/>
  <c r="D58" i="101"/>
  <c r="L58" i="101" s="1"/>
  <c r="B58" i="101"/>
  <c r="Z57" i="101"/>
  <c r="X57" i="101"/>
  <c r="V57" i="101"/>
  <c r="N57" i="101"/>
  <c r="L57" i="101"/>
  <c r="B57" i="101"/>
  <c r="T56" i="101"/>
  <c r="Z56" i="101" s="1"/>
  <c r="P56" i="101"/>
  <c r="X56" i="101" s="1"/>
  <c r="N56" i="101"/>
  <c r="H56" i="101"/>
  <c r="D56" i="101"/>
  <c r="L56" i="101" s="1"/>
  <c r="B56" i="101"/>
  <c r="Z55" i="101"/>
  <c r="X55" i="101"/>
  <c r="N55" i="101"/>
  <c r="L55" i="101"/>
  <c r="B55" i="101"/>
  <c r="T54" i="101"/>
  <c r="P54" i="101"/>
  <c r="X54" i="101" s="1"/>
  <c r="N54" i="101"/>
  <c r="L54" i="101"/>
  <c r="J54" i="101"/>
  <c r="H54" i="101"/>
  <c r="D54" i="101"/>
  <c r="B54" i="101"/>
  <c r="Z53" i="101"/>
  <c r="X53" i="101"/>
  <c r="N53" i="101"/>
  <c r="L53" i="101"/>
  <c r="J53" i="101"/>
  <c r="B53" i="101"/>
  <c r="Z52" i="101"/>
  <c r="V52" i="101"/>
  <c r="T52" i="101"/>
  <c r="P52" i="101"/>
  <c r="X52" i="101" s="1"/>
  <c r="H52" i="101"/>
  <c r="D52" i="101"/>
  <c r="B52" i="101"/>
  <c r="X51" i="101"/>
  <c r="Z51" i="101" s="1"/>
  <c r="N51" i="101"/>
  <c r="L51" i="101"/>
  <c r="B51" i="101"/>
  <c r="Z50" i="101"/>
  <c r="T50" i="101"/>
  <c r="P50" i="101"/>
  <c r="X50" i="101" s="1"/>
  <c r="J50" i="101"/>
  <c r="H50" i="101"/>
  <c r="D50" i="101"/>
  <c r="L50" i="101" s="1"/>
  <c r="B50" i="101"/>
  <c r="X49" i="101"/>
  <c r="Z49" i="101" s="1"/>
  <c r="N49" i="101"/>
  <c r="L49" i="101"/>
  <c r="J49" i="101"/>
  <c r="B49" i="101"/>
  <c r="X48" i="101"/>
  <c r="Z48" i="101" s="1"/>
  <c r="T48" i="101"/>
  <c r="P48" i="101"/>
  <c r="H48" i="101"/>
  <c r="D48" i="101"/>
  <c r="L48" i="101" s="1"/>
  <c r="N48" i="101" s="1"/>
  <c r="B48" i="101"/>
  <c r="Z47" i="101"/>
  <c r="X47" i="101"/>
  <c r="N47" i="101"/>
  <c r="L47" i="101"/>
  <c r="B47" i="101"/>
  <c r="T46" i="101"/>
  <c r="P46" i="101"/>
  <c r="N46" i="101"/>
  <c r="J46" i="101"/>
  <c r="H46" i="101"/>
  <c r="D46" i="101"/>
  <c r="L46" i="101" s="1"/>
  <c r="B46" i="101"/>
  <c r="Z45" i="101"/>
  <c r="X45" i="101"/>
  <c r="N45" i="101"/>
  <c r="L45" i="101"/>
  <c r="B45" i="101"/>
  <c r="Z44" i="101"/>
  <c r="X44" i="101"/>
  <c r="N44" i="101"/>
  <c r="L44" i="101"/>
  <c r="J44" i="101"/>
  <c r="B44" i="101"/>
  <c r="X43" i="101"/>
  <c r="Z43" i="101" s="1"/>
  <c r="N43" i="101"/>
  <c r="L43" i="101"/>
  <c r="B43" i="101"/>
  <c r="Z42" i="101"/>
  <c r="X42" i="101"/>
  <c r="N42" i="101"/>
  <c r="L42" i="101"/>
  <c r="B42" i="101"/>
  <c r="Z41" i="101"/>
  <c r="X41" i="101"/>
  <c r="N41" i="101"/>
  <c r="L41" i="101"/>
  <c r="B41" i="101"/>
  <c r="X40" i="101"/>
  <c r="Z40" i="101" s="1"/>
  <c r="N40" i="101"/>
  <c r="L40" i="101"/>
  <c r="J40" i="101"/>
  <c r="B40" i="101"/>
  <c r="Z39" i="101"/>
  <c r="X39" i="101"/>
  <c r="N39" i="101"/>
  <c r="L39" i="101"/>
  <c r="B39" i="101"/>
  <c r="Z38" i="101"/>
  <c r="X38" i="101"/>
  <c r="N38" i="101"/>
  <c r="L38" i="101"/>
  <c r="B38" i="101"/>
  <c r="Z37" i="101"/>
  <c r="X37" i="101"/>
  <c r="N37" i="101"/>
  <c r="L37" i="101"/>
  <c r="B37" i="101"/>
  <c r="Z36" i="101"/>
  <c r="X36" i="101"/>
  <c r="N36" i="101"/>
  <c r="L36" i="101"/>
  <c r="J36" i="101"/>
  <c r="B36" i="101"/>
  <c r="X35" i="101"/>
  <c r="T35" i="101"/>
  <c r="P35" i="101"/>
  <c r="L35" i="101"/>
  <c r="J35" i="101"/>
  <c r="H35" i="101"/>
  <c r="D35" i="101"/>
  <c r="B35" i="101"/>
  <c r="Z34" i="101"/>
  <c r="X34" i="101"/>
  <c r="N34" i="101"/>
  <c r="L34" i="101"/>
  <c r="J34" i="101"/>
  <c r="B34" i="101"/>
  <c r="Z33" i="101"/>
  <c r="X33" i="101"/>
  <c r="N33" i="101"/>
  <c r="L33" i="101"/>
  <c r="J33" i="101"/>
  <c r="B33" i="101"/>
  <c r="Z32" i="101"/>
  <c r="X32" i="101"/>
  <c r="V32" i="101"/>
  <c r="N32" i="101"/>
  <c r="L32" i="101"/>
  <c r="J32" i="101"/>
  <c r="B32" i="101"/>
  <c r="Z31" i="101"/>
  <c r="X31" i="101"/>
  <c r="N31" i="101"/>
  <c r="L31" i="101"/>
  <c r="B31" i="101"/>
  <c r="Z30" i="101"/>
  <c r="X30" i="101"/>
  <c r="N30" i="101"/>
  <c r="L30" i="101"/>
  <c r="J30" i="101"/>
  <c r="B30" i="101"/>
  <c r="Z29" i="101"/>
  <c r="X29" i="101"/>
  <c r="N29" i="101"/>
  <c r="L29" i="101"/>
  <c r="J29" i="101"/>
  <c r="B29" i="101"/>
  <c r="Z28" i="101"/>
  <c r="X28" i="101"/>
  <c r="N28" i="101"/>
  <c r="L28" i="101"/>
  <c r="J28" i="101"/>
  <c r="B28" i="101"/>
  <c r="Z27" i="101"/>
  <c r="X27" i="101"/>
  <c r="N27" i="101"/>
  <c r="L27" i="101"/>
  <c r="B27" i="101"/>
  <c r="Z26" i="101"/>
  <c r="T26" i="101"/>
  <c r="X26" i="101" s="1"/>
  <c r="P26" i="101"/>
  <c r="N26" i="101"/>
  <c r="L26" i="101"/>
  <c r="J26" i="101"/>
  <c r="H26" i="101"/>
  <c r="D26" i="101"/>
  <c r="B26" i="101"/>
  <c r="T25" i="101"/>
  <c r="V25" i="101" s="1"/>
  <c r="P25" i="101"/>
  <c r="H25" i="101"/>
  <c r="D25" i="101"/>
  <c r="L25" i="101" s="1"/>
  <c r="N25" i="101" s="1"/>
  <c r="H23" i="101"/>
  <c r="Z21" i="101"/>
  <c r="X21" i="101"/>
  <c r="N21" i="101"/>
  <c r="L21" i="101"/>
  <c r="J21" i="101"/>
  <c r="B21" i="101"/>
  <c r="Z20" i="101"/>
  <c r="X20" i="101"/>
  <c r="V20" i="101"/>
  <c r="N20" i="101"/>
  <c r="L20" i="101"/>
  <c r="J20" i="101"/>
  <c r="B20" i="101"/>
  <c r="Z19" i="101"/>
  <c r="X19" i="101"/>
  <c r="L19" i="101"/>
  <c r="N19" i="101" s="1"/>
  <c r="J19" i="101"/>
  <c r="B19" i="101"/>
  <c r="V18" i="101"/>
  <c r="T18" i="101"/>
  <c r="X18" i="101" s="1"/>
  <c r="P18" i="101"/>
  <c r="J18" i="101"/>
  <c r="H18" i="101"/>
  <c r="D18" i="101"/>
  <c r="L18" i="101" s="1"/>
  <c r="N18" i="101" s="1"/>
  <c r="Z16" i="101"/>
  <c r="P16" i="101"/>
  <c r="X16" i="101" s="1"/>
  <c r="N16" i="101"/>
  <c r="L16" i="101"/>
  <c r="D16" i="101"/>
  <c r="B16" i="101"/>
  <c r="X15" i="101"/>
  <c r="Z15" i="101" s="1"/>
  <c r="P15" i="101"/>
  <c r="L15" i="101"/>
  <c r="N15" i="101" s="1"/>
  <c r="D15" i="101"/>
  <c r="B15" i="101"/>
  <c r="Z14" i="101"/>
  <c r="P14" i="101"/>
  <c r="X14" i="101" s="1"/>
  <c r="N14" i="101"/>
  <c r="L14" i="101"/>
  <c r="D14" i="101"/>
  <c r="B14" i="101"/>
  <c r="P13" i="101"/>
  <c r="D13" i="101"/>
  <c r="B13" i="101"/>
  <c r="T12" i="101"/>
  <c r="V53" i="101" s="1"/>
  <c r="H12" i="101"/>
  <c r="J75" i="101" s="1"/>
  <c r="D6" i="101"/>
  <c r="D4" i="101"/>
  <c r="Z57" i="100"/>
  <c r="X57" i="100"/>
  <c r="N57" i="100"/>
  <c r="L57" i="100"/>
  <c r="F55" i="100"/>
  <c r="X53" i="100"/>
  <c r="Z53" i="100" s="1"/>
  <c r="P53" i="100"/>
  <c r="N53" i="100"/>
  <c r="L53" i="100"/>
  <c r="D53" i="100"/>
  <c r="B53" i="100"/>
  <c r="T52" i="100"/>
  <c r="P52" i="100"/>
  <c r="N52" i="100"/>
  <c r="L52" i="100"/>
  <c r="H52" i="100"/>
  <c r="D52" i="100"/>
  <c r="Z50" i="100"/>
  <c r="X50" i="100"/>
  <c r="N50" i="100"/>
  <c r="L50" i="100"/>
  <c r="J50" i="100"/>
  <c r="B50" i="100"/>
  <c r="Z49" i="100"/>
  <c r="T49" i="100"/>
  <c r="P49" i="100"/>
  <c r="X49" i="100" s="1"/>
  <c r="H49" i="100"/>
  <c r="L49" i="100" s="1"/>
  <c r="D49" i="100"/>
  <c r="B49" i="100"/>
  <c r="X48" i="100"/>
  <c r="Z48" i="100" s="1"/>
  <c r="N48" i="100"/>
  <c r="L48" i="100"/>
  <c r="B48" i="100"/>
  <c r="T47" i="100"/>
  <c r="P47" i="100"/>
  <c r="X47" i="100" s="1"/>
  <c r="Z47" i="100" s="1"/>
  <c r="J47" i="100"/>
  <c r="H47" i="100"/>
  <c r="F47" i="100"/>
  <c r="D47" i="100"/>
  <c r="L47" i="100" s="1"/>
  <c r="B47" i="100"/>
  <c r="Z46" i="100"/>
  <c r="X46" i="100"/>
  <c r="N46" i="100"/>
  <c r="L46" i="100"/>
  <c r="B46" i="100"/>
  <c r="Z45" i="100"/>
  <c r="X45" i="100"/>
  <c r="T45" i="100"/>
  <c r="P45" i="100"/>
  <c r="H45" i="100"/>
  <c r="N45" i="100" s="1"/>
  <c r="D45" i="100"/>
  <c r="L45" i="100" s="1"/>
  <c r="B45" i="100"/>
  <c r="Z44" i="100"/>
  <c r="X44" i="100"/>
  <c r="N44" i="100"/>
  <c r="L44" i="100"/>
  <c r="B44" i="100"/>
  <c r="T43" i="100"/>
  <c r="X43" i="100" s="1"/>
  <c r="Z43" i="100" s="1"/>
  <c r="P43" i="100"/>
  <c r="N43" i="100"/>
  <c r="H43" i="100"/>
  <c r="D43" i="100"/>
  <c r="L43" i="100" s="1"/>
  <c r="B43" i="100"/>
  <c r="X42" i="100"/>
  <c r="Z42" i="100" s="1"/>
  <c r="N42" i="100"/>
  <c r="L42" i="100"/>
  <c r="B42" i="100"/>
  <c r="T41" i="100"/>
  <c r="P41" i="100"/>
  <c r="N41" i="100"/>
  <c r="H41" i="100"/>
  <c r="D41" i="100"/>
  <c r="L41" i="100" s="1"/>
  <c r="B41" i="100"/>
  <c r="Z40" i="100"/>
  <c r="X40" i="100"/>
  <c r="V40" i="100"/>
  <c r="R40" i="100"/>
  <c r="N40" i="100"/>
  <c r="L40" i="100"/>
  <c r="B40" i="100"/>
  <c r="Z39" i="100"/>
  <c r="X39" i="100"/>
  <c r="N39" i="100"/>
  <c r="L39" i="100"/>
  <c r="J39" i="100"/>
  <c r="F39" i="100"/>
  <c r="B39" i="100"/>
  <c r="Z38" i="100"/>
  <c r="X38" i="100"/>
  <c r="N38" i="100"/>
  <c r="L38" i="100"/>
  <c r="B38" i="100"/>
  <c r="Z37" i="100"/>
  <c r="X37" i="100"/>
  <c r="N37" i="100"/>
  <c r="L37" i="100"/>
  <c r="B37" i="100"/>
  <c r="Z36" i="100"/>
  <c r="X36" i="100"/>
  <c r="N36" i="100"/>
  <c r="L36" i="100"/>
  <c r="F36" i="100"/>
  <c r="B36" i="100"/>
  <c r="Z35" i="100"/>
  <c r="X35" i="100"/>
  <c r="N35" i="100"/>
  <c r="L35" i="100"/>
  <c r="B35" i="100"/>
  <c r="Z34" i="100"/>
  <c r="X34" i="100"/>
  <c r="N34" i="100"/>
  <c r="L34" i="100"/>
  <c r="B34" i="100"/>
  <c r="Z33" i="100"/>
  <c r="X33" i="100"/>
  <c r="N33" i="100"/>
  <c r="L33" i="100"/>
  <c r="J33" i="100"/>
  <c r="F33" i="100"/>
  <c r="B33" i="100"/>
  <c r="Z32" i="100"/>
  <c r="X32" i="100"/>
  <c r="N32" i="100"/>
  <c r="L32" i="100"/>
  <c r="B32" i="100"/>
  <c r="Z31" i="100"/>
  <c r="X31" i="100"/>
  <c r="N31" i="100"/>
  <c r="L31" i="100"/>
  <c r="B31" i="100"/>
  <c r="T30" i="100"/>
  <c r="P30" i="100"/>
  <c r="L30" i="100"/>
  <c r="N30" i="100" s="1"/>
  <c r="J30" i="100"/>
  <c r="H30" i="100"/>
  <c r="D30" i="100"/>
  <c r="B30" i="100"/>
  <c r="Z29" i="100"/>
  <c r="X29" i="100"/>
  <c r="L29" i="100"/>
  <c r="N29" i="100" s="1"/>
  <c r="J29" i="100"/>
  <c r="F29" i="100"/>
  <c r="B29" i="100"/>
  <c r="Z28" i="100"/>
  <c r="X28" i="100"/>
  <c r="N28" i="100"/>
  <c r="L28" i="100"/>
  <c r="B28" i="100"/>
  <c r="X27" i="100"/>
  <c r="Z27" i="100" s="1"/>
  <c r="N27" i="100"/>
  <c r="L27" i="100"/>
  <c r="B27" i="100"/>
  <c r="Z26" i="100"/>
  <c r="X26" i="100"/>
  <c r="N26" i="100"/>
  <c r="L26" i="100"/>
  <c r="J26" i="100"/>
  <c r="F26" i="100"/>
  <c r="B26" i="100"/>
  <c r="X25" i="100"/>
  <c r="Z25" i="100" s="1"/>
  <c r="L25" i="100"/>
  <c r="N25" i="100" s="1"/>
  <c r="F25" i="100"/>
  <c r="B25" i="100"/>
  <c r="X24" i="100"/>
  <c r="Z24" i="100" s="1"/>
  <c r="N24" i="100"/>
  <c r="L24" i="100"/>
  <c r="B24" i="100"/>
  <c r="X23" i="100"/>
  <c r="Z23" i="100" s="1"/>
  <c r="N23" i="100"/>
  <c r="L23" i="100"/>
  <c r="B23" i="100"/>
  <c r="X22" i="100"/>
  <c r="Z22" i="100" s="1"/>
  <c r="N22" i="100"/>
  <c r="L22" i="100"/>
  <c r="J22" i="100"/>
  <c r="F22" i="100"/>
  <c r="B22" i="100"/>
  <c r="X21" i="100"/>
  <c r="Z21" i="100" s="1"/>
  <c r="L21" i="100"/>
  <c r="N21" i="100" s="1"/>
  <c r="F21" i="100"/>
  <c r="B21" i="100"/>
  <c r="X20" i="100"/>
  <c r="Z20" i="100" s="1"/>
  <c r="T20" i="100"/>
  <c r="P20" i="100"/>
  <c r="H20" i="100"/>
  <c r="N20" i="100" s="1"/>
  <c r="F20" i="100"/>
  <c r="D20" i="100"/>
  <c r="L20" i="100" s="1"/>
  <c r="B20" i="100"/>
  <c r="T19" i="100"/>
  <c r="X19" i="100" s="1"/>
  <c r="Z19" i="100" s="1"/>
  <c r="P19" i="100"/>
  <c r="H19" i="100"/>
  <c r="F19" i="100"/>
  <c r="D19" i="100"/>
  <c r="H17" i="100"/>
  <c r="F17" i="100"/>
  <c r="D17" i="100"/>
  <c r="Z15" i="100"/>
  <c r="X15" i="100"/>
  <c r="N15" i="100"/>
  <c r="L15" i="100"/>
  <c r="F15" i="100"/>
  <c r="B15" i="100"/>
  <c r="T14" i="100"/>
  <c r="P14" i="100"/>
  <c r="N14" i="100"/>
  <c r="L14" i="100"/>
  <c r="H14" i="100"/>
  <c r="F14" i="100"/>
  <c r="D14" i="100"/>
  <c r="T12" i="100"/>
  <c r="P12" i="100"/>
  <c r="R34" i="100" s="1"/>
  <c r="H12" i="100"/>
  <c r="J57" i="100" s="1"/>
  <c r="D12" i="100"/>
  <c r="F53" i="100" s="1"/>
  <c r="D6" i="100"/>
  <c r="D4" i="100"/>
  <c r="Z55" i="99"/>
  <c r="X55" i="99"/>
  <c r="N55" i="99"/>
  <c r="L55" i="99"/>
  <c r="J53" i="99"/>
  <c r="Z51" i="99"/>
  <c r="X51" i="99"/>
  <c r="T51" i="99"/>
  <c r="P51" i="99"/>
  <c r="J51" i="99"/>
  <c r="H51" i="99"/>
  <c r="D51" i="99"/>
  <c r="Z49" i="99"/>
  <c r="X49" i="99"/>
  <c r="N49" i="99"/>
  <c r="L49" i="99"/>
  <c r="J49" i="99"/>
  <c r="B49" i="99"/>
  <c r="Z48" i="99"/>
  <c r="T48" i="99"/>
  <c r="P48" i="99"/>
  <c r="X48" i="99" s="1"/>
  <c r="H48" i="99"/>
  <c r="N48" i="99" s="1"/>
  <c r="D48" i="99"/>
  <c r="L48" i="99" s="1"/>
  <c r="B48" i="99"/>
  <c r="Z47" i="99"/>
  <c r="X47" i="99"/>
  <c r="N47" i="99"/>
  <c r="L47" i="99"/>
  <c r="B47" i="99"/>
  <c r="Z46" i="99"/>
  <c r="X46" i="99"/>
  <c r="N46" i="99"/>
  <c r="L46" i="99"/>
  <c r="B46" i="99"/>
  <c r="T45" i="99"/>
  <c r="Z45" i="99" s="1"/>
  <c r="P45" i="99"/>
  <c r="H45" i="99"/>
  <c r="N45" i="99" s="1"/>
  <c r="D45" i="99"/>
  <c r="L45" i="99" s="1"/>
  <c r="B45" i="99"/>
  <c r="Z44" i="99"/>
  <c r="X44" i="99"/>
  <c r="N44" i="99"/>
  <c r="L44" i="99"/>
  <c r="B44" i="99"/>
  <c r="T43" i="99"/>
  <c r="Z43" i="99" s="1"/>
  <c r="P43" i="99"/>
  <c r="X43" i="99" s="1"/>
  <c r="N43" i="99"/>
  <c r="L43" i="99"/>
  <c r="H43" i="99"/>
  <c r="D43" i="99"/>
  <c r="B43" i="99"/>
  <c r="Z42" i="99"/>
  <c r="X42" i="99"/>
  <c r="N42" i="99"/>
  <c r="L42" i="99"/>
  <c r="J42" i="99"/>
  <c r="B42" i="99"/>
  <c r="Z41" i="99"/>
  <c r="X41" i="99"/>
  <c r="T41" i="99"/>
  <c r="P41" i="99"/>
  <c r="J41" i="99"/>
  <c r="H41" i="99"/>
  <c r="D41" i="99"/>
  <c r="B41" i="99"/>
  <c r="Z40" i="99"/>
  <c r="X40" i="99"/>
  <c r="N40" i="99"/>
  <c r="L40" i="99"/>
  <c r="B40" i="99"/>
  <c r="T39" i="99"/>
  <c r="Z39" i="99" s="1"/>
  <c r="P39" i="99"/>
  <c r="X39" i="99" s="1"/>
  <c r="J39" i="99"/>
  <c r="H39" i="99"/>
  <c r="N39" i="99" s="1"/>
  <c r="D39" i="99"/>
  <c r="L39" i="99" s="1"/>
  <c r="B39" i="99"/>
  <c r="Z38" i="99"/>
  <c r="X38" i="99"/>
  <c r="N38" i="99"/>
  <c r="L38" i="99"/>
  <c r="F38" i="99"/>
  <c r="B38" i="99"/>
  <c r="Z37" i="99"/>
  <c r="X37" i="99"/>
  <c r="T37" i="99"/>
  <c r="P37" i="99"/>
  <c r="H37" i="99"/>
  <c r="N37" i="99" s="1"/>
  <c r="D37" i="99"/>
  <c r="L37" i="99" s="1"/>
  <c r="B37" i="99"/>
  <c r="Z36" i="99"/>
  <c r="X36" i="99"/>
  <c r="N36" i="99"/>
  <c r="L36" i="99"/>
  <c r="B36" i="99"/>
  <c r="Z35" i="99"/>
  <c r="X35" i="99"/>
  <c r="N35" i="99"/>
  <c r="L35" i="99"/>
  <c r="B35" i="99"/>
  <c r="Z34" i="99"/>
  <c r="X34" i="99"/>
  <c r="R34" i="99"/>
  <c r="N34" i="99"/>
  <c r="L34" i="99"/>
  <c r="J34" i="99"/>
  <c r="B34" i="99"/>
  <c r="Z33" i="99"/>
  <c r="X33" i="99"/>
  <c r="N33" i="99"/>
  <c r="L33" i="99"/>
  <c r="J33" i="99"/>
  <c r="B33" i="99"/>
  <c r="Z32" i="99"/>
  <c r="T32" i="99"/>
  <c r="P32" i="99"/>
  <c r="X32" i="99" s="1"/>
  <c r="H32" i="99"/>
  <c r="N32" i="99" s="1"/>
  <c r="D32" i="99"/>
  <c r="L32" i="99" s="1"/>
  <c r="B32" i="99"/>
  <c r="Z31" i="99"/>
  <c r="X31" i="99"/>
  <c r="N31" i="99"/>
  <c r="L31" i="99"/>
  <c r="B31" i="99"/>
  <c r="Z30" i="99"/>
  <c r="X30" i="99"/>
  <c r="V30" i="99"/>
  <c r="N30" i="99"/>
  <c r="L30" i="99"/>
  <c r="B30" i="99"/>
  <c r="Z29" i="99"/>
  <c r="X29" i="99"/>
  <c r="N29" i="99"/>
  <c r="L29" i="99"/>
  <c r="B29" i="99"/>
  <c r="Z28" i="99"/>
  <c r="X28" i="99"/>
  <c r="N28" i="99"/>
  <c r="L28" i="99"/>
  <c r="J28" i="99"/>
  <c r="B28" i="99"/>
  <c r="Z27" i="99"/>
  <c r="X27" i="99"/>
  <c r="N27" i="99"/>
  <c r="L27" i="99"/>
  <c r="B27" i="99"/>
  <c r="Z26" i="99"/>
  <c r="X26" i="99"/>
  <c r="V26" i="99"/>
  <c r="N26" i="99"/>
  <c r="L26" i="99"/>
  <c r="B26" i="99"/>
  <c r="Z25" i="99"/>
  <c r="X25" i="99"/>
  <c r="N25" i="99"/>
  <c r="L25" i="99"/>
  <c r="B25" i="99"/>
  <c r="Z24" i="99"/>
  <c r="X24" i="99"/>
  <c r="N24" i="99"/>
  <c r="L24" i="99"/>
  <c r="J24" i="99"/>
  <c r="B24" i="99"/>
  <c r="T23" i="99"/>
  <c r="Z23" i="99" s="1"/>
  <c r="P23" i="99"/>
  <c r="X23" i="99" s="1"/>
  <c r="J23" i="99"/>
  <c r="H23" i="99"/>
  <c r="N23" i="99" s="1"/>
  <c r="D23" i="99"/>
  <c r="L23" i="99" s="1"/>
  <c r="B23" i="99"/>
  <c r="T22" i="99"/>
  <c r="Z22" i="99" s="1"/>
  <c r="P22" i="99"/>
  <c r="X22" i="99" s="1"/>
  <c r="J22" i="99"/>
  <c r="H22" i="99"/>
  <c r="N22" i="99" s="1"/>
  <c r="D22" i="99"/>
  <c r="J20" i="99"/>
  <c r="H20" i="99"/>
  <c r="N20" i="99" s="1"/>
  <c r="Z18" i="99"/>
  <c r="X18" i="99"/>
  <c r="N18" i="99"/>
  <c r="L18" i="99"/>
  <c r="B18" i="99"/>
  <c r="Z17" i="99"/>
  <c r="X17" i="99"/>
  <c r="N17" i="99"/>
  <c r="L17" i="99"/>
  <c r="B17" i="99"/>
  <c r="T16" i="99"/>
  <c r="Z16" i="99" s="1"/>
  <c r="R16" i="99"/>
  <c r="P16" i="99"/>
  <c r="H16" i="99"/>
  <c r="N16" i="99" s="1"/>
  <c r="D16" i="99"/>
  <c r="L16" i="99" s="1"/>
  <c r="Z14" i="99"/>
  <c r="X14" i="99"/>
  <c r="P14" i="99"/>
  <c r="P12" i="99" s="1"/>
  <c r="N14" i="99"/>
  <c r="L14" i="99"/>
  <c r="D14" i="99"/>
  <c r="D12" i="99" s="1"/>
  <c r="B14" i="99"/>
  <c r="Z13" i="99"/>
  <c r="X13" i="99"/>
  <c r="P13" i="99"/>
  <c r="N13" i="99"/>
  <c r="L13" i="99"/>
  <c r="D13" i="99"/>
  <c r="B13" i="99"/>
  <c r="T12" i="99"/>
  <c r="H12" i="99"/>
  <c r="J55" i="99" s="1"/>
  <c r="D6" i="99"/>
  <c r="D4" i="99"/>
  <c r="X100" i="98"/>
  <c r="Z100" i="98" s="1"/>
  <c r="N100" i="98"/>
  <c r="L100" i="98"/>
  <c r="T96" i="98"/>
  <c r="Z96" i="98" s="1"/>
  <c r="P96" i="98"/>
  <c r="X96" i="98" s="1"/>
  <c r="N96" i="98"/>
  <c r="L96" i="98"/>
  <c r="H96" i="98"/>
  <c r="D96" i="98"/>
  <c r="Z94" i="98"/>
  <c r="X94" i="98"/>
  <c r="L94" i="98"/>
  <c r="N94" i="98" s="1"/>
  <c r="B94" i="98"/>
  <c r="Z93" i="98"/>
  <c r="X93" i="98"/>
  <c r="N93" i="98"/>
  <c r="L93" i="98"/>
  <c r="B93" i="98"/>
  <c r="X92" i="98"/>
  <c r="Z92" i="98" s="1"/>
  <c r="T92" i="98"/>
  <c r="P92" i="98"/>
  <c r="H92" i="98"/>
  <c r="N92" i="98" s="1"/>
  <c r="D92" i="98"/>
  <c r="L92" i="98" s="1"/>
  <c r="B92" i="98"/>
  <c r="X91" i="98"/>
  <c r="Z91" i="98" s="1"/>
  <c r="L91" i="98"/>
  <c r="N91" i="98" s="1"/>
  <c r="B91" i="98"/>
  <c r="T90" i="98"/>
  <c r="P90" i="98"/>
  <c r="H90" i="98"/>
  <c r="D90" i="98"/>
  <c r="L90" i="98" s="1"/>
  <c r="B90" i="98"/>
  <c r="Z89" i="98"/>
  <c r="X89" i="98"/>
  <c r="V89" i="98"/>
  <c r="N89" i="98"/>
  <c r="L89" i="98"/>
  <c r="B89" i="98"/>
  <c r="T88" i="98"/>
  <c r="P88" i="98"/>
  <c r="X88" i="98" s="1"/>
  <c r="N88" i="98"/>
  <c r="L88" i="98"/>
  <c r="H88" i="98"/>
  <c r="D88" i="98"/>
  <c r="B88" i="98"/>
  <c r="Z87" i="98"/>
  <c r="X87" i="98"/>
  <c r="N87" i="98"/>
  <c r="L87" i="98"/>
  <c r="B87" i="98"/>
  <c r="Z86" i="98"/>
  <c r="X86" i="98"/>
  <c r="N86" i="98"/>
  <c r="L86" i="98"/>
  <c r="B86" i="98"/>
  <c r="Z85" i="98"/>
  <c r="X85" i="98"/>
  <c r="N85" i="98"/>
  <c r="L85" i="98"/>
  <c r="B85" i="98"/>
  <c r="X84" i="98"/>
  <c r="Z84" i="98" s="1"/>
  <c r="L84" i="98"/>
  <c r="N84" i="98" s="1"/>
  <c r="B84" i="98"/>
  <c r="Z83" i="98"/>
  <c r="X83" i="98"/>
  <c r="V83" i="98"/>
  <c r="N83" i="98"/>
  <c r="L83" i="98"/>
  <c r="B83" i="98"/>
  <c r="Z82" i="98"/>
  <c r="X82" i="98"/>
  <c r="N82" i="98"/>
  <c r="L82" i="98"/>
  <c r="B82" i="98"/>
  <c r="Z81" i="98"/>
  <c r="X81" i="98"/>
  <c r="N81" i="98"/>
  <c r="L81" i="98"/>
  <c r="B81" i="98"/>
  <c r="Z80" i="98"/>
  <c r="X80" i="98"/>
  <c r="N80" i="98"/>
  <c r="L80" i="98"/>
  <c r="B80" i="98"/>
  <c r="T79" i="98"/>
  <c r="P79" i="98"/>
  <c r="X79" i="98" s="1"/>
  <c r="H79" i="98"/>
  <c r="D79" i="98"/>
  <c r="L79" i="98" s="1"/>
  <c r="N79" i="98" s="1"/>
  <c r="B79" i="98"/>
  <c r="X78" i="98"/>
  <c r="Z78" i="98" s="1"/>
  <c r="N78" i="98"/>
  <c r="L78" i="98"/>
  <c r="B78" i="98"/>
  <c r="Z77" i="98"/>
  <c r="X77" i="98"/>
  <c r="N77" i="98"/>
  <c r="L77" i="98"/>
  <c r="J77" i="98"/>
  <c r="B77" i="98"/>
  <c r="T76" i="98"/>
  <c r="P76" i="98"/>
  <c r="X76" i="98" s="1"/>
  <c r="H76" i="98"/>
  <c r="D76" i="98"/>
  <c r="B76" i="98"/>
  <c r="X75" i="98"/>
  <c r="Z75" i="98" s="1"/>
  <c r="N75" i="98"/>
  <c r="L75" i="98"/>
  <c r="B75" i="98"/>
  <c r="Z74" i="98"/>
  <c r="X74" i="98"/>
  <c r="N74" i="98"/>
  <c r="L74" i="98"/>
  <c r="B74" i="98"/>
  <c r="Z73" i="98"/>
  <c r="X73" i="98"/>
  <c r="V73" i="98"/>
  <c r="R73" i="98"/>
  <c r="N73" i="98"/>
  <c r="L73" i="98"/>
  <c r="B73" i="98"/>
  <c r="X72" i="98"/>
  <c r="T72" i="98"/>
  <c r="P72" i="98"/>
  <c r="N72" i="98"/>
  <c r="L72" i="98"/>
  <c r="H72" i="98"/>
  <c r="D72" i="98"/>
  <c r="B72" i="98"/>
  <c r="Z71" i="98"/>
  <c r="X71" i="98"/>
  <c r="L71" i="98"/>
  <c r="N71" i="98" s="1"/>
  <c r="B71" i="98"/>
  <c r="Z70" i="98"/>
  <c r="X70" i="98"/>
  <c r="L70" i="98"/>
  <c r="N70" i="98" s="1"/>
  <c r="J70" i="98"/>
  <c r="B70" i="98"/>
  <c r="Z69" i="98"/>
  <c r="X69" i="98"/>
  <c r="N69" i="98"/>
  <c r="L69" i="98"/>
  <c r="B69" i="98"/>
  <c r="X68" i="98"/>
  <c r="Z68" i="98" s="1"/>
  <c r="V68" i="98"/>
  <c r="T68" i="98"/>
  <c r="P68" i="98"/>
  <c r="H68" i="98"/>
  <c r="D68" i="98"/>
  <c r="L68" i="98" s="1"/>
  <c r="B68" i="98"/>
  <c r="Z67" i="98"/>
  <c r="X67" i="98"/>
  <c r="N67" i="98"/>
  <c r="L67" i="98"/>
  <c r="B67" i="98"/>
  <c r="X66" i="98"/>
  <c r="Z66" i="98" s="1"/>
  <c r="V66" i="98"/>
  <c r="N66" i="98"/>
  <c r="L66" i="98"/>
  <c r="B66" i="98"/>
  <c r="T65" i="98"/>
  <c r="P65" i="98"/>
  <c r="X65" i="98" s="1"/>
  <c r="Z65" i="98" s="1"/>
  <c r="N65" i="98"/>
  <c r="L65" i="98"/>
  <c r="H65" i="98"/>
  <c r="D65" i="98"/>
  <c r="B65" i="98"/>
  <c r="X64" i="98"/>
  <c r="Z64" i="98" s="1"/>
  <c r="L64" i="98"/>
  <c r="N64" i="98" s="1"/>
  <c r="B64" i="98"/>
  <c r="X63" i="98"/>
  <c r="Z63" i="98" s="1"/>
  <c r="T63" i="98"/>
  <c r="P63" i="98"/>
  <c r="L63" i="98"/>
  <c r="N63" i="98" s="1"/>
  <c r="H63" i="98"/>
  <c r="D63" i="98"/>
  <c r="B63" i="98"/>
  <c r="Z62" i="98"/>
  <c r="X62" i="98"/>
  <c r="L62" i="98"/>
  <c r="N62" i="98" s="1"/>
  <c r="B62" i="98"/>
  <c r="V61" i="98"/>
  <c r="T61" i="98"/>
  <c r="P61" i="98"/>
  <c r="X61" i="98" s="1"/>
  <c r="N61" i="98"/>
  <c r="H61" i="98"/>
  <c r="D61" i="98"/>
  <c r="L61" i="98" s="1"/>
  <c r="B61" i="98"/>
  <c r="X60" i="98"/>
  <c r="Z60" i="98" s="1"/>
  <c r="L60" i="98"/>
  <c r="N60" i="98" s="1"/>
  <c r="B60" i="98"/>
  <c r="X59" i="98"/>
  <c r="Z59" i="98" s="1"/>
  <c r="T59" i="98"/>
  <c r="P59" i="98"/>
  <c r="H59" i="98"/>
  <c r="D59" i="98"/>
  <c r="L59" i="98" s="1"/>
  <c r="N59" i="98" s="1"/>
  <c r="B59" i="98"/>
  <c r="Z58" i="98"/>
  <c r="X58" i="98"/>
  <c r="N58" i="98"/>
  <c r="L58" i="98"/>
  <c r="B58" i="98"/>
  <c r="X57" i="98"/>
  <c r="T57" i="98"/>
  <c r="Z57" i="98" s="1"/>
  <c r="P57" i="98"/>
  <c r="N57" i="98"/>
  <c r="L57" i="98"/>
  <c r="H57" i="98"/>
  <c r="D57" i="98"/>
  <c r="B57" i="98"/>
  <c r="X56" i="98"/>
  <c r="Z56" i="98" s="1"/>
  <c r="L56" i="98"/>
  <c r="N56" i="98" s="1"/>
  <c r="J56" i="98"/>
  <c r="B56" i="98"/>
  <c r="Z55" i="98"/>
  <c r="X55" i="98"/>
  <c r="L55" i="98"/>
  <c r="N55" i="98" s="1"/>
  <c r="B55" i="98"/>
  <c r="Z54" i="98"/>
  <c r="X54" i="98"/>
  <c r="L54" i="98"/>
  <c r="N54" i="98" s="1"/>
  <c r="B54" i="98"/>
  <c r="Z53" i="98"/>
  <c r="T53" i="98"/>
  <c r="P53" i="98"/>
  <c r="X53" i="98" s="1"/>
  <c r="H53" i="98"/>
  <c r="D53" i="98"/>
  <c r="L53" i="98" s="1"/>
  <c r="N53" i="98" s="1"/>
  <c r="B53" i="98"/>
  <c r="X52" i="98"/>
  <c r="Z52" i="98" s="1"/>
  <c r="L52" i="98"/>
  <c r="N52" i="98" s="1"/>
  <c r="B52" i="98"/>
  <c r="T51" i="98"/>
  <c r="R51" i="98"/>
  <c r="P51" i="98"/>
  <c r="X51" i="98" s="1"/>
  <c r="Z51" i="98" s="1"/>
  <c r="H51" i="98"/>
  <c r="D51" i="98"/>
  <c r="L51" i="98" s="1"/>
  <c r="N51" i="98" s="1"/>
  <c r="B51" i="98"/>
  <c r="Z50" i="98"/>
  <c r="X50" i="98"/>
  <c r="N50" i="98"/>
  <c r="L50" i="98"/>
  <c r="B50" i="98"/>
  <c r="T49" i="98"/>
  <c r="P49" i="98"/>
  <c r="L49" i="98"/>
  <c r="N49" i="98" s="1"/>
  <c r="H49" i="98"/>
  <c r="D49" i="98"/>
  <c r="B49" i="98"/>
  <c r="Z48" i="98"/>
  <c r="X48" i="98"/>
  <c r="L48" i="98"/>
  <c r="N48" i="98" s="1"/>
  <c r="B48" i="98"/>
  <c r="T47" i="98"/>
  <c r="P47" i="98"/>
  <c r="X47" i="98" s="1"/>
  <c r="Z47" i="98" s="1"/>
  <c r="H47" i="98"/>
  <c r="N47" i="98" s="1"/>
  <c r="D47" i="98"/>
  <c r="L47" i="98" s="1"/>
  <c r="B47" i="98"/>
  <c r="Z46" i="98"/>
  <c r="X46" i="98"/>
  <c r="N46" i="98"/>
  <c r="L46" i="98"/>
  <c r="F46" i="98"/>
  <c r="B46" i="98"/>
  <c r="Z45" i="98"/>
  <c r="X45" i="98"/>
  <c r="N45" i="98"/>
  <c r="L45" i="98"/>
  <c r="B45" i="98"/>
  <c r="X44" i="98"/>
  <c r="Z44" i="98" s="1"/>
  <c r="V44" i="98"/>
  <c r="N44" i="98"/>
  <c r="L44" i="98"/>
  <c r="B44" i="98"/>
  <c r="Z43" i="98"/>
  <c r="X43" i="98"/>
  <c r="N43" i="98"/>
  <c r="L43" i="98"/>
  <c r="B43" i="98"/>
  <c r="Z42" i="98"/>
  <c r="X42" i="98"/>
  <c r="N42" i="98"/>
  <c r="L42" i="98"/>
  <c r="B42" i="98"/>
  <c r="Z41" i="98"/>
  <c r="X41" i="98"/>
  <c r="N41" i="98"/>
  <c r="L41" i="98"/>
  <c r="B41" i="98"/>
  <c r="X40" i="98"/>
  <c r="Z40" i="98" s="1"/>
  <c r="L40" i="98"/>
  <c r="N40" i="98" s="1"/>
  <c r="B40" i="98"/>
  <c r="Z39" i="98"/>
  <c r="X39" i="98"/>
  <c r="N39" i="98"/>
  <c r="L39" i="98"/>
  <c r="B39" i="98"/>
  <c r="Z38" i="98"/>
  <c r="X38" i="98"/>
  <c r="N38" i="98"/>
  <c r="L38" i="98"/>
  <c r="B38" i="98"/>
  <c r="Z37" i="98"/>
  <c r="X37" i="98"/>
  <c r="N37" i="98"/>
  <c r="L37" i="98"/>
  <c r="F37" i="98"/>
  <c r="B37" i="98"/>
  <c r="T36" i="98"/>
  <c r="P36" i="98"/>
  <c r="X36" i="98" s="1"/>
  <c r="H36" i="98"/>
  <c r="D36" i="98"/>
  <c r="L36" i="98" s="1"/>
  <c r="B36" i="98"/>
  <c r="X35" i="98"/>
  <c r="Z35" i="98" s="1"/>
  <c r="L35" i="98"/>
  <c r="N35" i="98" s="1"/>
  <c r="J35" i="98"/>
  <c r="B35" i="98"/>
  <c r="Z34" i="98"/>
  <c r="X34" i="98"/>
  <c r="L34" i="98"/>
  <c r="N34" i="98" s="1"/>
  <c r="B34" i="98"/>
  <c r="Z33" i="98"/>
  <c r="X33" i="98"/>
  <c r="N33" i="98"/>
  <c r="L33" i="98"/>
  <c r="B33" i="98"/>
  <c r="Z32" i="98"/>
  <c r="X32" i="98"/>
  <c r="N32" i="98"/>
  <c r="L32" i="98"/>
  <c r="J32" i="98"/>
  <c r="F32" i="98"/>
  <c r="B32" i="98"/>
  <c r="X31" i="98"/>
  <c r="Z31" i="98" s="1"/>
  <c r="L31" i="98"/>
  <c r="N31" i="98" s="1"/>
  <c r="J31" i="98"/>
  <c r="B31" i="98"/>
  <c r="Z30" i="98"/>
  <c r="X30" i="98"/>
  <c r="L30" i="98"/>
  <c r="N30" i="98" s="1"/>
  <c r="B30" i="98"/>
  <c r="Z29" i="98"/>
  <c r="X29" i="98"/>
  <c r="N29" i="98"/>
  <c r="L29" i="98"/>
  <c r="B29" i="98"/>
  <c r="X28" i="98"/>
  <c r="Z28" i="98" s="1"/>
  <c r="L28" i="98"/>
  <c r="N28" i="98" s="1"/>
  <c r="J28" i="98"/>
  <c r="B28" i="98"/>
  <c r="X27" i="98"/>
  <c r="Z27" i="98" s="1"/>
  <c r="L27" i="98"/>
  <c r="N27" i="98" s="1"/>
  <c r="J27" i="98"/>
  <c r="B27" i="98"/>
  <c r="X26" i="98"/>
  <c r="Z26" i="98" s="1"/>
  <c r="T26" i="98"/>
  <c r="P26" i="98"/>
  <c r="H26" i="98"/>
  <c r="N26" i="98" s="1"/>
  <c r="D26" i="98"/>
  <c r="L26" i="98" s="1"/>
  <c r="B26" i="98"/>
  <c r="T25" i="98"/>
  <c r="P25" i="98"/>
  <c r="X25" i="98" s="1"/>
  <c r="Z25" i="98" s="1"/>
  <c r="H25" i="98"/>
  <c r="D25" i="98"/>
  <c r="L25" i="98" s="1"/>
  <c r="Z21" i="98"/>
  <c r="X21" i="98"/>
  <c r="N21" i="98"/>
  <c r="L21" i="98"/>
  <c r="B21" i="98"/>
  <c r="Z20" i="98"/>
  <c r="X20" i="98"/>
  <c r="V20" i="98"/>
  <c r="N20" i="98"/>
  <c r="L20" i="98"/>
  <c r="J20" i="98"/>
  <c r="B20" i="98"/>
  <c r="X19" i="98"/>
  <c r="Z19" i="98" s="1"/>
  <c r="L19" i="98"/>
  <c r="N19" i="98" s="1"/>
  <c r="J19" i="98"/>
  <c r="B19" i="98"/>
  <c r="X18" i="98"/>
  <c r="Z18" i="98" s="1"/>
  <c r="T18" i="98"/>
  <c r="P18" i="98"/>
  <c r="H18" i="98"/>
  <c r="D18" i="98"/>
  <c r="Z16" i="98"/>
  <c r="X16" i="98"/>
  <c r="P16" i="98"/>
  <c r="N16" i="98"/>
  <c r="D16" i="98"/>
  <c r="L16" i="98" s="1"/>
  <c r="B16" i="98"/>
  <c r="P15" i="98"/>
  <c r="P12" i="98" s="1"/>
  <c r="R20" i="98" s="1"/>
  <c r="D15" i="98"/>
  <c r="L15" i="98" s="1"/>
  <c r="N15" i="98" s="1"/>
  <c r="B15" i="98"/>
  <c r="Z14" i="98"/>
  <c r="P14" i="98"/>
  <c r="X14" i="98" s="1"/>
  <c r="N14" i="98"/>
  <c r="L14" i="98"/>
  <c r="D14" i="98"/>
  <c r="B14" i="98"/>
  <c r="Z13" i="98"/>
  <c r="X13" i="98"/>
  <c r="P13" i="98"/>
  <c r="L13" i="98"/>
  <c r="N13" i="98" s="1"/>
  <c r="D13" i="98"/>
  <c r="D12" i="98" s="1"/>
  <c r="F50" i="98" s="1"/>
  <c r="B13" i="98"/>
  <c r="T12" i="98"/>
  <c r="V60" i="98" s="1"/>
  <c r="H12" i="98"/>
  <c r="J47" i="98" s="1"/>
  <c r="D6" i="98"/>
  <c r="D4" i="98"/>
  <c r="Z105" i="96"/>
  <c r="X105" i="96"/>
  <c r="L105" i="96"/>
  <c r="N105" i="96" s="1"/>
  <c r="Z101" i="96"/>
  <c r="P101" i="96"/>
  <c r="X101" i="96" s="1"/>
  <c r="N101" i="96"/>
  <c r="D101" i="96"/>
  <c r="L101" i="96" s="1"/>
  <c r="B101" i="96"/>
  <c r="T100" i="96"/>
  <c r="Z100" i="96" s="1"/>
  <c r="P100" i="96"/>
  <c r="X100" i="96" s="1"/>
  <c r="N100" i="96"/>
  <c r="H100" i="96"/>
  <c r="X98" i="96"/>
  <c r="Z98" i="96" s="1"/>
  <c r="L98" i="96"/>
  <c r="N98" i="96" s="1"/>
  <c r="J98" i="96"/>
  <c r="B98" i="96"/>
  <c r="X97" i="96"/>
  <c r="Z97" i="96" s="1"/>
  <c r="T97" i="96"/>
  <c r="P97" i="96"/>
  <c r="H97" i="96"/>
  <c r="D97" i="96"/>
  <c r="B97" i="96"/>
  <c r="Z96" i="96"/>
  <c r="X96" i="96"/>
  <c r="N96" i="96"/>
  <c r="L96" i="96"/>
  <c r="B96" i="96"/>
  <c r="Z95" i="96"/>
  <c r="X95" i="96"/>
  <c r="N95" i="96"/>
  <c r="L95" i="96"/>
  <c r="B95" i="96"/>
  <c r="X94" i="96"/>
  <c r="Z94" i="96" s="1"/>
  <c r="V94" i="96"/>
  <c r="T94" i="96"/>
  <c r="P94" i="96"/>
  <c r="N94" i="96"/>
  <c r="H94" i="96"/>
  <c r="D94" i="96"/>
  <c r="L94" i="96" s="1"/>
  <c r="B94" i="96"/>
  <c r="Z93" i="96"/>
  <c r="X93" i="96"/>
  <c r="N93" i="96"/>
  <c r="L93" i="96"/>
  <c r="B93" i="96"/>
  <c r="T92" i="96"/>
  <c r="P92" i="96"/>
  <c r="L92" i="96"/>
  <c r="H92" i="96"/>
  <c r="N92" i="96" s="1"/>
  <c r="D92" i="96"/>
  <c r="B92" i="96"/>
  <c r="Z91" i="96"/>
  <c r="X91" i="96"/>
  <c r="V91" i="96"/>
  <c r="N91" i="96"/>
  <c r="L91" i="96"/>
  <c r="B91" i="96"/>
  <c r="T90" i="96"/>
  <c r="P90" i="96"/>
  <c r="X90" i="96" s="1"/>
  <c r="H90" i="96"/>
  <c r="D90" i="96"/>
  <c r="L90" i="96" s="1"/>
  <c r="N90" i="96" s="1"/>
  <c r="B90" i="96"/>
  <c r="X89" i="96"/>
  <c r="Z89" i="96" s="1"/>
  <c r="N89" i="96"/>
  <c r="L89" i="96"/>
  <c r="B89" i="96"/>
  <c r="Z88" i="96"/>
  <c r="X88" i="96"/>
  <c r="N88" i="96"/>
  <c r="L88" i="96"/>
  <c r="B88" i="96"/>
  <c r="Z87" i="96"/>
  <c r="X87" i="96"/>
  <c r="N87" i="96"/>
  <c r="L87" i="96"/>
  <c r="B87" i="96"/>
  <c r="X86" i="96"/>
  <c r="Z86" i="96" s="1"/>
  <c r="V86" i="96"/>
  <c r="L86" i="96"/>
  <c r="N86" i="96" s="1"/>
  <c r="B86" i="96"/>
  <c r="X85" i="96"/>
  <c r="Z85" i="96" s="1"/>
  <c r="L85" i="96"/>
  <c r="N85" i="96" s="1"/>
  <c r="B85" i="96"/>
  <c r="Z84" i="96"/>
  <c r="X84" i="96"/>
  <c r="L84" i="96"/>
  <c r="N84" i="96" s="1"/>
  <c r="F84" i="96"/>
  <c r="B84" i="96"/>
  <c r="Z83" i="96"/>
  <c r="X83" i="96"/>
  <c r="N83" i="96"/>
  <c r="L83" i="96"/>
  <c r="B83" i="96"/>
  <c r="X82" i="96"/>
  <c r="Z82" i="96" s="1"/>
  <c r="V82" i="96"/>
  <c r="L82" i="96"/>
  <c r="N82" i="96" s="1"/>
  <c r="B82" i="96"/>
  <c r="X81" i="96"/>
  <c r="Z81" i="96" s="1"/>
  <c r="N81" i="96"/>
  <c r="L81" i="96"/>
  <c r="B81" i="96"/>
  <c r="T80" i="96"/>
  <c r="P80" i="96"/>
  <c r="X80" i="96" s="1"/>
  <c r="Z80" i="96" s="1"/>
  <c r="L80" i="96"/>
  <c r="N80" i="96" s="1"/>
  <c r="J80" i="96"/>
  <c r="H80" i="96"/>
  <c r="D80" i="96"/>
  <c r="B80" i="96"/>
  <c r="Z79" i="96"/>
  <c r="X79" i="96"/>
  <c r="N79" i="96"/>
  <c r="L79" i="96"/>
  <c r="J79" i="96"/>
  <c r="B79" i="96"/>
  <c r="Z78" i="96"/>
  <c r="X78" i="96"/>
  <c r="N78" i="96"/>
  <c r="L78" i="96"/>
  <c r="B78" i="96"/>
  <c r="X77" i="96"/>
  <c r="Z77" i="96" s="1"/>
  <c r="T77" i="96"/>
  <c r="P77" i="96"/>
  <c r="H77" i="96"/>
  <c r="D77" i="96"/>
  <c r="L77" i="96" s="1"/>
  <c r="N77" i="96" s="1"/>
  <c r="B77" i="96"/>
  <c r="Z76" i="96"/>
  <c r="X76" i="96"/>
  <c r="N76" i="96"/>
  <c r="L76" i="96"/>
  <c r="B76" i="96"/>
  <c r="Z75" i="96"/>
  <c r="X75" i="96"/>
  <c r="V75" i="96"/>
  <c r="N75" i="96"/>
  <c r="L75" i="96"/>
  <c r="B75" i="96"/>
  <c r="Z74" i="96"/>
  <c r="X74" i="96"/>
  <c r="L74" i="96"/>
  <c r="N74" i="96" s="1"/>
  <c r="J74" i="96"/>
  <c r="B74" i="96"/>
  <c r="X73" i="96"/>
  <c r="Z73" i="96" s="1"/>
  <c r="L73" i="96"/>
  <c r="N73" i="96" s="1"/>
  <c r="B73" i="96"/>
  <c r="Z72" i="96"/>
  <c r="X72" i="96"/>
  <c r="N72" i="96"/>
  <c r="L72" i="96"/>
  <c r="B72" i="96"/>
  <c r="T71" i="96"/>
  <c r="P71" i="96"/>
  <c r="L71" i="96"/>
  <c r="N71" i="96" s="1"/>
  <c r="H71" i="96"/>
  <c r="D71" i="96"/>
  <c r="B71" i="96"/>
  <c r="X70" i="96"/>
  <c r="Z70" i="96" s="1"/>
  <c r="V70" i="96"/>
  <c r="L70" i="96"/>
  <c r="N70" i="96" s="1"/>
  <c r="B70" i="96"/>
  <c r="Z69" i="96"/>
  <c r="X69" i="96"/>
  <c r="N69" i="96"/>
  <c r="L69" i="96"/>
  <c r="B69" i="96"/>
  <c r="Z68" i="96"/>
  <c r="X68" i="96"/>
  <c r="N68" i="96"/>
  <c r="L68" i="96"/>
  <c r="B68" i="96"/>
  <c r="Z67" i="96"/>
  <c r="X67" i="96"/>
  <c r="N67" i="96"/>
  <c r="L67" i="96"/>
  <c r="B67" i="96"/>
  <c r="X66" i="96"/>
  <c r="Z66" i="96" s="1"/>
  <c r="V66" i="96"/>
  <c r="T66" i="96"/>
  <c r="P66" i="96"/>
  <c r="H66" i="96"/>
  <c r="D66" i="96"/>
  <c r="L66" i="96" s="1"/>
  <c r="N66" i="96" s="1"/>
  <c r="B66" i="96"/>
  <c r="X65" i="96"/>
  <c r="Z65" i="96" s="1"/>
  <c r="L65" i="96"/>
  <c r="N65" i="96" s="1"/>
  <c r="B65" i="96"/>
  <c r="T64" i="96"/>
  <c r="P64" i="96"/>
  <c r="L64" i="96"/>
  <c r="H64" i="96"/>
  <c r="N64" i="96" s="1"/>
  <c r="D64" i="96"/>
  <c r="B64" i="96"/>
  <c r="Z63" i="96"/>
  <c r="X63" i="96"/>
  <c r="V63" i="96"/>
  <c r="N63" i="96"/>
  <c r="L63" i="96"/>
  <c r="B63" i="96"/>
  <c r="T62" i="96"/>
  <c r="P62" i="96"/>
  <c r="X62" i="96" s="1"/>
  <c r="N62" i="96"/>
  <c r="H62" i="96"/>
  <c r="D62" i="96"/>
  <c r="L62" i="96" s="1"/>
  <c r="B62" i="96"/>
  <c r="X61" i="96"/>
  <c r="Z61" i="96" s="1"/>
  <c r="N61" i="96"/>
  <c r="L61" i="96"/>
  <c r="B61" i="96"/>
  <c r="T60" i="96"/>
  <c r="P60" i="96"/>
  <c r="X60" i="96" s="1"/>
  <c r="Z60" i="96" s="1"/>
  <c r="N60" i="96"/>
  <c r="L60" i="96"/>
  <c r="J60" i="96"/>
  <c r="H60" i="96"/>
  <c r="D60" i="96"/>
  <c r="B60" i="96"/>
  <c r="Z59" i="96"/>
  <c r="X59" i="96"/>
  <c r="N59" i="96"/>
  <c r="L59" i="96"/>
  <c r="J59" i="96"/>
  <c r="B59" i="96"/>
  <c r="X58" i="96"/>
  <c r="V58" i="96"/>
  <c r="T58" i="96"/>
  <c r="Z58" i="96" s="1"/>
  <c r="P58" i="96"/>
  <c r="H58" i="96"/>
  <c r="D58" i="96"/>
  <c r="B58" i="96"/>
  <c r="X57" i="96"/>
  <c r="Z57" i="96" s="1"/>
  <c r="L57" i="96"/>
  <c r="N57" i="96" s="1"/>
  <c r="B57" i="96"/>
  <c r="T56" i="96"/>
  <c r="P56" i="96"/>
  <c r="X56" i="96" s="1"/>
  <c r="Z56" i="96" s="1"/>
  <c r="H56" i="96"/>
  <c r="N56" i="96" s="1"/>
  <c r="D56" i="96"/>
  <c r="L56" i="96" s="1"/>
  <c r="B56" i="96"/>
  <c r="Z55" i="96"/>
  <c r="X55" i="96"/>
  <c r="N55" i="96"/>
  <c r="L55" i="96"/>
  <c r="B55" i="96"/>
  <c r="X54" i="96"/>
  <c r="Z54" i="96" s="1"/>
  <c r="V54" i="96"/>
  <c r="L54" i="96"/>
  <c r="N54" i="96" s="1"/>
  <c r="B54" i="96"/>
  <c r="X53" i="96"/>
  <c r="Z53" i="96" s="1"/>
  <c r="V53" i="96"/>
  <c r="N53" i="96"/>
  <c r="L53" i="96"/>
  <c r="B53" i="96"/>
  <c r="T52" i="96"/>
  <c r="P52" i="96"/>
  <c r="X52" i="96" s="1"/>
  <c r="Z52" i="96" s="1"/>
  <c r="L52" i="96"/>
  <c r="J52" i="96"/>
  <c r="H52" i="96"/>
  <c r="D52" i="96"/>
  <c r="B52" i="96"/>
  <c r="Z51" i="96"/>
  <c r="X51" i="96"/>
  <c r="N51" i="96"/>
  <c r="L51" i="96"/>
  <c r="J51" i="96"/>
  <c r="B51" i="96"/>
  <c r="X50" i="96"/>
  <c r="V50" i="96"/>
  <c r="T50" i="96"/>
  <c r="Z50" i="96" s="1"/>
  <c r="P50" i="96"/>
  <c r="H50" i="96"/>
  <c r="F50" i="96"/>
  <c r="D50" i="96"/>
  <c r="B50" i="96"/>
  <c r="X49" i="96"/>
  <c r="Z49" i="96" s="1"/>
  <c r="L49" i="96"/>
  <c r="N49" i="96" s="1"/>
  <c r="B49" i="96"/>
  <c r="Z48" i="96"/>
  <c r="T48" i="96"/>
  <c r="X48" i="96" s="1"/>
  <c r="P48" i="96"/>
  <c r="H48" i="96"/>
  <c r="D48" i="96"/>
  <c r="L48" i="96" s="1"/>
  <c r="B48" i="96"/>
  <c r="Z47" i="96"/>
  <c r="X47" i="96"/>
  <c r="V47" i="96"/>
  <c r="N47" i="96"/>
  <c r="L47" i="96"/>
  <c r="B47" i="96"/>
  <c r="X46" i="96"/>
  <c r="V46" i="96"/>
  <c r="T46" i="96"/>
  <c r="P46" i="96"/>
  <c r="H46" i="96"/>
  <c r="D46" i="96"/>
  <c r="L46" i="96" s="1"/>
  <c r="N46" i="96" s="1"/>
  <c r="B46" i="96"/>
  <c r="Z45" i="96"/>
  <c r="X45" i="96"/>
  <c r="V45" i="96"/>
  <c r="N45" i="96"/>
  <c r="L45" i="96"/>
  <c r="B45" i="96"/>
  <c r="Z44" i="96"/>
  <c r="X44" i="96"/>
  <c r="N44" i="96"/>
  <c r="L44" i="96"/>
  <c r="B44" i="96"/>
  <c r="Z43" i="96"/>
  <c r="X43" i="96"/>
  <c r="N43" i="96"/>
  <c r="L43" i="96"/>
  <c r="J43" i="96"/>
  <c r="B43" i="96"/>
  <c r="X42" i="96"/>
  <c r="Z42" i="96" s="1"/>
  <c r="V42" i="96"/>
  <c r="N42" i="96"/>
  <c r="L42" i="96"/>
  <c r="B42" i="96"/>
  <c r="Z41" i="96"/>
  <c r="X41" i="96"/>
  <c r="V41" i="96"/>
  <c r="N41" i="96"/>
  <c r="L41" i="96"/>
  <c r="B41" i="96"/>
  <c r="X40" i="96"/>
  <c r="Z40" i="96" s="1"/>
  <c r="V40" i="96"/>
  <c r="N40" i="96"/>
  <c r="L40" i="96"/>
  <c r="B40" i="96"/>
  <c r="Z39" i="96"/>
  <c r="X39" i="96"/>
  <c r="N39" i="96"/>
  <c r="L39" i="96"/>
  <c r="J39" i="96"/>
  <c r="B39" i="96"/>
  <c r="Z38" i="96"/>
  <c r="X38" i="96"/>
  <c r="V38" i="96"/>
  <c r="N38" i="96"/>
  <c r="L38" i="96"/>
  <c r="B38" i="96"/>
  <c r="Z37" i="96"/>
  <c r="X37" i="96"/>
  <c r="V37" i="96"/>
  <c r="L37" i="96"/>
  <c r="N37" i="96" s="1"/>
  <c r="B37" i="96"/>
  <c r="Z36" i="96"/>
  <c r="X36" i="96"/>
  <c r="V36" i="96"/>
  <c r="N36" i="96"/>
  <c r="L36" i="96"/>
  <c r="B36" i="96"/>
  <c r="T35" i="96"/>
  <c r="P35" i="96"/>
  <c r="X35" i="96" s="1"/>
  <c r="Z35" i="96" s="1"/>
  <c r="L35" i="96"/>
  <c r="N35" i="96" s="1"/>
  <c r="H35" i="96"/>
  <c r="D35" i="96"/>
  <c r="B35" i="96"/>
  <c r="X34" i="96"/>
  <c r="Z34" i="96" s="1"/>
  <c r="L34" i="96"/>
  <c r="N34" i="96" s="1"/>
  <c r="J34" i="96"/>
  <c r="B34" i="96"/>
  <c r="X33" i="96"/>
  <c r="Z33" i="96" s="1"/>
  <c r="V33" i="96"/>
  <c r="L33" i="96"/>
  <c r="N33" i="96" s="1"/>
  <c r="J33" i="96"/>
  <c r="B33" i="96"/>
  <c r="Z32" i="96"/>
  <c r="X32" i="96"/>
  <c r="N32" i="96"/>
  <c r="L32" i="96"/>
  <c r="B32" i="96"/>
  <c r="Z31" i="96"/>
  <c r="X31" i="96"/>
  <c r="V31" i="96"/>
  <c r="N31" i="96"/>
  <c r="L31" i="96"/>
  <c r="B31" i="96"/>
  <c r="X30" i="96"/>
  <c r="Z30" i="96" s="1"/>
  <c r="V30" i="96"/>
  <c r="L30" i="96"/>
  <c r="N30" i="96" s="1"/>
  <c r="J30" i="96"/>
  <c r="B30" i="96"/>
  <c r="X29" i="96"/>
  <c r="Z29" i="96" s="1"/>
  <c r="V29" i="96"/>
  <c r="L29" i="96"/>
  <c r="N29" i="96" s="1"/>
  <c r="J29" i="96"/>
  <c r="B29" i="96"/>
  <c r="Z28" i="96"/>
  <c r="X28" i="96"/>
  <c r="N28" i="96"/>
  <c r="L28" i="96"/>
  <c r="B28" i="96"/>
  <c r="Z27" i="96"/>
  <c r="X27" i="96"/>
  <c r="V27" i="96"/>
  <c r="N27" i="96"/>
  <c r="L27" i="96"/>
  <c r="B27" i="96"/>
  <c r="X26" i="96"/>
  <c r="Z26" i="96" s="1"/>
  <c r="V26" i="96"/>
  <c r="L26" i="96"/>
  <c r="N26" i="96" s="1"/>
  <c r="J26" i="96"/>
  <c r="B26" i="96"/>
  <c r="X25" i="96"/>
  <c r="Z25" i="96" s="1"/>
  <c r="V25" i="96"/>
  <c r="T25" i="96"/>
  <c r="P25" i="96"/>
  <c r="N25" i="96"/>
  <c r="H25" i="96"/>
  <c r="L25" i="96" s="1"/>
  <c r="D25" i="96"/>
  <c r="B25" i="96"/>
  <c r="T24" i="96"/>
  <c r="Z24" i="96" s="1"/>
  <c r="P24" i="96"/>
  <c r="X24" i="96" s="1"/>
  <c r="H24" i="96"/>
  <c r="D24" i="96"/>
  <c r="H22" i="96"/>
  <c r="D22" i="96"/>
  <c r="Z20" i="96"/>
  <c r="X20" i="96"/>
  <c r="N20" i="96"/>
  <c r="L20" i="96"/>
  <c r="B20" i="96"/>
  <c r="Z19" i="96"/>
  <c r="X19" i="96"/>
  <c r="V19" i="96"/>
  <c r="N19" i="96"/>
  <c r="L19" i="96"/>
  <c r="B19" i="96"/>
  <c r="X18" i="96"/>
  <c r="Z18" i="96" s="1"/>
  <c r="V18" i="96"/>
  <c r="L18" i="96"/>
  <c r="N18" i="96" s="1"/>
  <c r="J18" i="96"/>
  <c r="B18" i="96"/>
  <c r="V17" i="96"/>
  <c r="T17" i="96"/>
  <c r="T22" i="96" s="1"/>
  <c r="P17" i="96"/>
  <c r="X17" i="96" s="1"/>
  <c r="J17" i="96"/>
  <c r="H17" i="96"/>
  <c r="D17" i="96"/>
  <c r="Z15" i="96"/>
  <c r="P15" i="96"/>
  <c r="X15" i="96" s="1"/>
  <c r="N15" i="96"/>
  <c r="L15" i="96"/>
  <c r="D15" i="96"/>
  <c r="B15" i="96"/>
  <c r="P14" i="96"/>
  <c r="X14" i="96" s="1"/>
  <c r="Z14" i="96" s="1"/>
  <c r="D14" i="96"/>
  <c r="L14" i="96" s="1"/>
  <c r="N14" i="96" s="1"/>
  <c r="B14" i="96"/>
  <c r="Z13" i="96"/>
  <c r="P13" i="96"/>
  <c r="N13" i="96"/>
  <c r="L13" i="96"/>
  <c r="D13" i="96"/>
  <c r="B13" i="96"/>
  <c r="T12" i="96"/>
  <c r="H12" i="96"/>
  <c r="J89" i="96" s="1"/>
  <c r="D12" i="96"/>
  <c r="D6" i="96"/>
  <c r="D4" i="96"/>
  <c r="X88" i="95"/>
  <c r="Z88" i="95" s="1"/>
  <c r="L88" i="95"/>
  <c r="N88" i="95" s="1"/>
  <c r="T84" i="95"/>
  <c r="Z84" i="95" s="1"/>
  <c r="P84" i="95"/>
  <c r="X84" i="95" s="1"/>
  <c r="N84" i="95"/>
  <c r="L84" i="95"/>
  <c r="H84" i="95"/>
  <c r="D84" i="95"/>
  <c r="X82" i="95"/>
  <c r="Z82" i="95" s="1"/>
  <c r="N82" i="95"/>
  <c r="L82" i="95"/>
  <c r="B82" i="95"/>
  <c r="T81" i="95"/>
  <c r="P81" i="95"/>
  <c r="J81" i="95"/>
  <c r="H81" i="95"/>
  <c r="N81" i="95" s="1"/>
  <c r="D81" i="95"/>
  <c r="B81" i="95"/>
  <c r="X80" i="95"/>
  <c r="Z80" i="95" s="1"/>
  <c r="N80" i="95"/>
  <c r="L80" i="95"/>
  <c r="B80" i="95"/>
  <c r="Z79" i="95"/>
  <c r="T79" i="95"/>
  <c r="P79" i="95"/>
  <c r="X79" i="95" s="1"/>
  <c r="L79" i="95"/>
  <c r="N79" i="95" s="1"/>
  <c r="J79" i="95"/>
  <c r="H79" i="95"/>
  <c r="D79" i="95"/>
  <c r="B79" i="95"/>
  <c r="Z78" i="95"/>
  <c r="X78" i="95"/>
  <c r="N78" i="95"/>
  <c r="L78" i="95"/>
  <c r="B78" i="95"/>
  <c r="Z77" i="95"/>
  <c r="X77" i="95"/>
  <c r="N77" i="95"/>
  <c r="L77" i="95"/>
  <c r="J77" i="95"/>
  <c r="B77" i="95"/>
  <c r="Z76" i="95"/>
  <c r="X76" i="95"/>
  <c r="N76" i="95"/>
  <c r="L76" i="95"/>
  <c r="B76" i="95"/>
  <c r="X75" i="95"/>
  <c r="Z75" i="95" s="1"/>
  <c r="V75" i="95"/>
  <c r="N75" i="95"/>
  <c r="L75" i="95"/>
  <c r="B75" i="95"/>
  <c r="X74" i="95"/>
  <c r="Z74" i="95" s="1"/>
  <c r="L74" i="95"/>
  <c r="N74" i="95" s="1"/>
  <c r="J74" i="95"/>
  <c r="B74" i="95"/>
  <c r="Z73" i="95"/>
  <c r="X73" i="95"/>
  <c r="N73" i="95"/>
  <c r="L73" i="95"/>
  <c r="J73" i="95"/>
  <c r="B73" i="95"/>
  <c r="Z72" i="95"/>
  <c r="X72" i="95"/>
  <c r="N72" i="95"/>
  <c r="L72" i="95"/>
  <c r="B72" i="95"/>
  <c r="X71" i="95"/>
  <c r="Z71" i="95" s="1"/>
  <c r="T71" i="95"/>
  <c r="P71" i="95"/>
  <c r="L71" i="95"/>
  <c r="N71" i="95" s="1"/>
  <c r="J71" i="95"/>
  <c r="H71" i="95"/>
  <c r="D71" i="95"/>
  <c r="B71" i="95"/>
  <c r="Z70" i="95"/>
  <c r="X70" i="95"/>
  <c r="N70" i="95"/>
  <c r="L70" i="95"/>
  <c r="J70" i="95"/>
  <c r="B70" i="95"/>
  <c r="T69" i="95"/>
  <c r="Z69" i="95" s="1"/>
  <c r="P69" i="95"/>
  <c r="H69" i="95"/>
  <c r="D69" i="95"/>
  <c r="B69" i="95"/>
  <c r="X68" i="95"/>
  <c r="Z68" i="95" s="1"/>
  <c r="N68" i="95"/>
  <c r="L68" i="95"/>
  <c r="B68" i="95"/>
  <c r="T67" i="95"/>
  <c r="P67" i="95"/>
  <c r="L67" i="95"/>
  <c r="N67" i="95" s="1"/>
  <c r="J67" i="95"/>
  <c r="H67" i="95"/>
  <c r="D67" i="95"/>
  <c r="B67" i="95"/>
  <c r="X66" i="95"/>
  <c r="Z66" i="95" s="1"/>
  <c r="V66" i="95"/>
  <c r="N66" i="95"/>
  <c r="L66" i="95"/>
  <c r="B66" i="95"/>
  <c r="T65" i="95"/>
  <c r="P65" i="95"/>
  <c r="X65" i="95" s="1"/>
  <c r="Z65" i="95" s="1"/>
  <c r="H65" i="95"/>
  <c r="D65" i="95"/>
  <c r="L65" i="95" s="1"/>
  <c r="N65" i="95" s="1"/>
  <c r="B65" i="95"/>
  <c r="X64" i="95"/>
  <c r="Z64" i="95" s="1"/>
  <c r="L64" i="95"/>
  <c r="N64" i="95" s="1"/>
  <c r="J64" i="95"/>
  <c r="B64" i="95"/>
  <c r="Z63" i="95"/>
  <c r="X63" i="95"/>
  <c r="N63" i="95"/>
  <c r="L63" i="95"/>
  <c r="J63" i="95"/>
  <c r="B63" i="95"/>
  <c r="T62" i="95"/>
  <c r="P62" i="95"/>
  <c r="X62" i="95" s="1"/>
  <c r="Z62" i="95" s="1"/>
  <c r="H62" i="95"/>
  <c r="N62" i="95" s="1"/>
  <c r="D62" i="95"/>
  <c r="L62" i="95" s="1"/>
  <c r="B62" i="95"/>
  <c r="Z61" i="95"/>
  <c r="X61" i="95"/>
  <c r="N61" i="95"/>
  <c r="L61" i="95"/>
  <c r="B61" i="95"/>
  <c r="Z60" i="95"/>
  <c r="X60" i="95"/>
  <c r="T60" i="95"/>
  <c r="P60" i="95"/>
  <c r="J60" i="95"/>
  <c r="H60" i="95"/>
  <c r="D60" i="95"/>
  <c r="L60" i="95" s="1"/>
  <c r="N60" i="95" s="1"/>
  <c r="B60" i="95"/>
  <c r="Z59" i="95"/>
  <c r="X59" i="95"/>
  <c r="N59" i="95"/>
  <c r="L59" i="95"/>
  <c r="J59" i="95"/>
  <c r="B59" i="95"/>
  <c r="T58" i="95"/>
  <c r="P58" i="95"/>
  <c r="H58" i="95"/>
  <c r="N58" i="95" s="1"/>
  <c r="D58" i="95"/>
  <c r="B58" i="95"/>
  <c r="X57" i="95"/>
  <c r="Z57" i="95" s="1"/>
  <c r="N57" i="95"/>
  <c r="L57" i="95"/>
  <c r="J57" i="95"/>
  <c r="B57" i="95"/>
  <c r="T56" i="95"/>
  <c r="P56" i="95"/>
  <c r="X56" i="95" s="1"/>
  <c r="N56" i="95"/>
  <c r="H56" i="95"/>
  <c r="D56" i="95"/>
  <c r="L56" i="95" s="1"/>
  <c r="B56" i="95"/>
  <c r="X55" i="95"/>
  <c r="Z55" i="95" s="1"/>
  <c r="N55" i="95"/>
  <c r="L55" i="95"/>
  <c r="J55" i="95"/>
  <c r="B55" i="95"/>
  <c r="X54" i="95"/>
  <c r="Z54" i="95" s="1"/>
  <c r="L54" i="95"/>
  <c r="N54" i="95" s="1"/>
  <c r="J54" i="95"/>
  <c r="B54" i="95"/>
  <c r="T53" i="95"/>
  <c r="Z53" i="95" s="1"/>
  <c r="P53" i="95"/>
  <c r="X53" i="95" s="1"/>
  <c r="H53" i="95"/>
  <c r="D53" i="95"/>
  <c r="L53" i="95" s="1"/>
  <c r="B53" i="95"/>
  <c r="X52" i="95"/>
  <c r="Z52" i="95" s="1"/>
  <c r="N52" i="95"/>
  <c r="L52" i="95"/>
  <c r="B52" i="95"/>
  <c r="T51" i="95"/>
  <c r="P51" i="95"/>
  <c r="X51" i="95" s="1"/>
  <c r="Z51" i="95" s="1"/>
  <c r="H51" i="95"/>
  <c r="D51" i="95"/>
  <c r="L51" i="95" s="1"/>
  <c r="N51" i="95" s="1"/>
  <c r="B51" i="95"/>
  <c r="Z50" i="95"/>
  <c r="X50" i="95"/>
  <c r="L50" i="95"/>
  <c r="N50" i="95" s="1"/>
  <c r="J50" i="95"/>
  <c r="B50" i="95"/>
  <c r="X49" i="95"/>
  <c r="Z49" i="95" s="1"/>
  <c r="T49" i="95"/>
  <c r="P49" i="95"/>
  <c r="J49" i="95"/>
  <c r="H49" i="95"/>
  <c r="D49" i="95"/>
  <c r="B49" i="95"/>
  <c r="Z48" i="95"/>
  <c r="X48" i="95"/>
  <c r="L48" i="95"/>
  <c r="N48" i="95" s="1"/>
  <c r="J48" i="95"/>
  <c r="B48" i="95"/>
  <c r="T47" i="95"/>
  <c r="P47" i="95"/>
  <c r="X47" i="95" s="1"/>
  <c r="H47" i="95"/>
  <c r="N47" i="95" s="1"/>
  <c r="D47" i="95"/>
  <c r="L47" i="95" s="1"/>
  <c r="B47" i="95"/>
  <c r="Z46" i="95"/>
  <c r="X46" i="95"/>
  <c r="N46" i="95"/>
  <c r="L46" i="95"/>
  <c r="B46" i="95"/>
  <c r="Z45" i="95"/>
  <c r="X45" i="95"/>
  <c r="N45" i="95"/>
  <c r="L45" i="95"/>
  <c r="J45" i="95"/>
  <c r="B45" i="95"/>
  <c r="X44" i="95"/>
  <c r="Z44" i="95" s="1"/>
  <c r="N44" i="95"/>
  <c r="L44" i="95"/>
  <c r="B44" i="95"/>
  <c r="Z43" i="95"/>
  <c r="X43" i="95"/>
  <c r="N43" i="95"/>
  <c r="L43" i="95"/>
  <c r="J43" i="95"/>
  <c r="B43" i="95"/>
  <c r="Z42" i="95"/>
  <c r="X42" i="95"/>
  <c r="N42" i="95"/>
  <c r="L42" i="95"/>
  <c r="B42" i="95"/>
  <c r="Z41" i="95"/>
  <c r="X41" i="95"/>
  <c r="N41" i="95"/>
  <c r="L41" i="95"/>
  <c r="J41" i="95"/>
  <c r="B41" i="95"/>
  <c r="X40" i="95"/>
  <c r="Z40" i="95" s="1"/>
  <c r="N40" i="95"/>
  <c r="L40" i="95"/>
  <c r="B40" i="95"/>
  <c r="Z39" i="95"/>
  <c r="X39" i="95"/>
  <c r="N39" i="95"/>
  <c r="L39" i="95"/>
  <c r="J39" i="95"/>
  <c r="B39" i="95"/>
  <c r="X38" i="95"/>
  <c r="Z38" i="95" s="1"/>
  <c r="V38" i="95"/>
  <c r="N38" i="95"/>
  <c r="L38" i="95"/>
  <c r="B38" i="95"/>
  <c r="Z37" i="95"/>
  <c r="X37" i="95"/>
  <c r="N37" i="95"/>
  <c r="L37" i="95"/>
  <c r="J37" i="95"/>
  <c r="B37" i="95"/>
  <c r="T36" i="95"/>
  <c r="P36" i="95"/>
  <c r="J36" i="95"/>
  <c r="H36" i="95"/>
  <c r="D36" i="95"/>
  <c r="B36" i="95"/>
  <c r="Z35" i="95"/>
  <c r="X35" i="95"/>
  <c r="N35" i="95"/>
  <c r="L35" i="95"/>
  <c r="J35" i="95"/>
  <c r="B35" i="95"/>
  <c r="Z34" i="95"/>
  <c r="X34" i="95"/>
  <c r="L34" i="95"/>
  <c r="N34" i="95" s="1"/>
  <c r="J34" i="95"/>
  <c r="B34" i="95"/>
  <c r="X33" i="95"/>
  <c r="Z33" i="95" s="1"/>
  <c r="N33" i="95"/>
  <c r="L33" i="95"/>
  <c r="J33" i="95"/>
  <c r="B33" i="95"/>
  <c r="Z32" i="95"/>
  <c r="X32" i="95"/>
  <c r="N32" i="95"/>
  <c r="L32" i="95"/>
  <c r="J32" i="95"/>
  <c r="B32" i="95"/>
  <c r="X31" i="95"/>
  <c r="Z31" i="95" s="1"/>
  <c r="L31" i="95"/>
  <c r="N31" i="95" s="1"/>
  <c r="J31" i="95"/>
  <c r="B31" i="95"/>
  <c r="Z30" i="95"/>
  <c r="X30" i="95"/>
  <c r="L30" i="95"/>
  <c r="N30" i="95" s="1"/>
  <c r="J30" i="95"/>
  <c r="B30" i="95"/>
  <c r="X29" i="95"/>
  <c r="Z29" i="95" s="1"/>
  <c r="V29" i="95"/>
  <c r="N29" i="95"/>
  <c r="L29" i="95"/>
  <c r="J29" i="95"/>
  <c r="B29" i="95"/>
  <c r="Z28" i="95"/>
  <c r="X28" i="95"/>
  <c r="L28" i="95"/>
  <c r="N28" i="95" s="1"/>
  <c r="J28" i="95"/>
  <c r="B28" i="95"/>
  <c r="X27" i="95"/>
  <c r="Z27" i="95" s="1"/>
  <c r="V27" i="95"/>
  <c r="L27" i="95"/>
  <c r="N27" i="95" s="1"/>
  <c r="J27" i="95"/>
  <c r="B27" i="95"/>
  <c r="T26" i="95"/>
  <c r="P26" i="95"/>
  <c r="X26" i="95" s="1"/>
  <c r="Z26" i="95" s="1"/>
  <c r="H26" i="95"/>
  <c r="N26" i="95" s="1"/>
  <c r="D26" i="95"/>
  <c r="L26" i="95" s="1"/>
  <c r="B26" i="95"/>
  <c r="T25" i="95"/>
  <c r="P25" i="95"/>
  <c r="X25" i="95" s="1"/>
  <c r="H25" i="95"/>
  <c r="D25" i="95"/>
  <c r="L25" i="95" s="1"/>
  <c r="H23" i="95"/>
  <c r="Z21" i="95"/>
  <c r="X21" i="95"/>
  <c r="N21" i="95"/>
  <c r="L21" i="95"/>
  <c r="B21" i="95"/>
  <c r="Z20" i="95"/>
  <c r="X20" i="95"/>
  <c r="N20" i="95"/>
  <c r="L20" i="95"/>
  <c r="J20" i="95"/>
  <c r="B20" i="95"/>
  <c r="X19" i="95"/>
  <c r="Z19" i="95" s="1"/>
  <c r="N19" i="95"/>
  <c r="L19" i="95"/>
  <c r="J19" i="95"/>
  <c r="B19" i="95"/>
  <c r="V18" i="95"/>
  <c r="T18" i="95"/>
  <c r="P18" i="95"/>
  <c r="X18" i="95" s="1"/>
  <c r="Z18" i="95" s="1"/>
  <c r="L18" i="95"/>
  <c r="N18" i="95" s="1"/>
  <c r="J18" i="95"/>
  <c r="H18" i="95"/>
  <c r="D18" i="95"/>
  <c r="Z16" i="95"/>
  <c r="P16" i="95"/>
  <c r="P12" i="95" s="1"/>
  <c r="N16" i="95"/>
  <c r="D16" i="95"/>
  <c r="L16" i="95" s="1"/>
  <c r="B16" i="95"/>
  <c r="Z15" i="95"/>
  <c r="X15" i="95"/>
  <c r="P15" i="95"/>
  <c r="D15" i="95"/>
  <c r="L15" i="95" s="1"/>
  <c r="N15" i="95" s="1"/>
  <c r="B15" i="95"/>
  <c r="Z14" i="95"/>
  <c r="P14" i="95"/>
  <c r="X14" i="95" s="1"/>
  <c r="N14" i="95"/>
  <c r="L14" i="95"/>
  <c r="D14" i="95"/>
  <c r="B14" i="95"/>
  <c r="P13" i="95"/>
  <c r="X13" i="95" s="1"/>
  <c r="Z13" i="95" s="1"/>
  <c r="L13" i="95"/>
  <c r="N13" i="95" s="1"/>
  <c r="D13" i="95"/>
  <c r="B13" i="95"/>
  <c r="T12" i="95"/>
  <c r="V82" i="95" s="1"/>
  <c r="H12" i="95"/>
  <c r="J78" i="95" s="1"/>
  <c r="D6" i="95"/>
  <c r="D4" i="95"/>
  <c r="Z87" i="94"/>
  <c r="X87" i="94"/>
  <c r="R87" i="94"/>
  <c r="N87" i="94"/>
  <c r="L87" i="94"/>
  <c r="Z83" i="94"/>
  <c r="P83" i="94"/>
  <c r="N83" i="94"/>
  <c r="D83" i="94"/>
  <c r="L83" i="94" s="1"/>
  <c r="B83" i="94"/>
  <c r="T82" i="94"/>
  <c r="Z82" i="94" s="1"/>
  <c r="H82" i="94"/>
  <c r="N82" i="94" s="1"/>
  <c r="D82" i="94"/>
  <c r="L82" i="94" s="1"/>
  <c r="Z80" i="94"/>
  <c r="X80" i="94"/>
  <c r="L80" i="94"/>
  <c r="N80" i="94" s="1"/>
  <c r="B80" i="94"/>
  <c r="Z79" i="94"/>
  <c r="X79" i="94"/>
  <c r="T79" i="94"/>
  <c r="P79" i="94"/>
  <c r="N79" i="94"/>
  <c r="L79" i="94"/>
  <c r="H79" i="94"/>
  <c r="D79" i="94"/>
  <c r="B79" i="94"/>
  <c r="X78" i="94"/>
  <c r="Z78" i="94" s="1"/>
  <c r="N78" i="94"/>
  <c r="L78" i="94"/>
  <c r="B78" i="94"/>
  <c r="T77" i="94"/>
  <c r="P77" i="94"/>
  <c r="H77" i="94"/>
  <c r="D77" i="94"/>
  <c r="B77" i="94"/>
  <c r="Z76" i="94"/>
  <c r="X76" i="94"/>
  <c r="N76" i="94"/>
  <c r="L76" i="94"/>
  <c r="B76" i="94"/>
  <c r="Z75" i="94"/>
  <c r="X75" i="94"/>
  <c r="L75" i="94"/>
  <c r="N75" i="94" s="1"/>
  <c r="J75" i="94"/>
  <c r="B75" i="94"/>
  <c r="X74" i="94"/>
  <c r="T74" i="94"/>
  <c r="P74" i="94"/>
  <c r="L74" i="94"/>
  <c r="H74" i="94"/>
  <c r="N74" i="94" s="1"/>
  <c r="D74" i="94"/>
  <c r="B74" i="94"/>
  <c r="Z73" i="94"/>
  <c r="X73" i="94"/>
  <c r="N73" i="94"/>
  <c r="L73" i="94"/>
  <c r="B73" i="94"/>
  <c r="Z72" i="94"/>
  <c r="X72" i="94"/>
  <c r="N72" i="94"/>
  <c r="L72" i="94"/>
  <c r="B72" i="94"/>
  <c r="Z71" i="94"/>
  <c r="X71" i="94"/>
  <c r="N71" i="94"/>
  <c r="L71" i="94"/>
  <c r="B71" i="94"/>
  <c r="X70" i="94"/>
  <c r="Z70" i="94" s="1"/>
  <c r="N70" i="94"/>
  <c r="L70" i="94"/>
  <c r="B70" i="94"/>
  <c r="X69" i="94"/>
  <c r="Z69" i="94" s="1"/>
  <c r="N69" i="94"/>
  <c r="L69" i="94"/>
  <c r="B69" i="94"/>
  <c r="Z68" i="94"/>
  <c r="X68" i="94"/>
  <c r="N68" i="94"/>
  <c r="L68" i="94"/>
  <c r="B68" i="94"/>
  <c r="X67" i="94"/>
  <c r="Z67" i="94" s="1"/>
  <c r="L67" i="94"/>
  <c r="N67" i="94" s="1"/>
  <c r="B67" i="94"/>
  <c r="T66" i="94"/>
  <c r="P66" i="94"/>
  <c r="H66" i="94"/>
  <c r="D66" i="94"/>
  <c r="L66" i="94" s="1"/>
  <c r="B66" i="94"/>
  <c r="X65" i="94"/>
  <c r="Z65" i="94" s="1"/>
  <c r="R65" i="94"/>
  <c r="N65" i="94"/>
  <c r="L65" i="94"/>
  <c r="B65" i="94"/>
  <c r="Z64" i="94"/>
  <c r="X64" i="94"/>
  <c r="N64" i="94"/>
  <c r="L64" i="94"/>
  <c r="B64" i="94"/>
  <c r="T63" i="94"/>
  <c r="R63" i="94"/>
  <c r="P63" i="94"/>
  <c r="L63" i="94"/>
  <c r="H63" i="94"/>
  <c r="N63" i="94" s="1"/>
  <c r="D63" i="94"/>
  <c r="B63" i="94"/>
  <c r="Z62" i="94"/>
  <c r="X62" i="94"/>
  <c r="N62" i="94"/>
  <c r="L62" i="94"/>
  <c r="B62" i="94"/>
  <c r="Z61" i="94"/>
  <c r="X61" i="94"/>
  <c r="N61" i="94"/>
  <c r="L61" i="94"/>
  <c r="B61" i="94"/>
  <c r="Z60" i="94"/>
  <c r="X60" i="94"/>
  <c r="N60" i="94"/>
  <c r="L60" i="94"/>
  <c r="B60" i="94"/>
  <c r="Z59" i="94"/>
  <c r="T59" i="94"/>
  <c r="P59" i="94"/>
  <c r="N59" i="94"/>
  <c r="H59" i="94"/>
  <c r="D59" i="94"/>
  <c r="L59" i="94" s="1"/>
  <c r="B59" i="94"/>
  <c r="Z58" i="94"/>
  <c r="X58" i="94"/>
  <c r="N58" i="94"/>
  <c r="L58" i="94"/>
  <c r="B58" i="94"/>
  <c r="Z57" i="94"/>
  <c r="X57" i="94"/>
  <c r="T57" i="94"/>
  <c r="P57" i="94"/>
  <c r="N57" i="94"/>
  <c r="L57" i="94"/>
  <c r="H57" i="94"/>
  <c r="D57" i="94"/>
  <c r="B57" i="94"/>
  <c r="X56" i="94"/>
  <c r="Z56" i="94" s="1"/>
  <c r="N56" i="94"/>
  <c r="L56" i="94"/>
  <c r="B56" i="94"/>
  <c r="T55" i="94"/>
  <c r="P55" i="94"/>
  <c r="H55" i="94"/>
  <c r="D55" i="94"/>
  <c r="B55" i="94"/>
  <c r="X54" i="94"/>
  <c r="Z54" i="94" s="1"/>
  <c r="L54" i="94"/>
  <c r="N54" i="94" s="1"/>
  <c r="B54" i="94"/>
  <c r="Z53" i="94"/>
  <c r="T53" i="94"/>
  <c r="P53" i="94"/>
  <c r="X53" i="94" s="1"/>
  <c r="H53" i="94"/>
  <c r="N53" i="94" s="1"/>
  <c r="D53" i="94"/>
  <c r="L53" i="94" s="1"/>
  <c r="B53" i="94"/>
  <c r="Z52" i="94"/>
  <c r="X52" i="94"/>
  <c r="V52" i="94"/>
  <c r="R52" i="94"/>
  <c r="N52" i="94"/>
  <c r="L52" i="94"/>
  <c r="B52" i="94"/>
  <c r="X51" i="94"/>
  <c r="Z51" i="94" s="1"/>
  <c r="T51" i="94"/>
  <c r="P51" i="94"/>
  <c r="J51" i="94"/>
  <c r="H51" i="94"/>
  <c r="D51" i="94"/>
  <c r="L51" i="94" s="1"/>
  <c r="N51" i="94" s="1"/>
  <c r="B51" i="94"/>
  <c r="Z50" i="94"/>
  <c r="X50" i="94"/>
  <c r="L50" i="94"/>
  <c r="N50" i="94" s="1"/>
  <c r="B50" i="94"/>
  <c r="X49" i="94"/>
  <c r="T49" i="94"/>
  <c r="P49" i="94"/>
  <c r="L49" i="94"/>
  <c r="H49" i="94"/>
  <c r="D49" i="94"/>
  <c r="B49" i="94"/>
  <c r="X48" i="94"/>
  <c r="Z48" i="94" s="1"/>
  <c r="V48" i="94"/>
  <c r="N48" i="94"/>
  <c r="L48" i="94"/>
  <c r="B48" i="94"/>
  <c r="T47" i="94"/>
  <c r="P47" i="94"/>
  <c r="L47" i="94"/>
  <c r="N47" i="94" s="1"/>
  <c r="H47" i="94"/>
  <c r="D47" i="94"/>
  <c r="B47" i="94"/>
  <c r="Z46" i="94"/>
  <c r="X46" i="94"/>
  <c r="N46" i="94"/>
  <c r="L46" i="94"/>
  <c r="J46" i="94"/>
  <c r="B46" i="94"/>
  <c r="Z45" i="94"/>
  <c r="X45" i="94"/>
  <c r="N45" i="94"/>
  <c r="L45" i="94"/>
  <c r="B45" i="94"/>
  <c r="Z44" i="94"/>
  <c r="X44" i="94"/>
  <c r="V44" i="94"/>
  <c r="N44" i="94"/>
  <c r="L44" i="94"/>
  <c r="B44" i="94"/>
  <c r="X43" i="94"/>
  <c r="Z43" i="94" s="1"/>
  <c r="N43" i="94"/>
  <c r="L43" i="94"/>
  <c r="B43" i="94"/>
  <c r="Z42" i="94"/>
  <c r="X42" i="94"/>
  <c r="N42" i="94"/>
  <c r="L42" i="94"/>
  <c r="B42" i="94"/>
  <c r="Z41" i="94"/>
  <c r="X41" i="94"/>
  <c r="L41" i="94"/>
  <c r="N41" i="94" s="1"/>
  <c r="B41" i="94"/>
  <c r="Z40" i="94"/>
  <c r="X40" i="94"/>
  <c r="L40" i="94"/>
  <c r="N40" i="94" s="1"/>
  <c r="B40" i="94"/>
  <c r="Z39" i="94"/>
  <c r="X39" i="94"/>
  <c r="N39" i="94"/>
  <c r="L39" i="94"/>
  <c r="B39" i="94"/>
  <c r="X38" i="94"/>
  <c r="Z38" i="94" s="1"/>
  <c r="L38" i="94"/>
  <c r="N38" i="94" s="1"/>
  <c r="B38" i="94"/>
  <c r="Z37" i="94"/>
  <c r="X37" i="94"/>
  <c r="N37" i="94"/>
  <c r="L37" i="94"/>
  <c r="B37" i="94"/>
  <c r="Z36" i="94"/>
  <c r="T36" i="94"/>
  <c r="P36" i="94"/>
  <c r="X36" i="94" s="1"/>
  <c r="H36" i="94"/>
  <c r="D36" i="94"/>
  <c r="L36" i="94" s="1"/>
  <c r="B36" i="94"/>
  <c r="Z35" i="94"/>
  <c r="X35" i="94"/>
  <c r="V35" i="94"/>
  <c r="R35" i="94"/>
  <c r="N35" i="94"/>
  <c r="L35" i="94"/>
  <c r="B35" i="94"/>
  <c r="Z34" i="94"/>
  <c r="X34" i="94"/>
  <c r="L34" i="94"/>
  <c r="N34" i="94" s="1"/>
  <c r="B34" i="94"/>
  <c r="X33" i="94"/>
  <c r="Z33" i="94" s="1"/>
  <c r="L33" i="94"/>
  <c r="N33" i="94" s="1"/>
  <c r="B33" i="94"/>
  <c r="Z32" i="94"/>
  <c r="X32" i="94"/>
  <c r="N32" i="94"/>
  <c r="L32" i="94"/>
  <c r="J32" i="94"/>
  <c r="B32" i="94"/>
  <c r="X31" i="94"/>
  <c r="Z31" i="94" s="1"/>
  <c r="N31" i="94"/>
  <c r="L31" i="94"/>
  <c r="B31" i="94"/>
  <c r="X30" i="94"/>
  <c r="Z30" i="94" s="1"/>
  <c r="V30" i="94"/>
  <c r="N30" i="94"/>
  <c r="L30" i="94"/>
  <c r="B30" i="94"/>
  <c r="X29" i="94"/>
  <c r="Z29" i="94" s="1"/>
  <c r="N29" i="94"/>
  <c r="L29" i="94"/>
  <c r="B29" i="94"/>
  <c r="Z28" i="94"/>
  <c r="X28" i="94"/>
  <c r="N28" i="94"/>
  <c r="L28" i="94"/>
  <c r="B28" i="94"/>
  <c r="X27" i="94"/>
  <c r="Z27" i="94" s="1"/>
  <c r="N27" i="94"/>
  <c r="L27" i="94"/>
  <c r="B27" i="94"/>
  <c r="T26" i="94"/>
  <c r="P26" i="94"/>
  <c r="X26" i="94" s="1"/>
  <c r="Z26" i="94" s="1"/>
  <c r="H26" i="94"/>
  <c r="D26" i="94"/>
  <c r="L26" i="94" s="1"/>
  <c r="N26" i="94" s="1"/>
  <c r="B26" i="94"/>
  <c r="T25" i="94"/>
  <c r="P25" i="94"/>
  <c r="X25" i="94" s="1"/>
  <c r="Z25" i="94" s="1"/>
  <c r="H25" i="94"/>
  <c r="D25" i="94"/>
  <c r="L25" i="94" s="1"/>
  <c r="Z21" i="94"/>
  <c r="X21" i="94"/>
  <c r="N21" i="94"/>
  <c r="L21" i="94"/>
  <c r="B21" i="94"/>
  <c r="Z20" i="94"/>
  <c r="X20" i="94"/>
  <c r="N20" i="94"/>
  <c r="L20" i="94"/>
  <c r="B20" i="94"/>
  <c r="Z19" i="94"/>
  <c r="X19" i="94"/>
  <c r="L19" i="94"/>
  <c r="N19" i="94" s="1"/>
  <c r="B19" i="94"/>
  <c r="T18" i="94"/>
  <c r="P18" i="94"/>
  <c r="L18" i="94"/>
  <c r="H18" i="94"/>
  <c r="N18" i="94" s="1"/>
  <c r="D18" i="94"/>
  <c r="Z16" i="94"/>
  <c r="X16" i="94"/>
  <c r="P16" i="94"/>
  <c r="N16" i="94"/>
  <c r="D16" i="94"/>
  <c r="L16" i="94" s="1"/>
  <c r="B16" i="94"/>
  <c r="X15" i="94"/>
  <c r="Z15" i="94" s="1"/>
  <c r="P15" i="94"/>
  <c r="N15" i="94"/>
  <c r="D15" i="94"/>
  <c r="L15" i="94" s="1"/>
  <c r="B15" i="94"/>
  <c r="Z14" i="94"/>
  <c r="X14" i="94"/>
  <c r="P14" i="94"/>
  <c r="N14" i="94"/>
  <c r="L14" i="94"/>
  <c r="D14" i="94"/>
  <c r="B14" i="94"/>
  <c r="Z13" i="94"/>
  <c r="X13" i="94"/>
  <c r="P13" i="94"/>
  <c r="L13" i="94"/>
  <c r="N13" i="94" s="1"/>
  <c r="D13" i="94"/>
  <c r="B13" i="94"/>
  <c r="T12" i="94"/>
  <c r="V36" i="94" s="1"/>
  <c r="P12" i="94"/>
  <c r="R83" i="94" s="1"/>
  <c r="H12" i="94"/>
  <c r="J48" i="94" s="1"/>
  <c r="D6" i="94"/>
  <c r="D4" i="94"/>
  <c r="X92" i="93"/>
  <c r="Z92" i="93" s="1"/>
  <c r="N92" i="93"/>
  <c r="L92" i="93"/>
  <c r="T88" i="93"/>
  <c r="Z88" i="93" s="1"/>
  <c r="P88" i="93"/>
  <c r="N88" i="93"/>
  <c r="H88" i="93"/>
  <c r="D88" i="93"/>
  <c r="L88" i="93" s="1"/>
  <c r="Z86" i="93"/>
  <c r="X86" i="93"/>
  <c r="V86" i="93"/>
  <c r="N86" i="93"/>
  <c r="L86" i="93"/>
  <c r="B86" i="93"/>
  <c r="T85" i="93"/>
  <c r="Z85" i="93" s="1"/>
  <c r="P85" i="93"/>
  <c r="X85" i="93" s="1"/>
  <c r="N85" i="93"/>
  <c r="H85" i="93"/>
  <c r="D85" i="93"/>
  <c r="L85" i="93" s="1"/>
  <c r="B85" i="93"/>
  <c r="Z84" i="93"/>
  <c r="X84" i="93"/>
  <c r="N84" i="93"/>
  <c r="L84" i="93"/>
  <c r="B84" i="93"/>
  <c r="T83" i="93"/>
  <c r="P83" i="93"/>
  <c r="L83" i="93"/>
  <c r="H83" i="93"/>
  <c r="N83" i="93" s="1"/>
  <c r="D83" i="93"/>
  <c r="B83" i="93"/>
  <c r="Z82" i="93"/>
  <c r="X82" i="93"/>
  <c r="N82" i="93"/>
  <c r="L82" i="93"/>
  <c r="B82" i="93"/>
  <c r="T81" i="93"/>
  <c r="Z81" i="93" s="1"/>
  <c r="P81" i="93"/>
  <c r="X81" i="93" s="1"/>
  <c r="H81" i="93"/>
  <c r="D81" i="93"/>
  <c r="B81" i="93"/>
  <c r="Z80" i="93"/>
  <c r="X80" i="93"/>
  <c r="N80" i="93"/>
  <c r="L80" i="93"/>
  <c r="B80" i="93"/>
  <c r="Z79" i="93"/>
  <c r="X79" i="93"/>
  <c r="L79" i="93"/>
  <c r="N79" i="93" s="1"/>
  <c r="B79" i="93"/>
  <c r="Z78" i="93"/>
  <c r="X78" i="93"/>
  <c r="N78" i="93"/>
  <c r="L78" i="93"/>
  <c r="B78" i="93"/>
  <c r="X77" i="93"/>
  <c r="Z77" i="93" s="1"/>
  <c r="L77" i="93"/>
  <c r="N77" i="93" s="1"/>
  <c r="B77" i="93"/>
  <c r="Z76" i="93"/>
  <c r="X76" i="93"/>
  <c r="N76" i="93"/>
  <c r="L76" i="93"/>
  <c r="B76" i="93"/>
  <c r="Z75" i="93"/>
  <c r="X75" i="93"/>
  <c r="L75" i="93"/>
  <c r="N75" i="93" s="1"/>
  <c r="B75" i="93"/>
  <c r="Z74" i="93"/>
  <c r="X74" i="93"/>
  <c r="N74" i="93"/>
  <c r="L74" i="93"/>
  <c r="B74" i="93"/>
  <c r="X73" i="93"/>
  <c r="Z73" i="93" s="1"/>
  <c r="L73" i="93"/>
  <c r="N73" i="93" s="1"/>
  <c r="B73" i="93"/>
  <c r="V72" i="93"/>
  <c r="T72" i="93"/>
  <c r="P72" i="93"/>
  <c r="X72" i="93" s="1"/>
  <c r="Z72" i="93" s="1"/>
  <c r="H72" i="93"/>
  <c r="D72" i="93"/>
  <c r="B72" i="93"/>
  <c r="X71" i="93"/>
  <c r="Z71" i="93" s="1"/>
  <c r="L71" i="93"/>
  <c r="N71" i="93" s="1"/>
  <c r="B71" i="93"/>
  <c r="Z70" i="93"/>
  <c r="X70" i="93"/>
  <c r="N70" i="93"/>
  <c r="L70" i="93"/>
  <c r="B70" i="93"/>
  <c r="X69" i="93"/>
  <c r="Z69" i="93" s="1"/>
  <c r="L69" i="93"/>
  <c r="N69" i="93" s="1"/>
  <c r="B69" i="93"/>
  <c r="Z68" i="93"/>
  <c r="T68" i="93"/>
  <c r="P68" i="93"/>
  <c r="X68" i="93" s="1"/>
  <c r="N68" i="93"/>
  <c r="L68" i="93"/>
  <c r="H68" i="93"/>
  <c r="D68" i="93"/>
  <c r="B68" i="93"/>
  <c r="X67" i="93"/>
  <c r="Z67" i="93" s="1"/>
  <c r="N67" i="93"/>
  <c r="L67" i="93"/>
  <c r="B67" i="93"/>
  <c r="V66" i="93"/>
  <c r="T66" i="93"/>
  <c r="X66" i="93" s="1"/>
  <c r="Z66" i="93" s="1"/>
  <c r="P66" i="93"/>
  <c r="N66" i="93"/>
  <c r="L66" i="93"/>
  <c r="H66" i="93"/>
  <c r="D66" i="93"/>
  <c r="B66" i="93"/>
  <c r="X65" i="93"/>
  <c r="Z65" i="93" s="1"/>
  <c r="L65" i="93"/>
  <c r="N65" i="93" s="1"/>
  <c r="B65" i="93"/>
  <c r="Z64" i="93"/>
  <c r="X64" i="93"/>
  <c r="N64" i="93"/>
  <c r="L64" i="93"/>
  <c r="B64" i="93"/>
  <c r="T63" i="93"/>
  <c r="P63" i="93"/>
  <c r="X63" i="93" s="1"/>
  <c r="Z63" i="93" s="1"/>
  <c r="H63" i="93"/>
  <c r="D63" i="93"/>
  <c r="L63" i="93" s="1"/>
  <c r="B63" i="93"/>
  <c r="Z62" i="93"/>
  <c r="X62" i="93"/>
  <c r="N62" i="93"/>
  <c r="L62" i="93"/>
  <c r="B62" i="93"/>
  <c r="X61" i="93"/>
  <c r="V61" i="93"/>
  <c r="T61" i="93"/>
  <c r="Z61" i="93" s="1"/>
  <c r="P61" i="93"/>
  <c r="H61" i="93"/>
  <c r="D61" i="93"/>
  <c r="B61" i="93"/>
  <c r="Z60" i="93"/>
  <c r="X60" i="93"/>
  <c r="N60" i="93"/>
  <c r="L60" i="93"/>
  <c r="B60" i="93"/>
  <c r="T59" i="93"/>
  <c r="P59" i="93"/>
  <c r="H59" i="93"/>
  <c r="N59" i="93" s="1"/>
  <c r="D59" i="93"/>
  <c r="L59" i="93" s="1"/>
  <c r="B59" i="93"/>
  <c r="Z58" i="93"/>
  <c r="X58" i="93"/>
  <c r="N58" i="93"/>
  <c r="L58" i="93"/>
  <c r="B58" i="93"/>
  <c r="T57" i="93"/>
  <c r="P57" i="93"/>
  <c r="X57" i="93" s="1"/>
  <c r="N57" i="93"/>
  <c r="H57" i="93"/>
  <c r="D57" i="93"/>
  <c r="L57" i="93" s="1"/>
  <c r="B57" i="93"/>
  <c r="Z56" i="93"/>
  <c r="X56" i="93"/>
  <c r="N56" i="93"/>
  <c r="L56" i="93"/>
  <c r="B56" i="93"/>
  <c r="X55" i="93"/>
  <c r="Z55" i="93" s="1"/>
  <c r="R55" i="93"/>
  <c r="L55" i="93"/>
  <c r="N55" i="93" s="1"/>
  <c r="B55" i="93"/>
  <c r="Z54" i="93"/>
  <c r="X54" i="93"/>
  <c r="N54" i="93"/>
  <c r="L54" i="93"/>
  <c r="B54" i="93"/>
  <c r="X53" i="93"/>
  <c r="V53" i="93"/>
  <c r="T53" i="93"/>
  <c r="Z53" i="93" s="1"/>
  <c r="P53" i="93"/>
  <c r="L53" i="93"/>
  <c r="H53" i="93"/>
  <c r="D53" i="93"/>
  <c r="B53" i="93"/>
  <c r="X52" i="93"/>
  <c r="Z52" i="93" s="1"/>
  <c r="N52" i="93"/>
  <c r="L52" i="93"/>
  <c r="B52" i="93"/>
  <c r="X51" i="93"/>
  <c r="T51" i="93"/>
  <c r="P51" i="93"/>
  <c r="H51" i="93"/>
  <c r="D51" i="93"/>
  <c r="B51" i="93"/>
  <c r="Z50" i="93"/>
  <c r="X50" i="93"/>
  <c r="N50" i="93"/>
  <c r="L50" i="93"/>
  <c r="B50" i="93"/>
  <c r="T49" i="93"/>
  <c r="P49" i="93"/>
  <c r="N49" i="93"/>
  <c r="H49" i="93"/>
  <c r="D49" i="93"/>
  <c r="L49" i="93" s="1"/>
  <c r="B49" i="93"/>
  <c r="Z48" i="93"/>
  <c r="X48" i="93"/>
  <c r="N48" i="93"/>
  <c r="L48" i="93"/>
  <c r="B48" i="93"/>
  <c r="T47" i="93"/>
  <c r="P47" i="93"/>
  <c r="X47" i="93" s="1"/>
  <c r="H47" i="93"/>
  <c r="N47" i="93" s="1"/>
  <c r="D47" i="93"/>
  <c r="L47" i="93" s="1"/>
  <c r="B47" i="93"/>
  <c r="Z46" i="93"/>
  <c r="X46" i="93"/>
  <c r="N46" i="93"/>
  <c r="L46" i="93"/>
  <c r="B46" i="93"/>
  <c r="Z45" i="93"/>
  <c r="X45" i="93"/>
  <c r="N45" i="93"/>
  <c r="L45" i="93"/>
  <c r="B45" i="93"/>
  <c r="Z44" i="93"/>
  <c r="X44" i="93"/>
  <c r="N44" i="93"/>
  <c r="L44" i="93"/>
  <c r="B44" i="93"/>
  <c r="Z43" i="93"/>
  <c r="X43" i="93"/>
  <c r="N43" i="93"/>
  <c r="L43" i="93"/>
  <c r="B43" i="93"/>
  <c r="Z42" i="93"/>
  <c r="X42" i="93"/>
  <c r="V42" i="93"/>
  <c r="N42" i="93"/>
  <c r="L42" i="93"/>
  <c r="B42" i="93"/>
  <c r="Z41" i="93"/>
  <c r="X41" i="93"/>
  <c r="N41" i="93"/>
  <c r="L41" i="93"/>
  <c r="B41" i="93"/>
  <c r="X40" i="93"/>
  <c r="Z40" i="93" s="1"/>
  <c r="N40" i="93"/>
  <c r="L40" i="93"/>
  <c r="B40" i="93"/>
  <c r="Z39" i="93"/>
  <c r="X39" i="93"/>
  <c r="N39" i="93"/>
  <c r="L39" i="93"/>
  <c r="B39" i="93"/>
  <c r="Z38" i="93"/>
  <c r="X38" i="93"/>
  <c r="V38" i="93"/>
  <c r="N38" i="93"/>
  <c r="L38" i="93"/>
  <c r="B38" i="93"/>
  <c r="Z37" i="93"/>
  <c r="X37" i="93"/>
  <c r="N37" i="93"/>
  <c r="L37" i="93"/>
  <c r="F37" i="93"/>
  <c r="B37" i="93"/>
  <c r="X36" i="93"/>
  <c r="Z36" i="93" s="1"/>
  <c r="T36" i="93"/>
  <c r="P36" i="93"/>
  <c r="H36" i="93"/>
  <c r="D36" i="93"/>
  <c r="L36" i="93" s="1"/>
  <c r="N36" i="93" s="1"/>
  <c r="B36" i="93"/>
  <c r="Z35" i="93"/>
  <c r="X35" i="93"/>
  <c r="N35" i="93"/>
  <c r="L35" i="93"/>
  <c r="B35" i="93"/>
  <c r="Z34" i="93"/>
  <c r="X34" i="93"/>
  <c r="R34" i="93"/>
  <c r="N34" i="93"/>
  <c r="L34" i="93"/>
  <c r="B34" i="93"/>
  <c r="X33" i="93"/>
  <c r="Z33" i="93" s="1"/>
  <c r="L33" i="93"/>
  <c r="N33" i="93" s="1"/>
  <c r="B33" i="93"/>
  <c r="Z32" i="93"/>
  <c r="X32" i="93"/>
  <c r="V32" i="93"/>
  <c r="N32" i="93"/>
  <c r="L32" i="93"/>
  <c r="B32" i="93"/>
  <c r="Z31" i="93"/>
  <c r="X31" i="93"/>
  <c r="L31" i="93"/>
  <c r="N31" i="93" s="1"/>
  <c r="B31" i="93"/>
  <c r="Z30" i="93"/>
  <c r="X30" i="93"/>
  <c r="L30" i="93"/>
  <c r="N30" i="93" s="1"/>
  <c r="B30" i="93"/>
  <c r="X29" i="93"/>
  <c r="Z29" i="93" s="1"/>
  <c r="L29" i="93"/>
  <c r="N29" i="93" s="1"/>
  <c r="B29" i="93"/>
  <c r="Z28" i="93"/>
  <c r="X28" i="93"/>
  <c r="N28" i="93"/>
  <c r="L28" i="93"/>
  <c r="B28" i="93"/>
  <c r="X27" i="93"/>
  <c r="Z27" i="93" s="1"/>
  <c r="L27" i="93"/>
  <c r="N27" i="93" s="1"/>
  <c r="B27" i="93"/>
  <c r="T26" i="93"/>
  <c r="Z26" i="93" s="1"/>
  <c r="P26" i="93"/>
  <c r="X26" i="93" s="1"/>
  <c r="H26" i="93"/>
  <c r="F26" i="93"/>
  <c r="D26" i="93"/>
  <c r="L26" i="93" s="1"/>
  <c r="N26" i="93" s="1"/>
  <c r="B26" i="93"/>
  <c r="T25" i="93"/>
  <c r="P25" i="93"/>
  <c r="H25" i="93"/>
  <c r="D25" i="93"/>
  <c r="L25" i="93" s="1"/>
  <c r="Z21" i="93"/>
  <c r="X21" i="93"/>
  <c r="R21" i="93"/>
  <c r="N21" i="93"/>
  <c r="L21" i="93"/>
  <c r="B21" i="93"/>
  <c r="Z20" i="93"/>
  <c r="X20" i="93"/>
  <c r="N20" i="93"/>
  <c r="L20" i="93"/>
  <c r="B20" i="93"/>
  <c r="X19" i="93"/>
  <c r="Z19" i="93" s="1"/>
  <c r="N19" i="93"/>
  <c r="L19" i="93"/>
  <c r="B19" i="93"/>
  <c r="X18" i="93"/>
  <c r="Z18" i="93" s="1"/>
  <c r="T18" i="93"/>
  <c r="P18" i="93"/>
  <c r="N18" i="93"/>
  <c r="H18" i="93"/>
  <c r="D18" i="93"/>
  <c r="L18" i="93" s="1"/>
  <c r="Z16" i="93"/>
  <c r="X16" i="93"/>
  <c r="P16" i="93"/>
  <c r="P12" i="93" s="1"/>
  <c r="R31" i="93" s="1"/>
  <c r="N16" i="93"/>
  <c r="L16" i="93"/>
  <c r="D16" i="93"/>
  <c r="B16" i="93"/>
  <c r="X15" i="93"/>
  <c r="Z15" i="93" s="1"/>
  <c r="P15" i="93"/>
  <c r="N15" i="93"/>
  <c r="L15" i="93"/>
  <c r="D15" i="93"/>
  <c r="B15" i="93"/>
  <c r="Z14" i="93"/>
  <c r="P14" i="93"/>
  <c r="X14" i="93" s="1"/>
  <c r="N14" i="93"/>
  <c r="L14" i="93"/>
  <c r="D14" i="93"/>
  <c r="D12" i="93" s="1"/>
  <c r="F46" i="93" s="1"/>
  <c r="B14" i="93"/>
  <c r="X13" i="93"/>
  <c r="Z13" i="93" s="1"/>
  <c r="P13" i="93"/>
  <c r="N13" i="93"/>
  <c r="L13" i="93"/>
  <c r="D13" i="93"/>
  <c r="B13" i="93"/>
  <c r="T12" i="93"/>
  <c r="V74" i="93" s="1"/>
  <c r="H12" i="93"/>
  <c r="J83" i="93" s="1"/>
  <c r="D6" i="93"/>
  <c r="D4" i="93"/>
  <c r="R103" i="92"/>
  <c r="F103" i="92"/>
  <c r="Z98" i="92"/>
  <c r="X98" i="92"/>
  <c r="N98" i="92"/>
  <c r="L98" i="92"/>
  <c r="Z94" i="92"/>
  <c r="X94" i="92"/>
  <c r="R94" i="92"/>
  <c r="P94" i="92"/>
  <c r="N94" i="92"/>
  <c r="F94" i="92"/>
  <c r="D94" i="92"/>
  <c r="B94" i="92"/>
  <c r="P93" i="92"/>
  <c r="X93" i="92" s="1"/>
  <c r="Z93" i="92" s="1"/>
  <c r="L93" i="92"/>
  <c r="N93" i="92" s="1"/>
  <c r="D93" i="92"/>
  <c r="B93" i="92"/>
  <c r="T92" i="92"/>
  <c r="H92" i="92"/>
  <c r="X90" i="92"/>
  <c r="Z90" i="92" s="1"/>
  <c r="N90" i="92"/>
  <c r="L90" i="92"/>
  <c r="B90" i="92"/>
  <c r="Z89" i="92"/>
  <c r="T89" i="92"/>
  <c r="R89" i="92"/>
  <c r="P89" i="92"/>
  <c r="X89" i="92" s="1"/>
  <c r="H89" i="92"/>
  <c r="D89" i="92"/>
  <c r="B89" i="92"/>
  <c r="Z88" i="92"/>
  <c r="X88" i="92"/>
  <c r="R88" i="92"/>
  <c r="N88" i="92"/>
  <c r="L88" i="92"/>
  <c r="B88" i="92"/>
  <c r="Z87" i="92"/>
  <c r="X87" i="92"/>
  <c r="N87" i="92"/>
  <c r="L87" i="92"/>
  <c r="J87" i="92"/>
  <c r="F87" i="92"/>
  <c r="B87" i="92"/>
  <c r="Z86" i="92"/>
  <c r="X86" i="92"/>
  <c r="L86" i="92"/>
  <c r="N86" i="92" s="1"/>
  <c r="B86" i="92"/>
  <c r="Z85" i="92"/>
  <c r="X85" i="92"/>
  <c r="T85" i="92"/>
  <c r="P85" i="92"/>
  <c r="J85" i="92"/>
  <c r="H85" i="92"/>
  <c r="D85" i="92"/>
  <c r="L85" i="92" s="1"/>
  <c r="N85" i="92" s="1"/>
  <c r="B85" i="92"/>
  <c r="Z84" i="92"/>
  <c r="X84" i="92"/>
  <c r="N84" i="92"/>
  <c r="L84" i="92"/>
  <c r="F84" i="92"/>
  <c r="B84" i="92"/>
  <c r="T83" i="92"/>
  <c r="P83" i="92"/>
  <c r="L83" i="92"/>
  <c r="H83" i="92"/>
  <c r="N83" i="92" s="1"/>
  <c r="F83" i="92"/>
  <c r="D83" i="92"/>
  <c r="B83" i="92"/>
  <c r="X82" i="92"/>
  <c r="Z82" i="92" s="1"/>
  <c r="N82" i="92"/>
  <c r="L82" i="92"/>
  <c r="B82" i="92"/>
  <c r="Z81" i="92"/>
  <c r="T81" i="92"/>
  <c r="R81" i="92"/>
  <c r="P81" i="92"/>
  <c r="X81" i="92" s="1"/>
  <c r="H81" i="92"/>
  <c r="D81" i="92"/>
  <c r="B81" i="92"/>
  <c r="X80" i="92"/>
  <c r="Z80" i="92" s="1"/>
  <c r="R80" i="92"/>
  <c r="N80" i="92"/>
  <c r="L80" i="92"/>
  <c r="B80" i="92"/>
  <c r="Z79" i="92"/>
  <c r="X79" i="92"/>
  <c r="V79" i="92"/>
  <c r="N79" i="92"/>
  <c r="L79" i="92"/>
  <c r="J79" i="92"/>
  <c r="F79" i="92"/>
  <c r="B79" i="92"/>
  <c r="Z78" i="92"/>
  <c r="X78" i="92"/>
  <c r="L78" i="92"/>
  <c r="N78" i="92" s="1"/>
  <c r="B78" i="92"/>
  <c r="X77" i="92"/>
  <c r="Z77" i="92" s="1"/>
  <c r="L77" i="92"/>
  <c r="N77" i="92" s="1"/>
  <c r="B77" i="92"/>
  <c r="X76" i="92"/>
  <c r="Z76" i="92" s="1"/>
  <c r="R76" i="92"/>
  <c r="N76" i="92"/>
  <c r="L76" i="92"/>
  <c r="B76" i="92"/>
  <c r="Z75" i="92"/>
  <c r="X75" i="92"/>
  <c r="N75" i="92"/>
  <c r="L75" i="92"/>
  <c r="J75" i="92"/>
  <c r="F75" i="92"/>
  <c r="B75" i="92"/>
  <c r="Z74" i="92"/>
  <c r="X74" i="92"/>
  <c r="L74" i="92"/>
  <c r="N74" i="92" s="1"/>
  <c r="B74" i="92"/>
  <c r="Z73" i="92"/>
  <c r="X73" i="92"/>
  <c r="N73" i="92"/>
  <c r="L73" i="92"/>
  <c r="B73" i="92"/>
  <c r="T72" i="92"/>
  <c r="R72" i="92"/>
  <c r="P72" i="92"/>
  <c r="H72" i="92"/>
  <c r="D72" i="92"/>
  <c r="L72" i="92" s="1"/>
  <c r="B72" i="92"/>
  <c r="Z71" i="92"/>
  <c r="X71" i="92"/>
  <c r="R71" i="92"/>
  <c r="N71" i="92"/>
  <c r="L71" i="92"/>
  <c r="B71" i="92"/>
  <c r="X70" i="92"/>
  <c r="T70" i="92"/>
  <c r="Z70" i="92" s="1"/>
  <c r="P70" i="92"/>
  <c r="N70" i="92"/>
  <c r="L70" i="92"/>
  <c r="H70" i="92"/>
  <c r="D70" i="92"/>
  <c r="B70" i="92"/>
  <c r="Z69" i="92"/>
  <c r="X69" i="92"/>
  <c r="N69" i="92"/>
  <c r="L69" i="92"/>
  <c r="B69" i="92"/>
  <c r="Z68" i="92"/>
  <c r="X68" i="92"/>
  <c r="R68" i="92"/>
  <c r="L68" i="92"/>
  <c r="N68" i="92" s="1"/>
  <c r="F68" i="92"/>
  <c r="B68" i="92"/>
  <c r="Z67" i="92"/>
  <c r="X67" i="92"/>
  <c r="N67" i="92"/>
  <c r="L67" i="92"/>
  <c r="J67" i="92"/>
  <c r="B67" i="92"/>
  <c r="X66" i="92"/>
  <c r="Z66" i="92" s="1"/>
  <c r="N66" i="92"/>
  <c r="L66" i="92"/>
  <c r="B66" i="92"/>
  <c r="Z65" i="92"/>
  <c r="X65" i="92"/>
  <c r="L65" i="92"/>
  <c r="N65" i="92" s="1"/>
  <c r="B65" i="92"/>
  <c r="T64" i="92"/>
  <c r="P64" i="92"/>
  <c r="L64" i="92"/>
  <c r="J64" i="92"/>
  <c r="H64" i="92"/>
  <c r="N64" i="92" s="1"/>
  <c r="D64" i="92"/>
  <c r="B64" i="92"/>
  <c r="Z63" i="92"/>
  <c r="X63" i="92"/>
  <c r="N63" i="92"/>
  <c r="L63" i="92"/>
  <c r="J63" i="92"/>
  <c r="F63" i="92"/>
  <c r="B63" i="92"/>
  <c r="Z62" i="92"/>
  <c r="X62" i="92"/>
  <c r="L62" i="92"/>
  <c r="N62" i="92" s="1"/>
  <c r="B62" i="92"/>
  <c r="Z61" i="92"/>
  <c r="X61" i="92"/>
  <c r="N61" i="92"/>
  <c r="L61" i="92"/>
  <c r="B61" i="92"/>
  <c r="T60" i="92"/>
  <c r="R60" i="92"/>
  <c r="P60" i="92"/>
  <c r="H60" i="92"/>
  <c r="D60" i="92"/>
  <c r="L60" i="92" s="1"/>
  <c r="B60" i="92"/>
  <c r="Z59" i="92"/>
  <c r="X59" i="92"/>
  <c r="R59" i="92"/>
  <c r="N59" i="92"/>
  <c r="L59" i="92"/>
  <c r="B59" i="92"/>
  <c r="T58" i="92"/>
  <c r="Z58" i="92" s="1"/>
  <c r="P58" i="92"/>
  <c r="X58" i="92" s="1"/>
  <c r="N58" i="92"/>
  <c r="L58" i="92"/>
  <c r="H58" i="92"/>
  <c r="D58" i="92"/>
  <c r="B58" i="92"/>
  <c r="Z57" i="92"/>
  <c r="X57" i="92"/>
  <c r="L57" i="92"/>
  <c r="N57" i="92" s="1"/>
  <c r="B57" i="92"/>
  <c r="T56" i="92"/>
  <c r="P56" i="92"/>
  <c r="L56" i="92"/>
  <c r="J56" i="92"/>
  <c r="H56" i="92"/>
  <c r="D56" i="92"/>
  <c r="B56" i="92"/>
  <c r="Z55" i="92"/>
  <c r="X55" i="92"/>
  <c r="V55" i="92"/>
  <c r="N55" i="92"/>
  <c r="L55" i="92"/>
  <c r="J55" i="92"/>
  <c r="F55" i="92"/>
  <c r="B55" i="92"/>
  <c r="T54" i="92"/>
  <c r="P54" i="92"/>
  <c r="X54" i="92" s="1"/>
  <c r="H54" i="92"/>
  <c r="N54" i="92" s="1"/>
  <c r="F54" i="92"/>
  <c r="D54" i="92"/>
  <c r="B54" i="92"/>
  <c r="X53" i="92"/>
  <c r="Z53" i="92" s="1"/>
  <c r="N53" i="92"/>
  <c r="L53" i="92"/>
  <c r="B53" i="92"/>
  <c r="Z52" i="92"/>
  <c r="X52" i="92"/>
  <c r="T52" i="92"/>
  <c r="P52" i="92"/>
  <c r="L52" i="92"/>
  <c r="H52" i="92"/>
  <c r="D52" i="92"/>
  <c r="B52" i="92"/>
  <c r="Z51" i="92"/>
  <c r="X51" i="92"/>
  <c r="N51" i="92"/>
  <c r="L51" i="92"/>
  <c r="J51" i="92"/>
  <c r="B51" i="92"/>
  <c r="X50" i="92"/>
  <c r="T50" i="92"/>
  <c r="Z50" i="92" s="1"/>
  <c r="P50" i="92"/>
  <c r="H50" i="92"/>
  <c r="D50" i="92"/>
  <c r="B50" i="92"/>
  <c r="Z49" i="92"/>
  <c r="X49" i="92"/>
  <c r="L49" i="92"/>
  <c r="N49" i="92" s="1"/>
  <c r="B49" i="92"/>
  <c r="T48" i="92"/>
  <c r="R48" i="92"/>
  <c r="P48" i="92"/>
  <c r="H48" i="92"/>
  <c r="N48" i="92" s="1"/>
  <c r="D48" i="92"/>
  <c r="L48" i="92" s="1"/>
  <c r="B48" i="92"/>
  <c r="X47" i="92"/>
  <c r="Z47" i="92" s="1"/>
  <c r="V47" i="92"/>
  <c r="R47" i="92"/>
  <c r="N47" i="92"/>
  <c r="L47" i="92"/>
  <c r="B47" i="92"/>
  <c r="X46" i="92"/>
  <c r="Z46" i="92" s="1"/>
  <c r="L46" i="92"/>
  <c r="N46" i="92" s="1"/>
  <c r="J46" i="92"/>
  <c r="B46" i="92"/>
  <c r="X45" i="92"/>
  <c r="Z45" i="92" s="1"/>
  <c r="N45" i="92"/>
  <c r="L45" i="92"/>
  <c r="B45" i="92"/>
  <c r="Z44" i="92"/>
  <c r="X44" i="92"/>
  <c r="N44" i="92"/>
  <c r="L44" i="92"/>
  <c r="F44" i="92"/>
  <c r="B44" i="92"/>
  <c r="T43" i="92"/>
  <c r="P43" i="92"/>
  <c r="L43" i="92"/>
  <c r="H43" i="92"/>
  <c r="N43" i="92" s="1"/>
  <c r="F43" i="92"/>
  <c r="D43" i="92"/>
  <c r="B43" i="92"/>
  <c r="X42" i="92"/>
  <c r="Z42" i="92" s="1"/>
  <c r="N42" i="92"/>
  <c r="L42" i="92"/>
  <c r="B42" i="92"/>
  <c r="Z41" i="92"/>
  <c r="T41" i="92"/>
  <c r="R41" i="92"/>
  <c r="P41" i="92"/>
  <c r="X41" i="92" s="1"/>
  <c r="H41" i="92"/>
  <c r="D41" i="92"/>
  <c r="L41" i="92" s="1"/>
  <c r="B41" i="92"/>
  <c r="Z40" i="92"/>
  <c r="X40" i="92"/>
  <c r="R40" i="92"/>
  <c r="N40" i="92"/>
  <c r="L40" i="92"/>
  <c r="B40" i="92"/>
  <c r="Z39" i="92"/>
  <c r="X39" i="92"/>
  <c r="N39" i="92"/>
  <c r="L39" i="92"/>
  <c r="J39" i="92"/>
  <c r="F39" i="92"/>
  <c r="B39" i="92"/>
  <c r="Z38" i="92"/>
  <c r="X38" i="92"/>
  <c r="L38" i="92"/>
  <c r="N38" i="92" s="1"/>
  <c r="B38" i="92"/>
  <c r="Z37" i="92"/>
  <c r="X37" i="92"/>
  <c r="N37" i="92"/>
  <c r="L37" i="92"/>
  <c r="B37" i="92"/>
  <c r="Z36" i="92"/>
  <c r="X36" i="92"/>
  <c r="R36" i="92"/>
  <c r="N36" i="92"/>
  <c r="L36" i="92"/>
  <c r="B36" i="92"/>
  <c r="Z35" i="92"/>
  <c r="X35" i="92"/>
  <c r="L35" i="92"/>
  <c r="N35" i="92" s="1"/>
  <c r="J35" i="92"/>
  <c r="F35" i="92"/>
  <c r="B35" i="92"/>
  <c r="Z34" i="92"/>
  <c r="X34" i="92"/>
  <c r="L34" i="92"/>
  <c r="N34" i="92" s="1"/>
  <c r="B34" i="92"/>
  <c r="Z33" i="92"/>
  <c r="X33" i="92"/>
  <c r="N33" i="92"/>
  <c r="L33" i="92"/>
  <c r="B33" i="92"/>
  <c r="X32" i="92"/>
  <c r="Z32" i="92" s="1"/>
  <c r="R32" i="92"/>
  <c r="N32" i="92"/>
  <c r="L32" i="92"/>
  <c r="B32" i="92"/>
  <c r="Z31" i="92"/>
  <c r="X31" i="92"/>
  <c r="V31" i="92"/>
  <c r="L31" i="92"/>
  <c r="N31" i="92" s="1"/>
  <c r="J31" i="92"/>
  <c r="F31" i="92"/>
  <c r="B31" i="92"/>
  <c r="T30" i="92"/>
  <c r="Z30" i="92" s="1"/>
  <c r="P30" i="92"/>
  <c r="X30" i="92" s="1"/>
  <c r="H30" i="92"/>
  <c r="F30" i="92"/>
  <c r="D30" i="92"/>
  <c r="B30" i="92"/>
  <c r="X29" i="92"/>
  <c r="Z29" i="92" s="1"/>
  <c r="N29" i="92"/>
  <c r="L29" i="92"/>
  <c r="B29" i="92"/>
  <c r="Z28" i="92"/>
  <c r="X28" i="92"/>
  <c r="N28" i="92"/>
  <c r="L28" i="92"/>
  <c r="F28" i="92"/>
  <c r="B28" i="92"/>
  <c r="X27" i="92"/>
  <c r="Z27" i="92" s="1"/>
  <c r="V27" i="92"/>
  <c r="R27" i="92"/>
  <c r="N27" i="92"/>
  <c r="L27" i="92"/>
  <c r="F27" i="92"/>
  <c r="B27" i="92"/>
  <c r="Z26" i="92"/>
  <c r="X26" i="92"/>
  <c r="N26" i="92"/>
  <c r="L26" i="92"/>
  <c r="J26" i="92"/>
  <c r="F26" i="92"/>
  <c r="B26" i="92"/>
  <c r="Z25" i="92"/>
  <c r="X25" i="92"/>
  <c r="N25" i="92"/>
  <c r="L25" i="92"/>
  <c r="B25" i="92"/>
  <c r="Z24" i="92"/>
  <c r="X24" i="92"/>
  <c r="N24" i="92"/>
  <c r="L24" i="92"/>
  <c r="F24" i="92"/>
  <c r="B24" i="92"/>
  <c r="X23" i="92"/>
  <c r="Z23" i="92" s="1"/>
  <c r="R23" i="92"/>
  <c r="N23" i="92"/>
  <c r="L23" i="92"/>
  <c r="F23" i="92"/>
  <c r="B23" i="92"/>
  <c r="X22" i="92"/>
  <c r="Z22" i="92" s="1"/>
  <c r="L22" i="92"/>
  <c r="N22" i="92" s="1"/>
  <c r="J22" i="92"/>
  <c r="F22" i="92"/>
  <c r="B22" i="92"/>
  <c r="X21" i="92"/>
  <c r="Z21" i="92" s="1"/>
  <c r="N21" i="92"/>
  <c r="L21" i="92"/>
  <c r="B21" i="92"/>
  <c r="Z20" i="92"/>
  <c r="X20" i="92"/>
  <c r="N20" i="92"/>
  <c r="L20" i="92"/>
  <c r="F20" i="92"/>
  <c r="B20" i="92"/>
  <c r="T19" i="92"/>
  <c r="P19" i="92"/>
  <c r="L19" i="92"/>
  <c r="H19" i="92"/>
  <c r="N19" i="92" s="1"/>
  <c r="F19" i="92"/>
  <c r="D19" i="92"/>
  <c r="B19" i="92"/>
  <c r="V18" i="92"/>
  <c r="T18" i="92"/>
  <c r="P18" i="92"/>
  <c r="X18" i="92" s="1"/>
  <c r="H18" i="92"/>
  <c r="D18" i="92"/>
  <c r="X14" i="92"/>
  <c r="T14" i="92"/>
  <c r="Z14" i="92" s="1"/>
  <c r="P14" i="92"/>
  <c r="H14" i="92"/>
  <c r="D14" i="92"/>
  <c r="T12" i="92"/>
  <c r="V66" i="92" s="1"/>
  <c r="P12" i="92"/>
  <c r="R98" i="92" s="1"/>
  <c r="H12" i="92"/>
  <c r="J94" i="92" s="1"/>
  <c r="D12" i="92"/>
  <c r="F77" i="92" s="1"/>
  <c r="D6" i="92"/>
  <c r="D4" i="92"/>
  <c r="X90" i="89"/>
  <c r="Z90" i="89" s="1"/>
  <c r="N90" i="89"/>
  <c r="L90" i="89"/>
  <c r="T86" i="89"/>
  <c r="P86" i="89"/>
  <c r="L86" i="89"/>
  <c r="J86" i="89"/>
  <c r="H86" i="89"/>
  <c r="N86" i="89" s="1"/>
  <c r="D86" i="89"/>
  <c r="Z84" i="89"/>
  <c r="X84" i="89"/>
  <c r="N84" i="89"/>
  <c r="L84" i="89"/>
  <c r="B84" i="89"/>
  <c r="Z83" i="89"/>
  <c r="X83" i="89"/>
  <c r="N83" i="89"/>
  <c r="L83" i="89"/>
  <c r="J83" i="89"/>
  <c r="B83" i="89"/>
  <c r="X82" i="89"/>
  <c r="T82" i="89"/>
  <c r="P82" i="89"/>
  <c r="H82" i="89"/>
  <c r="D82" i="89"/>
  <c r="B82" i="89"/>
  <c r="X81" i="89"/>
  <c r="Z81" i="89" s="1"/>
  <c r="N81" i="89"/>
  <c r="L81" i="89"/>
  <c r="B81" i="89"/>
  <c r="T80" i="89"/>
  <c r="P80" i="89"/>
  <c r="H80" i="89"/>
  <c r="N80" i="89" s="1"/>
  <c r="D80" i="89"/>
  <c r="L80" i="89" s="1"/>
  <c r="B80" i="89"/>
  <c r="Z79" i="89"/>
  <c r="X79" i="89"/>
  <c r="N79" i="89"/>
  <c r="L79" i="89"/>
  <c r="B79" i="89"/>
  <c r="X78" i="89"/>
  <c r="Z78" i="89" s="1"/>
  <c r="L78" i="89"/>
  <c r="N78" i="89" s="1"/>
  <c r="J78" i="89"/>
  <c r="B78" i="89"/>
  <c r="X77" i="89"/>
  <c r="Z77" i="89" s="1"/>
  <c r="T77" i="89"/>
  <c r="P77" i="89"/>
  <c r="H77" i="89"/>
  <c r="D77" i="89"/>
  <c r="B77" i="89"/>
  <c r="Z76" i="89"/>
  <c r="X76" i="89"/>
  <c r="N76" i="89"/>
  <c r="L76" i="89"/>
  <c r="B76" i="89"/>
  <c r="Z75" i="89"/>
  <c r="X75" i="89"/>
  <c r="N75" i="89"/>
  <c r="L75" i="89"/>
  <c r="J75" i="89"/>
  <c r="B75" i="89"/>
  <c r="X74" i="89"/>
  <c r="Z74" i="89" s="1"/>
  <c r="V74" i="89"/>
  <c r="L74" i="89"/>
  <c r="N74" i="89" s="1"/>
  <c r="B74" i="89"/>
  <c r="Z73" i="89"/>
  <c r="X73" i="89"/>
  <c r="N73" i="89"/>
  <c r="L73" i="89"/>
  <c r="J73" i="89"/>
  <c r="B73" i="89"/>
  <c r="Z72" i="89"/>
  <c r="X72" i="89"/>
  <c r="N72" i="89"/>
  <c r="L72" i="89"/>
  <c r="B72" i="89"/>
  <c r="Z71" i="89"/>
  <c r="X71" i="89"/>
  <c r="N71" i="89"/>
  <c r="L71" i="89"/>
  <c r="J71" i="89"/>
  <c r="B71" i="89"/>
  <c r="X70" i="89"/>
  <c r="T70" i="89"/>
  <c r="Z70" i="89" s="1"/>
  <c r="P70" i="89"/>
  <c r="H70" i="89"/>
  <c r="D70" i="89"/>
  <c r="B70" i="89"/>
  <c r="Z69" i="89"/>
  <c r="X69" i="89"/>
  <c r="L69" i="89"/>
  <c r="N69" i="89" s="1"/>
  <c r="B69" i="89"/>
  <c r="X68" i="89"/>
  <c r="Z68" i="89" s="1"/>
  <c r="N68" i="89"/>
  <c r="L68" i="89"/>
  <c r="B68" i="89"/>
  <c r="Z67" i="89"/>
  <c r="X67" i="89"/>
  <c r="N67" i="89"/>
  <c r="L67" i="89"/>
  <c r="J67" i="89"/>
  <c r="B67" i="89"/>
  <c r="T66" i="89"/>
  <c r="P66" i="89"/>
  <c r="X66" i="89" s="1"/>
  <c r="H66" i="89"/>
  <c r="D66" i="89"/>
  <c r="B66" i="89"/>
  <c r="X65" i="89"/>
  <c r="Z65" i="89" s="1"/>
  <c r="N65" i="89"/>
  <c r="L65" i="89"/>
  <c r="B65" i="89"/>
  <c r="Z64" i="89"/>
  <c r="X64" i="89"/>
  <c r="N64" i="89"/>
  <c r="L64" i="89"/>
  <c r="F64" i="89"/>
  <c r="B64" i="89"/>
  <c r="Z63" i="89"/>
  <c r="X63" i="89"/>
  <c r="N63" i="89"/>
  <c r="L63" i="89"/>
  <c r="B63" i="89"/>
  <c r="T62" i="89"/>
  <c r="P62" i="89"/>
  <c r="X62" i="89" s="1"/>
  <c r="N62" i="89"/>
  <c r="L62" i="89"/>
  <c r="H62" i="89"/>
  <c r="D62" i="89"/>
  <c r="B62" i="89"/>
  <c r="Z61" i="89"/>
  <c r="X61" i="89"/>
  <c r="N61" i="89"/>
  <c r="L61" i="89"/>
  <c r="J61" i="89"/>
  <c r="B61" i="89"/>
  <c r="T60" i="89"/>
  <c r="P60" i="89"/>
  <c r="L60" i="89"/>
  <c r="J60" i="89"/>
  <c r="H60" i="89"/>
  <c r="N60" i="89" s="1"/>
  <c r="D60" i="89"/>
  <c r="B60" i="89"/>
  <c r="Z59" i="89"/>
  <c r="X59" i="89"/>
  <c r="N59" i="89"/>
  <c r="L59" i="89"/>
  <c r="J59" i="89"/>
  <c r="B59" i="89"/>
  <c r="T58" i="89"/>
  <c r="Z58" i="89" s="1"/>
  <c r="P58" i="89"/>
  <c r="X58" i="89" s="1"/>
  <c r="H58" i="89"/>
  <c r="N58" i="89" s="1"/>
  <c r="D58" i="89"/>
  <c r="L58" i="89" s="1"/>
  <c r="B58" i="89"/>
  <c r="X57" i="89"/>
  <c r="Z57" i="89" s="1"/>
  <c r="N57" i="89"/>
  <c r="L57" i="89"/>
  <c r="B57" i="89"/>
  <c r="Z56" i="89"/>
  <c r="X56" i="89"/>
  <c r="T56" i="89"/>
  <c r="P56" i="89"/>
  <c r="H56" i="89"/>
  <c r="N56" i="89" s="1"/>
  <c r="D56" i="89"/>
  <c r="L56" i="89" s="1"/>
  <c r="B56" i="89"/>
  <c r="Z55" i="89"/>
  <c r="X55" i="89"/>
  <c r="N55" i="89"/>
  <c r="L55" i="89"/>
  <c r="J55" i="89"/>
  <c r="B55" i="89"/>
  <c r="X54" i="89"/>
  <c r="Z54" i="89" s="1"/>
  <c r="L54" i="89"/>
  <c r="N54" i="89" s="1"/>
  <c r="J54" i="89"/>
  <c r="B54" i="89"/>
  <c r="Z53" i="89"/>
  <c r="T53" i="89"/>
  <c r="P53" i="89"/>
  <c r="X53" i="89" s="1"/>
  <c r="H53" i="89"/>
  <c r="D53" i="89"/>
  <c r="L53" i="89" s="1"/>
  <c r="N53" i="89" s="1"/>
  <c r="B53" i="89"/>
  <c r="X52" i="89"/>
  <c r="Z52" i="89" s="1"/>
  <c r="N52" i="89"/>
  <c r="L52" i="89"/>
  <c r="B52" i="89"/>
  <c r="T51" i="89"/>
  <c r="P51" i="89"/>
  <c r="X51" i="89" s="1"/>
  <c r="Z51" i="89" s="1"/>
  <c r="L51" i="89"/>
  <c r="N51" i="89" s="1"/>
  <c r="J51" i="89"/>
  <c r="H51" i="89"/>
  <c r="D51" i="89"/>
  <c r="B51" i="89"/>
  <c r="X50" i="89"/>
  <c r="Z50" i="89" s="1"/>
  <c r="L50" i="89"/>
  <c r="N50" i="89" s="1"/>
  <c r="J50" i="89"/>
  <c r="B50" i="89"/>
  <c r="X49" i="89"/>
  <c r="Z49" i="89" s="1"/>
  <c r="T49" i="89"/>
  <c r="P49" i="89"/>
  <c r="H49" i="89"/>
  <c r="D49" i="89"/>
  <c r="L49" i="89" s="1"/>
  <c r="B49" i="89"/>
  <c r="Z48" i="89"/>
  <c r="X48" i="89"/>
  <c r="L48" i="89"/>
  <c r="N48" i="89" s="1"/>
  <c r="B48" i="89"/>
  <c r="Z47" i="89"/>
  <c r="T47" i="89"/>
  <c r="X47" i="89" s="1"/>
  <c r="P47" i="89"/>
  <c r="H47" i="89"/>
  <c r="D47" i="89"/>
  <c r="L47" i="89" s="1"/>
  <c r="N47" i="89" s="1"/>
  <c r="B47" i="89"/>
  <c r="Z46" i="89"/>
  <c r="X46" i="89"/>
  <c r="N46" i="89"/>
  <c r="L46" i="89"/>
  <c r="B46" i="89"/>
  <c r="Z45" i="89"/>
  <c r="X45" i="89"/>
  <c r="N45" i="89"/>
  <c r="L45" i="89"/>
  <c r="J45" i="89"/>
  <c r="B45" i="89"/>
  <c r="X44" i="89"/>
  <c r="Z44" i="89" s="1"/>
  <c r="L44" i="89"/>
  <c r="N44" i="89" s="1"/>
  <c r="B44" i="89"/>
  <c r="Z43" i="89"/>
  <c r="X43" i="89"/>
  <c r="N43" i="89"/>
  <c r="L43" i="89"/>
  <c r="J43" i="89"/>
  <c r="B43" i="89"/>
  <c r="Z42" i="89"/>
  <c r="X42" i="89"/>
  <c r="N42" i="89"/>
  <c r="L42" i="89"/>
  <c r="B42" i="89"/>
  <c r="Z41" i="89"/>
  <c r="X41" i="89"/>
  <c r="V41" i="89"/>
  <c r="N41" i="89"/>
  <c r="L41" i="89"/>
  <c r="J41" i="89"/>
  <c r="B41" i="89"/>
  <c r="X40" i="89"/>
  <c r="Z40" i="89" s="1"/>
  <c r="L40" i="89"/>
  <c r="N40" i="89" s="1"/>
  <c r="B40" i="89"/>
  <c r="Z39" i="89"/>
  <c r="X39" i="89"/>
  <c r="V39" i="89"/>
  <c r="N39" i="89"/>
  <c r="L39" i="89"/>
  <c r="J39" i="89"/>
  <c r="B39" i="89"/>
  <c r="Z38" i="89"/>
  <c r="X38" i="89"/>
  <c r="N38" i="89"/>
  <c r="L38" i="89"/>
  <c r="B38" i="89"/>
  <c r="X37" i="89"/>
  <c r="Z37" i="89" s="1"/>
  <c r="L37" i="89"/>
  <c r="N37" i="89" s="1"/>
  <c r="J37" i="89"/>
  <c r="B37" i="89"/>
  <c r="T36" i="89"/>
  <c r="P36" i="89"/>
  <c r="X36" i="89" s="1"/>
  <c r="J36" i="89"/>
  <c r="H36" i="89"/>
  <c r="D36" i="89"/>
  <c r="L36" i="89" s="1"/>
  <c r="B36" i="89"/>
  <c r="Z35" i="89"/>
  <c r="X35" i="89"/>
  <c r="V35" i="89"/>
  <c r="N35" i="89"/>
  <c r="L35" i="89"/>
  <c r="B35" i="89"/>
  <c r="X34" i="89"/>
  <c r="Z34" i="89" s="1"/>
  <c r="L34" i="89"/>
  <c r="N34" i="89" s="1"/>
  <c r="J34" i="89"/>
  <c r="B34" i="89"/>
  <c r="X33" i="89"/>
  <c r="Z33" i="89" s="1"/>
  <c r="N33" i="89"/>
  <c r="L33" i="89"/>
  <c r="B33" i="89"/>
  <c r="Z32" i="89"/>
  <c r="X32" i="89"/>
  <c r="N32" i="89"/>
  <c r="L32" i="89"/>
  <c r="B32" i="89"/>
  <c r="Z31" i="89"/>
  <c r="X31" i="89"/>
  <c r="V31" i="89"/>
  <c r="N31" i="89"/>
  <c r="L31" i="89"/>
  <c r="B31" i="89"/>
  <c r="X30" i="89"/>
  <c r="Z30" i="89" s="1"/>
  <c r="L30" i="89"/>
  <c r="N30" i="89" s="1"/>
  <c r="J30" i="89"/>
  <c r="B30" i="89"/>
  <c r="Z29" i="89"/>
  <c r="X29" i="89"/>
  <c r="N29" i="89"/>
  <c r="L29" i="89"/>
  <c r="B29" i="89"/>
  <c r="Z28" i="89"/>
  <c r="X28" i="89"/>
  <c r="N28" i="89"/>
  <c r="L28" i="89"/>
  <c r="B28" i="89"/>
  <c r="Z27" i="89"/>
  <c r="X27" i="89"/>
  <c r="N27" i="89"/>
  <c r="L27" i="89"/>
  <c r="B27" i="89"/>
  <c r="X26" i="89"/>
  <c r="T26" i="89"/>
  <c r="P26" i="89"/>
  <c r="N26" i="89"/>
  <c r="L26" i="89"/>
  <c r="H26" i="89"/>
  <c r="D26" i="89"/>
  <c r="B26" i="89"/>
  <c r="T25" i="89"/>
  <c r="Z25" i="89" s="1"/>
  <c r="P25" i="89"/>
  <c r="X25" i="89" s="1"/>
  <c r="H25" i="89"/>
  <c r="D25" i="89"/>
  <c r="L25" i="89" s="1"/>
  <c r="Z21" i="89"/>
  <c r="X21" i="89"/>
  <c r="N21" i="89"/>
  <c r="L21" i="89"/>
  <c r="J21" i="89"/>
  <c r="B21" i="89"/>
  <c r="Z20" i="89"/>
  <c r="X20" i="89"/>
  <c r="N20" i="89"/>
  <c r="L20" i="89"/>
  <c r="J20" i="89"/>
  <c r="B20" i="89"/>
  <c r="Z19" i="89"/>
  <c r="X19" i="89"/>
  <c r="N19" i="89"/>
  <c r="L19" i="89"/>
  <c r="J19" i="89"/>
  <c r="B19" i="89"/>
  <c r="X18" i="89"/>
  <c r="V18" i="89"/>
  <c r="T18" i="89"/>
  <c r="P18" i="89"/>
  <c r="H18" i="89"/>
  <c r="D18" i="89"/>
  <c r="Z16" i="89"/>
  <c r="X16" i="89"/>
  <c r="P16" i="89"/>
  <c r="N16" i="89"/>
  <c r="D16" i="89"/>
  <c r="L16" i="89" s="1"/>
  <c r="B16" i="89"/>
  <c r="P15" i="89"/>
  <c r="D15" i="89"/>
  <c r="L15" i="89" s="1"/>
  <c r="N15" i="89" s="1"/>
  <c r="B15" i="89"/>
  <c r="Z14" i="89"/>
  <c r="X14" i="89"/>
  <c r="P14" i="89"/>
  <c r="N14" i="89"/>
  <c r="L14" i="89"/>
  <c r="D14" i="89"/>
  <c r="B14" i="89"/>
  <c r="P13" i="89"/>
  <c r="X13" i="89" s="1"/>
  <c r="Z13" i="89" s="1"/>
  <c r="D13" i="89"/>
  <c r="D12" i="89" s="1"/>
  <c r="B13" i="89"/>
  <c r="T12" i="89"/>
  <c r="V67" i="89" s="1"/>
  <c r="H12" i="89"/>
  <c r="J90" i="89" s="1"/>
  <c r="D6" i="89"/>
  <c r="D4" i="89"/>
  <c r="X102" i="88"/>
  <c r="Z102" i="88" s="1"/>
  <c r="N102" i="88"/>
  <c r="L102" i="88"/>
  <c r="T98" i="88"/>
  <c r="Z98" i="88" s="1"/>
  <c r="P98" i="88"/>
  <c r="X98" i="88" s="1"/>
  <c r="H98" i="88"/>
  <c r="N98" i="88" s="1"/>
  <c r="D98" i="88"/>
  <c r="L98" i="88" s="1"/>
  <c r="X96" i="88"/>
  <c r="Z96" i="88" s="1"/>
  <c r="N96" i="88"/>
  <c r="L96" i="88"/>
  <c r="B96" i="88"/>
  <c r="T95" i="88"/>
  <c r="P95" i="88"/>
  <c r="X95" i="88" s="1"/>
  <c r="Z95" i="88" s="1"/>
  <c r="L95" i="88"/>
  <c r="N95" i="88" s="1"/>
  <c r="H95" i="88"/>
  <c r="D95" i="88"/>
  <c r="B95" i="88"/>
  <c r="X94" i="88"/>
  <c r="Z94" i="88" s="1"/>
  <c r="N94" i="88"/>
  <c r="L94" i="88"/>
  <c r="B94" i="88"/>
  <c r="X93" i="88"/>
  <c r="T93" i="88"/>
  <c r="Z93" i="88" s="1"/>
  <c r="P93" i="88"/>
  <c r="H93" i="88"/>
  <c r="D93" i="88"/>
  <c r="B93" i="88"/>
  <c r="Z92" i="88"/>
  <c r="X92" i="88"/>
  <c r="N92" i="88"/>
  <c r="L92" i="88"/>
  <c r="B92" i="88"/>
  <c r="T91" i="88"/>
  <c r="P91" i="88"/>
  <c r="X91" i="88" s="1"/>
  <c r="N91" i="88"/>
  <c r="H91" i="88"/>
  <c r="D91" i="88"/>
  <c r="L91" i="88" s="1"/>
  <c r="B91" i="88"/>
  <c r="Z90" i="88"/>
  <c r="X90" i="88"/>
  <c r="L90" i="88"/>
  <c r="N90" i="88" s="1"/>
  <c r="B90" i="88"/>
  <c r="T89" i="88"/>
  <c r="P89" i="88"/>
  <c r="X89" i="88" s="1"/>
  <c r="Z89" i="88" s="1"/>
  <c r="H89" i="88"/>
  <c r="D89" i="88"/>
  <c r="L89" i="88" s="1"/>
  <c r="N89" i="88" s="1"/>
  <c r="B89" i="88"/>
  <c r="Z88" i="88"/>
  <c r="X88" i="88"/>
  <c r="N88" i="88"/>
  <c r="L88" i="88"/>
  <c r="B88" i="88"/>
  <c r="X87" i="88"/>
  <c r="Z87" i="88" s="1"/>
  <c r="N87" i="88"/>
  <c r="L87" i="88"/>
  <c r="B87" i="88"/>
  <c r="X86" i="88"/>
  <c r="Z86" i="88" s="1"/>
  <c r="N86" i="88"/>
  <c r="L86" i="88"/>
  <c r="B86" i="88"/>
  <c r="X85" i="88"/>
  <c r="Z85" i="88" s="1"/>
  <c r="V85" i="88"/>
  <c r="N85" i="88"/>
  <c r="L85" i="88"/>
  <c r="B85" i="88"/>
  <c r="X84" i="88"/>
  <c r="Z84" i="88" s="1"/>
  <c r="N84" i="88"/>
  <c r="L84" i="88"/>
  <c r="B84" i="88"/>
  <c r="Z83" i="88"/>
  <c r="X83" i="88"/>
  <c r="V83" i="88"/>
  <c r="N83" i="88"/>
  <c r="L83" i="88"/>
  <c r="B83" i="88"/>
  <c r="X82" i="88"/>
  <c r="Z82" i="88" s="1"/>
  <c r="L82" i="88"/>
  <c r="N82" i="88" s="1"/>
  <c r="B82" i="88"/>
  <c r="X81" i="88"/>
  <c r="Z81" i="88" s="1"/>
  <c r="V81" i="88"/>
  <c r="N81" i="88"/>
  <c r="L81" i="88"/>
  <c r="B81" i="88"/>
  <c r="X80" i="88"/>
  <c r="Z80" i="88" s="1"/>
  <c r="N80" i="88"/>
  <c r="L80" i="88"/>
  <c r="B80" i="88"/>
  <c r="V79" i="88"/>
  <c r="T79" i="88"/>
  <c r="P79" i="88"/>
  <c r="X79" i="88" s="1"/>
  <c r="L79" i="88"/>
  <c r="H79" i="88"/>
  <c r="D79" i="88"/>
  <c r="B79" i="88"/>
  <c r="Z78" i="88"/>
  <c r="X78" i="88"/>
  <c r="V78" i="88"/>
  <c r="N78" i="88"/>
  <c r="L78" i="88"/>
  <c r="B78" i="88"/>
  <c r="Z77" i="88"/>
  <c r="X77" i="88"/>
  <c r="N77" i="88"/>
  <c r="L77" i="88"/>
  <c r="B77" i="88"/>
  <c r="X76" i="88"/>
  <c r="T76" i="88"/>
  <c r="Z76" i="88" s="1"/>
  <c r="P76" i="88"/>
  <c r="H76" i="88"/>
  <c r="D76" i="88"/>
  <c r="B76" i="88"/>
  <c r="Z75" i="88"/>
  <c r="X75" i="88"/>
  <c r="V75" i="88"/>
  <c r="L75" i="88"/>
  <c r="N75" i="88" s="1"/>
  <c r="J75" i="88"/>
  <c r="B75" i="88"/>
  <c r="Z74" i="88"/>
  <c r="X74" i="88"/>
  <c r="V74" i="88"/>
  <c r="R74" i="88"/>
  <c r="L74" i="88"/>
  <c r="N74" i="88" s="1"/>
  <c r="B74" i="88"/>
  <c r="X73" i="88"/>
  <c r="Z73" i="88" s="1"/>
  <c r="L73" i="88"/>
  <c r="N73" i="88" s="1"/>
  <c r="B73" i="88"/>
  <c r="T72" i="88"/>
  <c r="P72" i="88"/>
  <c r="X72" i="88" s="1"/>
  <c r="J72" i="88"/>
  <c r="H72" i="88"/>
  <c r="D72" i="88"/>
  <c r="B72" i="88"/>
  <c r="X71" i="88"/>
  <c r="Z71" i="88" s="1"/>
  <c r="N71" i="88"/>
  <c r="L71" i="88"/>
  <c r="B71" i="88"/>
  <c r="X70" i="88"/>
  <c r="Z70" i="88" s="1"/>
  <c r="T70" i="88"/>
  <c r="P70" i="88"/>
  <c r="H70" i="88"/>
  <c r="D70" i="88"/>
  <c r="L70" i="88" s="1"/>
  <c r="N70" i="88" s="1"/>
  <c r="B70" i="88"/>
  <c r="Z69" i="88"/>
  <c r="X69" i="88"/>
  <c r="L69" i="88"/>
  <c r="N69" i="88" s="1"/>
  <c r="J69" i="88"/>
  <c r="B69" i="88"/>
  <c r="Z68" i="88"/>
  <c r="X68" i="88"/>
  <c r="N68" i="88"/>
  <c r="L68" i="88"/>
  <c r="B68" i="88"/>
  <c r="Z67" i="88"/>
  <c r="X67" i="88"/>
  <c r="R67" i="88"/>
  <c r="N67" i="88"/>
  <c r="L67" i="88"/>
  <c r="B67" i="88"/>
  <c r="T66" i="88"/>
  <c r="P66" i="88"/>
  <c r="H66" i="88"/>
  <c r="L66" i="88" s="1"/>
  <c r="N66" i="88" s="1"/>
  <c r="D66" i="88"/>
  <c r="B66" i="88"/>
  <c r="Z65" i="88"/>
  <c r="X65" i="88"/>
  <c r="L65" i="88"/>
  <c r="N65" i="88" s="1"/>
  <c r="B65" i="88"/>
  <c r="T64" i="88"/>
  <c r="P64" i="88"/>
  <c r="H64" i="88"/>
  <c r="D64" i="88"/>
  <c r="B64" i="88"/>
  <c r="X63" i="88"/>
  <c r="Z63" i="88" s="1"/>
  <c r="N63" i="88"/>
  <c r="L63" i="88"/>
  <c r="B63" i="88"/>
  <c r="T62" i="88"/>
  <c r="P62" i="88"/>
  <c r="X62" i="88" s="1"/>
  <c r="H62" i="88"/>
  <c r="D62" i="88"/>
  <c r="L62" i="88" s="1"/>
  <c r="N62" i="88" s="1"/>
  <c r="B62" i="88"/>
  <c r="Z61" i="88"/>
  <c r="X61" i="88"/>
  <c r="N61" i="88"/>
  <c r="L61" i="88"/>
  <c r="B61" i="88"/>
  <c r="Z60" i="88"/>
  <c r="X60" i="88"/>
  <c r="T60" i="88"/>
  <c r="P60" i="88"/>
  <c r="H60" i="88"/>
  <c r="D60" i="88"/>
  <c r="B60" i="88"/>
  <c r="Z59" i="88"/>
  <c r="X59" i="88"/>
  <c r="V59" i="88"/>
  <c r="L59" i="88"/>
  <c r="N59" i="88" s="1"/>
  <c r="B59" i="88"/>
  <c r="V58" i="88"/>
  <c r="T58" i="88"/>
  <c r="P58" i="88"/>
  <c r="X58" i="88" s="1"/>
  <c r="H58" i="88"/>
  <c r="D58" i="88"/>
  <c r="B58" i="88"/>
  <c r="X57" i="88"/>
  <c r="Z57" i="88" s="1"/>
  <c r="V57" i="88"/>
  <c r="N57" i="88"/>
  <c r="L57" i="88"/>
  <c r="B57" i="88"/>
  <c r="T56" i="88"/>
  <c r="P56" i="88"/>
  <c r="X56" i="88" s="1"/>
  <c r="Z56" i="88" s="1"/>
  <c r="N56" i="88"/>
  <c r="H56" i="88"/>
  <c r="D56" i="88"/>
  <c r="L56" i="88" s="1"/>
  <c r="B56" i="88"/>
  <c r="Z55" i="88"/>
  <c r="X55" i="88"/>
  <c r="N55" i="88"/>
  <c r="L55" i="88"/>
  <c r="B55" i="88"/>
  <c r="X54" i="88"/>
  <c r="Z54" i="88" s="1"/>
  <c r="L54" i="88"/>
  <c r="N54" i="88" s="1"/>
  <c r="B54" i="88"/>
  <c r="Z53" i="88"/>
  <c r="X53" i="88"/>
  <c r="N53" i="88"/>
  <c r="L53" i="88"/>
  <c r="B53" i="88"/>
  <c r="X52" i="88"/>
  <c r="T52" i="88"/>
  <c r="P52" i="88"/>
  <c r="H52" i="88"/>
  <c r="D52" i="88"/>
  <c r="B52" i="88"/>
  <c r="Z51" i="88"/>
  <c r="X51" i="88"/>
  <c r="N51" i="88"/>
  <c r="L51" i="88"/>
  <c r="J51" i="88"/>
  <c r="B51" i="88"/>
  <c r="T50" i="88"/>
  <c r="Z50" i="88" s="1"/>
  <c r="P50" i="88"/>
  <c r="H50" i="88"/>
  <c r="N50" i="88" s="1"/>
  <c r="D50" i="88"/>
  <c r="B50" i="88"/>
  <c r="X49" i="88"/>
  <c r="Z49" i="88" s="1"/>
  <c r="V49" i="88"/>
  <c r="N49" i="88"/>
  <c r="L49" i="88"/>
  <c r="B49" i="88"/>
  <c r="X48" i="88"/>
  <c r="Z48" i="88" s="1"/>
  <c r="T48" i="88"/>
  <c r="P48" i="88"/>
  <c r="L48" i="88"/>
  <c r="N48" i="88" s="1"/>
  <c r="H48" i="88"/>
  <c r="D48" i="88"/>
  <c r="B48" i="88"/>
  <c r="Z47" i="88"/>
  <c r="X47" i="88"/>
  <c r="N47" i="88"/>
  <c r="L47" i="88"/>
  <c r="B47" i="88"/>
  <c r="X46" i="88"/>
  <c r="V46" i="88"/>
  <c r="T46" i="88"/>
  <c r="P46" i="88"/>
  <c r="N46" i="88"/>
  <c r="L46" i="88"/>
  <c r="H46" i="88"/>
  <c r="D46" i="88"/>
  <c r="B46" i="88"/>
  <c r="Z45" i="88"/>
  <c r="X45" i="88"/>
  <c r="V45" i="88"/>
  <c r="N45" i="88"/>
  <c r="L45" i="88"/>
  <c r="B45" i="88"/>
  <c r="Z44" i="88"/>
  <c r="X44" i="88"/>
  <c r="N44" i="88"/>
  <c r="L44" i="88"/>
  <c r="B44" i="88"/>
  <c r="Z43" i="88"/>
  <c r="X43" i="88"/>
  <c r="V43" i="88"/>
  <c r="L43" i="88"/>
  <c r="N43" i="88" s="1"/>
  <c r="B43" i="88"/>
  <c r="X42" i="88"/>
  <c r="Z42" i="88" s="1"/>
  <c r="V42" i="88"/>
  <c r="N42" i="88"/>
  <c r="L42" i="88"/>
  <c r="B42" i="88"/>
  <c r="Z41" i="88"/>
  <c r="X41" i="88"/>
  <c r="V41" i="88"/>
  <c r="N41" i="88"/>
  <c r="L41" i="88"/>
  <c r="J41" i="88"/>
  <c r="B41" i="88"/>
  <c r="Z40" i="88"/>
  <c r="X40" i="88"/>
  <c r="N40" i="88"/>
  <c r="L40" i="88"/>
  <c r="B40" i="88"/>
  <c r="Z39" i="88"/>
  <c r="X39" i="88"/>
  <c r="N39" i="88"/>
  <c r="L39" i="88"/>
  <c r="J39" i="88"/>
  <c r="B39" i="88"/>
  <c r="Z38" i="88"/>
  <c r="X38" i="88"/>
  <c r="N38" i="88"/>
  <c r="L38" i="88"/>
  <c r="B38" i="88"/>
  <c r="X37" i="88"/>
  <c r="Z37" i="88" s="1"/>
  <c r="V37" i="88"/>
  <c r="L37" i="88"/>
  <c r="N37" i="88" s="1"/>
  <c r="B37" i="88"/>
  <c r="Z36" i="88"/>
  <c r="X36" i="88"/>
  <c r="N36" i="88"/>
  <c r="L36" i="88"/>
  <c r="B36" i="88"/>
  <c r="V35" i="88"/>
  <c r="T35" i="88"/>
  <c r="P35" i="88"/>
  <c r="X35" i="88" s="1"/>
  <c r="Z35" i="88" s="1"/>
  <c r="J35" i="88"/>
  <c r="H35" i="88"/>
  <c r="D35" i="88"/>
  <c r="L35" i="88" s="1"/>
  <c r="N35" i="88" s="1"/>
  <c r="B35" i="88"/>
  <c r="Z34" i="88"/>
  <c r="X34" i="88"/>
  <c r="N34" i="88"/>
  <c r="L34" i="88"/>
  <c r="J34" i="88"/>
  <c r="B34" i="88"/>
  <c r="X33" i="88"/>
  <c r="Z33" i="88" s="1"/>
  <c r="V33" i="88"/>
  <c r="N33" i="88"/>
  <c r="L33" i="88"/>
  <c r="B33" i="88"/>
  <c r="X32" i="88"/>
  <c r="Z32" i="88" s="1"/>
  <c r="L32" i="88"/>
  <c r="N32" i="88" s="1"/>
  <c r="B32" i="88"/>
  <c r="X31" i="88"/>
  <c r="Z31" i="88" s="1"/>
  <c r="V31" i="88"/>
  <c r="N31" i="88"/>
  <c r="L31" i="88"/>
  <c r="B31" i="88"/>
  <c r="X30" i="88"/>
  <c r="Z30" i="88" s="1"/>
  <c r="L30" i="88"/>
  <c r="N30" i="88" s="1"/>
  <c r="B30" i="88"/>
  <c r="X29" i="88"/>
  <c r="Z29" i="88" s="1"/>
  <c r="N29" i="88"/>
  <c r="L29" i="88"/>
  <c r="B29" i="88"/>
  <c r="X28" i="88"/>
  <c r="Z28" i="88" s="1"/>
  <c r="N28" i="88"/>
  <c r="L28" i="88"/>
  <c r="B28" i="88"/>
  <c r="X27" i="88"/>
  <c r="Z27" i="88" s="1"/>
  <c r="N27" i="88"/>
  <c r="L27" i="88"/>
  <c r="B27" i="88"/>
  <c r="X26" i="88"/>
  <c r="Z26" i="88" s="1"/>
  <c r="N26" i="88"/>
  <c r="L26" i="88"/>
  <c r="B26" i="88"/>
  <c r="X25" i="88"/>
  <c r="Z25" i="88" s="1"/>
  <c r="V25" i="88"/>
  <c r="T25" i="88"/>
  <c r="P25" i="88"/>
  <c r="H25" i="88"/>
  <c r="D25" i="88"/>
  <c r="L25" i="88" s="1"/>
  <c r="B25" i="88"/>
  <c r="T24" i="88"/>
  <c r="P24" i="88"/>
  <c r="H24" i="88"/>
  <c r="D24" i="88"/>
  <c r="H22" i="88"/>
  <c r="Z20" i="88"/>
  <c r="X20" i="88"/>
  <c r="N20" i="88"/>
  <c r="L20" i="88"/>
  <c r="B20" i="88"/>
  <c r="Z19" i="88"/>
  <c r="X19" i="88"/>
  <c r="V19" i="88"/>
  <c r="N19" i="88"/>
  <c r="L19" i="88"/>
  <c r="J19" i="88"/>
  <c r="B19" i="88"/>
  <c r="Z18" i="88"/>
  <c r="X18" i="88"/>
  <c r="V18" i="88"/>
  <c r="N18" i="88"/>
  <c r="L18" i="88"/>
  <c r="B18" i="88"/>
  <c r="V17" i="88"/>
  <c r="T17" i="88"/>
  <c r="T22" i="88" s="1"/>
  <c r="P17" i="88"/>
  <c r="X17" i="88" s="1"/>
  <c r="Z17" i="88" s="1"/>
  <c r="L17" i="88"/>
  <c r="J17" i="88"/>
  <c r="H17" i="88"/>
  <c r="D17" i="88"/>
  <c r="Z15" i="88"/>
  <c r="P15" i="88"/>
  <c r="P12" i="88" s="1"/>
  <c r="N15" i="88"/>
  <c r="L15" i="88"/>
  <c r="D15" i="88"/>
  <c r="B15" i="88"/>
  <c r="Z14" i="88"/>
  <c r="X14" i="88"/>
  <c r="P14" i="88"/>
  <c r="N14" i="88"/>
  <c r="D14" i="88"/>
  <c r="L14" i="88" s="1"/>
  <c r="B14" i="88"/>
  <c r="Z13" i="88"/>
  <c r="X13" i="88"/>
  <c r="P13" i="88"/>
  <c r="D13" i="88"/>
  <c r="B13" i="88"/>
  <c r="T12" i="88"/>
  <c r="V87" i="88" s="1"/>
  <c r="H12" i="88"/>
  <c r="J78" i="88" s="1"/>
  <c r="D6" i="88"/>
  <c r="D4" i="88"/>
  <c r="X34" i="86"/>
  <c r="Z34" i="86" s="1"/>
  <c r="V34" i="86"/>
  <c r="L34" i="86"/>
  <c r="N34" i="86" s="1"/>
  <c r="J34" i="86"/>
  <c r="T30" i="86"/>
  <c r="Z30" i="86" s="1"/>
  <c r="P30" i="86"/>
  <c r="X30" i="86" s="1"/>
  <c r="N30" i="86"/>
  <c r="H30" i="86"/>
  <c r="D30" i="86"/>
  <c r="L30" i="86" s="1"/>
  <c r="Z28" i="86"/>
  <c r="X28" i="86"/>
  <c r="N28" i="86"/>
  <c r="L28" i="86"/>
  <c r="J28" i="86"/>
  <c r="B28" i="86"/>
  <c r="X27" i="86"/>
  <c r="V27" i="86"/>
  <c r="T27" i="86"/>
  <c r="Z27" i="86" s="1"/>
  <c r="P27" i="86"/>
  <c r="N27" i="86"/>
  <c r="J27" i="86"/>
  <c r="H27" i="86"/>
  <c r="D27" i="86"/>
  <c r="L27" i="86" s="1"/>
  <c r="B27" i="86"/>
  <c r="Z26" i="86"/>
  <c r="X26" i="86"/>
  <c r="N26" i="86"/>
  <c r="L26" i="86"/>
  <c r="B26" i="86"/>
  <c r="T25" i="86"/>
  <c r="R25" i="86"/>
  <c r="P25" i="86"/>
  <c r="N25" i="86"/>
  <c r="J25" i="86"/>
  <c r="H25" i="86"/>
  <c r="D25" i="86"/>
  <c r="L25" i="86" s="1"/>
  <c r="B25" i="86"/>
  <c r="X24" i="86"/>
  <c r="Z24" i="86" s="1"/>
  <c r="V24" i="86"/>
  <c r="R24" i="86"/>
  <c r="L24" i="86"/>
  <c r="N24" i="86" s="1"/>
  <c r="B24" i="86"/>
  <c r="V23" i="86"/>
  <c r="T23" i="86"/>
  <c r="P23" i="86"/>
  <c r="X23" i="86" s="1"/>
  <c r="Z23" i="86" s="1"/>
  <c r="N23" i="86"/>
  <c r="L23" i="86"/>
  <c r="J23" i="86"/>
  <c r="H23" i="86"/>
  <c r="D23" i="86"/>
  <c r="B23" i="86"/>
  <c r="T22" i="86"/>
  <c r="P22" i="86"/>
  <c r="X22" i="86" s="1"/>
  <c r="Z22" i="86" s="1"/>
  <c r="H22" i="86"/>
  <c r="D22" i="86"/>
  <c r="L22" i="86" s="1"/>
  <c r="P20" i="86"/>
  <c r="H20" i="86"/>
  <c r="Z18" i="86"/>
  <c r="X18" i="86"/>
  <c r="N18" i="86"/>
  <c r="L18" i="86"/>
  <c r="J18" i="86"/>
  <c r="B18" i="86"/>
  <c r="Z17" i="86"/>
  <c r="X17" i="86"/>
  <c r="V17" i="86"/>
  <c r="N17" i="86"/>
  <c r="L17" i="86"/>
  <c r="J17" i="86"/>
  <c r="B17" i="86"/>
  <c r="T16" i="86"/>
  <c r="P16" i="86"/>
  <c r="X16" i="86" s="1"/>
  <c r="H16" i="86"/>
  <c r="D16" i="86"/>
  <c r="L16" i="86" s="1"/>
  <c r="N16" i="86" s="1"/>
  <c r="Z14" i="86"/>
  <c r="X14" i="86"/>
  <c r="P14" i="86"/>
  <c r="N14" i="86"/>
  <c r="D14" i="86"/>
  <c r="L14" i="86" s="1"/>
  <c r="B14" i="86"/>
  <c r="P13" i="86"/>
  <c r="X13" i="86" s="1"/>
  <c r="Z13" i="86" s="1"/>
  <c r="L13" i="86"/>
  <c r="N13" i="86" s="1"/>
  <c r="D13" i="86"/>
  <c r="B13" i="86"/>
  <c r="T12" i="86"/>
  <c r="V26" i="86" s="1"/>
  <c r="P12" i="86"/>
  <c r="R27" i="86" s="1"/>
  <c r="H12" i="86"/>
  <c r="D6" i="86"/>
  <c r="D4" i="86"/>
  <c r="X132" i="85"/>
  <c r="Z132" i="85" s="1"/>
  <c r="L132" i="85"/>
  <c r="N132" i="85" s="1"/>
  <c r="T128" i="85"/>
  <c r="P128" i="85"/>
  <c r="H128" i="85"/>
  <c r="N128" i="85" s="1"/>
  <c r="D128" i="85"/>
  <c r="X126" i="85"/>
  <c r="Z126" i="85" s="1"/>
  <c r="V126" i="85"/>
  <c r="L126" i="85"/>
  <c r="N126" i="85" s="1"/>
  <c r="B126" i="85"/>
  <c r="T125" i="85"/>
  <c r="P125" i="85"/>
  <c r="X125" i="85" s="1"/>
  <c r="Z125" i="85" s="1"/>
  <c r="N125" i="85"/>
  <c r="L125" i="85"/>
  <c r="H125" i="85"/>
  <c r="D125" i="85"/>
  <c r="B125" i="85"/>
  <c r="Z124" i="85"/>
  <c r="X124" i="85"/>
  <c r="L124" i="85"/>
  <c r="N124" i="85" s="1"/>
  <c r="B124" i="85"/>
  <c r="V123" i="85"/>
  <c r="T123" i="85"/>
  <c r="X123" i="85" s="1"/>
  <c r="Z123" i="85" s="1"/>
  <c r="P123" i="85"/>
  <c r="L123" i="85"/>
  <c r="N123" i="85" s="1"/>
  <c r="J123" i="85"/>
  <c r="H123" i="85"/>
  <c r="D123" i="85"/>
  <c r="B123" i="85"/>
  <c r="X122" i="85"/>
  <c r="Z122" i="85" s="1"/>
  <c r="N122" i="85"/>
  <c r="L122" i="85"/>
  <c r="J122" i="85"/>
  <c r="B122" i="85"/>
  <c r="T121" i="85"/>
  <c r="P121" i="85"/>
  <c r="X121" i="85" s="1"/>
  <c r="Z121" i="85" s="1"/>
  <c r="H121" i="85"/>
  <c r="N121" i="85" s="1"/>
  <c r="D121" i="85"/>
  <c r="L121" i="85" s="1"/>
  <c r="B121" i="85"/>
  <c r="Z120" i="85"/>
  <c r="X120" i="85"/>
  <c r="N120" i="85"/>
  <c r="L120" i="85"/>
  <c r="B120" i="85"/>
  <c r="Z119" i="85"/>
  <c r="X119" i="85"/>
  <c r="N119" i="85"/>
  <c r="L119" i="85"/>
  <c r="J119" i="85"/>
  <c r="B119" i="85"/>
  <c r="T118" i="85"/>
  <c r="P118" i="85"/>
  <c r="X118" i="85" s="1"/>
  <c r="H118" i="85"/>
  <c r="D118" i="85"/>
  <c r="B118" i="85"/>
  <c r="X117" i="85"/>
  <c r="Z117" i="85" s="1"/>
  <c r="V117" i="85"/>
  <c r="N117" i="85"/>
  <c r="L117" i="85"/>
  <c r="J117" i="85"/>
  <c r="B117" i="85"/>
  <c r="Z116" i="85"/>
  <c r="X116" i="85"/>
  <c r="L116" i="85"/>
  <c r="N116" i="85" s="1"/>
  <c r="B116" i="85"/>
  <c r="Z115" i="85"/>
  <c r="X115" i="85"/>
  <c r="V115" i="85"/>
  <c r="N115" i="85"/>
  <c r="L115" i="85"/>
  <c r="B115" i="85"/>
  <c r="X114" i="85"/>
  <c r="Z114" i="85" s="1"/>
  <c r="L114" i="85"/>
  <c r="N114" i="85" s="1"/>
  <c r="B114" i="85"/>
  <c r="X113" i="85"/>
  <c r="Z113" i="85" s="1"/>
  <c r="V113" i="85"/>
  <c r="N113" i="85"/>
  <c r="L113" i="85"/>
  <c r="J113" i="85"/>
  <c r="B113" i="85"/>
  <c r="Z112" i="85"/>
  <c r="X112" i="85"/>
  <c r="N112" i="85"/>
  <c r="L112" i="85"/>
  <c r="B112" i="85"/>
  <c r="V111" i="85"/>
  <c r="T111" i="85"/>
  <c r="X111" i="85" s="1"/>
  <c r="Z111" i="85" s="1"/>
  <c r="P111" i="85"/>
  <c r="L111" i="85"/>
  <c r="N111" i="85" s="1"/>
  <c r="J111" i="85"/>
  <c r="H111" i="85"/>
  <c r="D111" i="85"/>
  <c r="B111" i="85"/>
  <c r="X110" i="85"/>
  <c r="Z110" i="85" s="1"/>
  <c r="L110" i="85"/>
  <c r="N110" i="85" s="1"/>
  <c r="J110" i="85"/>
  <c r="B110" i="85"/>
  <c r="Z109" i="85"/>
  <c r="X109" i="85"/>
  <c r="V109" i="85"/>
  <c r="N109" i="85"/>
  <c r="L109" i="85"/>
  <c r="B109" i="85"/>
  <c r="X108" i="85"/>
  <c r="Z108" i="85" s="1"/>
  <c r="T108" i="85"/>
  <c r="P108" i="85"/>
  <c r="L108" i="85"/>
  <c r="H108" i="85"/>
  <c r="N108" i="85" s="1"/>
  <c r="D108" i="85"/>
  <c r="B108" i="85"/>
  <c r="Z107" i="85"/>
  <c r="X107" i="85"/>
  <c r="N107" i="85"/>
  <c r="L107" i="85"/>
  <c r="J107" i="85"/>
  <c r="B107" i="85"/>
  <c r="X106" i="85"/>
  <c r="Z106" i="85" s="1"/>
  <c r="V106" i="85"/>
  <c r="L106" i="85"/>
  <c r="N106" i="85" s="1"/>
  <c r="B106" i="85"/>
  <c r="Z105" i="85"/>
  <c r="X105" i="85"/>
  <c r="L105" i="85"/>
  <c r="N105" i="85" s="1"/>
  <c r="J105" i="85"/>
  <c r="B105" i="85"/>
  <c r="T104" i="85"/>
  <c r="P104" i="85"/>
  <c r="J104" i="85"/>
  <c r="H104" i="85"/>
  <c r="D104" i="85"/>
  <c r="B104" i="85"/>
  <c r="Z103" i="85"/>
  <c r="X103" i="85"/>
  <c r="V103" i="85"/>
  <c r="N103" i="85"/>
  <c r="L103" i="85"/>
  <c r="B103" i="85"/>
  <c r="X102" i="85"/>
  <c r="Z102" i="85" s="1"/>
  <c r="N102" i="85"/>
  <c r="L102" i="85"/>
  <c r="B102" i="85"/>
  <c r="X101" i="85"/>
  <c r="Z101" i="85" s="1"/>
  <c r="V101" i="85"/>
  <c r="T101" i="85"/>
  <c r="P101" i="85"/>
  <c r="J101" i="85"/>
  <c r="H101" i="85"/>
  <c r="L101" i="85" s="1"/>
  <c r="N101" i="85" s="1"/>
  <c r="D101" i="85"/>
  <c r="B101" i="85"/>
  <c r="X100" i="85"/>
  <c r="Z100" i="85" s="1"/>
  <c r="L100" i="85"/>
  <c r="N100" i="85" s="1"/>
  <c r="B100" i="85"/>
  <c r="T99" i="85"/>
  <c r="P99" i="85"/>
  <c r="X99" i="85" s="1"/>
  <c r="J99" i="85"/>
  <c r="H99" i="85"/>
  <c r="D99" i="85"/>
  <c r="L99" i="85" s="1"/>
  <c r="N99" i="85" s="1"/>
  <c r="B99" i="85"/>
  <c r="X98" i="85"/>
  <c r="Z98" i="85" s="1"/>
  <c r="V98" i="85"/>
  <c r="N98" i="85"/>
  <c r="L98" i="85"/>
  <c r="B98" i="85"/>
  <c r="T97" i="85"/>
  <c r="P97" i="85"/>
  <c r="X97" i="85" s="1"/>
  <c r="Z97" i="85" s="1"/>
  <c r="N97" i="85"/>
  <c r="L97" i="85"/>
  <c r="H97" i="85"/>
  <c r="D97" i="85"/>
  <c r="B97" i="85"/>
  <c r="Z96" i="85"/>
  <c r="X96" i="85"/>
  <c r="N96" i="85"/>
  <c r="L96" i="85"/>
  <c r="B96" i="85"/>
  <c r="V95" i="85"/>
  <c r="T95" i="85"/>
  <c r="X95" i="85" s="1"/>
  <c r="Z95" i="85" s="1"/>
  <c r="P95" i="85"/>
  <c r="L95" i="85"/>
  <c r="N95" i="85" s="1"/>
  <c r="J95" i="85"/>
  <c r="H95" i="85"/>
  <c r="D95" i="85"/>
  <c r="B95" i="85"/>
  <c r="X94" i="85"/>
  <c r="Z94" i="85" s="1"/>
  <c r="L94" i="85"/>
  <c r="N94" i="85" s="1"/>
  <c r="J94" i="85"/>
  <c r="B94" i="85"/>
  <c r="V93" i="85"/>
  <c r="T93" i="85"/>
  <c r="P93" i="85"/>
  <c r="X93" i="85" s="1"/>
  <c r="Z93" i="85" s="1"/>
  <c r="H93" i="85"/>
  <c r="D93" i="85"/>
  <c r="L93" i="85" s="1"/>
  <c r="B93" i="85"/>
  <c r="X92" i="85"/>
  <c r="Z92" i="85" s="1"/>
  <c r="N92" i="85"/>
  <c r="L92" i="85"/>
  <c r="B92" i="85"/>
  <c r="Z91" i="85"/>
  <c r="X91" i="85"/>
  <c r="T91" i="85"/>
  <c r="P91" i="85"/>
  <c r="N91" i="85"/>
  <c r="H91" i="85"/>
  <c r="D91" i="85"/>
  <c r="L91" i="85" s="1"/>
  <c r="B91" i="85"/>
  <c r="Z90" i="85"/>
  <c r="X90" i="85"/>
  <c r="L90" i="85"/>
  <c r="N90" i="85" s="1"/>
  <c r="B90" i="85"/>
  <c r="X89" i="85"/>
  <c r="V89" i="85"/>
  <c r="T89" i="85"/>
  <c r="P89" i="85"/>
  <c r="J89" i="85"/>
  <c r="H89" i="85"/>
  <c r="L89" i="85" s="1"/>
  <c r="N89" i="85" s="1"/>
  <c r="D89" i="85"/>
  <c r="B89" i="85"/>
  <c r="Z88" i="85"/>
  <c r="X88" i="85"/>
  <c r="L88" i="85"/>
  <c r="N88" i="85" s="1"/>
  <c r="B88" i="85"/>
  <c r="T87" i="85"/>
  <c r="P87" i="85"/>
  <c r="J87" i="85"/>
  <c r="H87" i="85"/>
  <c r="D87" i="85"/>
  <c r="L87" i="85" s="1"/>
  <c r="N87" i="85" s="1"/>
  <c r="B87" i="85"/>
  <c r="X86" i="85"/>
  <c r="Z86" i="85" s="1"/>
  <c r="V86" i="85"/>
  <c r="N86" i="85"/>
  <c r="L86" i="85"/>
  <c r="B86" i="85"/>
  <c r="Z85" i="85"/>
  <c r="T85" i="85"/>
  <c r="P85" i="85"/>
  <c r="X85" i="85" s="1"/>
  <c r="N85" i="85"/>
  <c r="L85" i="85"/>
  <c r="H85" i="85"/>
  <c r="D85" i="85"/>
  <c r="B85" i="85"/>
  <c r="Z84" i="85"/>
  <c r="X84" i="85"/>
  <c r="L84" i="85"/>
  <c r="N84" i="85" s="1"/>
  <c r="B84" i="85"/>
  <c r="V83" i="85"/>
  <c r="T83" i="85"/>
  <c r="X83" i="85" s="1"/>
  <c r="Z83" i="85" s="1"/>
  <c r="P83" i="85"/>
  <c r="L83" i="85"/>
  <c r="J83" i="85"/>
  <c r="H83" i="85"/>
  <c r="N83" i="85" s="1"/>
  <c r="D83" i="85"/>
  <c r="B83" i="85"/>
  <c r="X82" i="85"/>
  <c r="Z82" i="85" s="1"/>
  <c r="L82" i="85"/>
  <c r="N82" i="85" s="1"/>
  <c r="J82" i="85"/>
  <c r="B82" i="85"/>
  <c r="Z81" i="85"/>
  <c r="X81" i="85"/>
  <c r="V81" i="85"/>
  <c r="N81" i="85"/>
  <c r="L81" i="85"/>
  <c r="B81" i="85"/>
  <c r="X80" i="85"/>
  <c r="Z80" i="85" s="1"/>
  <c r="T80" i="85"/>
  <c r="P80" i="85"/>
  <c r="L80" i="85"/>
  <c r="H80" i="85"/>
  <c r="D80" i="85"/>
  <c r="B80" i="85"/>
  <c r="Z79" i="85"/>
  <c r="X79" i="85"/>
  <c r="N79" i="85"/>
  <c r="L79" i="85"/>
  <c r="J79" i="85"/>
  <c r="B79" i="85"/>
  <c r="T78" i="85"/>
  <c r="P78" i="85"/>
  <c r="H78" i="85"/>
  <c r="D78" i="85"/>
  <c r="B78" i="85"/>
  <c r="Z77" i="85"/>
  <c r="X77" i="85"/>
  <c r="V77" i="85"/>
  <c r="N77" i="85"/>
  <c r="L77" i="85"/>
  <c r="J77" i="85"/>
  <c r="B77" i="85"/>
  <c r="Z76" i="85"/>
  <c r="X76" i="85"/>
  <c r="N76" i="85"/>
  <c r="L76" i="85"/>
  <c r="B76" i="85"/>
  <c r="Z75" i="85"/>
  <c r="X75" i="85"/>
  <c r="V75" i="85"/>
  <c r="N75" i="85"/>
  <c r="L75" i="85"/>
  <c r="B75" i="85"/>
  <c r="Z74" i="85"/>
  <c r="X74" i="85"/>
  <c r="N74" i="85"/>
  <c r="L74" i="85"/>
  <c r="B74" i="85"/>
  <c r="Z73" i="85"/>
  <c r="X73" i="85"/>
  <c r="V73" i="85"/>
  <c r="N73" i="85"/>
  <c r="L73" i="85"/>
  <c r="J73" i="85"/>
  <c r="B73" i="85"/>
  <c r="Z72" i="85"/>
  <c r="X72" i="85"/>
  <c r="N72" i="85"/>
  <c r="L72" i="85"/>
  <c r="B72" i="85"/>
  <c r="Z71" i="85"/>
  <c r="X71" i="85"/>
  <c r="V71" i="85"/>
  <c r="N71" i="85"/>
  <c r="L71" i="85"/>
  <c r="B71" i="85"/>
  <c r="Z70" i="85"/>
  <c r="X70" i="85"/>
  <c r="N70" i="85"/>
  <c r="L70" i="85"/>
  <c r="B70" i="85"/>
  <c r="X69" i="85"/>
  <c r="Z69" i="85" s="1"/>
  <c r="V69" i="85"/>
  <c r="N69" i="85"/>
  <c r="L69" i="85"/>
  <c r="J69" i="85"/>
  <c r="B69" i="85"/>
  <c r="Z68" i="85"/>
  <c r="X68" i="85"/>
  <c r="N68" i="85"/>
  <c r="L68" i="85"/>
  <c r="B68" i="85"/>
  <c r="V67" i="85"/>
  <c r="T67" i="85"/>
  <c r="P67" i="85"/>
  <c r="X67" i="85" s="1"/>
  <c r="Z67" i="85" s="1"/>
  <c r="L67" i="85"/>
  <c r="J67" i="85"/>
  <c r="H67" i="85"/>
  <c r="D67" i="85"/>
  <c r="B67" i="85"/>
  <c r="Z66" i="85"/>
  <c r="X66" i="85"/>
  <c r="N66" i="85"/>
  <c r="L66" i="85"/>
  <c r="J66" i="85"/>
  <c r="B66" i="85"/>
  <c r="X65" i="85"/>
  <c r="Z65" i="85" s="1"/>
  <c r="V65" i="85"/>
  <c r="N65" i="85"/>
  <c r="L65" i="85"/>
  <c r="B65" i="85"/>
  <c r="Z64" i="85"/>
  <c r="X64" i="85"/>
  <c r="L64" i="85"/>
  <c r="N64" i="85" s="1"/>
  <c r="B64" i="85"/>
  <c r="Z63" i="85"/>
  <c r="X63" i="85"/>
  <c r="N63" i="85"/>
  <c r="L63" i="85"/>
  <c r="B63" i="85"/>
  <c r="X62" i="85"/>
  <c r="Z62" i="85" s="1"/>
  <c r="L62" i="85"/>
  <c r="N62" i="85" s="1"/>
  <c r="J62" i="85"/>
  <c r="B62" i="85"/>
  <c r="X61" i="85"/>
  <c r="Z61" i="85" s="1"/>
  <c r="V61" i="85"/>
  <c r="N61" i="85"/>
  <c r="L61" i="85"/>
  <c r="B61" i="85"/>
  <c r="X60" i="85"/>
  <c r="Z60" i="85" s="1"/>
  <c r="L60" i="85"/>
  <c r="N60" i="85" s="1"/>
  <c r="B60" i="85"/>
  <c r="Z59" i="85"/>
  <c r="X59" i="85"/>
  <c r="N59" i="85"/>
  <c r="L59" i="85"/>
  <c r="B59" i="85"/>
  <c r="X58" i="85"/>
  <c r="Z58" i="85" s="1"/>
  <c r="L58" i="85"/>
  <c r="N58" i="85" s="1"/>
  <c r="J58" i="85"/>
  <c r="B58" i="85"/>
  <c r="V57" i="85"/>
  <c r="T57" i="85"/>
  <c r="P57" i="85"/>
  <c r="X57" i="85" s="1"/>
  <c r="H57" i="85"/>
  <c r="D57" i="85"/>
  <c r="L57" i="85" s="1"/>
  <c r="B57" i="85"/>
  <c r="T56" i="85"/>
  <c r="P56" i="85"/>
  <c r="H56" i="85"/>
  <c r="J56" i="85" s="1"/>
  <c r="D56" i="85"/>
  <c r="T54" i="85"/>
  <c r="H54" i="85"/>
  <c r="Z52" i="85"/>
  <c r="X52" i="85"/>
  <c r="N52" i="85"/>
  <c r="L52" i="85"/>
  <c r="B52" i="85"/>
  <c r="Z51" i="85"/>
  <c r="X51" i="85"/>
  <c r="V51" i="85"/>
  <c r="N51" i="85"/>
  <c r="L51" i="85"/>
  <c r="J51" i="85"/>
  <c r="B51" i="85"/>
  <c r="Z50" i="85"/>
  <c r="X50" i="85"/>
  <c r="V50" i="85"/>
  <c r="N50" i="85"/>
  <c r="L50" i="85"/>
  <c r="B50" i="85"/>
  <c r="Z49" i="85"/>
  <c r="X49" i="85"/>
  <c r="V49" i="85"/>
  <c r="N49" i="85"/>
  <c r="L49" i="85"/>
  <c r="J49" i="85"/>
  <c r="B49" i="85"/>
  <c r="Z48" i="85"/>
  <c r="X48" i="85"/>
  <c r="N48" i="85"/>
  <c r="L48" i="85"/>
  <c r="B48" i="85"/>
  <c r="Z47" i="85"/>
  <c r="X47" i="85"/>
  <c r="V47" i="85"/>
  <c r="N47" i="85"/>
  <c r="L47" i="85"/>
  <c r="J47" i="85"/>
  <c r="B47" i="85"/>
  <c r="Z46" i="85"/>
  <c r="X46" i="85"/>
  <c r="V46" i="85"/>
  <c r="N46" i="85"/>
  <c r="L46" i="85"/>
  <c r="B46" i="85"/>
  <c r="Z45" i="85"/>
  <c r="X45" i="85"/>
  <c r="V45" i="85"/>
  <c r="N45" i="85"/>
  <c r="L45" i="85"/>
  <c r="J45" i="85"/>
  <c r="B45" i="85"/>
  <c r="Z44" i="85"/>
  <c r="X44" i="85"/>
  <c r="N44" i="85"/>
  <c r="L44" i="85"/>
  <c r="B44" i="85"/>
  <c r="Z43" i="85"/>
  <c r="X43" i="85"/>
  <c r="V43" i="85"/>
  <c r="N43" i="85"/>
  <c r="L43" i="85"/>
  <c r="J43" i="85"/>
  <c r="B43" i="85"/>
  <c r="Z42" i="85"/>
  <c r="X42" i="85"/>
  <c r="V42" i="85"/>
  <c r="N42" i="85"/>
  <c r="L42" i="85"/>
  <c r="B42" i="85"/>
  <c r="Z41" i="85"/>
  <c r="X41" i="85"/>
  <c r="V41" i="85"/>
  <c r="N41" i="85"/>
  <c r="L41" i="85"/>
  <c r="J41" i="85"/>
  <c r="B41" i="85"/>
  <c r="Z40" i="85"/>
  <c r="X40" i="85"/>
  <c r="N40" i="85"/>
  <c r="L40" i="85"/>
  <c r="B40" i="85"/>
  <c r="Z39" i="85"/>
  <c r="X39" i="85"/>
  <c r="V39" i="85"/>
  <c r="N39" i="85"/>
  <c r="L39" i="85"/>
  <c r="J39" i="85"/>
  <c r="B39" i="85"/>
  <c r="Z38" i="85"/>
  <c r="X38" i="85"/>
  <c r="V38" i="85"/>
  <c r="N38" i="85"/>
  <c r="L38" i="85"/>
  <c r="B38" i="85"/>
  <c r="Z37" i="85"/>
  <c r="X37" i="85"/>
  <c r="V37" i="85"/>
  <c r="N37" i="85"/>
  <c r="L37" i="85"/>
  <c r="J37" i="85"/>
  <c r="B37" i="85"/>
  <c r="X36" i="85"/>
  <c r="Z36" i="85" s="1"/>
  <c r="L36" i="85"/>
  <c r="N36" i="85" s="1"/>
  <c r="B36" i="85"/>
  <c r="Z35" i="85"/>
  <c r="X35" i="85"/>
  <c r="V35" i="85"/>
  <c r="T35" i="85"/>
  <c r="P35" i="85"/>
  <c r="J35" i="85"/>
  <c r="H35" i="85"/>
  <c r="D35" i="85"/>
  <c r="L35" i="85" s="1"/>
  <c r="N35" i="85" s="1"/>
  <c r="Z33" i="85"/>
  <c r="P33" i="85"/>
  <c r="X33" i="85" s="1"/>
  <c r="N33" i="85"/>
  <c r="L33" i="85"/>
  <c r="D33" i="85"/>
  <c r="B33" i="85"/>
  <c r="Z32" i="85"/>
  <c r="X32" i="85"/>
  <c r="P32" i="85"/>
  <c r="N32" i="85"/>
  <c r="D32" i="85"/>
  <c r="L32" i="85" s="1"/>
  <c r="B32" i="85"/>
  <c r="Z31" i="85"/>
  <c r="P31" i="85"/>
  <c r="X31" i="85" s="1"/>
  <c r="N31" i="85"/>
  <c r="L31" i="85"/>
  <c r="D31" i="85"/>
  <c r="B31" i="85"/>
  <c r="Z30" i="85"/>
  <c r="P30" i="85"/>
  <c r="X30" i="85" s="1"/>
  <c r="N30" i="85"/>
  <c r="D30" i="85"/>
  <c r="L30" i="85" s="1"/>
  <c r="B30" i="85"/>
  <c r="Z29" i="85"/>
  <c r="P29" i="85"/>
  <c r="X29" i="85" s="1"/>
  <c r="N29" i="85"/>
  <c r="L29" i="85"/>
  <c r="D29" i="85"/>
  <c r="B29" i="85"/>
  <c r="Z28" i="85"/>
  <c r="X28" i="85"/>
  <c r="P28" i="85"/>
  <c r="N28" i="85"/>
  <c r="D28" i="85"/>
  <c r="L28" i="85" s="1"/>
  <c r="B28" i="85"/>
  <c r="Z27" i="85"/>
  <c r="P27" i="85"/>
  <c r="X27" i="85" s="1"/>
  <c r="N27" i="85"/>
  <c r="D27" i="85"/>
  <c r="L27" i="85" s="1"/>
  <c r="B27" i="85"/>
  <c r="Z26" i="85"/>
  <c r="X26" i="85"/>
  <c r="P26" i="85"/>
  <c r="N26" i="85"/>
  <c r="D26" i="85"/>
  <c r="L26" i="85" s="1"/>
  <c r="B26" i="85"/>
  <c r="Z25" i="85"/>
  <c r="P25" i="85"/>
  <c r="X25" i="85" s="1"/>
  <c r="N25" i="85"/>
  <c r="L25" i="85"/>
  <c r="D25" i="85"/>
  <c r="B25" i="85"/>
  <c r="Z24" i="85"/>
  <c r="X24" i="85"/>
  <c r="P24" i="85"/>
  <c r="N24" i="85"/>
  <c r="D24" i="85"/>
  <c r="L24" i="85" s="1"/>
  <c r="B24" i="85"/>
  <c r="Z23" i="85"/>
  <c r="X23" i="85"/>
  <c r="P23" i="85"/>
  <c r="N23" i="85"/>
  <c r="L23" i="85"/>
  <c r="D23" i="85"/>
  <c r="B23" i="85"/>
  <c r="Z22" i="85"/>
  <c r="X22" i="85"/>
  <c r="P22" i="85"/>
  <c r="N22" i="85"/>
  <c r="D22" i="85"/>
  <c r="L22" i="85" s="1"/>
  <c r="B22" i="85"/>
  <c r="Z21" i="85"/>
  <c r="P21" i="85"/>
  <c r="X21" i="85" s="1"/>
  <c r="N21" i="85"/>
  <c r="L21" i="85"/>
  <c r="D21" i="85"/>
  <c r="B21" i="85"/>
  <c r="Z20" i="85"/>
  <c r="X20" i="85"/>
  <c r="P20" i="85"/>
  <c r="N20" i="85"/>
  <c r="D20" i="85"/>
  <c r="L20" i="85" s="1"/>
  <c r="B20" i="85"/>
  <c r="Z19" i="85"/>
  <c r="P19" i="85"/>
  <c r="X19" i="85" s="1"/>
  <c r="N19" i="85"/>
  <c r="L19" i="85"/>
  <c r="D19" i="85"/>
  <c r="B19" i="85"/>
  <c r="Z18" i="85"/>
  <c r="P18" i="85"/>
  <c r="X18" i="85" s="1"/>
  <c r="N18" i="85"/>
  <c r="D18" i="85"/>
  <c r="L18" i="85" s="1"/>
  <c r="B18" i="85"/>
  <c r="Z17" i="85"/>
  <c r="P17" i="85"/>
  <c r="X17" i="85" s="1"/>
  <c r="N17" i="85"/>
  <c r="L17" i="85"/>
  <c r="D17" i="85"/>
  <c r="B17" i="85"/>
  <c r="Z16" i="85"/>
  <c r="X16" i="85"/>
  <c r="P16" i="85"/>
  <c r="N16" i="85"/>
  <c r="D16" i="85"/>
  <c r="L16" i="85" s="1"/>
  <c r="B16" i="85"/>
  <c r="Z15" i="85"/>
  <c r="P15" i="85"/>
  <c r="X15" i="85" s="1"/>
  <c r="N15" i="85"/>
  <c r="D15" i="85"/>
  <c r="L15" i="85" s="1"/>
  <c r="B15" i="85"/>
  <c r="Z14" i="85"/>
  <c r="X14" i="85"/>
  <c r="P14" i="85"/>
  <c r="N14" i="85"/>
  <c r="D14" i="85"/>
  <c r="L14" i="85" s="1"/>
  <c r="B14" i="85"/>
  <c r="P13" i="85"/>
  <c r="X13" i="85" s="1"/>
  <c r="Z13" i="85" s="1"/>
  <c r="N13" i="85"/>
  <c r="L13" i="85"/>
  <c r="D13" i="85"/>
  <c r="B13" i="85"/>
  <c r="T12" i="85"/>
  <c r="V108" i="85" s="1"/>
  <c r="H12" i="85"/>
  <c r="J124" i="85" s="1"/>
  <c r="D6" i="85"/>
  <c r="D4" i="85"/>
  <c r="X98" i="84"/>
  <c r="Z98" i="84" s="1"/>
  <c r="L98" i="84"/>
  <c r="N98" i="84" s="1"/>
  <c r="T94" i="84"/>
  <c r="Z94" i="84" s="1"/>
  <c r="P94" i="84"/>
  <c r="X94" i="84" s="1"/>
  <c r="L94" i="84"/>
  <c r="H94" i="84"/>
  <c r="D94" i="84"/>
  <c r="X92" i="84"/>
  <c r="Z92" i="84" s="1"/>
  <c r="V92" i="84"/>
  <c r="R92" i="84"/>
  <c r="L92" i="84"/>
  <c r="N92" i="84" s="1"/>
  <c r="B92" i="84"/>
  <c r="T91" i="84"/>
  <c r="P91" i="84"/>
  <c r="X91" i="84" s="1"/>
  <c r="Z91" i="84" s="1"/>
  <c r="N91" i="84"/>
  <c r="L91" i="84"/>
  <c r="H91" i="84"/>
  <c r="D91" i="84"/>
  <c r="B91" i="84"/>
  <c r="X90" i="84"/>
  <c r="Z90" i="84" s="1"/>
  <c r="N90" i="84"/>
  <c r="L90" i="84"/>
  <c r="B90" i="84"/>
  <c r="V89" i="84"/>
  <c r="T89" i="84"/>
  <c r="X89" i="84" s="1"/>
  <c r="Z89" i="84" s="1"/>
  <c r="P89" i="84"/>
  <c r="L89" i="84"/>
  <c r="J89" i="84"/>
  <c r="H89" i="84"/>
  <c r="N89" i="84" s="1"/>
  <c r="D89" i="84"/>
  <c r="B89" i="84"/>
  <c r="X88" i="84"/>
  <c r="Z88" i="84" s="1"/>
  <c r="N88" i="84"/>
  <c r="L88" i="84"/>
  <c r="J88" i="84"/>
  <c r="B88" i="84"/>
  <c r="V87" i="84"/>
  <c r="T87" i="84"/>
  <c r="P87" i="84"/>
  <c r="X87" i="84" s="1"/>
  <c r="Z87" i="84" s="1"/>
  <c r="H87" i="84"/>
  <c r="N87" i="84" s="1"/>
  <c r="D87" i="84"/>
  <c r="B87" i="84"/>
  <c r="X86" i="84"/>
  <c r="Z86" i="84" s="1"/>
  <c r="L86" i="84"/>
  <c r="N86" i="84" s="1"/>
  <c r="B86" i="84"/>
  <c r="Z85" i="84"/>
  <c r="X85" i="84"/>
  <c r="T85" i="84"/>
  <c r="P85" i="84"/>
  <c r="H85" i="84"/>
  <c r="D85" i="84"/>
  <c r="L85" i="84" s="1"/>
  <c r="N85" i="84" s="1"/>
  <c r="B85" i="84"/>
  <c r="X84" i="84"/>
  <c r="Z84" i="84" s="1"/>
  <c r="R84" i="84"/>
  <c r="N84" i="84"/>
  <c r="L84" i="84"/>
  <c r="B84" i="84"/>
  <c r="Z83" i="84"/>
  <c r="X83" i="84"/>
  <c r="V83" i="84"/>
  <c r="N83" i="84"/>
  <c r="L83" i="84"/>
  <c r="J83" i="84"/>
  <c r="B83" i="84"/>
  <c r="X82" i="84"/>
  <c r="Z82" i="84" s="1"/>
  <c r="N82" i="84"/>
  <c r="L82" i="84"/>
  <c r="B82" i="84"/>
  <c r="Z81" i="84"/>
  <c r="X81" i="84"/>
  <c r="V81" i="84"/>
  <c r="N81" i="84"/>
  <c r="L81" i="84"/>
  <c r="B81" i="84"/>
  <c r="X80" i="84"/>
  <c r="Z80" i="84" s="1"/>
  <c r="N80" i="84"/>
  <c r="L80" i="84"/>
  <c r="B80" i="84"/>
  <c r="X79" i="84"/>
  <c r="Z79" i="84" s="1"/>
  <c r="V79" i="84"/>
  <c r="N79" i="84"/>
  <c r="L79" i="84"/>
  <c r="J79" i="84"/>
  <c r="B79" i="84"/>
  <c r="X78" i="84"/>
  <c r="Z78" i="84" s="1"/>
  <c r="N78" i="84"/>
  <c r="L78" i="84"/>
  <c r="B78" i="84"/>
  <c r="Z77" i="84"/>
  <c r="V77" i="84"/>
  <c r="T77" i="84"/>
  <c r="P77" i="84"/>
  <c r="X77" i="84" s="1"/>
  <c r="L77" i="84"/>
  <c r="J77" i="84"/>
  <c r="H77" i="84"/>
  <c r="D77" i="84"/>
  <c r="B77" i="84"/>
  <c r="X76" i="84"/>
  <c r="Z76" i="84" s="1"/>
  <c r="N76" i="84"/>
  <c r="L76" i="84"/>
  <c r="J76" i="84"/>
  <c r="B76" i="84"/>
  <c r="V75" i="84"/>
  <c r="T75" i="84"/>
  <c r="R75" i="84"/>
  <c r="P75" i="84"/>
  <c r="X75" i="84" s="1"/>
  <c r="Z75" i="84" s="1"/>
  <c r="H75" i="84"/>
  <c r="D75" i="84"/>
  <c r="L75" i="84" s="1"/>
  <c r="B75" i="84"/>
  <c r="X74" i="84"/>
  <c r="Z74" i="84" s="1"/>
  <c r="R74" i="84"/>
  <c r="L74" i="84"/>
  <c r="N74" i="84" s="1"/>
  <c r="B74" i="84"/>
  <c r="Z73" i="84"/>
  <c r="X73" i="84"/>
  <c r="N73" i="84"/>
  <c r="L73" i="84"/>
  <c r="J73" i="84"/>
  <c r="B73" i="84"/>
  <c r="Z72" i="84"/>
  <c r="X72" i="84"/>
  <c r="V72" i="84"/>
  <c r="R72" i="84"/>
  <c r="L72" i="84"/>
  <c r="N72" i="84" s="1"/>
  <c r="B72" i="84"/>
  <c r="Z71" i="84"/>
  <c r="X71" i="84"/>
  <c r="N71" i="84"/>
  <c r="L71" i="84"/>
  <c r="J71" i="84"/>
  <c r="B71" i="84"/>
  <c r="T70" i="84"/>
  <c r="P70" i="84"/>
  <c r="J70" i="84"/>
  <c r="H70" i="84"/>
  <c r="D70" i="84"/>
  <c r="B70" i="84"/>
  <c r="Z69" i="84"/>
  <c r="X69" i="84"/>
  <c r="V69" i="84"/>
  <c r="N69" i="84"/>
  <c r="L69" i="84"/>
  <c r="B69" i="84"/>
  <c r="Z68" i="84"/>
  <c r="X68" i="84"/>
  <c r="N68" i="84"/>
  <c r="L68" i="84"/>
  <c r="B68" i="84"/>
  <c r="Z67" i="84"/>
  <c r="X67" i="84"/>
  <c r="V67" i="84"/>
  <c r="N67" i="84"/>
  <c r="L67" i="84"/>
  <c r="J67" i="84"/>
  <c r="B67" i="84"/>
  <c r="T66" i="84"/>
  <c r="P66" i="84"/>
  <c r="X66" i="84" s="1"/>
  <c r="Z66" i="84" s="1"/>
  <c r="H66" i="84"/>
  <c r="D66" i="84"/>
  <c r="L66" i="84" s="1"/>
  <c r="B66" i="84"/>
  <c r="Z65" i="84"/>
  <c r="X65" i="84"/>
  <c r="N65" i="84"/>
  <c r="L65" i="84"/>
  <c r="B65" i="84"/>
  <c r="X64" i="84"/>
  <c r="T64" i="84"/>
  <c r="P64" i="84"/>
  <c r="L64" i="84"/>
  <c r="N64" i="84" s="1"/>
  <c r="H64" i="84"/>
  <c r="D64" i="84"/>
  <c r="B64" i="84"/>
  <c r="Z63" i="84"/>
  <c r="X63" i="84"/>
  <c r="L63" i="84"/>
  <c r="N63" i="84" s="1"/>
  <c r="J63" i="84"/>
  <c r="B63" i="84"/>
  <c r="X62" i="84"/>
  <c r="T62" i="84"/>
  <c r="P62" i="84"/>
  <c r="J62" i="84"/>
  <c r="H62" i="84"/>
  <c r="D62" i="84"/>
  <c r="L62" i="84" s="1"/>
  <c r="B62" i="84"/>
  <c r="Z61" i="84"/>
  <c r="X61" i="84"/>
  <c r="V61" i="84"/>
  <c r="N61" i="84"/>
  <c r="L61" i="84"/>
  <c r="B61" i="84"/>
  <c r="T60" i="84"/>
  <c r="P60" i="84"/>
  <c r="X60" i="84" s="1"/>
  <c r="N60" i="84"/>
  <c r="H60" i="84"/>
  <c r="D60" i="84"/>
  <c r="L60" i="84" s="1"/>
  <c r="B60" i="84"/>
  <c r="Z59" i="84"/>
  <c r="X59" i="84"/>
  <c r="V59" i="84"/>
  <c r="N59" i="84"/>
  <c r="L59" i="84"/>
  <c r="B59" i="84"/>
  <c r="Z58" i="84"/>
  <c r="T58" i="84"/>
  <c r="P58" i="84"/>
  <c r="X58" i="84" s="1"/>
  <c r="L58" i="84"/>
  <c r="H58" i="84"/>
  <c r="N58" i="84" s="1"/>
  <c r="D58" i="84"/>
  <c r="B58" i="84"/>
  <c r="Z57" i="84"/>
  <c r="X57" i="84"/>
  <c r="V57" i="84"/>
  <c r="N57" i="84"/>
  <c r="L57" i="84"/>
  <c r="J57" i="84"/>
  <c r="B57" i="84"/>
  <c r="V56" i="84"/>
  <c r="T56" i="84"/>
  <c r="P56" i="84"/>
  <c r="X56" i="84" s="1"/>
  <c r="H56" i="84"/>
  <c r="D56" i="84"/>
  <c r="B56" i="84"/>
  <c r="X55" i="84"/>
  <c r="Z55" i="84" s="1"/>
  <c r="V55" i="84"/>
  <c r="N55" i="84"/>
  <c r="L55" i="84"/>
  <c r="J55" i="84"/>
  <c r="B55" i="84"/>
  <c r="X54" i="84"/>
  <c r="Z54" i="84" s="1"/>
  <c r="L54" i="84"/>
  <c r="N54" i="84" s="1"/>
  <c r="B54" i="84"/>
  <c r="Z53" i="84"/>
  <c r="X53" i="84"/>
  <c r="V53" i="84"/>
  <c r="N53" i="84"/>
  <c r="L53" i="84"/>
  <c r="B53" i="84"/>
  <c r="T52" i="84"/>
  <c r="P52" i="84"/>
  <c r="H52" i="84"/>
  <c r="D52" i="84"/>
  <c r="L52" i="84" s="1"/>
  <c r="N52" i="84" s="1"/>
  <c r="B52" i="84"/>
  <c r="Z51" i="84"/>
  <c r="X51" i="84"/>
  <c r="V51" i="84"/>
  <c r="N51" i="84"/>
  <c r="L51" i="84"/>
  <c r="J51" i="84"/>
  <c r="B51" i="84"/>
  <c r="T50" i="84"/>
  <c r="P50" i="84"/>
  <c r="X50" i="84" s="1"/>
  <c r="Z50" i="84" s="1"/>
  <c r="L50" i="84"/>
  <c r="H50" i="84"/>
  <c r="D50" i="84"/>
  <c r="B50" i="84"/>
  <c r="Z49" i="84"/>
  <c r="X49" i="84"/>
  <c r="V49" i="84"/>
  <c r="N49" i="84"/>
  <c r="L49" i="84"/>
  <c r="J49" i="84"/>
  <c r="B49" i="84"/>
  <c r="T48" i="84"/>
  <c r="P48" i="84"/>
  <c r="L48" i="84"/>
  <c r="H48" i="84"/>
  <c r="D48" i="84"/>
  <c r="B48" i="84"/>
  <c r="X47" i="84"/>
  <c r="Z47" i="84" s="1"/>
  <c r="V47" i="84"/>
  <c r="N47" i="84"/>
  <c r="L47" i="84"/>
  <c r="J47" i="84"/>
  <c r="B47" i="84"/>
  <c r="T46" i="84"/>
  <c r="Z46" i="84" s="1"/>
  <c r="P46" i="84"/>
  <c r="X46" i="84" s="1"/>
  <c r="H46" i="84"/>
  <c r="D46" i="84"/>
  <c r="L46" i="84" s="1"/>
  <c r="B46" i="84"/>
  <c r="Z45" i="84"/>
  <c r="X45" i="84"/>
  <c r="N45" i="84"/>
  <c r="L45" i="84"/>
  <c r="J45" i="84"/>
  <c r="B45" i="84"/>
  <c r="Z44" i="84"/>
  <c r="X44" i="84"/>
  <c r="N44" i="84"/>
  <c r="L44" i="84"/>
  <c r="J44" i="84"/>
  <c r="B44" i="84"/>
  <c r="Z43" i="84"/>
  <c r="X43" i="84"/>
  <c r="V43" i="84"/>
  <c r="N43" i="84"/>
  <c r="L43" i="84"/>
  <c r="J43" i="84"/>
  <c r="B43" i="84"/>
  <c r="X42" i="84"/>
  <c r="Z42" i="84" s="1"/>
  <c r="N42" i="84"/>
  <c r="L42" i="84"/>
  <c r="B42" i="84"/>
  <c r="Z41" i="84"/>
  <c r="X41" i="84"/>
  <c r="R41" i="84"/>
  <c r="N41" i="84"/>
  <c r="L41" i="84"/>
  <c r="J41" i="84"/>
  <c r="B41" i="84"/>
  <c r="X40" i="84"/>
  <c r="Z40" i="84" s="1"/>
  <c r="L40" i="84"/>
  <c r="N40" i="84" s="1"/>
  <c r="J40" i="84"/>
  <c r="B40" i="84"/>
  <c r="Z39" i="84"/>
  <c r="X39" i="84"/>
  <c r="V39" i="84"/>
  <c r="N39" i="84"/>
  <c r="L39" i="84"/>
  <c r="J39" i="84"/>
  <c r="B39" i="84"/>
  <c r="Z38" i="84"/>
  <c r="X38" i="84"/>
  <c r="N38" i="84"/>
  <c r="L38" i="84"/>
  <c r="B38" i="84"/>
  <c r="Z37" i="84"/>
  <c r="X37" i="84"/>
  <c r="N37" i="84"/>
  <c r="L37" i="84"/>
  <c r="J37" i="84"/>
  <c r="B37" i="84"/>
  <c r="Z36" i="84"/>
  <c r="X36" i="84"/>
  <c r="R36" i="84"/>
  <c r="N36" i="84"/>
  <c r="L36" i="84"/>
  <c r="J36" i="84"/>
  <c r="B36" i="84"/>
  <c r="Z35" i="84"/>
  <c r="V35" i="84"/>
  <c r="T35" i="84"/>
  <c r="R35" i="84"/>
  <c r="P35" i="84"/>
  <c r="X35" i="84" s="1"/>
  <c r="H35" i="84"/>
  <c r="D35" i="84"/>
  <c r="L35" i="84" s="1"/>
  <c r="B35" i="84"/>
  <c r="X34" i="84"/>
  <c r="Z34" i="84" s="1"/>
  <c r="N34" i="84"/>
  <c r="L34" i="84"/>
  <c r="B34" i="84"/>
  <c r="Z33" i="84"/>
  <c r="X33" i="84"/>
  <c r="V33" i="84"/>
  <c r="N33" i="84"/>
  <c r="L33" i="84"/>
  <c r="J33" i="84"/>
  <c r="B33" i="84"/>
  <c r="X32" i="84"/>
  <c r="Z32" i="84" s="1"/>
  <c r="V32" i="84"/>
  <c r="R32" i="84"/>
  <c r="L32" i="84"/>
  <c r="N32" i="84" s="1"/>
  <c r="B32" i="84"/>
  <c r="Z31" i="84"/>
  <c r="X31" i="84"/>
  <c r="V31" i="84"/>
  <c r="N31" i="84"/>
  <c r="L31" i="84"/>
  <c r="J31" i="84"/>
  <c r="B31" i="84"/>
  <c r="X30" i="84"/>
  <c r="Z30" i="84" s="1"/>
  <c r="R30" i="84"/>
  <c r="L30" i="84"/>
  <c r="N30" i="84" s="1"/>
  <c r="B30" i="84"/>
  <c r="Z29" i="84"/>
  <c r="X29" i="84"/>
  <c r="V29" i="84"/>
  <c r="N29" i="84"/>
  <c r="L29" i="84"/>
  <c r="J29" i="84"/>
  <c r="B29" i="84"/>
  <c r="X28" i="84"/>
  <c r="Z28" i="84" s="1"/>
  <c r="V28" i="84"/>
  <c r="R28" i="84"/>
  <c r="L28" i="84"/>
  <c r="N28" i="84" s="1"/>
  <c r="B28" i="84"/>
  <c r="Z27" i="84"/>
  <c r="X27" i="84"/>
  <c r="V27" i="84"/>
  <c r="L27" i="84"/>
  <c r="N27" i="84" s="1"/>
  <c r="J27" i="84"/>
  <c r="B27" i="84"/>
  <c r="X26" i="84"/>
  <c r="Z26" i="84" s="1"/>
  <c r="L26" i="84"/>
  <c r="N26" i="84" s="1"/>
  <c r="B26" i="84"/>
  <c r="Z25" i="84"/>
  <c r="X25" i="84"/>
  <c r="V25" i="84"/>
  <c r="T25" i="84"/>
  <c r="R25" i="84"/>
  <c r="P25" i="84"/>
  <c r="N25" i="84"/>
  <c r="J25" i="84"/>
  <c r="H25" i="84"/>
  <c r="D25" i="84"/>
  <c r="L25" i="84" s="1"/>
  <c r="B25" i="84"/>
  <c r="T24" i="84"/>
  <c r="P24" i="84"/>
  <c r="X24" i="84" s="1"/>
  <c r="H24" i="84"/>
  <c r="D24" i="84"/>
  <c r="T22" i="84"/>
  <c r="H22" i="84"/>
  <c r="Z20" i="84"/>
  <c r="X20" i="84"/>
  <c r="N20" i="84"/>
  <c r="L20" i="84"/>
  <c r="B20" i="84"/>
  <c r="Z19" i="84"/>
  <c r="X19" i="84"/>
  <c r="V19" i="84"/>
  <c r="N19" i="84"/>
  <c r="L19" i="84"/>
  <c r="J19" i="84"/>
  <c r="B19" i="84"/>
  <c r="X18" i="84"/>
  <c r="Z18" i="84" s="1"/>
  <c r="L18" i="84"/>
  <c r="N18" i="84" s="1"/>
  <c r="B18" i="84"/>
  <c r="V17" i="84"/>
  <c r="T17" i="84"/>
  <c r="X17" i="84" s="1"/>
  <c r="Z17" i="84" s="1"/>
  <c r="P17" i="84"/>
  <c r="L17" i="84"/>
  <c r="N17" i="84" s="1"/>
  <c r="J17" i="84"/>
  <c r="H17" i="84"/>
  <c r="D17" i="84"/>
  <c r="Z15" i="84"/>
  <c r="P15" i="84"/>
  <c r="X15" i="84" s="1"/>
  <c r="N15" i="84"/>
  <c r="L15" i="84"/>
  <c r="D15" i="84"/>
  <c r="B15" i="84"/>
  <c r="Z14" i="84"/>
  <c r="X14" i="84"/>
  <c r="P14" i="84"/>
  <c r="N14" i="84"/>
  <c r="D14" i="84"/>
  <c r="L14" i="84" s="1"/>
  <c r="B14" i="84"/>
  <c r="Z13" i="84"/>
  <c r="P13" i="84"/>
  <c r="X13" i="84" s="1"/>
  <c r="D13" i="84"/>
  <c r="L13" i="84" s="1"/>
  <c r="N13" i="84" s="1"/>
  <c r="B13" i="84"/>
  <c r="X12" i="84"/>
  <c r="Z12" i="84" s="1"/>
  <c r="T12" i="84"/>
  <c r="V58" i="84" s="1"/>
  <c r="P12" i="84"/>
  <c r="R65" i="84" s="1"/>
  <c r="H12" i="84"/>
  <c r="J90" i="84" s="1"/>
  <c r="D6" i="84"/>
  <c r="D4" i="84"/>
  <c r="Z30" i="83"/>
  <c r="X30" i="83"/>
  <c r="L30" i="83"/>
  <c r="N30" i="83" s="1"/>
  <c r="H28" i="83"/>
  <c r="X26" i="83"/>
  <c r="T26" i="83"/>
  <c r="Z26" i="83" s="1"/>
  <c r="P26" i="83"/>
  <c r="H26" i="83"/>
  <c r="N26" i="83" s="1"/>
  <c r="D26" i="83"/>
  <c r="T24" i="83"/>
  <c r="Z24" i="83" s="1"/>
  <c r="P24" i="83"/>
  <c r="X24" i="83" s="1"/>
  <c r="L24" i="83"/>
  <c r="H24" i="83"/>
  <c r="N24" i="83" s="1"/>
  <c r="D24" i="83"/>
  <c r="T22" i="83"/>
  <c r="H22" i="83"/>
  <c r="Z20" i="83"/>
  <c r="X20" i="83"/>
  <c r="N20" i="83"/>
  <c r="L20" i="83"/>
  <c r="B20" i="83"/>
  <c r="Z19" i="83"/>
  <c r="X19" i="83"/>
  <c r="V19" i="83"/>
  <c r="N19" i="83"/>
  <c r="L19" i="83"/>
  <c r="J19" i="83"/>
  <c r="B19" i="83"/>
  <c r="X18" i="83"/>
  <c r="Z18" i="83" s="1"/>
  <c r="L18" i="83"/>
  <c r="N18" i="83" s="1"/>
  <c r="B18" i="83"/>
  <c r="Z17" i="83"/>
  <c r="X17" i="83"/>
  <c r="V17" i="83"/>
  <c r="T17" i="83"/>
  <c r="P17" i="83"/>
  <c r="N17" i="83"/>
  <c r="J17" i="83"/>
  <c r="H17" i="83"/>
  <c r="D17" i="83"/>
  <c r="L17" i="83" s="1"/>
  <c r="X15" i="83"/>
  <c r="Z15" i="83" s="1"/>
  <c r="P15" i="83"/>
  <c r="L15" i="83"/>
  <c r="N15" i="83" s="1"/>
  <c r="D15" i="83"/>
  <c r="B15" i="83"/>
  <c r="Z14" i="83"/>
  <c r="X14" i="83"/>
  <c r="P14" i="83"/>
  <c r="N14" i="83"/>
  <c r="D14" i="83"/>
  <c r="B14" i="83"/>
  <c r="Z13" i="83"/>
  <c r="P13" i="83"/>
  <c r="X13" i="83" s="1"/>
  <c r="N13" i="83"/>
  <c r="L13" i="83"/>
  <c r="D13" i="83"/>
  <c r="B13" i="83"/>
  <c r="T12" i="83"/>
  <c r="H12" i="83"/>
  <c r="J20" i="83" s="1"/>
  <c r="D6" i="83"/>
  <c r="D4" i="83"/>
  <c r="X86" i="81"/>
  <c r="Z86" i="81" s="1"/>
  <c r="L86" i="81"/>
  <c r="N86" i="81" s="1"/>
  <c r="Z82" i="81"/>
  <c r="T82" i="81"/>
  <c r="P82" i="81"/>
  <c r="X82" i="81" s="1"/>
  <c r="H82" i="81"/>
  <c r="N82" i="81" s="1"/>
  <c r="D82" i="81"/>
  <c r="L82" i="81" s="1"/>
  <c r="Z80" i="81"/>
  <c r="X80" i="81"/>
  <c r="V80" i="81"/>
  <c r="N80" i="81"/>
  <c r="L80" i="81"/>
  <c r="B80" i="81"/>
  <c r="Z79" i="81"/>
  <c r="X79" i="81"/>
  <c r="T79" i="81"/>
  <c r="P79" i="81"/>
  <c r="H79" i="81"/>
  <c r="N79" i="81" s="1"/>
  <c r="D79" i="81"/>
  <c r="L79" i="81" s="1"/>
  <c r="B79" i="81"/>
  <c r="Z78" i="81"/>
  <c r="X78" i="81"/>
  <c r="N78" i="81"/>
  <c r="L78" i="81"/>
  <c r="B78" i="81"/>
  <c r="T77" i="81"/>
  <c r="P77" i="81"/>
  <c r="L77" i="81"/>
  <c r="H77" i="81"/>
  <c r="N77" i="81" s="1"/>
  <c r="D77" i="81"/>
  <c r="B77" i="81"/>
  <c r="Z76" i="81"/>
  <c r="X76" i="81"/>
  <c r="V76" i="81"/>
  <c r="N76" i="81"/>
  <c r="L76" i="81"/>
  <c r="B76" i="81"/>
  <c r="Z75" i="81"/>
  <c r="X75" i="81"/>
  <c r="N75" i="81"/>
  <c r="L75" i="81"/>
  <c r="B75" i="81"/>
  <c r="Z74" i="81"/>
  <c r="X74" i="81"/>
  <c r="N74" i="81"/>
  <c r="L74" i="81"/>
  <c r="F74" i="81"/>
  <c r="B74" i="81"/>
  <c r="Z73" i="81"/>
  <c r="X73" i="81"/>
  <c r="N73" i="81"/>
  <c r="L73" i="81"/>
  <c r="B73" i="81"/>
  <c r="Z72" i="81"/>
  <c r="X72" i="81"/>
  <c r="V72" i="81"/>
  <c r="N72" i="81"/>
  <c r="L72" i="81"/>
  <c r="B72" i="81"/>
  <c r="Z71" i="81"/>
  <c r="X71" i="81"/>
  <c r="N71" i="81"/>
  <c r="L71" i="81"/>
  <c r="B71" i="81"/>
  <c r="Z70" i="81"/>
  <c r="X70" i="81"/>
  <c r="N70" i="81"/>
  <c r="L70" i="81"/>
  <c r="F70" i="81"/>
  <c r="B70" i="81"/>
  <c r="T69" i="81"/>
  <c r="P69" i="81"/>
  <c r="H69" i="81"/>
  <c r="D69" i="81"/>
  <c r="L69" i="81" s="1"/>
  <c r="B69" i="81"/>
  <c r="Z68" i="81"/>
  <c r="X68" i="81"/>
  <c r="V68" i="81"/>
  <c r="N68" i="81"/>
  <c r="L68" i="81"/>
  <c r="B68" i="81"/>
  <c r="Z67" i="81"/>
  <c r="X67" i="81"/>
  <c r="N67" i="81"/>
  <c r="L67" i="81"/>
  <c r="B67" i="81"/>
  <c r="Z66" i="81"/>
  <c r="X66" i="81"/>
  <c r="R66" i="81"/>
  <c r="N66" i="81"/>
  <c r="L66" i="81"/>
  <c r="B66" i="81"/>
  <c r="T65" i="81"/>
  <c r="Z65" i="81" s="1"/>
  <c r="P65" i="81"/>
  <c r="X65" i="81" s="1"/>
  <c r="N65" i="81"/>
  <c r="H65" i="81"/>
  <c r="D65" i="81"/>
  <c r="L65" i="81" s="1"/>
  <c r="B65" i="81"/>
  <c r="X64" i="81"/>
  <c r="Z64" i="81" s="1"/>
  <c r="L64" i="81"/>
  <c r="N64" i="81" s="1"/>
  <c r="B64" i="81"/>
  <c r="Z63" i="81"/>
  <c r="X63" i="81"/>
  <c r="N63" i="81"/>
  <c r="L63" i="81"/>
  <c r="B63" i="81"/>
  <c r="Z62" i="81"/>
  <c r="X62" i="81"/>
  <c r="N62" i="81"/>
  <c r="L62" i="81"/>
  <c r="B62" i="81"/>
  <c r="V61" i="81"/>
  <c r="T61" i="81"/>
  <c r="P61" i="81"/>
  <c r="L61" i="81"/>
  <c r="H61" i="81"/>
  <c r="N61" i="81" s="1"/>
  <c r="D61" i="81"/>
  <c r="B61" i="81"/>
  <c r="X60" i="81"/>
  <c r="Z60" i="81" s="1"/>
  <c r="N60" i="81"/>
  <c r="L60" i="81"/>
  <c r="B60" i="81"/>
  <c r="T59" i="81"/>
  <c r="R59" i="81"/>
  <c r="P59" i="81"/>
  <c r="X59" i="81" s="1"/>
  <c r="H59" i="81"/>
  <c r="D59" i="81"/>
  <c r="L59" i="81" s="1"/>
  <c r="B59" i="81"/>
  <c r="Z58" i="81"/>
  <c r="X58" i="81"/>
  <c r="N58" i="81"/>
  <c r="L58" i="81"/>
  <c r="B58" i="81"/>
  <c r="T57" i="81"/>
  <c r="P57" i="81"/>
  <c r="X57" i="81" s="1"/>
  <c r="L57" i="81"/>
  <c r="N57" i="81" s="1"/>
  <c r="H57" i="81"/>
  <c r="D57" i="81"/>
  <c r="B57" i="81"/>
  <c r="Z56" i="81"/>
  <c r="X56" i="81"/>
  <c r="N56" i="81"/>
  <c r="L56" i="81"/>
  <c r="B56" i="81"/>
  <c r="X55" i="81"/>
  <c r="T55" i="81"/>
  <c r="Z55" i="81" s="1"/>
  <c r="P55" i="81"/>
  <c r="J55" i="81"/>
  <c r="H55" i="81"/>
  <c r="D55" i="81"/>
  <c r="B55" i="81"/>
  <c r="Z54" i="81"/>
  <c r="X54" i="81"/>
  <c r="N54" i="81"/>
  <c r="L54" i="81"/>
  <c r="B54" i="81"/>
  <c r="X53" i="81"/>
  <c r="Z53" i="81" s="1"/>
  <c r="R53" i="81"/>
  <c r="L53" i="81"/>
  <c r="N53" i="81" s="1"/>
  <c r="B53" i="81"/>
  <c r="X52" i="81"/>
  <c r="Z52" i="81" s="1"/>
  <c r="T52" i="81"/>
  <c r="P52" i="81"/>
  <c r="N52" i="81"/>
  <c r="H52" i="81"/>
  <c r="D52" i="81"/>
  <c r="L52" i="81" s="1"/>
  <c r="B52" i="81"/>
  <c r="X51" i="81"/>
  <c r="Z51" i="81" s="1"/>
  <c r="L51" i="81"/>
  <c r="N51" i="81" s="1"/>
  <c r="B51" i="81"/>
  <c r="T50" i="81"/>
  <c r="P50" i="81"/>
  <c r="H50" i="81"/>
  <c r="D50" i="81"/>
  <c r="L50" i="81" s="1"/>
  <c r="N50" i="81" s="1"/>
  <c r="B50" i="81"/>
  <c r="Z49" i="81"/>
  <c r="X49" i="81"/>
  <c r="V49" i="81"/>
  <c r="R49" i="81"/>
  <c r="N49" i="81"/>
  <c r="L49" i="81"/>
  <c r="B49" i="81"/>
  <c r="Z48" i="81"/>
  <c r="T48" i="81"/>
  <c r="P48" i="81"/>
  <c r="X48" i="81" s="1"/>
  <c r="N48" i="81"/>
  <c r="L48" i="81"/>
  <c r="H48" i="81"/>
  <c r="F48" i="81"/>
  <c r="D48" i="81"/>
  <c r="B48" i="81"/>
  <c r="Z47" i="81"/>
  <c r="X47" i="81"/>
  <c r="N47" i="81"/>
  <c r="L47" i="81"/>
  <c r="B47" i="81"/>
  <c r="Z46" i="81"/>
  <c r="T46" i="81"/>
  <c r="P46" i="81"/>
  <c r="X46" i="81" s="1"/>
  <c r="N46" i="81"/>
  <c r="L46" i="81"/>
  <c r="J46" i="81"/>
  <c r="H46" i="81"/>
  <c r="D46" i="81"/>
  <c r="B46" i="81"/>
  <c r="Z45" i="81"/>
  <c r="X45" i="81"/>
  <c r="N45" i="81"/>
  <c r="L45" i="81"/>
  <c r="F45" i="81"/>
  <c r="B45" i="81"/>
  <c r="Z44" i="81"/>
  <c r="X44" i="81"/>
  <c r="N44" i="81"/>
  <c r="L44" i="81"/>
  <c r="B44" i="81"/>
  <c r="X43" i="81"/>
  <c r="Z43" i="81" s="1"/>
  <c r="L43" i="81"/>
  <c r="N43" i="81" s="1"/>
  <c r="B43" i="81"/>
  <c r="Z42" i="81"/>
  <c r="X42" i="81"/>
  <c r="R42" i="81"/>
  <c r="N42" i="81"/>
  <c r="L42" i="81"/>
  <c r="B42" i="81"/>
  <c r="Z41" i="81"/>
  <c r="X41" i="81"/>
  <c r="N41" i="81"/>
  <c r="L41" i="81"/>
  <c r="B41" i="81"/>
  <c r="Z40" i="81"/>
  <c r="X40" i="81"/>
  <c r="V40" i="81"/>
  <c r="N40" i="81"/>
  <c r="L40" i="81"/>
  <c r="B40" i="81"/>
  <c r="Z39" i="81"/>
  <c r="X39" i="81"/>
  <c r="N39" i="81"/>
  <c r="L39" i="81"/>
  <c r="B39" i="81"/>
  <c r="Z38" i="81"/>
  <c r="X38" i="81"/>
  <c r="R38" i="81"/>
  <c r="N38" i="81"/>
  <c r="L38" i="81"/>
  <c r="B38" i="81"/>
  <c r="Z37" i="81"/>
  <c r="X37" i="81"/>
  <c r="N37" i="81"/>
  <c r="L37" i="81"/>
  <c r="B37" i="81"/>
  <c r="Z36" i="81"/>
  <c r="X36" i="81"/>
  <c r="V36" i="81"/>
  <c r="L36" i="81"/>
  <c r="N36" i="81" s="1"/>
  <c r="B36" i="81"/>
  <c r="T35" i="81"/>
  <c r="P35" i="81"/>
  <c r="X35" i="81" s="1"/>
  <c r="Z35" i="81" s="1"/>
  <c r="H35" i="81"/>
  <c r="N35" i="81" s="1"/>
  <c r="D35" i="81"/>
  <c r="L35" i="81" s="1"/>
  <c r="B35" i="81"/>
  <c r="Z34" i="81"/>
  <c r="X34" i="81"/>
  <c r="N34" i="81"/>
  <c r="L34" i="81"/>
  <c r="B34" i="81"/>
  <c r="X33" i="81"/>
  <c r="Z33" i="81" s="1"/>
  <c r="N33" i="81"/>
  <c r="L33" i="81"/>
  <c r="B33" i="81"/>
  <c r="X32" i="81"/>
  <c r="Z32" i="81" s="1"/>
  <c r="L32" i="81"/>
  <c r="N32" i="81" s="1"/>
  <c r="J32" i="81"/>
  <c r="B32" i="81"/>
  <c r="Z31" i="81"/>
  <c r="X31" i="81"/>
  <c r="N31" i="81"/>
  <c r="L31" i="81"/>
  <c r="B31" i="81"/>
  <c r="Z30" i="81"/>
  <c r="X30" i="81"/>
  <c r="N30" i="81"/>
  <c r="L30" i="81"/>
  <c r="B30" i="81"/>
  <c r="X29" i="81"/>
  <c r="Z29" i="81" s="1"/>
  <c r="R29" i="81"/>
  <c r="L29" i="81"/>
  <c r="N29" i="81" s="1"/>
  <c r="B29" i="81"/>
  <c r="X28" i="81"/>
  <c r="Z28" i="81" s="1"/>
  <c r="L28" i="81"/>
  <c r="N28" i="81" s="1"/>
  <c r="B28" i="81"/>
  <c r="X27" i="81"/>
  <c r="Z27" i="81" s="1"/>
  <c r="N27" i="81"/>
  <c r="L27" i="81"/>
  <c r="B27" i="81"/>
  <c r="Z26" i="81"/>
  <c r="X26" i="81"/>
  <c r="N26" i="81"/>
  <c r="L26" i="81"/>
  <c r="B26" i="81"/>
  <c r="V25" i="81"/>
  <c r="T25" i="81"/>
  <c r="P25" i="81"/>
  <c r="L25" i="81"/>
  <c r="H25" i="81"/>
  <c r="N25" i="81" s="1"/>
  <c r="D25" i="81"/>
  <c r="B25" i="81"/>
  <c r="T24" i="81"/>
  <c r="V24" i="81" s="1"/>
  <c r="P24" i="81"/>
  <c r="X24" i="81" s="1"/>
  <c r="Z24" i="81" s="1"/>
  <c r="H24" i="81"/>
  <c r="D24" i="81"/>
  <c r="Z20" i="81"/>
  <c r="X20" i="81"/>
  <c r="V20" i="81"/>
  <c r="N20" i="81"/>
  <c r="L20" i="81"/>
  <c r="B20" i="81"/>
  <c r="Z19" i="81"/>
  <c r="X19" i="81"/>
  <c r="N19" i="81"/>
  <c r="L19" i="81"/>
  <c r="B19" i="81"/>
  <c r="Z18" i="81"/>
  <c r="X18" i="81"/>
  <c r="L18" i="81"/>
  <c r="N18" i="81" s="1"/>
  <c r="B18" i="81"/>
  <c r="T17" i="81"/>
  <c r="P17" i="81"/>
  <c r="X17" i="81" s="1"/>
  <c r="H17" i="81"/>
  <c r="D17" i="81"/>
  <c r="L17" i="81" s="1"/>
  <c r="N17" i="81" s="1"/>
  <c r="Z15" i="81"/>
  <c r="X15" i="81"/>
  <c r="P15" i="81"/>
  <c r="N15" i="81"/>
  <c r="D15" i="81"/>
  <c r="L15" i="81" s="1"/>
  <c r="B15" i="81"/>
  <c r="P14" i="81"/>
  <c r="P12" i="81" s="1"/>
  <c r="R33" i="81" s="1"/>
  <c r="L14" i="81"/>
  <c r="N14" i="81" s="1"/>
  <c r="D14" i="81"/>
  <c r="B14" i="81"/>
  <c r="Z13" i="81"/>
  <c r="X13" i="81"/>
  <c r="P13" i="81"/>
  <c r="N13" i="81"/>
  <c r="L13" i="81"/>
  <c r="D13" i="81"/>
  <c r="D12" i="81" s="1"/>
  <c r="F49" i="81" s="1"/>
  <c r="B13" i="81"/>
  <c r="X12" i="81"/>
  <c r="T12" i="81"/>
  <c r="V82" i="81" s="1"/>
  <c r="H12" i="81"/>
  <c r="J64" i="81" s="1"/>
  <c r="D6" i="81"/>
  <c r="D4" i="81"/>
  <c r="X84" i="80"/>
  <c r="Z84" i="80" s="1"/>
  <c r="N84" i="80"/>
  <c r="L84" i="80"/>
  <c r="Z80" i="80"/>
  <c r="T80" i="80"/>
  <c r="P80" i="80"/>
  <c r="X80" i="80" s="1"/>
  <c r="N80" i="80"/>
  <c r="L80" i="80"/>
  <c r="H80" i="80"/>
  <c r="D80" i="80"/>
  <c r="Z78" i="80"/>
  <c r="X78" i="80"/>
  <c r="L78" i="80"/>
  <c r="N78" i="80" s="1"/>
  <c r="B78" i="80"/>
  <c r="T77" i="80"/>
  <c r="P77" i="80"/>
  <c r="X77" i="80" s="1"/>
  <c r="H77" i="80"/>
  <c r="D77" i="80"/>
  <c r="L77" i="80" s="1"/>
  <c r="N77" i="80" s="1"/>
  <c r="B77" i="80"/>
  <c r="Z76" i="80"/>
  <c r="X76" i="80"/>
  <c r="V76" i="80"/>
  <c r="L76" i="80"/>
  <c r="N76" i="80" s="1"/>
  <c r="B76" i="80"/>
  <c r="X75" i="80"/>
  <c r="Z75" i="80" s="1"/>
  <c r="T75" i="80"/>
  <c r="P75" i="80"/>
  <c r="H75" i="80"/>
  <c r="N75" i="80" s="1"/>
  <c r="D75" i="80"/>
  <c r="L75" i="80" s="1"/>
  <c r="B75" i="80"/>
  <c r="Z74" i="80"/>
  <c r="X74" i="80"/>
  <c r="N74" i="80"/>
  <c r="L74" i="80"/>
  <c r="B74" i="80"/>
  <c r="X73" i="80"/>
  <c r="Z73" i="80" s="1"/>
  <c r="V73" i="80"/>
  <c r="N73" i="80"/>
  <c r="L73" i="80"/>
  <c r="B73" i="80"/>
  <c r="Z72" i="80"/>
  <c r="X72" i="80"/>
  <c r="N72" i="80"/>
  <c r="L72" i="80"/>
  <c r="J72" i="80"/>
  <c r="B72" i="80"/>
  <c r="Z71" i="80"/>
  <c r="X71" i="80"/>
  <c r="N71" i="80"/>
  <c r="L71" i="80"/>
  <c r="B71" i="80"/>
  <c r="Z70" i="80"/>
  <c r="X70" i="80"/>
  <c r="T70" i="80"/>
  <c r="P70" i="80"/>
  <c r="H70" i="80"/>
  <c r="D70" i="80"/>
  <c r="L70" i="80" s="1"/>
  <c r="N70" i="80" s="1"/>
  <c r="B70" i="80"/>
  <c r="Z69" i="80"/>
  <c r="X69" i="80"/>
  <c r="N69" i="80"/>
  <c r="L69" i="80"/>
  <c r="B69" i="80"/>
  <c r="X68" i="80"/>
  <c r="Z68" i="80" s="1"/>
  <c r="V68" i="80"/>
  <c r="N68" i="80"/>
  <c r="L68" i="80"/>
  <c r="J68" i="80"/>
  <c r="B68" i="80"/>
  <c r="Z67" i="80"/>
  <c r="X67" i="80"/>
  <c r="N67" i="80"/>
  <c r="L67" i="80"/>
  <c r="B67" i="80"/>
  <c r="T66" i="80"/>
  <c r="P66" i="80"/>
  <c r="X66" i="80" s="1"/>
  <c r="Z66" i="80" s="1"/>
  <c r="L66" i="80"/>
  <c r="N66" i="80" s="1"/>
  <c r="J66" i="80"/>
  <c r="H66" i="80"/>
  <c r="D66" i="80"/>
  <c r="B66" i="80"/>
  <c r="X65" i="80"/>
  <c r="Z65" i="80" s="1"/>
  <c r="L65" i="80"/>
  <c r="N65" i="80" s="1"/>
  <c r="B65" i="80"/>
  <c r="Z64" i="80"/>
  <c r="X64" i="80"/>
  <c r="V64" i="80"/>
  <c r="N64" i="80"/>
  <c r="L64" i="80"/>
  <c r="B64" i="80"/>
  <c r="T63" i="80"/>
  <c r="P63" i="80"/>
  <c r="X63" i="80" s="1"/>
  <c r="Z63" i="80" s="1"/>
  <c r="H63" i="80"/>
  <c r="D63" i="80"/>
  <c r="L63" i="80" s="1"/>
  <c r="B63" i="80"/>
  <c r="Z62" i="80"/>
  <c r="X62" i="80"/>
  <c r="N62" i="80"/>
  <c r="L62" i="80"/>
  <c r="B62" i="80"/>
  <c r="Z61" i="80"/>
  <c r="X61" i="80"/>
  <c r="V61" i="80"/>
  <c r="N61" i="80"/>
  <c r="L61" i="80"/>
  <c r="B61" i="80"/>
  <c r="Z60" i="80"/>
  <c r="X60" i="80"/>
  <c r="N60" i="80"/>
  <c r="L60" i="80"/>
  <c r="B60" i="80"/>
  <c r="X59" i="80"/>
  <c r="T59" i="80"/>
  <c r="Z59" i="80" s="1"/>
  <c r="P59" i="80"/>
  <c r="H59" i="80"/>
  <c r="D59" i="80"/>
  <c r="B59" i="80"/>
  <c r="Z58" i="80"/>
  <c r="X58" i="80"/>
  <c r="N58" i="80"/>
  <c r="L58" i="80"/>
  <c r="B58" i="80"/>
  <c r="T57" i="80"/>
  <c r="Z57" i="80" s="1"/>
  <c r="P57" i="80"/>
  <c r="X57" i="80" s="1"/>
  <c r="N57" i="80"/>
  <c r="H57" i="80"/>
  <c r="D57" i="80"/>
  <c r="L57" i="80" s="1"/>
  <c r="B57" i="80"/>
  <c r="Z56" i="80"/>
  <c r="X56" i="80"/>
  <c r="V56" i="80"/>
  <c r="L56" i="80"/>
  <c r="N56" i="80" s="1"/>
  <c r="B56" i="80"/>
  <c r="X55" i="80"/>
  <c r="Z55" i="80" s="1"/>
  <c r="T55" i="80"/>
  <c r="P55" i="80"/>
  <c r="H55" i="80"/>
  <c r="N55" i="80" s="1"/>
  <c r="D55" i="80"/>
  <c r="L55" i="80" s="1"/>
  <c r="B55" i="80"/>
  <c r="Z54" i="80"/>
  <c r="X54" i="80"/>
  <c r="N54" i="80"/>
  <c r="L54" i="80"/>
  <c r="B54" i="80"/>
  <c r="V53" i="80"/>
  <c r="T53" i="80"/>
  <c r="P53" i="80"/>
  <c r="L53" i="80"/>
  <c r="H53" i="80"/>
  <c r="N53" i="80" s="1"/>
  <c r="D53" i="80"/>
  <c r="B53" i="80"/>
  <c r="X52" i="80"/>
  <c r="Z52" i="80" s="1"/>
  <c r="V52" i="80"/>
  <c r="N52" i="80"/>
  <c r="L52" i="80"/>
  <c r="J52" i="80"/>
  <c r="B52" i="80"/>
  <c r="Z51" i="80"/>
  <c r="T51" i="80"/>
  <c r="P51" i="80"/>
  <c r="X51" i="80" s="1"/>
  <c r="H51" i="80"/>
  <c r="D51" i="80"/>
  <c r="B51" i="80"/>
  <c r="Z50" i="80"/>
  <c r="X50" i="80"/>
  <c r="N50" i="80"/>
  <c r="L50" i="80"/>
  <c r="B50" i="80"/>
  <c r="T49" i="80"/>
  <c r="P49" i="80"/>
  <c r="X49" i="80" s="1"/>
  <c r="H49" i="80"/>
  <c r="D49" i="80"/>
  <c r="L49" i="80" s="1"/>
  <c r="N49" i="80" s="1"/>
  <c r="B49" i="80"/>
  <c r="Z48" i="80"/>
  <c r="X48" i="80"/>
  <c r="N48" i="80"/>
  <c r="L48" i="80"/>
  <c r="B48" i="80"/>
  <c r="X47" i="80"/>
  <c r="T47" i="80"/>
  <c r="Z47" i="80" s="1"/>
  <c r="P47" i="80"/>
  <c r="J47" i="80"/>
  <c r="H47" i="80"/>
  <c r="D47" i="80"/>
  <c r="B47" i="80"/>
  <c r="Z46" i="80"/>
  <c r="X46" i="80"/>
  <c r="N46" i="80"/>
  <c r="L46" i="80"/>
  <c r="B46" i="80"/>
  <c r="T45" i="80"/>
  <c r="Z45" i="80" s="1"/>
  <c r="P45" i="80"/>
  <c r="X45" i="80" s="1"/>
  <c r="N45" i="80"/>
  <c r="H45" i="80"/>
  <c r="D45" i="80"/>
  <c r="L45" i="80" s="1"/>
  <c r="B45" i="80"/>
  <c r="Z44" i="80"/>
  <c r="X44" i="80"/>
  <c r="N44" i="80"/>
  <c r="L44" i="80"/>
  <c r="B44" i="80"/>
  <c r="Z43" i="80"/>
  <c r="X43" i="80"/>
  <c r="N43" i="80"/>
  <c r="L43" i="80"/>
  <c r="B43" i="80"/>
  <c r="Z42" i="80"/>
  <c r="X42" i="80"/>
  <c r="N42" i="80"/>
  <c r="L42" i="80"/>
  <c r="B42" i="80"/>
  <c r="X41" i="80"/>
  <c r="Z41" i="80" s="1"/>
  <c r="V41" i="80"/>
  <c r="N41" i="80"/>
  <c r="L41" i="80"/>
  <c r="J41" i="80"/>
  <c r="B41" i="80"/>
  <c r="Z40" i="80"/>
  <c r="X40" i="80"/>
  <c r="N40" i="80"/>
  <c r="L40" i="80"/>
  <c r="B40" i="80"/>
  <c r="Z39" i="80"/>
  <c r="X39" i="80"/>
  <c r="N39" i="80"/>
  <c r="L39" i="80"/>
  <c r="B39" i="80"/>
  <c r="Z38" i="80"/>
  <c r="X38" i="80"/>
  <c r="N38" i="80"/>
  <c r="L38" i="80"/>
  <c r="B38" i="80"/>
  <c r="Z37" i="80"/>
  <c r="X37" i="80"/>
  <c r="N37" i="80"/>
  <c r="L37" i="80"/>
  <c r="B37" i="80"/>
  <c r="Z36" i="80"/>
  <c r="X36" i="80"/>
  <c r="V36" i="80"/>
  <c r="N36" i="80"/>
  <c r="L36" i="80"/>
  <c r="B36" i="80"/>
  <c r="X35" i="80"/>
  <c r="Z35" i="80" s="1"/>
  <c r="L35" i="80"/>
  <c r="N35" i="80" s="1"/>
  <c r="B35" i="80"/>
  <c r="T34" i="80"/>
  <c r="P34" i="80"/>
  <c r="H34" i="80"/>
  <c r="D34" i="80"/>
  <c r="L34" i="80" s="1"/>
  <c r="N34" i="80" s="1"/>
  <c r="B34" i="80"/>
  <c r="X33" i="80"/>
  <c r="Z33" i="80" s="1"/>
  <c r="V33" i="80"/>
  <c r="R33" i="80"/>
  <c r="N33" i="80"/>
  <c r="L33" i="80"/>
  <c r="B33" i="80"/>
  <c r="X32" i="80"/>
  <c r="Z32" i="80" s="1"/>
  <c r="L32" i="80"/>
  <c r="N32" i="80" s="1"/>
  <c r="B32" i="80"/>
  <c r="Z31" i="80"/>
  <c r="X31" i="80"/>
  <c r="N31" i="80"/>
  <c r="L31" i="80"/>
  <c r="B31" i="80"/>
  <c r="Z30" i="80"/>
  <c r="X30" i="80"/>
  <c r="N30" i="80"/>
  <c r="L30" i="80"/>
  <c r="B30" i="80"/>
  <c r="X29" i="80"/>
  <c r="Z29" i="80" s="1"/>
  <c r="V29" i="80"/>
  <c r="R29" i="80"/>
  <c r="N29" i="80"/>
  <c r="L29" i="80"/>
  <c r="B29" i="80"/>
  <c r="X28" i="80"/>
  <c r="Z28" i="80" s="1"/>
  <c r="L28" i="80"/>
  <c r="N28" i="80" s="1"/>
  <c r="B28" i="80"/>
  <c r="X27" i="80"/>
  <c r="Z27" i="80" s="1"/>
  <c r="N27" i="80"/>
  <c r="L27" i="80"/>
  <c r="B27" i="80"/>
  <c r="Z26" i="80"/>
  <c r="X26" i="80"/>
  <c r="N26" i="80"/>
  <c r="L26" i="80"/>
  <c r="B26" i="80"/>
  <c r="X25" i="80"/>
  <c r="T25" i="80"/>
  <c r="P25" i="80"/>
  <c r="L25" i="80"/>
  <c r="H25" i="80"/>
  <c r="N25" i="80" s="1"/>
  <c r="D25" i="80"/>
  <c r="B25" i="80"/>
  <c r="T24" i="80"/>
  <c r="P24" i="80"/>
  <c r="X24" i="80" s="1"/>
  <c r="Z24" i="80" s="1"/>
  <c r="H24" i="80"/>
  <c r="D24" i="80"/>
  <c r="Z20" i="80"/>
  <c r="X20" i="80"/>
  <c r="R20" i="80"/>
  <c r="N20" i="80"/>
  <c r="L20" i="80"/>
  <c r="B20" i="80"/>
  <c r="Z19" i="80"/>
  <c r="X19" i="80"/>
  <c r="N19" i="80"/>
  <c r="L19" i="80"/>
  <c r="J19" i="80"/>
  <c r="B19" i="80"/>
  <c r="Z18" i="80"/>
  <c r="X18" i="80"/>
  <c r="N18" i="80"/>
  <c r="L18" i="80"/>
  <c r="B18" i="80"/>
  <c r="T17" i="80"/>
  <c r="P17" i="80"/>
  <c r="X17" i="80" s="1"/>
  <c r="Z17" i="80" s="1"/>
  <c r="H17" i="80"/>
  <c r="D17" i="80"/>
  <c r="Z15" i="80"/>
  <c r="X15" i="80"/>
  <c r="P15" i="80"/>
  <c r="N15" i="80"/>
  <c r="D15" i="80"/>
  <c r="L15" i="80" s="1"/>
  <c r="B15" i="80"/>
  <c r="P14" i="80"/>
  <c r="X14" i="80" s="1"/>
  <c r="Z14" i="80" s="1"/>
  <c r="D14" i="80"/>
  <c r="L14" i="80" s="1"/>
  <c r="N14" i="80" s="1"/>
  <c r="B14" i="80"/>
  <c r="Z13" i="80"/>
  <c r="X13" i="80"/>
  <c r="P13" i="80"/>
  <c r="N13" i="80"/>
  <c r="L13" i="80"/>
  <c r="D13" i="80"/>
  <c r="B13" i="80"/>
  <c r="X12" i="80"/>
  <c r="T12" i="80"/>
  <c r="P12" i="80"/>
  <c r="R50" i="80" s="1"/>
  <c r="H12" i="80"/>
  <c r="D6" i="80"/>
  <c r="D4" i="80"/>
  <c r="X76" i="79"/>
  <c r="Z76" i="79" s="1"/>
  <c r="N76" i="79"/>
  <c r="L76" i="79"/>
  <c r="Z72" i="79"/>
  <c r="P72" i="79"/>
  <c r="X72" i="79" s="1"/>
  <c r="N72" i="79"/>
  <c r="J72" i="79"/>
  <c r="D72" i="79"/>
  <c r="B72" i="79"/>
  <c r="P71" i="79"/>
  <c r="X71" i="79" s="1"/>
  <c r="Z71" i="79" s="1"/>
  <c r="D71" i="79"/>
  <c r="L71" i="79" s="1"/>
  <c r="N71" i="79" s="1"/>
  <c r="B71" i="79"/>
  <c r="Z70" i="79"/>
  <c r="V70" i="79"/>
  <c r="P70" i="79"/>
  <c r="X70" i="79" s="1"/>
  <c r="N70" i="79"/>
  <c r="D70" i="79"/>
  <c r="L70" i="79" s="1"/>
  <c r="B70" i="79"/>
  <c r="Z69" i="79"/>
  <c r="X69" i="79"/>
  <c r="P69" i="79"/>
  <c r="N69" i="79"/>
  <c r="D69" i="79"/>
  <c r="L69" i="79" s="1"/>
  <c r="B69" i="79"/>
  <c r="Z68" i="79"/>
  <c r="X68" i="79"/>
  <c r="P68" i="79"/>
  <c r="N68" i="79"/>
  <c r="L68" i="79"/>
  <c r="D68" i="79"/>
  <c r="B68" i="79"/>
  <c r="V67" i="79"/>
  <c r="T67" i="79"/>
  <c r="J67" i="79"/>
  <c r="H67" i="79"/>
  <c r="Z65" i="79"/>
  <c r="X65" i="79"/>
  <c r="V65" i="79"/>
  <c r="N65" i="79"/>
  <c r="L65" i="79"/>
  <c r="B65" i="79"/>
  <c r="V64" i="79"/>
  <c r="T64" i="79"/>
  <c r="Z64" i="79" s="1"/>
  <c r="P64" i="79"/>
  <c r="X64" i="79" s="1"/>
  <c r="N64" i="79"/>
  <c r="J64" i="79"/>
  <c r="H64" i="79"/>
  <c r="D64" i="79"/>
  <c r="L64" i="79" s="1"/>
  <c r="B64" i="79"/>
  <c r="X63" i="79"/>
  <c r="Z63" i="79" s="1"/>
  <c r="N63" i="79"/>
  <c r="L63" i="79"/>
  <c r="B63" i="79"/>
  <c r="Z62" i="79"/>
  <c r="X62" i="79"/>
  <c r="N62" i="79"/>
  <c r="L62" i="79"/>
  <c r="J62" i="79"/>
  <c r="B62" i="79"/>
  <c r="X61" i="79"/>
  <c r="T61" i="79"/>
  <c r="Z61" i="79" s="1"/>
  <c r="P61" i="79"/>
  <c r="H61" i="79"/>
  <c r="D61" i="79"/>
  <c r="B61" i="79"/>
  <c r="Z60" i="79"/>
  <c r="X60" i="79"/>
  <c r="N60" i="79"/>
  <c r="L60" i="79"/>
  <c r="B60" i="79"/>
  <c r="T59" i="79"/>
  <c r="X59" i="79" s="1"/>
  <c r="P59" i="79"/>
  <c r="H59" i="79"/>
  <c r="D59" i="79"/>
  <c r="B59" i="79"/>
  <c r="Z58" i="79"/>
  <c r="X58" i="79"/>
  <c r="V58" i="79"/>
  <c r="L58" i="79"/>
  <c r="N58" i="79" s="1"/>
  <c r="B58" i="79"/>
  <c r="V57" i="79"/>
  <c r="T57" i="79"/>
  <c r="P57" i="79"/>
  <c r="X57" i="79" s="1"/>
  <c r="Z57" i="79" s="1"/>
  <c r="H57" i="79"/>
  <c r="N57" i="79" s="1"/>
  <c r="D57" i="79"/>
  <c r="L57" i="79" s="1"/>
  <c r="B57" i="79"/>
  <c r="Z56" i="79"/>
  <c r="X56" i="79"/>
  <c r="N56" i="79"/>
  <c r="L56" i="79"/>
  <c r="B56" i="79"/>
  <c r="X55" i="79"/>
  <c r="Z55" i="79" s="1"/>
  <c r="N55" i="79"/>
  <c r="L55" i="79"/>
  <c r="B55" i="79"/>
  <c r="X54" i="79"/>
  <c r="Z54" i="79" s="1"/>
  <c r="T54" i="79"/>
  <c r="P54" i="79"/>
  <c r="N54" i="79"/>
  <c r="L54" i="79"/>
  <c r="H54" i="79"/>
  <c r="D54" i="79"/>
  <c r="B54" i="79"/>
  <c r="Z53" i="79"/>
  <c r="X53" i="79"/>
  <c r="L53" i="79"/>
  <c r="N53" i="79" s="1"/>
  <c r="B53" i="79"/>
  <c r="T52" i="79"/>
  <c r="P52" i="79"/>
  <c r="H52" i="79"/>
  <c r="D52" i="79"/>
  <c r="B52" i="79"/>
  <c r="X51" i="79"/>
  <c r="Z51" i="79" s="1"/>
  <c r="N51" i="79"/>
  <c r="L51" i="79"/>
  <c r="B51" i="79"/>
  <c r="V50" i="79"/>
  <c r="T50" i="79"/>
  <c r="P50" i="79"/>
  <c r="X50" i="79" s="1"/>
  <c r="Z50" i="79" s="1"/>
  <c r="H50" i="79"/>
  <c r="N50" i="79" s="1"/>
  <c r="D50" i="79"/>
  <c r="B50" i="79"/>
  <c r="Z49" i="79"/>
  <c r="X49" i="79"/>
  <c r="N49" i="79"/>
  <c r="L49" i="79"/>
  <c r="B49" i="79"/>
  <c r="Z48" i="79"/>
  <c r="X48" i="79"/>
  <c r="N48" i="79"/>
  <c r="L48" i="79"/>
  <c r="B48" i="79"/>
  <c r="Z47" i="79"/>
  <c r="X47" i="79"/>
  <c r="N47" i="79"/>
  <c r="L47" i="79"/>
  <c r="B47" i="79"/>
  <c r="X46" i="79"/>
  <c r="Z46" i="79" s="1"/>
  <c r="N46" i="79"/>
  <c r="L46" i="79"/>
  <c r="J46" i="79"/>
  <c r="B46" i="79"/>
  <c r="Z45" i="79"/>
  <c r="X45" i="79"/>
  <c r="N45" i="79"/>
  <c r="L45" i="79"/>
  <c r="B45" i="79"/>
  <c r="Z44" i="79"/>
  <c r="X44" i="79"/>
  <c r="N44" i="79"/>
  <c r="L44" i="79"/>
  <c r="B44" i="79"/>
  <c r="Z43" i="79"/>
  <c r="X43" i="79"/>
  <c r="V43" i="79"/>
  <c r="N43" i="79"/>
  <c r="L43" i="79"/>
  <c r="B43" i="79"/>
  <c r="Z42" i="79"/>
  <c r="X42" i="79"/>
  <c r="N42" i="79"/>
  <c r="L42" i="79"/>
  <c r="B42" i="79"/>
  <c r="X41" i="79"/>
  <c r="Z41" i="79" s="1"/>
  <c r="N41" i="79"/>
  <c r="L41" i="79"/>
  <c r="B41" i="79"/>
  <c r="Z40" i="79"/>
  <c r="X40" i="79"/>
  <c r="N40" i="79"/>
  <c r="L40" i="79"/>
  <c r="B40" i="79"/>
  <c r="T39" i="79"/>
  <c r="P39" i="79"/>
  <c r="L39" i="79"/>
  <c r="H39" i="79"/>
  <c r="D39" i="79"/>
  <c r="B39" i="79"/>
  <c r="X38" i="79"/>
  <c r="Z38" i="79" s="1"/>
  <c r="V38" i="79"/>
  <c r="N38" i="79"/>
  <c r="L38" i="79"/>
  <c r="J38" i="79"/>
  <c r="B38" i="79"/>
  <c r="Z37" i="79"/>
  <c r="X37" i="79"/>
  <c r="N37" i="79"/>
  <c r="L37" i="79"/>
  <c r="J37" i="79"/>
  <c r="B37" i="79"/>
  <c r="Z36" i="79"/>
  <c r="X36" i="79"/>
  <c r="N36" i="79"/>
  <c r="L36" i="79"/>
  <c r="B36" i="79"/>
  <c r="Z35" i="79"/>
  <c r="X35" i="79"/>
  <c r="L35" i="79"/>
  <c r="N35" i="79" s="1"/>
  <c r="B35" i="79"/>
  <c r="X34" i="79"/>
  <c r="Z34" i="79" s="1"/>
  <c r="V34" i="79"/>
  <c r="N34" i="79"/>
  <c r="L34" i="79"/>
  <c r="B34" i="79"/>
  <c r="Z33" i="79"/>
  <c r="X33" i="79"/>
  <c r="N33" i="79"/>
  <c r="L33" i="79"/>
  <c r="J33" i="79"/>
  <c r="B33" i="79"/>
  <c r="Z32" i="79"/>
  <c r="X32" i="79"/>
  <c r="N32" i="79"/>
  <c r="L32" i="79"/>
  <c r="J32" i="79"/>
  <c r="B32" i="79"/>
  <c r="Z31" i="79"/>
  <c r="X31" i="79"/>
  <c r="R31" i="79"/>
  <c r="L31" i="79"/>
  <c r="N31" i="79" s="1"/>
  <c r="B31" i="79"/>
  <c r="T30" i="79"/>
  <c r="P30" i="79"/>
  <c r="H30" i="79"/>
  <c r="D30" i="79"/>
  <c r="B30" i="79"/>
  <c r="Z29" i="79"/>
  <c r="V29" i="79"/>
  <c r="T29" i="79"/>
  <c r="P29" i="79"/>
  <c r="X29" i="79" s="1"/>
  <c r="H29" i="79"/>
  <c r="D29" i="79"/>
  <c r="Z25" i="79"/>
  <c r="X25" i="79"/>
  <c r="N25" i="79"/>
  <c r="L25" i="79"/>
  <c r="B25" i="79"/>
  <c r="Z24" i="79"/>
  <c r="X24" i="79"/>
  <c r="V24" i="79"/>
  <c r="N24" i="79"/>
  <c r="L24" i="79"/>
  <c r="B24" i="79"/>
  <c r="Z23" i="79"/>
  <c r="X23" i="79"/>
  <c r="N23" i="79"/>
  <c r="L23" i="79"/>
  <c r="J23" i="79"/>
  <c r="B23" i="79"/>
  <c r="Z22" i="79"/>
  <c r="X22" i="79"/>
  <c r="V22" i="79"/>
  <c r="N22" i="79"/>
  <c r="L22" i="79"/>
  <c r="B22" i="79"/>
  <c r="Z21" i="79"/>
  <c r="X21" i="79"/>
  <c r="V21" i="79"/>
  <c r="R21" i="79"/>
  <c r="N21" i="79"/>
  <c r="L21" i="79"/>
  <c r="B21" i="79"/>
  <c r="Z20" i="79"/>
  <c r="X20" i="79"/>
  <c r="N20" i="79"/>
  <c r="L20" i="79"/>
  <c r="J20" i="79"/>
  <c r="B20" i="79"/>
  <c r="V19" i="79"/>
  <c r="T19" i="79"/>
  <c r="P19" i="79"/>
  <c r="H19" i="79"/>
  <c r="D19" i="79"/>
  <c r="L19" i="79" s="1"/>
  <c r="N19" i="79" s="1"/>
  <c r="Z17" i="79"/>
  <c r="P17" i="79"/>
  <c r="X17" i="79" s="1"/>
  <c r="N17" i="79"/>
  <c r="D17" i="79"/>
  <c r="L17" i="79" s="1"/>
  <c r="B17" i="79"/>
  <c r="P16" i="79"/>
  <c r="X16" i="79" s="1"/>
  <c r="Z16" i="79" s="1"/>
  <c r="L16" i="79"/>
  <c r="N16" i="79" s="1"/>
  <c r="D16" i="79"/>
  <c r="B16" i="79"/>
  <c r="Z15" i="79"/>
  <c r="X15" i="79"/>
  <c r="P15" i="79"/>
  <c r="N15" i="79"/>
  <c r="D15" i="79"/>
  <c r="L15" i="79" s="1"/>
  <c r="B15" i="79"/>
  <c r="Z14" i="79"/>
  <c r="P14" i="79"/>
  <c r="X14" i="79" s="1"/>
  <c r="N14" i="79"/>
  <c r="D14" i="79"/>
  <c r="L14" i="79" s="1"/>
  <c r="B14" i="79"/>
  <c r="X13" i="79"/>
  <c r="Z13" i="79" s="1"/>
  <c r="P13" i="79"/>
  <c r="P12" i="79" s="1"/>
  <c r="R54" i="79" s="1"/>
  <c r="L13" i="79"/>
  <c r="N13" i="79" s="1"/>
  <c r="D13" i="79"/>
  <c r="B13" i="79"/>
  <c r="T12" i="79"/>
  <c r="H12" i="79"/>
  <c r="J57" i="79" s="1"/>
  <c r="D6" i="79"/>
  <c r="D4" i="79"/>
  <c r="Z114" i="77"/>
  <c r="X114" i="77"/>
  <c r="N114" i="77"/>
  <c r="L114" i="77"/>
  <c r="J114" i="77"/>
  <c r="Z110" i="77"/>
  <c r="P110" i="77"/>
  <c r="X110" i="77" s="1"/>
  <c r="L110" i="77"/>
  <c r="N110" i="77" s="1"/>
  <c r="J110" i="77"/>
  <c r="D110" i="77"/>
  <c r="B110" i="77"/>
  <c r="Z109" i="77"/>
  <c r="P109" i="77"/>
  <c r="X109" i="77" s="1"/>
  <c r="N109" i="77"/>
  <c r="J109" i="77"/>
  <c r="D109" i="77"/>
  <c r="L109" i="77" s="1"/>
  <c r="B109" i="77"/>
  <c r="Z108" i="77"/>
  <c r="P108" i="77"/>
  <c r="N108" i="77"/>
  <c r="D108" i="77"/>
  <c r="B108" i="77"/>
  <c r="Z107" i="77"/>
  <c r="X107" i="77"/>
  <c r="P107" i="77"/>
  <c r="N107" i="77"/>
  <c r="L107" i="77"/>
  <c r="D107" i="77"/>
  <c r="B107" i="77"/>
  <c r="T106" i="77"/>
  <c r="H106" i="77"/>
  <c r="Z104" i="77"/>
  <c r="X104" i="77"/>
  <c r="N104" i="77"/>
  <c r="L104" i="77"/>
  <c r="B104" i="77"/>
  <c r="T103" i="77"/>
  <c r="Z103" i="77" s="1"/>
  <c r="P103" i="77"/>
  <c r="X103" i="77" s="1"/>
  <c r="H103" i="77"/>
  <c r="N103" i="77" s="1"/>
  <c r="D103" i="77"/>
  <c r="L103" i="77" s="1"/>
  <c r="B103" i="77"/>
  <c r="X102" i="77"/>
  <c r="Z102" i="77" s="1"/>
  <c r="N102" i="77"/>
  <c r="L102" i="77"/>
  <c r="B102" i="77"/>
  <c r="T101" i="77"/>
  <c r="P101" i="77"/>
  <c r="X101" i="77" s="1"/>
  <c r="Z101" i="77" s="1"/>
  <c r="L101" i="77"/>
  <c r="H101" i="77"/>
  <c r="N101" i="77" s="1"/>
  <c r="D101" i="77"/>
  <c r="B101" i="77"/>
  <c r="Z100" i="77"/>
  <c r="X100" i="77"/>
  <c r="N100" i="77"/>
  <c r="L100" i="77"/>
  <c r="J100" i="77"/>
  <c r="B100" i="77"/>
  <c r="X99" i="77"/>
  <c r="Z99" i="77" s="1"/>
  <c r="L99" i="77"/>
  <c r="N99" i="77" s="1"/>
  <c r="J99" i="77"/>
  <c r="B99" i="77"/>
  <c r="T98" i="77"/>
  <c r="P98" i="77"/>
  <c r="X98" i="77" s="1"/>
  <c r="Z98" i="77" s="1"/>
  <c r="H98" i="77"/>
  <c r="D98" i="77"/>
  <c r="B98" i="77"/>
  <c r="Z97" i="77"/>
  <c r="X97" i="77"/>
  <c r="N97" i="77"/>
  <c r="L97" i="77"/>
  <c r="B97" i="77"/>
  <c r="Z96" i="77"/>
  <c r="X96" i="77"/>
  <c r="N96" i="77"/>
  <c r="L96" i="77"/>
  <c r="J96" i="77"/>
  <c r="B96" i="77"/>
  <c r="T95" i="77"/>
  <c r="P95" i="77"/>
  <c r="X95" i="77" s="1"/>
  <c r="Z95" i="77" s="1"/>
  <c r="H95" i="77"/>
  <c r="D95" i="77"/>
  <c r="B95" i="77"/>
  <c r="Z94" i="77"/>
  <c r="X94" i="77"/>
  <c r="N94" i="77"/>
  <c r="L94" i="77"/>
  <c r="J94" i="77"/>
  <c r="B94" i="77"/>
  <c r="V93" i="77"/>
  <c r="T93" i="77"/>
  <c r="Z93" i="77" s="1"/>
  <c r="P93" i="77"/>
  <c r="H93" i="77"/>
  <c r="N93" i="77" s="1"/>
  <c r="D93" i="77"/>
  <c r="L93" i="77" s="1"/>
  <c r="B93" i="77"/>
  <c r="Z92" i="77"/>
  <c r="X92" i="77"/>
  <c r="N92" i="77"/>
  <c r="L92" i="77"/>
  <c r="B92" i="77"/>
  <c r="T91" i="77"/>
  <c r="Z91" i="77" s="1"/>
  <c r="P91" i="77"/>
  <c r="N91" i="77"/>
  <c r="H91" i="77"/>
  <c r="L91" i="77" s="1"/>
  <c r="D91" i="77"/>
  <c r="B91" i="77"/>
  <c r="X90" i="77"/>
  <c r="Z90" i="77" s="1"/>
  <c r="N90" i="77"/>
  <c r="L90" i="77"/>
  <c r="J90" i="77"/>
  <c r="B90" i="77"/>
  <c r="X89" i="77"/>
  <c r="T89" i="77"/>
  <c r="P89" i="77"/>
  <c r="J89" i="77"/>
  <c r="H89" i="77"/>
  <c r="N89" i="77" s="1"/>
  <c r="D89" i="77"/>
  <c r="L89" i="77" s="1"/>
  <c r="B89" i="77"/>
  <c r="Z88" i="77"/>
  <c r="X88" i="77"/>
  <c r="L88" i="77"/>
  <c r="N88" i="77" s="1"/>
  <c r="B88" i="77"/>
  <c r="T87" i="77"/>
  <c r="P87" i="77"/>
  <c r="X87" i="77" s="1"/>
  <c r="N87" i="77"/>
  <c r="H87" i="77"/>
  <c r="D87" i="77"/>
  <c r="L87" i="77" s="1"/>
  <c r="B87" i="77"/>
  <c r="Z86" i="77"/>
  <c r="X86" i="77"/>
  <c r="V86" i="77"/>
  <c r="L86" i="77"/>
  <c r="N86" i="77" s="1"/>
  <c r="J86" i="77"/>
  <c r="B86" i="77"/>
  <c r="T85" i="77"/>
  <c r="P85" i="77"/>
  <c r="X85" i="77" s="1"/>
  <c r="J85" i="77"/>
  <c r="H85" i="77"/>
  <c r="D85" i="77"/>
  <c r="L85" i="77" s="1"/>
  <c r="B85" i="77"/>
  <c r="Z84" i="77"/>
  <c r="X84" i="77"/>
  <c r="N84" i="77"/>
  <c r="L84" i="77"/>
  <c r="J84" i="77"/>
  <c r="B84" i="77"/>
  <c r="Z83" i="77"/>
  <c r="X83" i="77"/>
  <c r="T83" i="77"/>
  <c r="P83" i="77"/>
  <c r="H83" i="77"/>
  <c r="N83" i="77" s="1"/>
  <c r="D83" i="77"/>
  <c r="L83" i="77" s="1"/>
  <c r="B83" i="77"/>
  <c r="Z82" i="77"/>
  <c r="X82" i="77"/>
  <c r="N82" i="77"/>
  <c r="L82" i="77"/>
  <c r="B82" i="77"/>
  <c r="X81" i="77"/>
  <c r="Z81" i="77" s="1"/>
  <c r="T81" i="77"/>
  <c r="P81" i="77"/>
  <c r="N81" i="77"/>
  <c r="L81" i="77"/>
  <c r="H81" i="77"/>
  <c r="D81" i="77"/>
  <c r="B81" i="77"/>
  <c r="Z80" i="77"/>
  <c r="X80" i="77"/>
  <c r="N80" i="77"/>
  <c r="L80" i="77"/>
  <c r="B80" i="77"/>
  <c r="Z79" i="77"/>
  <c r="X79" i="77"/>
  <c r="N79" i="77"/>
  <c r="L79" i="77"/>
  <c r="J79" i="77"/>
  <c r="B79" i="77"/>
  <c r="Z78" i="77"/>
  <c r="X78" i="77"/>
  <c r="N78" i="77"/>
  <c r="L78" i="77"/>
  <c r="B78" i="77"/>
  <c r="X77" i="77"/>
  <c r="Z77" i="77" s="1"/>
  <c r="N77" i="77"/>
  <c r="L77" i="77"/>
  <c r="B77" i="77"/>
  <c r="Z76" i="77"/>
  <c r="X76" i="77"/>
  <c r="N76" i="77"/>
  <c r="L76" i="77"/>
  <c r="J76" i="77"/>
  <c r="B76" i="77"/>
  <c r="Z75" i="77"/>
  <c r="X75" i="77"/>
  <c r="N75" i="77"/>
  <c r="L75" i="77"/>
  <c r="B75" i="77"/>
  <c r="Z74" i="77"/>
  <c r="X74" i="77"/>
  <c r="N74" i="77"/>
  <c r="L74" i="77"/>
  <c r="J74" i="77"/>
  <c r="B74" i="77"/>
  <c r="Z73" i="77"/>
  <c r="X73" i="77"/>
  <c r="N73" i="77"/>
  <c r="L73" i="77"/>
  <c r="B73" i="77"/>
  <c r="Z72" i="77"/>
  <c r="X72" i="77"/>
  <c r="N72" i="77"/>
  <c r="L72" i="77"/>
  <c r="B72" i="77"/>
  <c r="X71" i="77"/>
  <c r="Z71" i="77" s="1"/>
  <c r="N71" i="77"/>
  <c r="L71" i="77"/>
  <c r="J71" i="77"/>
  <c r="B71" i="77"/>
  <c r="X70" i="77"/>
  <c r="T70" i="77"/>
  <c r="Z70" i="77" s="1"/>
  <c r="P70" i="77"/>
  <c r="L70" i="77"/>
  <c r="N70" i="77" s="1"/>
  <c r="H70" i="77"/>
  <c r="D70" i="77"/>
  <c r="B70" i="77"/>
  <c r="Z69" i="77"/>
  <c r="X69" i="77"/>
  <c r="N69" i="77"/>
  <c r="L69" i="77"/>
  <c r="J69" i="77"/>
  <c r="B69" i="77"/>
  <c r="X68" i="77"/>
  <c r="Z68" i="77" s="1"/>
  <c r="N68" i="77"/>
  <c r="L68" i="77"/>
  <c r="J68" i="77"/>
  <c r="B68" i="77"/>
  <c r="Z67" i="77"/>
  <c r="X67" i="77"/>
  <c r="N67" i="77"/>
  <c r="L67" i="77"/>
  <c r="J67" i="77"/>
  <c r="B67" i="77"/>
  <c r="Z66" i="77"/>
  <c r="X66" i="77"/>
  <c r="N66" i="77"/>
  <c r="L66" i="77"/>
  <c r="B66" i="77"/>
  <c r="Z65" i="77"/>
  <c r="X65" i="77"/>
  <c r="N65" i="77"/>
  <c r="L65" i="77"/>
  <c r="J65" i="77"/>
  <c r="B65" i="77"/>
  <c r="X64" i="77"/>
  <c r="Z64" i="77" s="1"/>
  <c r="N64" i="77"/>
  <c r="L64" i="77"/>
  <c r="J64" i="77"/>
  <c r="B64" i="77"/>
  <c r="Z63" i="77"/>
  <c r="X63" i="77"/>
  <c r="N63" i="77"/>
  <c r="L63" i="77"/>
  <c r="J63" i="77"/>
  <c r="B63" i="77"/>
  <c r="Z62" i="77"/>
  <c r="X62" i="77"/>
  <c r="L62" i="77"/>
  <c r="N62" i="77" s="1"/>
  <c r="B62" i="77"/>
  <c r="Z61" i="77"/>
  <c r="X61" i="77"/>
  <c r="L61" i="77"/>
  <c r="N61" i="77" s="1"/>
  <c r="J61" i="77"/>
  <c r="B61" i="77"/>
  <c r="X60" i="77"/>
  <c r="Z60" i="77" s="1"/>
  <c r="N60" i="77"/>
  <c r="L60" i="77"/>
  <c r="J60" i="77"/>
  <c r="B60" i="77"/>
  <c r="Z59" i="77"/>
  <c r="T59" i="77"/>
  <c r="P59" i="77"/>
  <c r="X59" i="77" s="1"/>
  <c r="H59" i="77"/>
  <c r="D59" i="77"/>
  <c r="L59" i="77" s="1"/>
  <c r="B59" i="77"/>
  <c r="T58" i="77"/>
  <c r="P58" i="77"/>
  <c r="X58" i="77" s="1"/>
  <c r="J58" i="77"/>
  <c r="H58" i="77"/>
  <c r="D58" i="77"/>
  <c r="L58" i="77" s="1"/>
  <c r="N58" i="77" s="1"/>
  <c r="Z54" i="77"/>
  <c r="X54" i="77"/>
  <c r="N54" i="77"/>
  <c r="L54" i="77"/>
  <c r="J54" i="77"/>
  <c r="B54" i="77"/>
  <c r="Z53" i="77"/>
  <c r="X53" i="77"/>
  <c r="N53" i="77"/>
  <c r="L53" i="77"/>
  <c r="B53" i="77"/>
  <c r="Z52" i="77"/>
  <c r="X52" i="77"/>
  <c r="N52" i="77"/>
  <c r="L52" i="77"/>
  <c r="B52" i="77"/>
  <c r="Z51" i="77"/>
  <c r="X51" i="77"/>
  <c r="N51" i="77"/>
  <c r="L51" i="77"/>
  <c r="B51" i="77"/>
  <c r="Z50" i="77"/>
  <c r="X50" i="77"/>
  <c r="N50" i="77"/>
  <c r="L50" i="77"/>
  <c r="J50" i="77"/>
  <c r="B50" i="77"/>
  <c r="Z49" i="77"/>
  <c r="X49" i="77"/>
  <c r="N49" i="77"/>
  <c r="L49" i="77"/>
  <c r="B49" i="77"/>
  <c r="Z48" i="77"/>
  <c r="X48" i="77"/>
  <c r="N48" i="77"/>
  <c r="L48" i="77"/>
  <c r="B48" i="77"/>
  <c r="Z47" i="77"/>
  <c r="X47" i="77"/>
  <c r="N47" i="77"/>
  <c r="L47" i="77"/>
  <c r="B47" i="77"/>
  <c r="Z46" i="77"/>
  <c r="X46" i="77"/>
  <c r="N46" i="77"/>
  <c r="L46" i="77"/>
  <c r="J46" i="77"/>
  <c r="B46" i="77"/>
  <c r="Z45" i="77"/>
  <c r="X45" i="77"/>
  <c r="N45" i="77"/>
  <c r="L45" i="77"/>
  <c r="B45" i="77"/>
  <c r="Z44" i="77"/>
  <c r="X44" i="77"/>
  <c r="N44" i="77"/>
  <c r="L44" i="77"/>
  <c r="B44" i="77"/>
  <c r="Z43" i="77"/>
  <c r="X43" i="77"/>
  <c r="N43" i="77"/>
  <c r="L43" i="77"/>
  <c r="B43" i="77"/>
  <c r="Z42" i="77"/>
  <c r="X42" i="77"/>
  <c r="N42" i="77"/>
  <c r="L42" i="77"/>
  <c r="J42" i="77"/>
  <c r="B42" i="77"/>
  <c r="X41" i="77"/>
  <c r="Z41" i="77" s="1"/>
  <c r="N41" i="77"/>
  <c r="L41" i="77"/>
  <c r="B41" i="77"/>
  <c r="T40" i="77"/>
  <c r="P40" i="77"/>
  <c r="X40" i="77" s="1"/>
  <c r="Z40" i="77" s="1"/>
  <c r="H40" i="77"/>
  <c r="D40" i="77"/>
  <c r="L40" i="77" s="1"/>
  <c r="Z38" i="77"/>
  <c r="P38" i="77"/>
  <c r="X38" i="77" s="1"/>
  <c r="N38" i="77"/>
  <c r="L38" i="77"/>
  <c r="D38" i="77"/>
  <c r="B38" i="77"/>
  <c r="Z37" i="77"/>
  <c r="P37" i="77"/>
  <c r="X37" i="77" s="1"/>
  <c r="N37" i="77"/>
  <c r="L37" i="77"/>
  <c r="D37" i="77"/>
  <c r="B37" i="77"/>
  <c r="Z36" i="77"/>
  <c r="P36" i="77"/>
  <c r="X36" i="77" s="1"/>
  <c r="N36" i="77"/>
  <c r="D36" i="77"/>
  <c r="L36" i="77" s="1"/>
  <c r="B36" i="77"/>
  <c r="Z35" i="77"/>
  <c r="P35" i="77"/>
  <c r="X35" i="77" s="1"/>
  <c r="N35" i="77"/>
  <c r="D35" i="77"/>
  <c r="L35" i="77" s="1"/>
  <c r="B35" i="77"/>
  <c r="Z34" i="77"/>
  <c r="X34" i="77"/>
  <c r="P34" i="77"/>
  <c r="N34" i="77"/>
  <c r="D34" i="77"/>
  <c r="L34" i="77" s="1"/>
  <c r="B34" i="77"/>
  <c r="Z33" i="77"/>
  <c r="X33" i="77"/>
  <c r="P33" i="77"/>
  <c r="N33" i="77"/>
  <c r="D33" i="77"/>
  <c r="L33" i="77" s="1"/>
  <c r="B33" i="77"/>
  <c r="Z32" i="77"/>
  <c r="X32" i="77"/>
  <c r="P32" i="77"/>
  <c r="N32" i="77"/>
  <c r="D32" i="77"/>
  <c r="L32" i="77" s="1"/>
  <c r="B32" i="77"/>
  <c r="Z31" i="77"/>
  <c r="X31" i="77"/>
  <c r="P31" i="77"/>
  <c r="N31" i="77"/>
  <c r="L31" i="77"/>
  <c r="D31" i="77"/>
  <c r="B31" i="77"/>
  <c r="Z30" i="77"/>
  <c r="X30" i="77"/>
  <c r="P30" i="77"/>
  <c r="N30" i="77"/>
  <c r="L30" i="77"/>
  <c r="D30" i="77"/>
  <c r="B30" i="77"/>
  <c r="Z29" i="77"/>
  <c r="P29" i="77"/>
  <c r="X29" i="77" s="1"/>
  <c r="N29" i="77"/>
  <c r="L29" i="77"/>
  <c r="D29" i="77"/>
  <c r="B29" i="77"/>
  <c r="Z28" i="77"/>
  <c r="X28" i="77"/>
  <c r="P28" i="77"/>
  <c r="N28" i="77"/>
  <c r="L28" i="77"/>
  <c r="D28" i="77"/>
  <c r="B28" i="77"/>
  <c r="Z27" i="77"/>
  <c r="P27" i="77"/>
  <c r="X27" i="77" s="1"/>
  <c r="N27" i="77"/>
  <c r="L27" i="77"/>
  <c r="D27" i="77"/>
  <c r="B27" i="77"/>
  <c r="Z26" i="77"/>
  <c r="P26" i="77"/>
  <c r="X26" i="77" s="1"/>
  <c r="N26" i="77"/>
  <c r="D26" i="77"/>
  <c r="L26" i="77" s="1"/>
  <c r="B26" i="77"/>
  <c r="Z25" i="77"/>
  <c r="P25" i="77"/>
  <c r="X25" i="77" s="1"/>
  <c r="N25" i="77"/>
  <c r="L25" i="77"/>
  <c r="D25" i="77"/>
  <c r="B25" i="77"/>
  <c r="Z24" i="77"/>
  <c r="P24" i="77"/>
  <c r="N24" i="77"/>
  <c r="D24" i="77"/>
  <c r="L24" i="77" s="1"/>
  <c r="B24" i="77"/>
  <c r="Z23" i="77"/>
  <c r="P23" i="77"/>
  <c r="X23" i="77" s="1"/>
  <c r="N23" i="77"/>
  <c r="D23" i="77"/>
  <c r="L23" i="77" s="1"/>
  <c r="B23" i="77"/>
  <c r="Z22" i="77"/>
  <c r="X22" i="77"/>
  <c r="P22" i="77"/>
  <c r="N22" i="77"/>
  <c r="D22" i="77"/>
  <c r="L22" i="77" s="1"/>
  <c r="B22" i="77"/>
  <c r="Z21" i="77"/>
  <c r="X21" i="77"/>
  <c r="P21" i="77"/>
  <c r="N21" i="77"/>
  <c r="D21" i="77"/>
  <c r="L21" i="77" s="1"/>
  <c r="B21" i="77"/>
  <c r="Z20" i="77"/>
  <c r="X20" i="77"/>
  <c r="P20" i="77"/>
  <c r="N20" i="77"/>
  <c r="D20" i="77"/>
  <c r="L20" i="77" s="1"/>
  <c r="B20" i="77"/>
  <c r="Z19" i="77"/>
  <c r="X19" i="77"/>
  <c r="P19" i="77"/>
  <c r="N19" i="77"/>
  <c r="L19" i="77"/>
  <c r="D19" i="77"/>
  <c r="B19" i="77"/>
  <c r="Z18" i="77"/>
  <c r="X18" i="77"/>
  <c r="P18" i="77"/>
  <c r="N18" i="77"/>
  <c r="L18" i="77"/>
  <c r="D18" i="77"/>
  <c r="B18" i="77"/>
  <c r="Z17" i="77"/>
  <c r="X17" i="77"/>
  <c r="P17" i="77"/>
  <c r="N17" i="77"/>
  <c r="L17" i="77"/>
  <c r="D17" i="77"/>
  <c r="B17" i="77"/>
  <c r="Z16" i="77"/>
  <c r="X16" i="77"/>
  <c r="P16" i="77"/>
  <c r="N16" i="77"/>
  <c r="L16" i="77"/>
  <c r="D16" i="77"/>
  <c r="B16" i="77"/>
  <c r="Z15" i="77"/>
  <c r="P15" i="77"/>
  <c r="X15" i="77" s="1"/>
  <c r="N15" i="77"/>
  <c r="L15" i="77"/>
  <c r="D15" i="77"/>
  <c r="B15" i="77"/>
  <c r="Z14" i="77"/>
  <c r="P14" i="77"/>
  <c r="X14" i="77" s="1"/>
  <c r="N14" i="77"/>
  <c r="L14" i="77"/>
  <c r="D14" i="77"/>
  <c r="B14" i="77"/>
  <c r="P13" i="77"/>
  <c r="X13" i="77" s="1"/>
  <c r="Z13" i="77" s="1"/>
  <c r="L13" i="77"/>
  <c r="N13" i="77" s="1"/>
  <c r="D13" i="77"/>
  <c r="B13" i="77"/>
  <c r="T12" i="77"/>
  <c r="H12" i="77"/>
  <c r="D6" i="77"/>
  <c r="D4" i="77"/>
  <c r="Z94" i="76"/>
  <c r="X94" i="76"/>
  <c r="V94" i="76"/>
  <c r="L94" i="76"/>
  <c r="N94" i="76" s="1"/>
  <c r="P90" i="76"/>
  <c r="X90" i="76" s="1"/>
  <c r="Z90" i="76" s="1"/>
  <c r="L90" i="76"/>
  <c r="N90" i="76" s="1"/>
  <c r="D90" i="76"/>
  <c r="B90" i="76"/>
  <c r="P89" i="76"/>
  <c r="X89" i="76" s="1"/>
  <c r="Z89" i="76" s="1"/>
  <c r="N89" i="76"/>
  <c r="J89" i="76"/>
  <c r="D89" i="76"/>
  <c r="L89" i="76" s="1"/>
  <c r="B89" i="76"/>
  <c r="T88" i="76"/>
  <c r="Z88" i="76" s="1"/>
  <c r="P88" i="76"/>
  <c r="X88" i="76" s="1"/>
  <c r="J88" i="76"/>
  <c r="H88" i="76"/>
  <c r="Z86" i="76"/>
  <c r="X86" i="76"/>
  <c r="N86" i="76"/>
  <c r="L86" i="76"/>
  <c r="B86" i="76"/>
  <c r="Z85" i="76"/>
  <c r="X85" i="76"/>
  <c r="V85" i="76"/>
  <c r="T85" i="76"/>
  <c r="P85" i="76"/>
  <c r="H85" i="76"/>
  <c r="N85" i="76" s="1"/>
  <c r="D85" i="76"/>
  <c r="L85" i="76" s="1"/>
  <c r="B85" i="76"/>
  <c r="Z84" i="76"/>
  <c r="X84" i="76"/>
  <c r="N84" i="76"/>
  <c r="L84" i="76"/>
  <c r="B84" i="76"/>
  <c r="X83" i="76"/>
  <c r="Z83" i="76" s="1"/>
  <c r="N83" i="76"/>
  <c r="L83" i="76"/>
  <c r="B83" i="76"/>
  <c r="X82" i="76"/>
  <c r="V82" i="76"/>
  <c r="T82" i="76"/>
  <c r="Z82" i="76" s="1"/>
  <c r="P82" i="76"/>
  <c r="L82" i="76"/>
  <c r="N82" i="76" s="1"/>
  <c r="H82" i="76"/>
  <c r="D82" i="76"/>
  <c r="B82" i="76"/>
  <c r="Z81" i="76"/>
  <c r="X81" i="76"/>
  <c r="L81" i="76"/>
  <c r="N81" i="76" s="1"/>
  <c r="J81" i="76"/>
  <c r="B81" i="76"/>
  <c r="Z80" i="76"/>
  <c r="X80" i="76"/>
  <c r="N80" i="76"/>
  <c r="L80" i="76"/>
  <c r="J80" i="76"/>
  <c r="B80" i="76"/>
  <c r="Z79" i="76"/>
  <c r="X79" i="76"/>
  <c r="V79" i="76"/>
  <c r="N79" i="76"/>
  <c r="L79" i="76"/>
  <c r="J79" i="76"/>
  <c r="B79" i="76"/>
  <c r="Z78" i="76"/>
  <c r="X78" i="76"/>
  <c r="V78" i="76"/>
  <c r="N78" i="76"/>
  <c r="L78" i="76"/>
  <c r="B78" i="76"/>
  <c r="Z77" i="76"/>
  <c r="X77" i="76"/>
  <c r="N77" i="76"/>
  <c r="L77" i="76"/>
  <c r="J77" i="76"/>
  <c r="B77" i="76"/>
  <c r="T76" i="76"/>
  <c r="P76" i="76"/>
  <c r="H76" i="76"/>
  <c r="D76" i="76"/>
  <c r="B76" i="76"/>
  <c r="Z75" i="76"/>
  <c r="X75" i="76"/>
  <c r="V75" i="76"/>
  <c r="N75" i="76"/>
  <c r="L75" i="76"/>
  <c r="B75" i="76"/>
  <c r="X74" i="76"/>
  <c r="Z74" i="76" s="1"/>
  <c r="L74" i="76"/>
  <c r="N74" i="76" s="1"/>
  <c r="B74" i="76"/>
  <c r="X73" i="76"/>
  <c r="Z73" i="76" s="1"/>
  <c r="V73" i="76"/>
  <c r="T73" i="76"/>
  <c r="P73" i="76"/>
  <c r="J73" i="76"/>
  <c r="H73" i="76"/>
  <c r="D73" i="76"/>
  <c r="L73" i="76" s="1"/>
  <c r="B73" i="76"/>
  <c r="Z72" i="76"/>
  <c r="X72" i="76"/>
  <c r="N72" i="76"/>
  <c r="L72" i="76"/>
  <c r="B72" i="76"/>
  <c r="X71" i="76"/>
  <c r="Z71" i="76" s="1"/>
  <c r="N71" i="76"/>
  <c r="L71" i="76"/>
  <c r="B71" i="76"/>
  <c r="X70" i="76"/>
  <c r="V70" i="76"/>
  <c r="T70" i="76"/>
  <c r="P70" i="76"/>
  <c r="L70" i="76"/>
  <c r="N70" i="76" s="1"/>
  <c r="H70" i="76"/>
  <c r="D70" i="76"/>
  <c r="B70" i="76"/>
  <c r="Z69" i="76"/>
  <c r="X69" i="76"/>
  <c r="R69" i="76"/>
  <c r="L69" i="76"/>
  <c r="N69" i="76" s="1"/>
  <c r="J69" i="76"/>
  <c r="B69" i="76"/>
  <c r="T68" i="76"/>
  <c r="P68" i="76"/>
  <c r="J68" i="76"/>
  <c r="H68" i="76"/>
  <c r="D68" i="76"/>
  <c r="B68" i="76"/>
  <c r="Z67" i="76"/>
  <c r="X67" i="76"/>
  <c r="V67" i="76"/>
  <c r="L67" i="76"/>
  <c r="N67" i="76" s="1"/>
  <c r="B67" i="76"/>
  <c r="T66" i="76"/>
  <c r="P66" i="76"/>
  <c r="X66" i="76" s="1"/>
  <c r="J66" i="76"/>
  <c r="H66" i="76"/>
  <c r="D66" i="76"/>
  <c r="L66" i="76" s="1"/>
  <c r="N66" i="76" s="1"/>
  <c r="B66" i="76"/>
  <c r="Z65" i="76"/>
  <c r="X65" i="76"/>
  <c r="N65" i="76"/>
  <c r="L65" i="76"/>
  <c r="B65" i="76"/>
  <c r="X64" i="76"/>
  <c r="Z64" i="76" s="1"/>
  <c r="T64" i="76"/>
  <c r="P64" i="76"/>
  <c r="L64" i="76"/>
  <c r="H64" i="76"/>
  <c r="N64" i="76" s="1"/>
  <c r="D64" i="76"/>
  <c r="B64" i="76"/>
  <c r="Z63" i="76"/>
  <c r="X63" i="76"/>
  <c r="V63" i="76"/>
  <c r="N63" i="76"/>
  <c r="L63" i="76"/>
  <c r="J63" i="76"/>
  <c r="B63" i="76"/>
  <c r="T62" i="76"/>
  <c r="P62" i="76"/>
  <c r="H62" i="76"/>
  <c r="D62" i="76"/>
  <c r="B62" i="76"/>
  <c r="X61" i="76"/>
  <c r="Z61" i="76" s="1"/>
  <c r="V61" i="76"/>
  <c r="N61" i="76"/>
  <c r="L61" i="76"/>
  <c r="B61" i="76"/>
  <c r="V60" i="76"/>
  <c r="T60" i="76"/>
  <c r="R60" i="76"/>
  <c r="P60" i="76"/>
  <c r="X60" i="76" s="1"/>
  <c r="Z60" i="76" s="1"/>
  <c r="H60" i="76"/>
  <c r="N60" i="76" s="1"/>
  <c r="D60" i="76"/>
  <c r="L60" i="76" s="1"/>
  <c r="B60" i="76"/>
  <c r="Z59" i="76"/>
  <c r="X59" i="76"/>
  <c r="N59" i="76"/>
  <c r="L59" i="76"/>
  <c r="B59" i="76"/>
  <c r="X58" i="76"/>
  <c r="V58" i="76"/>
  <c r="T58" i="76"/>
  <c r="Z58" i="76" s="1"/>
  <c r="P58" i="76"/>
  <c r="N58" i="76"/>
  <c r="L58" i="76"/>
  <c r="H58" i="76"/>
  <c r="D58" i="76"/>
  <c r="B58" i="76"/>
  <c r="Z57" i="76"/>
  <c r="X57" i="76"/>
  <c r="L57" i="76"/>
  <c r="N57" i="76" s="1"/>
  <c r="J57" i="76"/>
  <c r="B57" i="76"/>
  <c r="T56" i="76"/>
  <c r="P56" i="76"/>
  <c r="H56" i="76"/>
  <c r="D56" i="76"/>
  <c r="B56" i="76"/>
  <c r="Z55" i="76"/>
  <c r="X55" i="76"/>
  <c r="V55" i="76"/>
  <c r="N55" i="76"/>
  <c r="L55" i="76"/>
  <c r="B55" i="76"/>
  <c r="Z54" i="76"/>
  <c r="X54" i="76"/>
  <c r="N54" i="76"/>
  <c r="L54" i="76"/>
  <c r="B54" i="76"/>
  <c r="X53" i="76"/>
  <c r="Z53" i="76" s="1"/>
  <c r="V53" i="76"/>
  <c r="N53" i="76"/>
  <c r="L53" i="76"/>
  <c r="B53" i="76"/>
  <c r="Z52" i="76"/>
  <c r="X52" i="76"/>
  <c r="V52" i="76"/>
  <c r="N52" i="76"/>
  <c r="L52" i="76"/>
  <c r="B52" i="76"/>
  <c r="Z51" i="76"/>
  <c r="X51" i="76"/>
  <c r="V51" i="76"/>
  <c r="N51" i="76"/>
  <c r="L51" i="76"/>
  <c r="B51" i="76"/>
  <c r="Z50" i="76"/>
  <c r="X50" i="76"/>
  <c r="N50" i="76"/>
  <c r="L50" i="76"/>
  <c r="B50" i="76"/>
  <c r="X49" i="76"/>
  <c r="Z49" i="76" s="1"/>
  <c r="V49" i="76"/>
  <c r="N49" i="76"/>
  <c r="L49" i="76"/>
  <c r="B49" i="76"/>
  <c r="Z48" i="76"/>
  <c r="X48" i="76"/>
  <c r="V48" i="76"/>
  <c r="N48" i="76"/>
  <c r="L48" i="76"/>
  <c r="B48" i="76"/>
  <c r="Z47" i="76"/>
  <c r="X47" i="76"/>
  <c r="V47" i="76"/>
  <c r="L47" i="76"/>
  <c r="N47" i="76" s="1"/>
  <c r="B47" i="76"/>
  <c r="X46" i="76"/>
  <c r="Z46" i="76" s="1"/>
  <c r="L46" i="76"/>
  <c r="N46" i="76" s="1"/>
  <c r="B46" i="76"/>
  <c r="X45" i="76"/>
  <c r="Z45" i="76" s="1"/>
  <c r="V45" i="76"/>
  <c r="T45" i="76"/>
  <c r="P45" i="76"/>
  <c r="J45" i="76"/>
  <c r="H45" i="76"/>
  <c r="D45" i="76"/>
  <c r="L45" i="76" s="1"/>
  <c r="B45" i="76"/>
  <c r="Z44" i="76"/>
  <c r="X44" i="76"/>
  <c r="L44" i="76"/>
  <c r="N44" i="76" s="1"/>
  <c r="B44" i="76"/>
  <c r="X43" i="76"/>
  <c r="Z43" i="76" s="1"/>
  <c r="N43" i="76"/>
  <c r="L43" i="76"/>
  <c r="B43" i="76"/>
  <c r="X42" i="76"/>
  <c r="Z42" i="76" s="1"/>
  <c r="V42" i="76"/>
  <c r="N42" i="76"/>
  <c r="L42" i="76"/>
  <c r="J42" i="76"/>
  <c r="B42" i="76"/>
  <c r="Z41" i="76"/>
  <c r="X41" i="76"/>
  <c r="N41" i="76"/>
  <c r="L41" i="76"/>
  <c r="B41" i="76"/>
  <c r="Z40" i="76"/>
  <c r="X40" i="76"/>
  <c r="L40" i="76"/>
  <c r="N40" i="76" s="1"/>
  <c r="B40" i="76"/>
  <c r="X39" i="76"/>
  <c r="Z39" i="76" s="1"/>
  <c r="N39" i="76"/>
  <c r="L39" i="76"/>
  <c r="B39" i="76"/>
  <c r="X38" i="76"/>
  <c r="Z38" i="76" s="1"/>
  <c r="V38" i="76"/>
  <c r="N38" i="76"/>
  <c r="L38" i="76"/>
  <c r="J38" i="76"/>
  <c r="B38" i="76"/>
  <c r="Z37" i="76"/>
  <c r="X37" i="76"/>
  <c r="N37" i="76"/>
  <c r="L37" i="76"/>
  <c r="B37" i="76"/>
  <c r="X36" i="76"/>
  <c r="Z36" i="76" s="1"/>
  <c r="L36" i="76"/>
  <c r="N36" i="76" s="1"/>
  <c r="B36" i="76"/>
  <c r="X35" i="76"/>
  <c r="T35" i="76"/>
  <c r="P35" i="76"/>
  <c r="H35" i="76"/>
  <c r="D35" i="76"/>
  <c r="L35" i="76" s="1"/>
  <c r="N35" i="76" s="1"/>
  <c r="B35" i="76"/>
  <c r="T34" i="76"/>
  <c r="V34" i="76" s="1"/>
  <c r="P34" i="76"/>
  <c r="H34" i="76"/>
  <c r="D34" i="76"/>
  <c r="V30" i="76"/>
  <c r="T30" i="76"/>
  <c r="P30" i="76"/>
  <c r="H30" i="76"/>
  <c r="N30" i="76" s="1"/>
  <c r="D30" i="76"/>
  <c r="Z28" i="76"/>
  <c r="P28" i="76"/>
  <c r="X28" i="76" s="1"/>
  <c r="N28" i="76"/>
  <c r="D28" i="76"/>
  <c r="L28" i="76" s="1"/>
  <c r="B28" i="76"/>
  <c r="Z27" i="76"/>
  <c r="P27" i="76"/>
  <c r="X27" i="76" s="1"/>
  <c r="N27" i="76"/>
  <c r="D27" i="76"/>
  <c r="L27" i="76" s="1"/>
  <c r="B27" i="76"/>
  <c r="Z26" i="76"/>
  <c r="X26" i="76"/>
  <c r="P26" i="76"/>
  <c r="N26" i="76"/>
  <c r="D26" i="76"/>
  <c r="L26" i="76" s="1"/>
  <c r="B26" i="76"/>
  <c r="Z25" i="76"/>
  <c r="X25" i="76"/>
  <c r="P25" i="76"/>
  <c r="N25" i="76"/>
  <c r="D25" i="76"/>
  <c r="L25" i="76" s="1"/>
  <c r="B25" i="76"/>
  <c r="Z24" i="76"/>
  <c r="X24" i="76"/>
  <c r="P24" i="76"/>
  <c r="N24" i="76"/>
  <c r="D24" i="76"/>
  <c r="L24" i="76" s="1"/>
  <c r="B24" i="76"/>
  <c r="Z23" i="76"/>
  <c r="X23" i="76"/>
  <c r="P23" i="76"/>
  <c r="N23" i="76"/>
  <c r="L23" i="76"/>
  <c r="D23" i="76"/>
  <c r="B23" i="76"/>
  <c r="Z22" i="76"/>
  <c r="X22" i="76"/>
  <c r="P22" i="76"/>
  <c r="N22" i="76"/>
  <c r="L22" i="76"/>
  <c r="D22" i="76"/>
  <c r="B22" i="76"/>
  <c r="Z21" i="76"/>
  <c r="X21" i="76"/>
  <c r="P21" i="76"/>
  <c r="N21" i="76"/>
  <c r="L21" i="76"/>
  <c r="D21" i="76"/>
  <c r="B21" i="76"/>
  <c r="Z20" i="76"/>
  <c r="X20" i="76"/>
  <c r="P20" i="76"/>
  <c r="N20" i="76"/>
  <c r="L20" i="76"/>
  <c r="D20" i="76"/>
  <c r="B20" i="76"/>
  <c r="Z19" i="76"/>
  <c r="P19" i="76"/>
  <c r="X19" i="76" s="1"/>
  <c r="L19" i="76"/>
  <c r="N19" i="76" s="1"/>
  <c r="D19" i="76"/>
  <c r="B19" i="76"/>
  <c r="Z18" i="76"/>
  <c r="P18" i="76"/>
  <c r="X18" i="76" s="1"/>
  <c r="N18" i="76"/>
  <c r="L18" i="76"/>
  <c r="D18" i="76"/>
  <c r="B18" i="76"/>
  <c r="Z17" i="76"/>
  <c r="P17" i="76"/>
  <c r="X17" i="76" s="1"/>
  <c r="N17" i="76"/>
  <c r="L17" i="76"/>
  <c r="D17" i="76"/>
  <c r="B17" i="76"/>
  <c r="Z16" i="76"/>
  <c r="P16" i="76"/>
  <c r="X16" i="76" s="1"/>
  <c r="N16" i="76"/>
  <c r="D16" i="76"/>
  <c r="L16" i="76" s="1"/>
  <c r="B16" i="76"/>
  <c r="Z15" i="76"/>
  <c r="P15" i="76"/>
  <c r="X15" i="76" s="1"/>
  <c r="N15" i="76"/>
  <c r="D15" i="76"/>
  <c r="L15" i="76" s="1"/>
  <c r="B15" i="76"/>
  <c r="Z14" i="76"/>
  <c r="X14" i="76"/>
  <c r="P14" i="76"/>
  <c r="N14" i="76"/>
  <c r="D14" i="76"/>
  <c r="L14" i="76" s="1"/>
  <c r="B14" i="76"/>
  <c r="Z13" i="76"/>
  <c r="X13" i="76"/>
  <c r="P13" i="76"/>
  <c r="P12" i="76" s="1"/>
  <c r="R77" i="76" s="1"/>
  <c r="D13" i="76"/>
  <c r="B13" i="76"/>
  <c r="T12" i="76"/>
  <c r="V84" i="76" s="1"/>
  <c r="H12" i="76"/>
  <c r="J94" i="76" s="1"/>
  <c r="D6" i="76"/>
  <c r="D4" i="76"/>
  <c r="Z125" i="75"/>
  <c r="X125" i="75"/>
  <c r="L125" i="75"/>
  <c r="N125" i="75" s="1"/>
  <c r="V121" i="75"/>
  <c r="P121" i="75"/>
  <c r="X121" i="75" s="1"/>
  <c r="Z121" i="75" s="1"/>
  <c r="N121" i="75"/>
  <c r="D121" i="75"/>
  <c r="L121" i="75" s="1"/>
  <c r="B121" i="75"/>
  <c r="Z120" i="75"/>
  <c r="X120" i="75"/>
  <c r="P120" i="75"/>
  <c r="L120" i="75"/>
  <c r="N120" i="75" s="1"/>
  <c r="D120" i="75"/>
  <c r="B120" i="75"/>
  <c r="X119" i="75"/>
  <c r="Z119" i="75" s="1"/>
  <c r="V119" i="75"/>
  <c r="P119" i="75"/>
  <c r="L119" i="75"/>
  <c r="N119" i="75" s="1"/>
  <c r="D119" i="75"/>
  <c r="D118" i="75" s="1"/>
  <c r="B119" i="75"/>
  <c r="V118" i="75"/>
  <c r="T118" i="75"/>
  <c r="L118" i="75"/>
  <c r="N118" i="75" s="1"/>
  <c r="J118" i="75"/>
  <c r="H118" i="75"/>
  <c r="Z116" i="75"/>
  <c r="X116" i="75"/>
  <c r="V116" i="75"/>
  <c r="L116" i="75"/>
  <c r="N116" i="75" s="1"/>
  <c r="B116" i="75"/>
  <c r="Z115" i="75"/>
  <c r="X115" i="75"/>
  <c r="N115" i="75"/>
  <c r="L115" i="75"/>
  <c r="B115" i="75"/>
  <c r="X114" i="75"/>
  <c r="Z114" i="75" s="1"/>
  <c r="V114" i="75"/>
  <c r="T114" i="75"/>
  <c r="P114" i="75"/>
  <c r="H114" i="75"/>
  <c r="D114" i="75"/>
  <c r="L114" i="75" s="1"/>
  <c r="B114" i="75"/>
  <c r="X113" i="75"/>
  <c r="Z113" i="75" s="1"/>
  <c r="L113" i="75"/>
  <c r="N113" i="75" s="1"/>
  <c r="B113" i="75"/>
  <c r="X112" i="75"/>
  <c r="T112" i="75"/>
  <c r="P112" i="75"/>
  <c r="H112" i="75"/>
  <c r="D112" i="75"/>
  <c r="L112" i="75" s="1"/>
  <c r="N112" i="75" s="1"/>
  <c r="B112" i="75"/>
  <c r="Z111" i="75"/>
  <c r="X111" i="75"/>
  <c r="V111" i="75"/>
  <c r="L111" i="75"/>
  <c r="N111" i="75" s="1"/>
  <c r="B111" i="75"/>
  <c r="T110" i="75"/>
  <c r="P110" i="75"/>
  <c r="X110" i="75" s="1"/>
  <c r="N110" i="75"/>
  <c r="H110" i="75"/>
  <c r="D110" i="75"/>
  <c r="L110" i="75" s="1"/>
  <c r="B110" i="75"/>
  <c r="Z109" i="75"/>
  <c r="X109" i="75"/>
  <c r="V109" i="75"/>
  <c r="L109" i="75"/>
  <c r="N109" i="75" s="1"/>
  <c r="B109" i="75"/>
  <c r="Z108" i="75"/>
  <c r="X108" i="75"/>
  <c r="V108" i="75"/>
  <c r="N108" i="75"/>
  <c r="L108" i="75"/>
  <c r="B108" i="75"/>
  <c r="X107" i="75"/>
  <c r="Z107" i="75" s="1"/>
  <c r="L107" i="75"/>
  <c r="N107" i="75" s="1"/>
  <c r="B107" i="75"/>
  <c r="X106" i="75"/>
  <c r="Z106" i="75" s="1"/>
  <c r="V106" i="75"/>
  <c r="N106" i="75"/>
  <c r="L106" i="75"/>
  <c r="B106" i="75"/>
  <c r="Z105" i="75"/>
  <c r="X105" i="75"/>
  <c r="V105" i="75"/>
  <c r="N105" i="75"/>
  <c r="L105" i="75"/>
  <c r="B105" i="75"/>
  <c r="T104" i="75"/>
  <c r="P104" i="75"/>
  <c r="X104" i="75" s="1"/>
  <c r="L104" i="75"/>
  <c r="N104" i="75" s="1"/>
  <c r="H104" i="75"/>
  <c r="D104" i="75"/>
  <c r="B104" i="75"/>
  <c r="X103" i="75"/>
  <c r="Z103" i="75" s="1"/>
  <c r="V103" i="75"/>
  <c r="N103" i="75"/>
  <c r="L103" i="75"/>
  <c r="B103" i="75"/>
  <c r="Z102" i="75"/>
  <c r="X102" i="75"/>
  <c r="N102" i="75"/>
  <c r="L102" i="75"/>
  <c r="B102" i="75"/>
  <c r="Z101" i="75"/>
  <c r="X101" i="75"/>
  <c r="T101" i="75"/>
  <c r="P101" i="75"/>
  <c r="L101" i="75"/>
  <c r="J101" i="75"/>
  <c r="H101" i="75"/>
  <c r="D101" i="75"/>
  <c r="B101" i="75"/>
  <c r="Z100" i="75"/>
  <c r="X100" i="75"/>
  <c r="V100" i="75"/>
  <c r="N100" i="75"/>
  <c r="L100" i="75"/>
  <c r="B100" i="75"/>
  <c r="Z99" i="75"/>
  <c r="X99" i="75"/>
  <c r="V99" i="75"/>
  <c r="L99" i="75"/>
  <c r="N99" i="75" s="1"/>
  <c r="B99" i="75"/>
  <c r="Z98" i="75"/>
  <c r="X98" i="75"/>
  <c r="L98" i="75"/>
  <c r="N98" i="75" s="1"/>
  <c r="B98" i="75"/>
  <c r="T97" i="75"/>
  <c r="P97" i="75"/>
  <c r="J97" i="75"/>
  <c r="H97" i="75"/>
  <c r="D97" i="75"/>
  <c r="B97" i="75"/>
  <c r="Z96" i="75"/>
  <c r="X96" i="75"/>
  <c r="V96" i="75"/>
  <c r="L96" i="75"/>
  <c r="N96" i="75" s="1"/>
  <c r="B96" i="75"/>
  <c r="Z95" i="75"/>
  <c r="X95" i="75"/>
  <c r="N95" i="75"/>
  <c r="L95" i="75"/>
  <c r="B95" i="75"/>
  <c r="X94" i="75"/>
  <c r="Z94" i="75" s="1"/>
  <c r="V94" i="75"/>
  <c r="T94" i="75"/>
  <c r="P94" i="75"/>
  <c r="H94" i="75"/>
  <c r="D94" i="75"/>
  <c r="L94" i="75" s="1"/>
  <c r="B94" i="75"/>
  <c r="Z93" i="75"/>
  <c r="X93" i="75"/>
  <c r="N93" i="75"/>
  <c r="L93" i="75"/>
  <c r="B93" i="75"/>
  <c r="T92" i="75"/>
  <c r="P92" i="75"/>
  <c r="N92" i="75"/>
  <c r="H92" i="75"/>
  <c r="D92" i="75"/>
  <c r="L92" i="75" s="1"/>
  <c r="B92" i="75"/>
  <c r="Z91" i="75"/>
  <c r="X91" i="75"/>
  <c r="V91" i="75"/>
  <c r="L91" i="75"/>
  <c r="N91" i="75" s="1"/>
  <c r="B91" i="75"/>
  <c r="Z90" i="75"/>
  <c r="X90" i="75"/>
  <c r="T90" i="75"/>
  <c r="P90" i="75"/>
  <c r="H90" i="75"/>
  <c r="D90" i="75"/>
  <c r="L90" i="75" s="1"/>
  <c r="N90" i="75" s="1"/>
  <c r="B90" i="75"/>
  <c r="Z89" i="75"/>
  <c r="X89" i="75"/>
  <c r="V89" i="75"/>
  <c r="N89" i="75"/>
  <c r="L89" i="75"/>
  <c r="B89" i="75"/>
  <c r="V88" i="75"/>
  <c r="T88" i="75"/>
  <c r="P88" i="75"/>
  <c r="X88" i="75" s="1"/>
  <c r="N88" i="75"/>
  <c r="L88" i="75"/>
  <c r="H88" i="75"/>
  <c r="D88" i="75"/>
  <c r="B88" i="75"/>
  <c r="Z87" i="75"/>
  <c r="X87" i="75"/>
  <c r="V87" i="75"/>
  <c r="N87" i="75"/>
  <c r="L87" i="75"/>
  <c r="J87" i="75"/>
  <c r="B87" i="75"/>
  <c r="Z86" i="75"/>
  <c r="X86" i="75"/>
  <c r="N86" i="75"/>
  <c r="L86" i="75"/>
  <c r="B86" i="75"/>
  <c r="T85" i="75"/>
  <c r="P85" i="75"/>
  <c r="L85" i="75"/>
  <c r="H85" i="75"/>
  <c r="D85" i="75"/>
  <c r="B85" i="75"/>
  <c r="Z84" i="75"/>
  <c r="X84" i="75"/>
  <c r="V84" i="75"/>
  <c r="L84" i="75"/>
  <c r="N84" i="75" s="1"/>
  <c r="B84" i="75"/>
  <c r="T83" i="75"/>
  <c r="P83" i="75"/>
  <c r="X83" i="75" s="1"/>
  <c r="H83" i="75"/>
  <c r="D83" i="75"/>
  <c r="B83" i="75"/>
  <c r="Z82" i="75"/>
  <c r="X82" i="75"/>
  <c r="V82" i="75"/>
  <c r="N82" i="75"/>
  <c r="L82" i="75"/>
  <c r="B82" i="75"/>
  <c r="Z81" i="75"/>
  <c r="X81" i="75"/>
  <c r="V81" i="75"/>
  <c r="N81" i="75"/>
  <c r="L81" i="75"/>
  <c r="B81" i="75"/>
  <c r="T80" i="75"/>
  <c r="P80" i="75"/>
  <c r="L80" i="75"/>
  <c r="N80" i="75" s="1"/>
  <c r="H80" i="75"/>
  <c r="D80" i="75"/>
  <c r="B80" i="75"/>
  <c r="X79" i="75"/>
  <c r="Z79" i="75" s="1"/>
  <c r="V79" i="75"/>
  <c r="N79" i="75"/>
  <c r="L79" i="75"/>
  <c r="J79" i="75"/>
  <c r="B79" i="75"/>
  <c r="T78" i="75"/>
  <c r="P78" i="75"/>
  <c r="X78" i="75" s="1"/>
  <c r="Z78" i="75" s="1"/>
  <c r="L78" i="75"/>
  <c r="H78" i="75"/>
  <c r="D78" i="75"/>
  <c r="B78" i="75"/>
  <c r="Z77" i="75"/>
  <c r="X77" i="75"/>
  <c r="N77" i="75"/>
  <c r="L77" i="75"/>
  <c r="J77" i="75"/>
  <c r="B77" i="75"/>
  <c r="Z76" i="75"/>
  <c r="X76" i="75"/>
  <c r="V76" i="75"/>
  <c r="N76" i="75"/>
  <c r="L76" i="75"/>
  <c r="J76" i="75"/>
  <c r="B76" i="75"/>
  <c r="Z75" i="75"/>
  <c r="X75" i="75"/>
  <c r="V75" i="75"/>
  <c r="L75" i="75"/>
  <c r="N75" i="75" s="1"/>
  <c r="B75" i="75"/>
  <c r="Z74" i="75"/>
  <c r="X74" i="75"/>
  <c r="N74" i="75"/>
  <c r="L74" i="75"/>
  <c r="B74" i="75"/>
  <c r="Z73" i="75"/>
  <c r="X73" i="75"/>
  <c r="N73" i="75"/>
  <c r="L73" i="75"/>
  <c r="B73" i="75"/>
  <c r="Z72" i="75"/>
  <c r="X72" i="75"/>
  <c r="V72" i="75"/>
  <c r="N72" i="75"/>
  <c r="L72" i="75"/>
  <c r="J72" i="75"/>
  <c r="B72" i="75"/>
  <c r="Z71" i="75"/>
  <c r="X71" i="75"/>
  <c r="V71" i="75"/>
  <c r="L71" i="75"/>
  <c r="N71" i="75" s="1"/>
  <c r="B71" i="75"/>
  <c r="Z70" i="75"/>
  <c r="X70" i="75"/>
  <c r="N70" i="75"/>
  <c r="L70" i="75"/>
  <c r="B70" i="75"/>
  <c r="Z69" i="75"/>
  <c r="X69" i="75"/>
  <c r="N69" i="75"/>
  <c r="L69" i="75"/>
  <c r="B69" i="75"/>
  <c r="Z68" i="75"/>
  <c r="X68" i="75"/>
  <c r="V68" i="75"/>
  <c r="N68" i="75"/>
  <c r="L68" i="75"/>
  <c r="B68" i="75"/>
  <c r="V67" i="75"/>
  <c r="T67" i="75"/>
  <c r="P67" i="75"/>
  <c r="H67" i="75"/>
  <c r="D67" i="75"/>
  <c r="L67" i="75" s="1"/>
  <c r="B67" i="75"/>
  <c r="Z66" i="75"/>
  <c r="X66" i="75"/>
  <c r="V66" i="75"/>
  <c r="N66" i="75"/>
  <c r="L66" i="75"/>
  <c r="B66" i="75"/>
  <c r="Z65" i="75"/>
  <c r="X65" i="75"/>
  <c r="V65" i="75"/>
  <c r="L65" i="75"/>
  <c r="N65" i="75" s="1"/>
  <c r="B65" i="75"/>
  <c r="X64" i="75"/>
  <c r="Z64" i="75" s="1"/>
  <c r="V64" i="75"/>
  <c r="L64" i="75"/>
  <c r="N64" i="75" s="1"/>
  <c r="B64" i="75"/>
  <c r="Z63" i="75"/>
  <c r="X63" i="75"/>
  <c r="N63" i="75"/>
  <c r="L63" i="75"/>
  <c r="B63" i="75"/>
  <c r="X62" i="75"/>
  <c r="Z62" i="75" s="1"/>
  <c r="V62" i="75"/>
  <c r="N62" i="75"/>
  <c r="L62" i="75"/>
  <c r="B62" i="75"/>
  <c r="Z61" i="75"/>
  <c r="X61" i="75"/>
  <c r="V61" i="75"/>
  <c r="L61" i="75"/>
  <c r="N61" i="75" s="1"/>
  <c r="B61" i="75"/>
  <c r="X60" i="75"/>
  <c r="Z60" i="75" s="1"/>
  <c r="V60" i="75"/>
  <c r="L60" i="75"/>
  <c r="N60" i="75" s="1"/>
  <c r="B60" i="75"/>
  <c r="X59" i="75"/>
  <c r="Z59" i="75" s="1"/>
  <c r="L59" i="75"/>
  <c r="N59" i="75" s="1"/>
  <c r="J59" i="75"/>
  <c r="B59" i="75"/>
  <c r="X58" i="75"/>
  <c r="Z58" i="75" s="1"/>
  <c r="V58" i="75"/>
  <c r="N58" i="75"/>
  <c r="L58" i="75"/>
  <c r="B58" i="75"/>
  <c r="Z57" i="75"/>
  <c r="V57" i="75"/>
  <c r="T57" i="75"/>
  <c r="P57" i="75"/>
  <c r="X57" i="75" s="1"/>
  <c r="L57" i="75"/>
  <c r="H57" i="75"/>
  <c r="D57" i="75"/>
  <c r="B57" i="75"/>
  <c r="T56" i="75"/>
  <c r="P56" i="75"/>
  <c r="H56" i="75"/>
  <c r="N56" i="75" s="1"/>
  <c r="D56" i="75"/>
  <c r="L56" i="75" s="1"/>
  <c r="T54" i="75"/>
  <c r="Z52" i="75"/>
  <c r="X52" i="75"/>
  <c r="N52" i="75"/>
  <c r="L52" i="75"/>
  <c r="B52" i="75"/>
  <c r="Z51" i="75"/>
  <c r="X51" i="75"/>
  <c r="V51" i="75"/>
  <c r="N51" i="75"/>
  <c r="L51" i="75"/>
  <c r="B51" i="75"/>
  <c r="Z50" i="75"/>
  <c r="X50" i="75"/>
  <c r="N50" i="75"/>
  <c r="L50" i="75"/>
  <c r="B50" i="75"/>
  <c r="Z49" i="75"/>
  <c r="X49" i="75"/>
  <c r="N49" i="75"/>
  <c r="L49" i="75"/>
  <c r="B49" i="75"/>
  <c r="Z48" i="75"/>
  <c r="X48" i="75"/>
  <c r="N48" i="75"/>
  <c r="L48" i="75"/>
  <c r="B48" i="75"/>
  <c r="Z47" i="75"/>
  <c r="X47" i="75"/>
  <c r="V47" i="75"/>
  <c r="N47" i="75"/>
  <c r="L47" i="75"/>
  <c r="B47" i="75"/>
  <c r="Z46" i="75"/>
  <c r="X46" i="75"/>
  <c r="N46" i="75"/>
  <c r="L46" i="75"/>
  <c r="B46" i="75"/>
  <c r="Z45" i="75"/>
  <c r="X45" i="75"/>
  <c r="N45" i="75"/>
  <c r="L45" i="75"/>
  <c r="B45" i="75"/>
  <c r="Z44" i="75"/>
  <c r="X44" i="75"/>
  <c r="N44" i="75"/>
  <c r="L44" i="75"/>
  <c r="B44" i="75"/>
  <c r="Z43" i="75"/>
  <c r="X43" i="75"/>
  <c r="V43" i="75"/>
  <c r="N43" i="75"/>
  <c r="L43" i="75"/>
  <c r="B43" i="75"/>
  <c r="Z42" i="75"/>
  <c r="X42" i="75"/>
  <c r="N42" i="75"/>
  <c r="L42" i="75"/>
  <c r="B42" i="75"/>
  <c r="Z41" i="75"/>
  <c r="X41" i="75"/>
  <c r="N41" i="75"/>
  <c r="L41" i="75"/>
  <c r="B41" i="75"/>
  <c r="Z40" i="75"/>
  <c r="X40" i="75"/>
  <c r="N40" i="75"/>
  <c r="L40" i="75"/>
  <c r="B40" i="75"/>
  <c r="Z39" i="75"/>
  <c r="X39" i="75"/>
  <c r="V39" i="75"/>
  <c r="N39" i="75"/>
  <c r="L39" i="75"/>
  <c r="B39" i="75"/>
  <c r="Z38" i="75"/>
  <c r="X38" i="75"/>
  <c r="N38" i="75"/>
  <c r="L38" i="75"/>
  <c r="B38" i="75"/>
  <c r="Z37" i="75"/>
  <c r="X37" i="75"/>
  <c r="V37" i="75"/>
  <c r="L37" i="75"/>
  <c r="N37" i="75" s="1"/>
  <c r="B37" i="75"/>
  <c r="T36" i="75"/>
  <c r="P36" i="75"/>
  <c r="H36" i="75"/>
  <c r="D36" i="75"/>
  <c r="L36" i="75" s="1"/>
  <c r="N36" i="75" s="1"/>
  <c r="Z34" i="75"/>
  <c r="X34" i="75"/>
  <c r="P34" i="75"/>
  <c r="N34" i="75"/>
  <c r="D34" i="75"/>
  <c r="L34" i="75" s="1"/>
  <c r="B34" i="75"/>
  <c r="Z33" i="75"/>
  <c r="X33" i="75"/>
  <c r="P33" i="75"/>
  <c r="N33" i="75"/>
  <c r="L33" i="75"/>
  <c r="D33" i="75"/>
  <c r="B33" i="75"/>
  <c r="Z32" i="75"/>
  <c r="X32" i="75"/>
  <c r="P32" i="75"/>
  <c r="N32" i="75"/>
  <c r="L32" i="75"/>
  <c r="D32" i="75"/>
  <c r="B32" i="75"/>
  <c r="Z31" i="75"/>
  <c r="P31" i="75"/>
  <c r="X31" i="75" s="1"/>
  <c r="N31" i="75"/>
  <c r="L31" i="75"/>
  <c r="D31" i="75"/>
  <c r="B31" i="75"/>
  <c r="Z30" i="75"/>
  <c r="P30" i="75"/>
  <c r="X30" i="75" s="1"/>
  <c r="N30" i="75"/>
  <c r="L30" i="75"/>
  <c r="D30" i="75"/>
  <c r="B30" i="75"/>
  <c r="Z29" i="75"/>
  <c r="P29" i="75"/>
  <c r="X29" i="75" s="1"/>
  <c r="N29" i="75"/>
  <c r="L29" i="75"/>
  <c r="D29" i="75"/>
  <c r="B29" i="75"/>
  <c r="Z28" i="75"/>
  <c r="P28" i="75"/>
  <c r="X28" i="75" s="1"/>
  <c r="N28" i="75"/>
  <c r="L28" i="75"/>
  <c r="D28" i="75"/>
  <c r="B28" i="75"/>
  <c r="Z27" i="75"/>
  <c r="P27" i="75"/>
  <c r="X27" i="75" s="1"/>
  <c r="N27" i="75"/>
  <c r="L27" i="75"/>
  <c r="D27" i="75"/>
  <c r="B27" i="75"/>
  <c r="Z26" i="75"/>
  <c r="P26" i="75"/>
  <c r="N26" i="75"/>
  <c r="D26" i="75"/>
  <c r="L26" i="75" s="1"/>
  <c r="B26" i="75"/>
  <c r="Z25" i="75"/>
  <c r="X25" i="75"/>
  <c r="P25" i="75"/>
  <c r="N25" i="75"/>
  <c r="D25" i="75"/>
  <c r="L25" i="75" s="1"/>
  <c r="B25" i="75"/>
  <c r="Z24" i="75"/>
  <c r="X24" i="75"/>
  <c r="P24" i="75"/>
  <c r="N24" i="75"/>
  <c r="D24" i="75"/>
  <c r="L24" i="75" s="1"/>
  <c r="B24" i="75"/>
  <c r="Z23" i="75"/>
  <c r="X23" i="75"/>
  <c r="P23" i="75"/>
  <c r="N23" i="75"/>
  <c r="D23" i="75"/>
  <c r="L23" i="75" s="1"/>
  <c r="B23" i="75"/>
  <c r="Z22" i="75"/>
  <c r="X22" i="75"/>
  <c r="P22" i="75"/>
  <c r="N22" i="75"/>
  <c r="L22" i="75"/>
  <c r="D22" i="75"/>
  <c r="B22" i="75"/>
  <c r="Z21" i="75"/>
  <c r="X21" i="75"/>
  <c r="P21" i="75"/>
  <c r="N21" i="75"/>
  <c r="L21" i="75"/>
  <c r="D21" i="75"/>
  <c r="B21" i="75"/>
  <c r="Z20" i="75"/>
  <c r="X20" i="75"/>
  <c r="P20" i="75"/>
  <c r="N20" i="75"/>
  <c r="L20" i="75"/>
  <c r="D20" i="75"/>
  <c r="B20" i="75"/>
  <c r="Z19" i="75"/>
  <c r="X19" i="75"/>
  <c r="P19" i="75"/>
  <c r="N19" i="75"/>
  <c r="L19" i="75"/>
  <c r="D19" i="75"/>
  <c r="B19" i="75"/>
  <c r="Z18" i="75"/>
  <c r="X18" i="75"/>
  <c r="P18" i="75"/>
  <c r="N18" i="75"/>
  <c r="L18" i="75"/>
  <c r="D18" i="75"/>
  <c r="B18" i="75"/>
  <c r="Z17" i="75"/>
  <c r="P17" i="75"/>
  <c r="X17" i="75" s="1"/>
  <c r="N17" i="75"/>
  <c r="D17" i="75"/>
  <c r="L17" i="75" s="1"/>
  <c r="B17" i="75"/>
  <c r="Z16" i="75"/>
  <c r="P16" i="75"/>
  <c r="X16" i="75" s="1"/>
  <c r="N16" i="75"/>
  <c r="D16" i="75"/>
  <c r="L16" i="75" s="1"/>
  <c r="B16" i="75"/>
  <c r="Z15" i="75"/>
  <c r="P15" i="75"/>
  <c r="X15" i="75" s="1"/>
  <c r="N15" i="75"/>
  <c r="D15" i="75"/>
  <c r="L15" i="75" s="1"/>
  <c r="B15" i="75"/>
  <c r="Z14" i="75"/>
  <c r="P14" i="75"/>
  <c r="X14" i="75" s="1"/>
  <c r="N14" i="75"/>
  <c r="D14" i="75"/>
  <c r="L14" i="75" s="1"/>
  <c r="B14" i="75"/>
  <c r="Z13" i="75"/>
  <c r="X13" i="75"/>
  <c r="P13" i="75"/>
  <c r="D13" i="75"/>
  <c r="L13" i="75" s="1"/>
  <c r="N13" i="75" s="1"/>
  <c r="B13" i="75"/>
  <c r="T12" i="75"/>
  <c r="H12" i="75"/>
  <c r="J69" i="75" s="1"/>
  <c r="D6" i="75"/>
  <c r="D4" i="75"/>
  <c r="Z102" i="74"/>
  <c r="X102" i="74"/>
  <c r="L102" i="74"/>
  <c r="N102" i="74" s="1"/>
  <c r="J102" i="74"/>
  <c r="T98" i="74"/>
  <c r="Z98" i="74" s="1"/>
  <c r="P98" i="74"/>
  <c r="X98" i="74" s="1"/>
  <c r="N98" i="74"/>
  <c r="H98" i="74"/>
  <c r="D98" i="74"/>
  <c r="L98" i="74" s="1"/>
  <c r="Z96" i="74"/>
  <c r="X96" i="74"/>
  <c r="N96" i="74"/>
  <c r="L96" i="74"/>
  <c r="J96" i="74"/>
  <c r="B96" i="74"/>
  <c r="X95" i="74"/>
  <c r="V95" i="74"/>
  <c r="T95" i="74"/>
  <c r="Z95" i="74" s="1"/>
  <c r="P95" i="74"/>
  <c r="H95" i="74"/>
  <c r="D95" i="74"/>
  <c r="B95" i="74"/>
  <c r="Z94" i="74"/>
  <c r="X94" i="74"/>
  <c r="N94" i="74"/>
  <c r="L94" i="74"/>
  <c r="B94" i="74"/>
  <c r="T93" i="74"/>
  <c r="Z93" i="74" s="1"/>
  <c r="P93" i="74"/>
  <c r="X93" i="74" s="1"/>
  <c r="N93" i="74"/>
  <c r="H93" i="74"/>
  <c r="D93" i="74"/>
  <c r="L93" i="74" s="1"/>
  <c r="B93" i="74"/>
  <c r="X92" i="74"/>
  <c r="Z92" i="74" s="1"/>
  <c r="V92" i="74"/>
  <c r="N92" i="74"/>
  <c r="L92" i="74"/>
  <c r="B92" i="74"/>
  <c r="X91" i="74"/>
  <c r="Z91" i="74" s="1"/>
  <c r="V91" i="74"/>
  <c r="T91" i="74"/>
  <c r="P91" i="74"/>
  <c r="N91" i="74"/>
  <c r="L91" i="74"/>
  <c r="H91" i="74"/>
  <c r="D91" i="74"/>
  <c r="B91" i="74"/>
  <c r="Z90" i="74"/>
  <c r="X90" i="74"/>
  <c r="N90" i="74"/>
  <c r="L90" i="74"/>
  <c r="B90" i="74"/>
  <c r="T89" i="74"/>
  <c r="P89" i="74"/>
  <c r="N89" i="74"/>
  <c r="L89" i="74"/>
  <c r="J89" i="74"/>
  <c r="H89" i="74"/>
  <c r="D89" i="74"/>
  <c r="B89" i="74"/>
  <c r="Z88" i="74"/>
  <c r="X88" i="74"/>
  <c r="V88" i="74"/>
  <c r="N88" i="74"/>
  <c r="L88" i="74"/>
  <c r="J88" i="74"/>
  <c r="B88" i="74"/>
  <c r="Z87" i="74"/>
  <c r="V87" i="74"/>
  <c r="T87" i="74"/>
  <c r="P87" i="74"/>
  <c r="X87" i="74" s="1"/>
  <c r="H87" i="74"/>
  <c r="N87" i="74" s="1"/>
  <c r="D87" i="74"/>
  <c r="L87" i="74" s="1"/>
  <c r="B87" i="74"/>
  <c r="Z86" i="74"/>
  <c r="X86" i="74"/>
  <c r="N86" i="74"/>
  <c r="L86" i="74"/>
  <c r="B86" i="74"/>
  <c r="Z85" i="74"/>
  <c r="X85" i="74"/>
  <c r="T85" i="74"/>
  <c r="P85" i="74"/>
  <c r="N85" i="74"/>
  <c r="L85" i="74"/>
  <c r="H85" i="74"/>
  <c r="D85" i="74"/>
  <c r="B85" i="74"/>
  <c r="Z84" i="74"/>
  <c r="X84" i="74"/>
  <c r="L84" i="74"/>
  <c r="N84" i="74" s="1"/>
  <c r="J84" i="74"/>
  <c r="B84" i="74"/>
  <c r="X83" i="74"/>
  <c r="V83" i="74"/>
  <c r="T83" i="74"/>
  <c r="Z83" i="74" s="1"/>
  <c r="P83" i="74"/>
  <c r="H83" i="74"/>
  <c r="D83" i="74"/>
  <c r="B83" i="74"/>
  <c r="Z82" i="74"/>
  <c r="X82" i="74"/>
  <c r="N82" i="74"/>
  <c r="L82" i="74"/>
  <c r="B82" i="74"/>
  <c r="Z81" i="74"/>
  <c r="X81" i="74"/>
  <c r="N81" i="74"/>
  <c r="L81" i="74"/>
  <c r="B81" i="74"/>
  <c r="X80" i="74"/>
  <c r="V80" i="74"/>
  <c r="T80" i="74"/>
  <c r="Z80" i="74" s="1"/>
  <c r="P80" i="74"/>
  <c r="N80" i="74"/>
  <c r="L80" i="74"/>
  <c r="H80" i="74"/>
  <c r="D80" i="74"/>
  <c r="B80" i="74"/>
  <c r="X79" i="74"/>
  <c r="Z79" i="74" s="1"/>
  <c r="V79" i="74"/>
  <c r="L79" i="74"/>
  <c r="N79" i="74" s="1"/>
  <c r="J79" i="74"/>
  <c r="B79" i="74"/>
  <c r="T78" i="74"/>
  <c r="P78" i="74"/>
  <c r="X78" i="74" s="1"/>
  <c r="H78" i="74"/>
  <c r="D78" i="74"/>
  <c r="B78" i="74"/>
  <c r="Z77" i="74"/>
  <c r="X77" i="74"/>
  <c r="V77" i="74"/>
  <c r="N77" i="74"/>
  <c r="L77" i="74"/>
  <c r="B77" i="74"/>
  <c r="Z76" i="74"/>
  <c r="X76" i="74"/>
  <c r="N76" i="74"/>
  <c r="L76" i="74"/>
  <c r="J76" i="74"/>
  <c r="B76" i="74"/>
  <c r="X75" i="74"/>
  <c r="Z75" i="74" s="1"/>
  <c r="V75" i="74"/>
  <c r="N75" i="74"/>
  <c r="L75" i="74"/>
  <c r="B75" i="74"/>
  <c r="Z74" i="74"/>
  <c r="X74" i="74"/>
  <c r="N74" i="74"/>
  <c r="L74" i="74"/>
  <c r="B74" i="74"/>
  <c r="Z73" i="74"/>
  <c r="X73" i="74"/>
  <c r="V73" i="74"/>
  <c r="N73" i="74"/>
  <c r="L73" i="74"/>
  <c r="B73" i="74"/>
  <c r="Z72" i="74"/>
  <c r="X72" i="74"/>
  <c r="N72" i="74"/>
  <c r="L72" i="74"/>
  <c r="J72" i="74"/>
  <c r="B72" i="74"/>
  <c r="Z71" i="74"/>
  <c r="X71" i="74"/>
  <c r="V71" i="74"/>
  <c r="N71" i="74"/>
  <c r="L71" i="74"/>
  <c r="B71" i="74"/>
  <c r="Z70" i="74"/>
  <c r="X70" i="74"/>
  <c r="N70" i="74"/>
  <c r="L70" i="74"/>
  <c r="B70" i="74"/>
  <c r="Z69" i="74"/>
  <c r="X69" i="74"/>
  <c r="V69" i="74"/>
  <c r="N69" i="74"/>
  <c r="L69" i="74"/>
  <c r="F69" i="74"/>
  <c r="B69" i="74"/>
  <c r="Z68" i="74"/>
  <c r="X68" i="74"/>
  <c r="L68" i="74"/>
  <c r="N68" i="74" s="1"/>
  <c r="J68" i="74"/>
  <c r="B68" i="74"/>
  <c r="X67" i="74"/>
  <c r="V67" i="74"/>
  <c r="T67" i="74"/>
  <c r="P67" i="74"/>
  <c r="H67" i="74"/>
  <c r="D67" i="74"/>
  <c r="B67" i="74"/>
  <c r="Z66" i="74"/>
  <c r="X66" i="74"/>
  <c r="V66" i="74"/>
  <c r="N66" i="74"/>
  <c r="L66" i="74"/>
  <c r="B66" i="74"/>
  <c r="Z65" i="74"/>
  <c r="X65" i="74"/>
  <c r="V65" i="74"/>
  <c r="N65" i="74"/>
  <c r="L65" i="74"/>
  <c r="B65" i="74"/>
  <c r="X64" i="74"/>
  <c r="Z64" i="74" s="1"/>
  <c r="V64" i="74"/>
  <c r="L64" i="74"/>
  <c r="N64" i="74" s="1"/>
  <c r="J64" i="74"/>
  <c r="B64" i="74"/>
  <c r="Z63" i="74"/>
  <c r="X63" i="74"/>
  <c r="V63" i="74"/>
  <c r="N63" i="74"/>
  <c r="L63" i="74"/>
  <c r="B63" i="74"/>
  <c r="X62" i="74"/>
  <c r="Z62" i="74" s="1"/>
  <c r="V62" i="74"/>
  <c r="L62" i="74"/>
  <c r="N62" i="74" s="1"/>
  <c r="B62" i="74"/>
  <c r="Z61" i="74"/>
  <c r="X61" i="74"/>
  <c r="V61" i="74"/>
  <c r="N61" i="74"/>
  <c r="L61" i="74"/>
  <c r="B61" i="74"/>
  <c r="X60" i="74"/>
  <c r="Z60" i="74" s="1"/>
  <c r="V60" i="74"/>
  <c r="L60" i="74"/>
  <c r="N60" i="74" s="1"/>
  <c r="J60" i="74"/>
  <c r="B60" i="74"/>
  <c r="Z59" i="74"/>
  <c r="X59" i="74"/>
  <c r="V59" i="74"/>
  <c r="L59" i="74"/>
  <c r="N59" i="74" s="1"/>
  <c r="J59" i="74"/>
  <c r="B59" i="74"/>
  <c r="X58" i="74"/>
  <c r="Z58" i="74" s="1"/>
  <c r="V58" i="74"/>
  <c r="L58" i="74"/>
  <c r="N58" i="74" s="1"/>
  <c r="B58" i="74"/>
  <c r="T57" i="74"/>
  <c r="P57" i="74"/>
  <c r="J57" i="74"/>
  <c r="H57" i="74"/>
  <c r="D57" i="74"/>
  <c r="L57" i="74" s="1"/>
  <c r="N57" i="74" s="1"/>
  <c r="B57" i="74"/>
  <c r="T56" i="74"/>
  <c r="P56" i="74"/>
  <c r="H56" i="74"/>
  <c r="D56" i="74"/>
  <c r="L56" i="74" s="1"/>
  <c r="Z52" i="74"/>
  <c r="X52" i="74"/>
  <c r="V52" i="74"/>
  <c r="N52" i="74"/>
  <c r="L52" i="74"/>
  <c r="B52" i="74"/>
  <c r="Z51" i="74"/>
  <c r="X51" i="74"/>
  <c r="V51" i="74"/>
  <c r="N51" i="74"/>
  <c r="L51" i="74"/>
  <c r="J51" i="74"/>
  <c r="B51" i="74"/>
  <c r="Z50" i="74"/>
  <c r="X50" i="74"/>
  <c r="N50" i="74"/>
  <c r="L50" i="74"/>
  <c r="B50" i="74"/>
  <c r="Z49" i="74"/>
  <c r="X49" i="74"/>
  <c r="V49" i="74"/>
  <c r="N49" i="74"/>
  <c r="L49" i="74"/>
  <c r="J49" i="74"/>
  <c r="B49" i="74"/>
  <c r="Z48" i="74"/>
  <c r="X48" i="74"/>
  <c r="V48" i="74"/>
  <c r="N48" i="74"/>
  <c r="L48" i="74"/>
  <c r="B48" i="74"/>
  <c r="Z47" i="74"/>
  <c r="X47" i="74"/>
  <c r="V47" i="74"/>
  <c r="N47" i="74"/>
  <c r="L47" i="74"/>
  <c r="J47" i="74"/>
  <c r="B47" i="74"/>
  <c r="Z46" i="74"/>
  <c r="X46" i="74"/>
  <c r="N46" i="74"/>
  <c r="L46" i="74"/>
  <c r="B46" i="74"/>
  <c r="Z45" i="74"/>
  <c r="X45" i="74"/>
  <c r="V45" i="74"/>
  <c r="N45" i="74"/>
  <c r="L45" i="74"/>
  <c r="J45" i="74"/>
  <c r="B45" i="74"/>
  <c r="Z44" i="74"/>
  <c r="X44" i="74"/>
  <c r="V44" i="74"/>
  <c r="N44" i="74"/>
  <c r="L44" i="74"/>
  <c r="B44" i="74"/>
  <c r="Z43" i="74"/>
  <c r="X43" i="74"/>
  <c r="V43" i="74"/>
  <c r="N43" i="74"/>
  <c r="L43" i="74"/>
  <c r="J43" i="74"/>
  <c r="B43" i="74"/>
  <c r="Z42" i="74"/>
  <c r="X42" i="74"/>
  <c r="N42" i="74"/>
  <c r="L42" i="74"/>
  <c r="B42" i="74"/>
  <c r="Z41" i="74"/>
  <c r="X41" i="74"/>
  <c r="V41" i="74"/>
  <c r="N41" i="74"/>
  <c r="L41" i="74"/>
  <c r="J41" i="74"/>
  <c r="B41" i="74"/>
  <c r="Z40" i="74"/>
  <c r="X40" i="74"/>
  <c r="V40" i="74"/>
  <c r="N40" i="74"/>
  <c r="L40" i="74"/>
  <c r="B40" i="74"/>
  <c r="Z39" i="74"/>
  <c r="X39" i="74"/>
  <c r="V39" i="74"/>
  <c r="N39" i="74"/>
  <c r="L39" i="74"/>
  <c r="J39" i="74"/>
  <c r="B39" i="74"/>
  <c r="Z38" i="74"/>
  <c r="X38" i="74"/>
  <c r="N38" i="74"/>
  <c r="L38" i="74"/>
  <c r="B38" i="74"/>
  <c r="Z37" i="74"/>
  <c r="X37" i="74"/>
  <c r="V37" i="74"/>
  <c r="N37" i="74"/>
  <c r="L37" i="74"/>
  <c r="J37" i="74"/>
  <c r="B37" i="74"/>
  <c r="V36" i="74"/>
  <c r="T36" i="74"/>
  <c r="T54" i="74" s="1"/>
  <c r="P36" i="74"/>
  <c r="H36" i="74"/>
  <c r="D36" i="74"/>
  <c r="L36" i="74" s="1"/>
  <c r="Z34" i="74"/>
  <c r="P34" i="74"/>
  <c r="X34" i="74" s="1"/>
  <c r="N34" i="74"/>
  <c r="L34" i="74"/>
  <c r="D34" i="74"/>
  <c r="B34" i="74"/>
  <c r="Z33" i="74"/>
  <c r="P33" i="74"/>
  <c r="X33" i="74" s="1"/>
  <c r="N33" i="74"/>
  <c r="L33" i="74"/>
  <c r="D33" i="74"/>
  <c r="B33" i="74"/>
  <c r="Z32" i="74"/>
  <c r="X32" i="74"/>
  <c r="P32" i="74"/>
  <c r="N32" i="74"/>
  <c r="D32" i="74"/>
  <c r="L32" i="74" s="1"/>
  <c r="B32" i="74"/>
  <c r="Z31" i="74"/>
  <c r="X31" i="74"/>
  <c r="P31" i="74"/>
  <c r="N31" i="74"/>
  <c r="D31" i="74"/>
  <c r="L31" i="74" s="1"/>
  <c r="B31" i="74"/>
  <c r="Z30" i="74"/>
  <c r="X30" i="74"/>
  <c r="P30" i="74"/>
  <c r="N30" i="74"/>
  <c r="D30" i="74"/>
  <c r="L30" i="74" s="1"/>
  <c r="B30" i="74"/>
  <c r="Z29" i="74"/>
  <c r="P29" i="74"/>
  <c r="X29" i="74" s="1"/>
  <c r="N29" i="74"/>
  <c r="L29" i="74"/>
  <c r="D29" i="74"/>
  <c r="B29" i="74"/>
  <c r="Z28" i="74"/>
  <c r="X28" i="74"/>
  <c r="P28" i="74"/>
  <c r="N28" i="74"/>
  <c r="L28" i="74"/>
  <c r="D28" i="74"/>
  <c r="B28" i="74"/>
  <c r="Z27" i="74"/>
  <c r="X27" i="74"/>
  <c r="P27" i="74"/>
  <c r="N27" i="74"/>
  <c r="L27" i="74"/>
  <c r="D27" i="74"/>
  <c r="B27" i="74"/>
  <c r="Z26" i="74"/>
  <c r="P26" i="74"/>
  <c r="X26" i="74" s="1"/>
  <c r="N26" i="74"/>
  <c r="D26" i="74"/>
  <c r="L26" i="74" s="1"/>
  <c r="B26" i="74"/>
  <c r="Z25" i="74"/>
  <c r="X25" i="74"/>
  <c r="P25" i="74"/>
  <c r="N25" i="74"/>
  <c r="L25" i="74"/>
  <c r="D25" i="74"/>
  <c r="B25" i="74"/>
  <c r="Z24" i="74"/>
  <c r="X24" i="74"/>
  <c r="P24" i="74"/>
  <c r="N24" i="74"/>
  <c r="L24" i="74"/>
  <c r="D24" i="74"/>
  <c r="B24" i="74"/>
  <c r="Z23" i="74"/>
  <c r="P23" i="74"/>
  <c r="X23" i="74" s="1"/>
  <c r="N23" i="74"/>
  <c r="D23" i="74"/>
  <c r="L23" i="74" s="1"/>
  <c r="B23" i="74"/>
  <c r="Z22" i="74"/>
  <c r="P22" i="74"/>
  <c r="X22" i="74" s="1"/>
  <c r="N22" i="74"/>
  <c r="L22" i="74"/>
  <c r="D22" i="74"/>
  <c r="B22" i="74"/>
  <c r="P21" i="74"/>
  <c r="X21" i="74" s="1"/>
  <c r="Z21" i="74" s="1"/>
  <c r="N21" i="74"/>
  <c r="L21" i="74"/>
  <c r="D21" i="74"/>
  <c r="B21" i="74"/>
  <c r="Z20" i="74"/>
  <c r="X20" i="74"/>
  <c r="P20" i="74"/>
  <c r="N20" i="74"/>
  <c r="D20" i="74"/>
  <c r="L20" i="74" s="1"/>
  <c r="B20" i="74"/>
  <c r="Z19" i="74"/>
  <c r="X19" i="74"/>
  <c r="P19" i="74"/>
  <c r="N19" i="74"/>
  <c r="D19" i="74"/>
  <c r="L19" i="74" s="1"/>
  <c r="B19" i="74"/>
  <c r="Z18" i="74"/>
  <c r="X18" i="74"/>
  <c r="P18" i="74"/>
  <c r="N18" i="74"/>
  <c r="D18" i="74"/>
  <c r="L18" i="74" s="1"/>
  <c r="B18" i="74"/>
  <c r="Z17" i="74"/>
  <c r="P17" i="74"/>
  <c r="X17" i="74" s="1"/>
  <c r="N17" i="74"/>
  <c r="L17" i="74"/>
  <c r="D17" i="74"/>
  <c r="B17" i="74"/>
  <c r="Z16" i="74"/>
  <c r="X16" i="74"/>
  <c r="P16" i="74"/>
  <c r="N16" i="74"/>
  <c r="L16" i="74"/>
  <c r="D16" i="74"/>
  <c r="D12" i="74" s="1"/>
  <c r="B16" i="74"/>
  <c r="Z15" i="74"/>
  <c r="P15" i="74"/>
  <c r="X15" i="74" s="1"/>
  <c r="N15" i="74"/>
  <c r="L15" i="74"/>
  <c r="D15" i="74"/>
  <c r="B15" i="74"/>
  <c r="Z14" i="74"/>
  <c r="P14" i="74"/>
  <c r="X14" i="74" s="1"/>
  <c r="N14" i="74"/>
  <c r="D14" i="74"/>
  <c r="L14" i="74" s="1"/>
  <c r="B14" i="74"/>
  <c r="Z13" i="74"/>
  <c r="P13" i="74"/>
  <c r="X13" i="74" s="1"/>
  <c r="L13" i="74"/>
  <c r="N13" i="74" s="1"/>
  <c r="D13" i="74"/>
  <c r="B13" i="74"/>
  <c r="T12" i="74"/>
  <c r="V94" i="74" s="1"/>
  <c r="H12" i="74"/>
  <c r="J91" i="74" s="1"/>
  <c r="D6" i="74"/>
  <c r="D4" i="74"/>
  <c r="X88" i="73"/>
  <c r="Z88" i="73" s="1"/>
  <c r="V88" i="73"/>
  <c r="L88" i="73"/>
  <c r="N88" i="73" s="1"/>
  <c r="J88" i="73"/>
  <c r="F88" i="73"/>
  <c r="T84" i="73"/>
  <c r="Z84" i="73" s="1"/>
  <c r="P84" i="73"/>
  <c r="X84" i="73" s="1"/>
  <c r="N84" i="73"/>
  <c r="H84" i="73"/>
  <c r="D84" i="73"/>
  <c r="L84" i="73" s="1"/>
  <c r="X82" i="73"/>
  <c r="Z82" i="73" s="1"/>
  <c r="N82" i="73"/>
  <c r="L82" i="73"/>
  <c r="J82" i="73"/>
  <c r="B82" i="73"/>
  <c r="X81" i="73"/>
  <c r="Z81" i="73" s="1"/>
  <c r="V81" i="73"/>
  <c r="T81" i="73"/>
  <c r="P81" i="73"/>
  <c r="H81" i="73"/>
  <c r="D81" i="73"/>
  <c r="B81" i="73"/>
  <c r="X80" i="73"/>
  <c r="Z80" i="73" s="1"/>
  <c r="L80" i="73"/>
  <c r="N80" i="73" s="1"/>
  <c r="B80" i="73"/>
  <c r="T79" i="73"/>
  <c r="P79" i="73"/>
  <c r="X79" i="73" s="1"/>
  <c r="J79" i="73"/>
  <c r="H79" i="73"/>
  <c r="D79" i="73"/>
  <c r="L79" i="73" s="1"/>
  <c r="N79" i="73" s="1"/>
  <c r="B79" i="73"/>
  <c r="Z78" i="73"/>
  <c r="X78" i="73"/>
  <c r="V78" i="73"/>
  <c r="N78" i="73"/>
  <c r="L78" i="73"/>
  <c r="B78" i="73"/>
  <c r="X77" i="73"/>
  <c r="Z77" i="73" s="1"/>
  <c r="V77" i="73"/>
  <c r="L77" i="73"/>
  <c r="N77" i="73" s="1"/>
  <c r="J77" i="73"/>
  <c r="B77" i="73"/>
  <c r="Z76" i="73"/>
  <c r="X76" i="73"/>
  <c r="N76" i="73"/>
  <c r="L76" i="73"/>
  <c r="B76" i="73"/>
  <c r="Z75" i="73"/>
  <c r="X75" i="73"/>
  <c r="N75" i="73"/>
  <c r="L75" i="73"/>
  <c r="J75" i="73"/>
  <c r="B75" i="73"/>
  <c r="Z74" i="73"/>
  <c r="X74" i="73"/>
  <c r="V74" i="73"/>
  <c r="N74" i="73"/>
  <c r="L74" i="73"/>
  <c r="B74" i="73"/>
  <c r="Z73" i="73"/>
  <c r="X73" i="73"/>
  <c r="V73" i="73"/>
  <c r="N73" i="73"/>
  <c r="L73" i="73"/>
  <c r="J73" i="73"/>
  <c r="B73" i="73"/>
  <c r="T72" i="73"/>
  <c r="Z72" i="73" s="1"/>
  <c r="P72" i="73"/>
  <c r="X72" i="73" s="1"/>
  <c r="J72" i="73"/>
  <c r="H72" i="73"/>
  <c r="D72" i="73"/>
  <c r="L72" i="73" s="1"/>
  <c r="B72" i="73"/>
  <c r="Z71" i="73"/>
  <c r="X71" i="73"/>
  <c r="V71" i="73"/>
  <c r="N71" i="73"/>
  <c r="L71" i="73"/>
  <c r="F71" i="73"/>
  <c r="B71" i="73"/>
  <c r="T70" i="73"/>
  <c r="Z70" i="73" s="1"/>
  <c r="P70" i="73"/>
  <c r="X70" i="73" s="1"/>
  <c r="N70" i="73"/>
  <c r="H70" i="73"/>
  <c r="D70" i="73"/>
  <c r="L70" i="73" s="1"/>
  <c r="B70" i="73"/>
  <c r="Z69" i="73"/>
  <c r="X69" i="73"/>
  <c r="L69" i="73"/>
  <c r="N69" i="73" s="1"/>
  <c r="J69" i="73"/>
  <c r="B69" i="73"/>
  <c r="Z68" i="73"/>
  <c r="X68" i="73"/>
  <c r="N68" i="73"/>
  <c r="L68" i="73"/>
  <c r="B68" i="73"/>
  <c r="Z67" i="73"/>
  <c r="X67" i="73"/>
  <c r="N67" i="73"/>
  <c r="L67" i="73"/>
  <c r="B67" i="73"/>
  <c r="X66" i="73"/>
  <c r="V66" i="73"/>
  <c r="T66" i="73"/>
  <c r="Z66" i="73" s="1"/>
  <c r="P66" i="73"/>
  <c r="L66" i="73"/>
  <c r="N66" i="73" s="1"/>
  <c r="H66" i="73"/>
  <c r="D66" i="73"/>
  <c r="B66" i="73"/>
  <c r="X65" i="73"/>
  <c r="Z65" i="73" s="1"/>
  <c r="V65" i="73"/>
  <c r="L65" i="73"/>
  <c r="N65" i="73" s="1"/>
  <c r="J65" i="73"/>
  <c r="B65" i="73"/>
  <c r="T64" i="73"/>
  <c r="P64" i="73"/>
  <c r="X64" i="73" s="1"/>
  <c r="J64" i="73"/>
  <c r="H64" i="73"/>
  <c r="D64" i="73"/>
  <c r="B64" i="73"/>
  <c r="Z63" i="73"/>
  <c r="X63" i="73"/>
  <c r="V63" i="73"/>
  <c r="N63" i="73"/>
  <c r="L63" i="73"/>
  <c r="B63" i="73"/>
  <c r="T62" i="73"/>
  <c r="Z62" i="73" s="1"/>
  <c r="P62" i="73"/>
  <c r="X62" i="73" s="1"/>
  <c r="N62" i="73"/>
  <c r="H62" i="73"/>
  <c r="D62" i="73"/>
  <c r="L62" i="73" s="1"/>
  <c r="B62" i="73"/>
  <c r="Z61" i="73"/>
  <c r="X61" i="73"/>
  <c r="V61" i="73"/>
  <c r="N61" i="73"/>
  <c r="L61" i="73"/>
  <c r="J61" i="73"/>
  <c r="B61" i="73"/>
  <c r="Z60" i="73"/>
  <c r="X60" i="73"/>
  <c r="T60" i="73"/>
  <c r="P60" i="73"/>
  <c r="L60" i="73"/>
  <c r="J60" i="73"/>
  <c r="H60" i="73"/>
  <c r="N60" i="73" s="1"/>
  <c r="D60" i="73"/>
  <c r="B60" i="73"/>
  <c r="Z59" i="73"/>
  <c r="X59" i="73"/>
  <c r="N59" i="73"/>
  <c r="L59" i="73"/>
  <c r="J59" i="73"/>
  <c r="B59" i="73"/>
  <c r="V58" i="73"/>
  <c r="T58" i="73"/>
  <c r="P58" i="73"/>
  <c r="H58" i="73"/>
  <c r="N58" i="73" s="1"/>
  <c r="D58" i="73"/>
  <c r="L58" i="73" s="1"/>
  <c r="B58" i="73"/>
  <c r="X57" i="73"/>
  <c r="Z57" i="73" s="1"/>
  <c r="V57" i="73"/>
  <c r="N57" i="73"/>
  <c r="L57" i="73"/>
  <c r="J57" i="73"/>
  <c r="B57" i="73"/>
  <c r="T56" i="73"/>
  <c r="P56" i="73"/>
  <c r="X56" i="73" s="1"/>
  <c r="Z56" i="73" s="1"/>
  <c r="H56" i="73"/>
  <c r="D56" i="73"/>
  <c r="L56" i="73" s="1"/>
  <c r="B56" i="73"/>
  <c r="Z55" i="73"/>
  <c r="X55" i="73"/>
  <c r="N55" i="73"/>
  <c r="L55" i="73"/>
  <c r="J55" i="73"/>
  <c r="B55" i="73"/>
  <c r="X54" i="73"/>
  <c r="V54" i="73"/>
  <c r="T54" i="73"/>
  <c r="Z54" i="73" s="1"/>
  <c r="P54" i="73"/>
  <c r="N54" i="73"/>
  <c r="L54" i="73"/>
  <c r="H54" i="73"/>
  <c r="D54" i="73"/>
  <c r="B54" i="73"/>
  <c r="Z53" i="73"/>
  <c r="X53" i="73"/>
  <c r="V53" i="73"/>
  <c r="N53" i="73"/>
  <c r="L53" i="73"/>
  <c r="J53" i="73"/>
  <c r="B53" i="73"/>
  <c r="T52" i="73"/>
  <c r="Z52" i="73" s="1"/>
  <c r="P52" i="73"/>
  <c r="X52" i="73" s="1"/>
  <c r="H52" i="73"/>
  <c r="N52" i="73" s="1"/>
  <c r="D52" i="73"/>
  <c r="L52" i="73" s="1"/>
  <c r="B52" i="73"/>
  <c r="Z51" i="73"/>
  <c r="X51" i="73"/>
  <c r="V51" i="73"/>
  <c r="N51" i="73"/>
  <c r="L51" i="73"/>
  <c r="J51" i="73"/>
  <c r="B51" i="73"/>
  <c r="T50" i="73"/>
  <c r="Z50" i="73" s="1"/>
  <c r="P50" i="73"/>
  <c r="X50" i="73" s="1"/>
  <c r="N50" i="73"/>
  <c r="H50" i="73"/>
  <c r="D50" i="73"/>
  <c r="L50" i="73" s="1"/>
  <c r="B50" i="73"/>
  <c r="Z49" i="73"/>
  <c r="X49" i="73"/>
  <c r="V49" i="73"/>
  <c r="N49" i="73"/>
  <c r="L49" i="73"/>
  <c r="J49" i="73"/>
  <c r="B49" i="73"/>
  <c r="Z48" i="73"/>
  <c r="X48" i="73"/>
  <c r="N48" i="73"/>
  <c r="L48" i="73"/>
  <c r="B48" i="73"/>
  <c r="Z47" i="73"/>
  <c r="X47" i="73"/>
  <c r="N47" i="73"/>
  <c r="L47" i="73"/>
  <c r="J47" i="73"/>
  <c r="B47" i="73"/>
  <c r="X46" i="73"/>
  <c r="Z46" i="73" s="1"/>
  <c r="V46" i="73"/>
  <c r="N46" i="73"/>
  <c r="L46" i="73"/>
  <c r="J46" i="73"/>
  <c r="B46" i="73"/>
  <c r="Z45" i="73"/>
  <c r="X45" i="73"/>
  <c r="V45" i="73"/>
  <c r="N45" i="73"/>
  <c r="L45" i="73"/>
  <c r="J45" i="73"/>
  <c r="B45" i="73"/>
  <c r="Z44" i="73"/>
  <c r="X44" i="73"/>
  <c r="N44" i="73"/>
  <c r="L44" i="73"/>
  <c r="B44" i="73"/>
  <c r="Z43" i="73"/>
  <c r="X43" i="73"/>
  <c r="N43" i="73"/>
  <c r="L43" i="73"/>
  <c r="J43" i="73"/>
  <c r="B43" i="73"/>
  <c r="Z42" i="73"/>
  <c r="X42" i="73"/>
  <c r="V42" i="73"/>
  <c r="N42" i="73"/>
  <c r="L42" i="73"/>
  <c r="J42" i="73"/>
  <c r="B42" i="73"/>
  <c r="Z41" i="73"/>
  <c r="X41" i="73"/>
  <c r="V41" i="73"/>
  <c r="N41" i="73"/>
  <c r="L41" i="73"/>
  <c r="J41" i="73"/>
  <c r="B41" i="73"/>
  <c r="Z40" i="73"/>
  <c r="X40" i="73"/>
  <c r="L40" i="73"/>
  <c r="N40" i="73" s="1"/>
  <c r="B40" i="73"/>
  <c r="T39" i="73"/>
  <c r="P39" i="73"/>
  <c r="X39" i="73" s="1"/>
  <c r="J39" i="73"/>
  <c r="H39" i="73"/>
  <c r="D39" i="73"/>
  <c r="L39" i="73" s="1"/>
  <c r="N39" i="73" s="1"/>
  <c r="B39" i="73"/>
  <c r="Z38" i="73"/>
  <c r="X38" i="73"/>
  <c r="V38" i="73"/>
  <c r="N38" i="73"/>
  <c r="L38" i="73"/>
  <c r="B38" i="73"/>
  <c r="X37" i="73"/>
  <c r="Z37" i="73" s="1"/>
  <c r="V37" i="73"/>
  <c r="L37" i="73"/>
  <c r="N37" i="73" s="1"/>
  <c r="J37" i="73"/>
  <c r="B37" i="73"/>
  <c r="X36" i="73"/>
  <c r="Z36" i="73" s="1"/>
  <c r="N36" i="73"/>
  <c r="L36" i="73"/>
  <c r="B36" i="73"/>
  <c r="Z35" i="73"/>
  <c r="X35" i="73"/>
  <c r="N35" i="73"/>
  <c r="L35" i="73"/>
  <c r="J35" i="73"/>
  <c r="B35" i="73"/>
  <c r="X34" i="73"/>
  <c r="Z34" i="73" s="1"/>
  <c r="V34" i="73"/>
  <c r="L34" i="73"/>
  <c r="N34" i="73" s="1"/>
  <c r="B34" i="73"/>
  <c r="X33" i="73"/>
  <c r="Z33" i="73" s="1"/>
  <c r="V33" i="73"/>
  <c r="L33" i="73"/>
  <c r="N33" i="73" s="1"/>
  <c r="J33" i="73"/>
  <c r="B33" i="73"/>
  <c r="X32" i="73"/>
  <c r="Z32" i="73" s="1"/>
  <c r="N32" i="73"/>
  <c r="L32" i="73"/>
  <c r="B32" i="73"/>
  <c r="Z31" i="73"/>
  <c r="X31" i="73"/>
  <c r="V31" i="73"/>
  <c r="N31" i="73"/>
  <c r="L31" i="73"/>
  <c r="J31" i="73"/>
  <c r="B31" i="73"/>
  <c r="X30" i="73"/>
  <c r="Z30" i="73" s="1"/>
  <c r="V30" i="73"/>
  <c r="L30" i="73"/>
  <c r="N30" i="73" s="1"/>
  <c r="B30" i="73"/>
  <c r="X29" i="73"/>
  <c r="Z29" i="73" s="1"/>
  <c r="V29" i="73"/>
  <c r="T29" i="73"/>
  <c r="P29" i="73"/>
  <c r="N29" i="73"/>
  <c r="L29" i="73"/>
  <c r="J29" i="73"/>
  <c r="H29" i="73"/>
  <c r="D29" i="73"/>
  <c r="B29" i="73"/>
  <c r="T28" i="73"/>
  <c r="Z28" i="73" s="1"/>
  <c r="P28" i="73"/>
  <c r="X28" i="73" s="1"/>
  <c r="H28" i="73"/>
  <c r="D28" i="73"/>
  <c r="T26" i="73"/>
  <c r="Z24" i="73"/>
  <c r="X24" i="73"/>
  <c r="N24" i="73"/>
  <c r="L24" i="73"/>
  <c r="J24" i="73"/>
  <c r="B24" i="73"/>
  <c r="Z23" i="73"/>
  <c r="X23" i="73"/>
  <c r="V23" i="73"/>
  <c r="N23" i="73"/>
  <c r="L23" i="73"/>
  <c r="J23" i="73"/>
  <c r="B23" i="73"/>
  <c r="X22" i="73"/>
  <c r="Z22" i="73" s="1"/>
  <c r="L22" i="73"/>
  <c r="N22" i="73" s="1"/>
  <c r="J22" i="73"/>
  <c r="B22" i="73"/>
  <c r="X21" i="73"/>
  <c r="Z21" i="73" s="1"/>
  <c r="V21" i="73"/>
  <c r="T21" i="73"/>
  <c r="P21" i="73"/>
  <c r="H21" i="73"/>
  <c r="D21" i="73"/>
  <c r="Z19" i="73"/>
  <c r="X19" i="73"/>
  <c r="P19" i="73"/>
  <c r="N19" i="73"/>
  <c r="L19" i="73"/>
  <c r="D19" i="73"/>
  <c r="B19" i="73"/>
  <c r="Z18" i="73"/>
  <c r="X18" i="73"/>
  <c r="P18" i="73"/>
  <c r="N18" i="73"/>
  <c r="D18" i="73"/>
  <c r="L18" i="73" s="1"/>
  <c r="B18" i="73"/>
  <c r="Z17" i="73"/>
  <c r="P17" i="73"/>
  <c r="X17" i="73" s="1"/>
  <c r="N17" i="73"/>
  <c r="L17" i="73"/>
  <c r="D17" i="73"/>
  <c r="B17" i="73"/>
  <c r="Z16" i="73"/>
  <c r="X16" i="73"/>
  <c r="P16" i="73"/>
  <c r="N16" i="73"/>
  <c r="D16" i="73"/>
  <c r="L16" i="73" s="1"/>
  <c r="B16" i="73"/>
  <c r="P15" i="73"/>
  <c r="X15" i="73" s="1"/>
  <c r="Z15" i="73" s="1"/>
  <c r="L15" i="73"/>
  <c r="N15" i="73" s="1"/>
  <c r="D15" i="73"/>
  <c r="D12" i="73" s="1"/>
  <c r="B15" i="73"/>
  <c r="Z14" i="73"/>
  <c r="P14" i="73"/>
  <c r="X14" i="73" s="1"/>
  <c r="N14" i="73"/>
  <c r="D14" i="73"/>
  <c r="L14" i="73" s="1"/>
  <c r="B14" i="73"/>
  <c r="Z13" i="73"/>
  <c r="P13" i="73"/>
  <c r="N13" i="73"/>
  <c r="L13" i="73"/>
  <c r="D13" i="73"/>
  <c r="B13" i="73"/>
  <c r="T12" i="73"/>
  <c r="V80" i="73" s="1"/>
  <c r="H12" i="73"/>
  <c r="D6" i="73"/>
  <c r="D4" i="73"/>
  <c r="X129" i="71"/>
  <c r="Z129" i="71" s="1"/>
  <c r="L129" i="71"/>
  <c r="N129" i="71" s="1"/>
  <c r="X125" i="71"/>
  <c r="Z125" i="71" s="1"/>
  <c r="P125" i="71"/>
  <c r="D125" i="71"/>
  <c r="L125" i="71" s="1"/>
  <c r="N125" i="71" s="1"/>
  <c r="B125" i="71"/>
  <c r="Z124" i="71"/>
  <c r="X124" i="71"/>
  <c r="P124" i="71"/>
  <c r="N124" i="71"/>
  <c r="D124" i="71"/>
  <c r="L124" i="71" s="1"/>
  <c r="B124" i="71"/>
  <c r="Z123" i="71"/>
  <c r="X123" i="71"/>
  <c r="P123" i="71"/>
  <c r="N123" i="71"/>
  <c r="D123" i="71"/>
  <c r="L123" i="71" s="1"/>
  <c r="B123" i="71"/>
  <c r="Z122" i="71"/>
  <c r="P122" i="71"/>
  <c r="X122" i="71" s="1"/>
  <c r="N122" i="71"/>
  <c r="L122" i="71"/>
  <c r="D122" i="71"/>
  <c r="B122" i="71"/>
  <c r="T121" i="71"/>
  <c r="H121" i="71"/>
  <c r="X119" i="71"/>
  <c r="Z119" i="71" s="1"/>
  <c r="N119" i="71"/>
  <c r="L119" i="71"/>
  <c r="B119" i="71"/>
  <c r="Z118" i="71"/>
  <c r="X118" i="71"/>
  <c r="V118" i="71"/>
  <c r="N118" i="71"/>
  <c r="L118" i="71"/>
  <c r="B118" i="71"/>
  <c r="T117" i="71"/>
  <c r="Z117" i="71" s="1"/>
  <c r="P117" i="71"/>
  <c r="X117" i="71" s="1"/>
  <c r="N117" i="71"/>
  <c r="H117" i="71"/>
  <c r="D117" i="71"/>
  <c r="L117" i="71" s="1"/>
  <c r="B117" i="71"/>
  <c r="Z116" i="71"/>
  <c r="X116" i="71"/>
  <c r="L116" i="71"/>
  <c r="N116" i="71" s="1"/>
  <c r="J116" i="71"/>
  <c r="B116" i="71"/>
  <c r="Z115" i="71"/>
  <c r="X115" i="71"/>
  <c r="T115" i="71"/>
  <c r="P115" i="71"/>
  <c r="L115" i="71"/>
  <c r="H115" i="71"/>
  <c r="D115" i="71"/>
  <c r="B115" i="71"/>
  <c r="Z114" i="71"/>
  <c r="X114" i="71"/>
  <c r="N114" i="71"/>
  <c r="L114" i="71"/>
  <c r="B114" i="71"/>
  <c r="X113" i="71"/>
  <c r="Z113" i="71" s="1"/>
  <c r="L113" i="71"/>
  <c r="N113" i="71" s="1"/>
  <c r="B113" i="71"/>
  <c r="X112" i="71"/>
  <c r="Z112" i="71" s="1"/>
  <c r="T112" i="71"/>
  <c r="P112" i="71"/>
  <c r="N112" i="71"/>
  <c r="L112" i="71"/>
  <c r="H112" i="71"/>
  <c r="D112" i="71"/>
  <c r="B112" i="71"/>
  <c r="Z111" i="71"/>
  <c r="X111" i="71"/>
  <c r="L111" i="71"/>
  <c r="N111" i="71" s="1"/>
  <c r="B111" i="71"/>
  <c r="Z110" i="71"/>
  <c r="X110" i="71"/>
  <c r="N110" i="71"/>
  <c r="L110" i="71"/>
  <c r="B110" i="71"/>
  <c r="X109" i="71"/>
  <c r="Z109" i="71" s="1"/>
  <c r="L109" i="71"/>
  <c r="N109" i="71" s="1"/>
  <c r="J109" i="71"/>
  <c r="B109" i="71"/>
  <c r="X108" i="71"/>
  <c r="Z108" i="71" s="1"/>
  <c r="T108" i="71"/>
  <c r="P108" i="71"/>
  <c r="H108" i="71"/>
  <c r="D108" i="71"/>
  <c r="L108" i="71" s="1"/>
  <c r="N108" i="71" s="1"/>
  <c r="B108" i="71"/>
  <c r="X107" i="71"/>
  <c r="Z107" i="71" s="1"/>
  <c r="L107" i="71"/>
  <c r="N107" i="71" s="1"/>
  <c r="B107" i="71"/>
  <c r="T106" i="71"/>
  <c r="P106" i="71"/>
  <c r="H106" i="71"/>
  <c r="D106" i="71"/>
  <c r="L106" i="71" s="1"/>
  <c r="N106" i="71" s="1"/>
  <c r="B106" i="71"/>
  <c r="X105" i="71"/>
  <c r="Z105" i="71" s="1"/>
  <c r="L105" i="71"/>
  <c r="N105" i="71" s="1"/>
  <c r="B105" i="71"/>
  <c r="Z104" i="71"/>
  <c r="X104" i="71"/>
  <c r="V104" i="71"/>
  <c r="L104" i="71"/>
  <c r="N104" i="71" s="1"/>
  <c r="B104" i="71"/>
  <c r="X103" i="71"/>
  <c r="Z103" i="71" s="1"/>
  <c r="N103" i="71"/>
  <c r="L103" i="71"/>
  <c r="B103" i="71"/>
  <c r="Z102" i="71"/>
  <c r="X102" i="71"/>
  <c r="T102" i="71"/>
  <c r="P102" i="71"/>
  <c r="H102" i="71"/>
  <c r="D102" i="71"/>
  <c r="L102" i="71" s="1"/>
  <c r="N102" i="71" s="1"/>
  <c r="B102" i="71"/>
  <c r="X101" i="71"/>
  <c r="Z101" i="71" s="1"/>
  <c r="L101" i="71"/>
  <c r="N101" i="71" s="1"/>
  <c r="B101" i="71"/>
  <c r="X100" i="71"/>
  <c r="Z100" i="71" s="1"/>
  <c r="T100" i="71"/>
  <c r="P100" i="71"/>
  <c r="J100" i="71"/>
  <c r="H100" i="71"/>
  <c r="D100" i="71"/>
  <c r="B100" i="71"/>
  <c r="X99" i="71"/>
  <c r="Z99" i="71" s="1"/>
  <c r="N99" i="71"/>
  <c r="L99" i="71"/>
  <c r="B99" i="71"/>
  <c r="T98" i="71"/>
  <c r="P98" i="71"/>
  <c r="N98" i="71"/>
  <c r="H98" i="71"/>
  <c r="D98" i="71"/>
  <c r="L98" i="71" s="1"/>
  <c r="B98" i="71"/>
  <c r="Z97" i="71"/>
  <c r="X97" i="71"/>
  <c r="N97" i="71"/>
  <c r="L97" i="71"/>
  <c r="B97" i="71"/>
  <c r="X96" i="71"/>
  <c r="Z96" i="71" s="1"/>
  <c r="L96" i="71"/>
  <c r="N96" i="71" s="1"/>
  <c r="B96" i="71"/>
  <c r="T95" i="71"/>
  <c r="P95" i="71"/>
  <c r="H95" i="71"/>
  <c r="D95" i="71"/>
  <c r="B95" i="71"/>
  <c r="Z94" i="71"/>
  <c r="X94" i="71"/>
  <c r="N94" i="71"/>
  <c r="L94" i="71"/>
  <c r="B94" i="71"/>
  <c r="T93" i="71"/>
  <c r="P93" i="71"/>
  <c r="L93" i="71"/>
  <c r="N93" i="71" s="1"/>
  <c r="H93" i="71"/>
  <c r="D93" i="71"/>
  <c r="B93" i="71"/>
  <c r="Z92" i="71"/>
  <c r="X92" i="71"/>
  <c r="N92" i="71"/>
  <c r="L92" i="71"/>
  <c r="B92" i="71"/>
  <c r="Z91" i="71"/>
  <c r="X91" i="71"/>
  <c r="T91" i="71"/>
  <c r="P91" i="71"/>
  <c r="H91" i="71"/>
  <c r="D91" i="71"/>
  <c r="B91" i="71"/>
  <c r="Z90" i="71"/>
  <c r="X90" i="71"/>
  <c r="N90" i="71"/>
  <c r="L90" i="71"/>
  <c r="B90" i="71"/>
  <c r="X89" i="71"/>
  <c r="Z89" i="71" s="1"/>
  <c r="L89" i="71"/>
  <c r="N89" i="71" s="1"/>
  <c r="B89" i="71"/>
  <c r="X88" i="71"/>
  <c r="Z88" i="71" s="1"/>
  <c r="V88" i="71"/>
  <c r="T88" i="71"/>
  <c r="P88" i="71"/>
  <c r="N88" i="71"/>
  <c r="L88" i="71"/>
  <c r="H88" i="71"/>
  <c r="D88" i="71"/>
  <c r="B88" i="71"/>
  <c r="Z87" i="71"/>
  <c r="X87" i="71"/>
  <c r="L87" i="71"/>
  <c r="N87" i="71" s="1"/>
  <c r="B87" i="71"/>
  <c r="T86" i="71"/>
  <c r="X86" i="71" s="1"/>
  <c r="P86" i="71"/>
  <c r="L86" i="71"/>
  <c r="N86" i="71" s="1"/>
  <c r="H86" i="71"/>
  <c r="D86" i="71"/>
  <c r="B86" i="71"/>
  <c r="Z85" i="71"/>
  <c r="X85" i="71"/>
  <c r="N85" i="71"/>
  <c r="L85" i="71"/>
  <c r="J85" i="71"/>
  <c r="B85" i="71"/>
  <c r="Z84" i="71"/>
  <c r="X84" i="71"/>
  <c r="V84" i="71"/>
  <c r="N84" i="71"/>
  <c r="L84" i="71"/>
  <c r="B84" i="71"/>
  <c r="Z83" i="71"/>
  <c r="X83" i="71"/>
  <c r="L83" i="71"/>
  <c r="N83" i="71" s="1"/>
  <c r="B83" i="71"/>
  <c r="Z82" i="71"/>
  <c r="X82" i="71"/>
  <c r="N82" i="71"/>
  <c r="L82" i="71"/>
  <c r="B82" i="71"/>
  <c r="Z81" i="71"/>
  <c r="X81" i="71"/>
  <c r="N81" i="71"/>
  <c r="L81" i="71"/>
  <c r="B81" i="71"/>
  <c r="Z80" i="71"/>
  <c r="X80" i="71"/>
  <c r="L80" i="71"/>
  <c r="N80" i="71" s="1"/>
  <c r="B80" i="71"/>
  <c r="Z79" i="71"/>
  <c r="X79" i="71"/>
  <c r="L79" i="71"/>
  <c r="N79" i="71" s="1"/>
  <c r="B79" i="71"/>
  <c r="Z78" i="71"/>
  <c r="X78" i="71"/>
  <c r="N78" i="71"/>
  <c r="L78" i="71"/>
  <c r="B78" i="71"/>
  <c r="X77" i="71"/>
  <c r="Z77" i="71" s="1"/>
  <c r="L77" i="71"/>
  <c r="N77" i="71" s="1"/>
  <c r="B77" i="71"/>
  <c r="Z76" i="71"/>
  <c r="X76" i="71"/>
  <c r="N76" i="71"/>
  <c r="L76" i="71"/>
  <c r="J76" i="71"/>
  <c r="B76" i="71"/>
  <c r="T75" i="71"/>
  <c r="P75" i="71"/>
  <c r="X75" i="71" s="1"/>
  <c r="Z75" i="71" s="1"/>
  <c r="L75" i="71"/>
  <c r="H75" i="71"/>
  <c r="D75" i="71"/>
  <c r="B75" i="71"/>
  <c r="Z74" i="71"/>
  <c r="X74" i="71"/>
  <c r="N74" i="71"/>
  <c r="L74" i="71"/>
  <c r="B74" i="71"/>
  <c r="X73" i="71"/>
  <c r="Z73" i="71" s="1"/>
  <c r="L73" i="71"/>
  <c r="N73" i="71" s="1"/>
  <c r="B73" i="71"/>
  <c r="Z72" i="71"/>
  <c r="X72" i="71"/>
  <c r="L72" i="71"/>
  <c r="N72" i="71" s="1"/>
  <c r="B72" i="71"/>
  <c r="Z71" i="71"/>
  <c r="X71" i="71"/>
  <c r="N71" i="71"/>
  <c r="L71" i="71"/>
  <c r="B71" i="71"/>
  <c r="Z70" i="71"/>
  <c r="X70" i="71"/>
  <c r="N70" i="71"/>
  <c r="L70" i="71"/>
  <c r="B70" i="71"/>
  <c r="X69" i="71"/>
  <c r="Z69" i="71" s="1"/>
  <c r="L69" i="71"/>
  <c r="N69" i="71" s="1"/>
  <c r="B69" i="71"/>
  <c r="Z68" i="71"/>
  <c r="X68" i="71"/>
  <c r="L68" i="71"/>
  <c r="N68" i="71" s="1"/>
  <c r="J68" i="71"/>
  <c r="B68" i="71"/>
  <c r="X67" i="71"/>
  <c r="Z67" i="71" s="1"/>
  <c r="N67" i="71"/>
  <c r="L67" i="71"/>
  <c r="B67" i="71"/>
  <c r="Z66" i="71"/>
  <c r="X66" i="71"/>
  <c r="N66" i="71"/>
  <c r="L66" i="71"/>
  <c r="J66" i="71"/>
  <c r="B66" i="71"/>
  <c r="X65" i="71"/>
  <c r="Z65" i="71" s="1"/>
  <c r="L65" i="71"/>
  <c r="N65" i="71" s="1"/>
  <c r="B65" i="71"/>
  <c r="V64" i="71"/>
  <c r="T64" i="71"/>
  <c r="P64" i="71"/>
  <c r="X64" i="71" s="1"/>
  <c r="Z64" i="71" s="1"/>
  <c r="N64" i="71"/>
  <c r="L64" i="71"/>
  <c r="H64" i="71"/>
  <c r="D64" i="71"/>
  <c r="B64" i="71"/>
  <c r="T63" i="71"/>
  <c r="P63" i="71"/>
  <c r="X63" i="71" s="1"/>
  <c r="H63" i="71"/>
  <c r="D63" i="71"/>
  <c r="T61" i="71"/>
  <c r="Z59" i="71"/>
  <c r="X59" i="71"/>
  <c r="N59" i="71"/>
  <c r="L59" i="71"/>
  <c r="B59" i="71"/>
  <c r="Z58" i="71"/>
  <c r="X58" i="71"/>
  <c r="N58" i="71"/>
  <c r="L58" i="71"/>
  <c r="J58" i="71"/>
  <c r="B58" i="71"/>
  <c r="Z57" i="71"/>
  <c r="X57" i="71"/>
  <c r="N57" i="71"/>
  <c r="L57" i="71"/>
  <c r="B57" i="71"/>
  <c r="Z56" i="71"/>
  <c r="X56" i="71"/>
  <c r="V56" i="71"/>
  <c r="N56" i="71"/>
  <c r="L56" i="71"/>
  <c r="B56" i="71"/>
  <c r="Z55" i="71"/>
  <c r="X55" i="71"/>
  <c r="N55" i="71"/>
  <c r="L55" i="71"/>
  <c r="B55" i="71"/>
  <c r="Z54" i="71"/>
  <c r="X54" i="71"/>
  <c r="N54" i="71"/>
  <c r="L54" i="71"/>
  <c r="B54" i="71"/>
  <c r="Z53" i="71"/>
  <c r="X53" i="71"/>
  <c r="N53" i="71"/>
  <c r="L53" i="71"/>
  <c r="B53" i="71"/>
  <c r="Z52" i="71"/>
  <c r="X52" i="71"/>
  <c r="V52" i="71"/>
  <c r="N52" i="71"/>
  <c r="L52" i="71"/>
  <c r="B52" i="71"/>
  <c r="Z51" i="71"/>
  <c r="X51" i="71"/>
  <c r="N51" i="71"/>
  <c r="L51" i="71"/>
  <c r="B51" i="71"/>
  <c r="Z50" i="71"/>
  <c r="X50" i="71"/>
  <c r="N50" i="71"/>
  <c r="L50" i="71"/>
  <c r="J50" i="71"/>
  <c r="B50" i="71"/>
  <c r="Z49" i="71"/>
  <c r="X49" i="71"/>
  <c r="N49" i="71"/>
  <c r="L49" i="71"/>
  <c r="B49" i="71"/>
  <c r="Z48" i="71"/>
  <c r="X48" i="71"/>
  <c r="V48" i="71"/>
  <c r="N48" i="71"/>
  <c r="L48" i="71"/>
  <c r="B48" i="71"/>
  <c r="Z47" i="71"/>
  <c r="X47" i="71"/>
  <c r="N47" i="71"/>
  <c r="L47" i="71"/>
  <c r="B47" i="71"/>
  <c r="Z46" i="71"/>
  <c r="X46" i="71"/>
  <c r="N46" i="71"/>
  <c r="L46" i="71"/>
  <c r="B46" i="71"/>
  <c r="Z45" i="71"/>
  <c r="X45" i="71"/>
  <c r="N45" i="71"/>
  <c r="L45" i="71"/>
  <c r="B45" i="71"/>
  <c r="Z44" i="71"/>
  <c r="X44" i="71"/>
  <c r="V44" i="71"/>
  <c r="N44" i="71"/>
  <c r="L44" i="71"/>
  <c r="B44" i="71"/>
  <c r="Z43" i="71"/>
  <c r="X43" i="71"/>
  <c r="N43" i="71"/>
  <c r="L43" i="71"/>
  <c r="B43" i="71"/>
  <c r="T42" i="71"/>
  <c r="P42" i="71"/>
  <c r="N42" i="71"/>
  <c r="L42" i="71"/>
  <c r="H42" i="71"/>
  <c r="D42" i="71"/>
  <c r="Z40" i="71"/>
  <c r="P40" i="71"/>
  <c r="X40" i="71" s="1"/>
  <c r="N40" i="71"/>
  <c r="L40" i="71"/>
  <c r="D40" i="71"/>
  <c r="B40" i="71"/>
  <c r="Z39" i="71"/>
  <c r="X39" i="71"/>
  <c r="P39" i="71"/>
  <c r="N39" i="71"/>
  <c r="D39" i="71"/>
  <c r="L39" i="71" s="1"/>
  <c r="B39" i="71"/>
  <c r="Z38" i="71"/>
  <c r="X38" i="71"/>
  <c r="P38" i="71"/>
  <c r="N38" i="71"/>
  <c r="L38" i="71"/>
  <c r="D38" i="71"/>
  <c r="B38" i="71"/>
  <c r="Z37" i="71"/>
  <c r="X37" i="71"/>
  <c r="P37" i="71"/>
  <c r="N37" i="71"/>
  <c r="D37" i="71"/>
  <c r="L37" i="71" s="1"/>
  <c r="B37" i="71"/>
  <c r="Z36" i="71"/>
  <c r="P36" i="71"/>
  <c r="X36" i="71" s="1"/>
  <c r="N36" i="71"/>
  <c r="L36" i="71"/>
  <c r="D36" i="71"/>
  <c r="B36" i="71"/>
  <c r="Z35" i="71"/>
  <c r="X35" i="71"/>
  <c r="P35" i="71"/>
  <c r="N35" i="71"/>
  <c r="L35" i="71"/>
  <c r="D35" i="71"/>
  <c r="B35" i="71"/>
  <c r="Z34" i="71"/>
  <c r="X34" i="71"/>
  <c r="P34" i="71"/>
  <c r="N34" i="71"/>
  <c r="L34" i="71"/>
  <c r="D34" i="71"/>
  <c r="B34" i="71"/>
  <c r="Z33" i="71"/>
  <c r="P33" i="71"/>
  <c r="X33" i="71" s="1"/>
  <c r="N33" i="71"/>
  <c r="D33" i="71"/>
  <c r="L33" i="71" s="1"/>
  <c r="B33" i="71"/>
  <c r="Z32" i="71"/>
  <c r="P32" i="71"/>
  <c r="X32" i="71" s="1"/>
  <c r="N32" i="71"/>
  <c r="L32" i="71"/>
  <c r="D32" i="71"/>
  <c r="B32" i="71"/>
  <c r="Z31" i="71"/>
  <c r="X31" i="71"/>
  <c r="P31" i="71"/>
  <c r="N31" i="71"/>
  <c r="L31" i="71"/>
  <c r="D31" i="71"/>
  <c r="B31" i="71"/>
  <c r="Z30" i="71"/>
  <c r="P30" i="71"/>
  <c r="X30" i="71" s="1"/>
  <c r="N30" i="71"/>
  <c r="L30" i="71"/>
  <c r="D30" i="71"/>
  <c r="B30" i="71"/>
  <c r="Z29" i="71"/>
  <c r="X29" i="71"/>
  <c r="P29" i="71"/>
  <c r="N29" i="71"/>
  <c r="D29" i="71"/>
  <c r="L29" i="71" s="1"/>
  <c r="B29" i="71"/>
  <c r="Z28" i="71"/>
  <c r="P28" i="71"/>
  <c r="X28" i="71" s="1"/>
  <c r="N28" i="71"/>
  <c r="L28" i="71"/>
  <c r="D28" i="71"/>
  <c r="B28" i="71"/>
  <c r="Z27" i="71"/>
  <c r="X27" i="71"/>
  <c r="P27" i="71"/>
  <c r="N27" i="71"/>
  <c r="D27" i="71"/>
  <c r="L27" i="71" s="1"/>
  <c r="B27" i="71"/>
  <c r="Z26" i="71"/>
  <c r="P26" i="71"/>
  <c r="X26" i="71" s="1"/>
  <c r="N26" i="71"/>
  <c r="D26" i="71"/>
  <c r="L26" i="71" s="1"/>
  <c r="B26" i="71"/>
  <c r="Z25" i="71"/>
  <c r="X25" i="71"/>
  <c r="P25" i="71"/>
  <c r="N25" i="71"/>
  <c r="D25" i="71"/>
  <c r="L25" i="71" s="1"/>
  <c r="B25" i="71"/>
  <c r="Z24" i="71"/>
  <c r="P24" i="71"/>
  <c r="X24" i="71" s="1"/>
  <c r="N24" i="71"/>
  <c r="L24" i="71"/>
  <c r="D24" i="71"/>
  <c r="B24" i="71"/>
  <c r="Z23" i="71"/>
  <c r="X23" i="71"/>
  <c r="P23" i="71"/>
  <c r="N23" i="71"/>
  <c r="L23" i="71"/>
  <c r="D23" i="71"/>
  <c r="B23" i="71"/>
  <c r="Z22" i="71"/>
  <c r="X22" i="71"/>
  <c r="P22" i="71"/>
  <c r="N22" i="71"/>
  <c r="L22" i="71"/>
  <c r="D22" i="71"/>
  <c r="B22" i="71"/>
  <c r="X21" i="71"/>
  <c r="Z21" i="71" s="1"/>
  <c r="P21" i="71"/>
  <c r="N21" i="71"/>
  <c r="D21" i="71"/>
  <c r="L21" i="71" s="1"/>
  <c r="B21" i="71"/>
  <c r="Z20" i="71"/>
  <c r="P20" i="71"/>
  <c r="X20" i="71" s="1"/>
  <c r="N20" i="71"/>
  <c r="L20" i="71"/>
  <c r="D20" i="71"/>
  <c r="B20" i="71"/>
  <c r="Z19" i="71"/>
  <c r="X19" i="71"/>
  <c r="P19" i="71"/>
  <c r="N19" i="71"/>
  <c r="L19" i="71"/>
  <c r="D19" i="71"/>
  <c r="B19" i="71"/>
  <c r="Z18" i="71"/>
  <c r="P18" i="71"/>
  <c r="X18" i="71" s="1"/>
  <c r="N18" i="71"/>
  <c r="D18" i="71"/>
  <c r="L18" i="71" s="1"/>
  <c r="B18" i="71"/>
  <c r="Z17" i="71"/>
  <c r="X17" i="71"/>
  <c r="P17" i="71"/>
  <c r="N17" i="71"/>
  <c r="D17" i="71"/>
  <c r="L17" i="71" s="1"/>
  <c r="B17" i="71"/>
  <c r="Z16" i="71"/>
  <c r="P16" i="71"/>
  <c r="X16" i="71" s="1"/>
  <c r="N16" i="71"/>
  <c r="L16" i="71"/>
  <c r="D16" i="71"/>
  <c r="B16" i="71"/>
  <c r="Z15" i="71"/>
  <c r="X15" i="71"/>
  <c r="P15" i="71"/>
  <c r="N15" i="71"/>
  <c r="D15" i="71"/>
  <c r="L15" i="71" s="1"/>
  <c r="B15" i="71"/>
  <c r="Z14" i="71"/>
  <c r="P14" i="71"/>
  <c r="X14" i="71" s="1"/>
  <c r="N14" i="71"/>
  <c r="L14" i="71"/>
  <c r="D14" i="71"/>
  <c r="B14" i="71"/>
  <c r="Z13" i="71"/>
  <c r="X13" i="71"/>
  <c r="P13" i="71"/>
  <c r="N13" i="71"/>
  <c r="D13" i="71"/>
  <c r="B13" i="71"/>
  <c r="T12" i="71"/>
  <c r="V123" i="71" s="1"/>
  <c r="H12" i="71"/>
  <c r="J115" i="71" s="1"/>
  <c r="D6" i="71"/>
  <c r="D4" i="71"/>
  <c r="Z81" i="70"/>
  <c r="X81" i="70"/>
  <c r="L81" i="70"/>
  <c r="N81" i="70" s="1"/>
  <c r="T77" i="70"/>
  <c r="Z77" i="70" s="1"/>
  <c r="P77" i="70"/>
  <c r="J77" i="70"/>
  <c r="H77" i="70"/>
  <c r="N77" i="70" s="1"/>
  <c r="D77" i="70"/>
  <c r="Z75" i="70"/>
  <c r="X75" i="70"/>
  <c r="N75" i="70"/>
  <c r="L75" i="70"/>
  <c r="B75" i="70"/>
  <c r="Z74" i="70"/>
  <c r="X74" i="70"/>
  <c r="T74" i="70"/>
  <c r="P74" i="70"/>
  <c r="N74" i="70"/>
  <c r="J74" i="70"/>
  <c r="H74" i="70"/>
  <c r="L74" i="70" s="1"/>
  <c r="D74" i="70"/>
  <c r="B74" i="70"/>
  <c r="X73" i="70"/>
  <c r="Z73" i="70" s="1"/>
  <c r="N73" i="70"/>
  <c r="L73" i="70"/>
  <c r="B73" i="70"/>
  <c r="T72" i="70"/>
  <c r="P72" i="70"/>
  <c r="X72" i="70" s="1"/>
  <c r="H72" i="70"/>
  <c r="D72" i="70"/>
  <c r="L72" i="70" s="1"/>
  <c r="N72" i="70" s="1"/>
  <c r="B72" i="70"/>
  <c r="Z71" i="70"/>
  <c r="X71" i="70"/>
  <c r="L71" i="70"/>
  <c r="N71" i="70" s="1"/>
  <c r="B71" i="70"/>
  <c r="Z70" i="70"/>
  <c r="X70" i="70"/>
  <c r="N70" i="70"/>
  <c r="L70" i="70"/>
  <c r="B70" i="70"/>
  <c r="Z69" i="70"/>
  <c r="X69" i="70"/>
  <c r="N69" i="70"/>
  <c r="L69" i="70"/>
  <c r="B69" i="70"/>
  <c r="X68" i="70"/>
  <c r="T68" i="70"/>
  <c r="P68" i="70"/>
  <c r="J68" i="70"/>
  <c r="H68" i="70"/>
  <c r="L68" i="70" s="1"/>
  <c r="N68" i="70" s="1"/>
  <c r="D68" i="70"/>
  <c r="B68" i="70"/>
  <c r="Z67" i="70"/>
  <c r="X67" i="70"/>
  <c r="N67" i="70"/>
  <c r="L67" i="70"/>
  <c r="B67" i="70"/>
  <c r="Z66" i="70"/>
  <c r="X66" i="70"/>
  <c r="N66" i="70"/>
  <c r="L66" i="70"/>
  <c r="B66" i="70"/>
  <c r="X65" i="70"/>
  <c r="Z65" i="70" s="1"/>
  <c r="N65" i="70"/>
  <c r="L65" i="70"/>
  <c r="J65" i="70"/>
  <c r="B65" i="70"/>
  <c r="T64" i="70"/>
  <c r="P64" i="70"/>
  <c r="X64" i="70" s="1"/>
  <c r="Z64" i="70" s="1"/>
  <c r="H64" i="70"/>
  <c r="D64" i="70"/>
  <c r="B64" i="70"/>
  <c r="X63" i="70"/>
  <c r="Z63" i="70" s="1"/>
  <c r="N63" i="70"/>
  <c r="L63" i="70"/>
  <c r="B63" i="70"/>
  <c r="Z62" i="70"/>
  <c r="X62" i="70"/>
  <c r="N62" i="70"/>
  <c r="L62" i="70"/>
  <c r="J62" i="70"/>
  <c r="B62" i="70"/>
  <c r="T61" i="70"/>
  <c r="P61" i="70"/>
  <c r="X61" i="70" s="1"/>
  <c r="H61" i="70"/>
  <c r="D61" i="70"/>
  <c r="B61" i="70"/>
  <c r="X60" i="70"/>
  <c r="Z60" i="70" s="1"/>
  <c r="N60" i="70"/>
  <c r="L60" i="70"/>
  <c r="B60" i="70"/>
  <c r="T59" i="70"/>
  <c r="P59" i="70"/>
  <c r="X59" i="70" s="1"/>
  <c r="Z59" i="70" s="1"/>
  <c r="H59" i="70"/>
  <c r="N59" i="70" s="1"/>
  <c r="D59" i="70"/>
  <c r="L59" i="70" s="1"/>
  <c r="B59" i="70"/>
  <c r="Z58" i="70"/>
  <c r="X58" i="70"/>
  <c r="N58" i="70"/>
  <c r="L58" i="70"/>
  <c r="B58" i="70"/>
  <c r="Z57" i="70"/>
  <c r="X57" i="70"/>
  <c r="T57" i="70"/>
  <c r="P57" i="70"/>
  <c r="N57" i="70"/>
  <c r="L57" i="70"/>
  <c r="H57" i="70"/>
  <c r="D57" i="70"/>
  <c r="B57" i="70"/>
  <c r="Z56" i="70"/>
  <c r="X56" i="70"/>
  <c r="N56" i="70"/>
  <c r="L56" i="70"/>
  <c r="J56" i="70"/>
  <c r="B56" i="70"/>
  <c r="T55" i="70"/>
  <c r="P55" i="70"/>
  <c r="J55" i="70"/>
  <c r="H55" i="70"/>
  <c r="N55" i="70" s="1"/>
  <c r="D55" i="70"/>
  <c r="L55" i="70" s="1"/>
  <c r="B55" i="70"/>
  <c r="Z54" i="70"/>
  <c r="X54" i="70"/>
  <c r="V54" i="70"/>
  <c r="N54" i="70"/>
  <c r="L54" i="70"/>
  <c r="B54" i="70"/>
  <c r="Z53" i="70"/>
  <c r="X53" i="70"/>
  <c r="N53" i="70"/>
  <c r="L53" i="70"/>
  <c r="B53" i="70"/>
  <c r="X52" i="70"/>
  <c r="T52" i="70"/>
  <c r="Z52" i="70" s="1"/>
  <c r="P52" i="70"/>
  <c r="J52" i="70"/>
  <c r="H52" i="70"/>
  <c r="L52" i="70" s="1"/>
  <c r="N52" i="70" s="1"/>
  <c r="D52" i="70"/>
  <c r="B52" i="70"/>
  <c r="Z51" i="70"/>
  <c r="X51" i="70"/>
  <c r="L51" i="70"/>
  <c r="N51" i="70" s="1"/>
  <c r="B51" i="70"/>
  <c r="T50" i="70"/>
  <c r="R50" i="70"/>
  <c r="P50" i="70"/>
  <c r="H50" i="70"/>
  <c r="D50" i="70"/>
  <c r="L50" i="70" s="1"/>
  <c r="N50" i="70" s="1"/>
  <c r="B50" i="70"/>
  <c r="Z49" i="70"/>
  <c r="X49" i="70"/>
  <c r="N49" i="70"/>
  <c r="L49" i="70"/>
  <c r="B49" i="70"/>
  <c r="Z48" i="70"/>
  <c r="T48" i="70"/>
  <c r="P48" i="70"/>
  <c r="X48" i="70" s="1"/>
  <c r="N48" i="70"/>
  <c r="H48" i="70"/>
  <c r="D48" i="70"/>
  <c r="L48" i="70" s="1"/>
  <c r="B48" i="70"/>
  <c r="Z47" i="70"/>
  <c r="X47" i="70"/>
  <c r="N47" i="70"/>
  <c r="L47" i="70"/>
  <c r="B47" i="70"/>
  <c r="Z46" i="70"/>
  <c r="T46" i="70"/>
  <c r="X46" i="70" s="1"/>
  <c r="P46" i="70"/>
  <c r="L46" i="70"/>
  <c r="J46" i="70"/>
  <c r="H46" i="70"/>
  <c r="N46" i="70" s="1"/>
  <c r="D46" i="70"/>
  <c r="B46" i="70"/>
  <c r="Z45" i="70"/>
  <c r="X45" i="70"/>
  <c r="N45" i="70"/>
  <c r="L45" i="70"/>
  <c r="J45" i="70"/>
  <c r="B45" i="70"/>
  <c r="Z44" i="70"/>
  <c r="X44" i="70"/>
  <c r="N44" i="70"/>
  <c r="L44" i="70"/>
  <c r="B44" i="70"/>
  <c r="Z43" i="70"/>
  <c r="X43" i="70"/>
  <c r="L43" i="70"/>
  <c r="N43" i="70" s="1"/>
  <c r="B43" i="70"/>
  <c r="X42" i="70"/>
  <c r="Z42" i="70" s="1"/>
  <c r="R42" i="70"/>
  <c r="N42" i="70"/>
  <c r="L42" i="70"/>
  <c r="B42" i="70"/>
  <c r="Z41" i="70"/>
  <c r="X41" i="70"/>
  <c r="N41" i="70"/>
  <c r="L41" i="70"/>
  <c r="J41" i="70"/>
  <c r="B41" i="70"/>
  <c r="Z40" i="70"/>
  <c r="X40" i="70"/>
  <c r="N40" i="70"/>
  <c r="L40" i="70"/>
  <c r="B40" i="70"/>
  <c r="Z39" i="70"/>
  <c r="X39" i="70"/>
  <c r="N39" i="70"/>
  <c r="L39" i="70"/>
  <c r="B39" i="70"/>
  <c r="Z38" i="70"/>
  <c r="X38" i="70"/>
  <c r="R38" i="70"/>
  <c r="N38" i="70"/>
  <c r="L38" i="70"/>
  <c r="B38" i="70"/>
  <c r="Z37" i="70"/>
  <c r="X37" i="70"/>
  <c r="N37" i="70"/>
  <c r="L37" i="70"/>
  <c r="J37" i="70"/>
  <c r="B37" i="70"/>
  <c r="Z36" i="70"/>
  <c r="X36" i="70"/>
  <c r="N36" i="70"/>
  <c r="L36" i="70"/>
  <c r="B36" i="70"/>
  <c r="Z35" i="70"/>
  <c r="X35" i="70"/>
  <c r="T35" i="70"/>
  <c r="P35" i="70"/>
  <c r="L35" i="70"/>
  <c r="N35" i="70" s="1"/>
  <c r="H35" i="70"/>
  <c r="D35" i="70"/>
  <c r="B35" i="70"/>
  <c r="Z34" i="70"/>
  <c r="X34" i="70"/>
  <c r="N34" i="70"/>
  <c r="L34" i="70"/>
  <c r="J34" i="70"/>
  <c r="B34" i="70"/>
  <c r="Z33" i="70"/>
  <c r="X33" i="70"/>
  <c r="V33" i="70"/>
  <c r="L33" i="70"/>
  <c r="N33" i="70" s="1"/>
  <c r="B33" i="70"/>
  <c r="Z32" i="70"/>
  <c r="X32" i="70"/>
  <c r="L32" i="70"/>
  <c r="N32" i="70" s="1"/>
  <c r="J32" i="70"/>
  <c r="B32" i="70"/>
  <c r="Z31" i="70"/>
  <c r="X31" i="70"/>
  <c r="N31" i="70"/>
  <c r="L31" i="70"/>
  <c r="B31" i="70"/>
  <c r="Z30" i="70"/>
  <c r="X30" i="70"/>
  <c r="N30" i="70"/>
  <c r="L30" i="70"/>
  <c r="J30" i="70"/>
  <c r="B30" i="70"/>
  <c r="Z29" i="70"/>
  <c r="X29" i="70"/>
  <c r="R29" i="70"/>
  <c r="L29" i="70"/>
  <c r="N29" i="70" s="1"/>
  <c r="B29" i="70"/>
  <c r="Z28" i="70"/>
  <c r="X28" i="70"/>
  <c r="L28" i="70"/>
  <c r="N28" i="70" s="1"/>
  <c r="J28" i="70"/>
  <c r="B28" i="70"/>
  <c r="X27" i="70"/>
  <c r="Z27" i="70" s="1"/>
  <c r="N27" i="70"/>
  <c r="L27" i="70"/>
  <c r="B27" i="70"/>
  <c r="Z26" i="70"/>
  <c r="X26" i="70"/>
  <c r="N26" i="70"/>
  <c r="L26" i="70"/>
  <c r="J26" i="70"/>
  <c r="B26" i="70"/>
  <c r="T25" i="70"/>
  <c r="P25" i="70"/>
  <c r="H25" i="70"/>
  <c r="D25" i="70"/>
  <c r="B25" i="70"/>
  <c r="T24" i="70"/>
  <c r="P24" i="70"/>
  <c r="X24" i="70" s="1"/>
  <c r="J24" i="70"/>
  <c r="H24" i="70"/>
  <c r="D24" i="70"/>
  <c r="Z20" i="70"/>
  <c r="X20" i="70"/>
  <c r="N20" i="70"/>
  <c r="L20" i="70"/>
  <c r="B20" i="70"/>
  <c r="Z19" i="70"/>
  <c r="X19" i="70"/>
  <c r="N19" i="70"/>
  <c r="L19" i="70"/>
  <c r="B19" i="70"/>
  <c r="Z18" i="70"/>
  <c r="X18" i="70"/>
  <c r="V18" i="70"/>
  <c r="L18" i="70"/>
  <c r="N18" i="70" s="1"/>
  <c r="B18" i="70"/>
  <c r="T17" i="70"/>
  <c r="Z17" i="70" s="1"/>
  <c r="P17" i="70"/>
  <c r="X17" i="70" s="1"/>
  <c r="H17" i="70"/>
  <c r="D17" i="70"/>
  <c r="L17" i="70" s="1"/>
  <c r="N17" i="70" s="1"/>
  <c r="Z15" i="70"/>
  <c r="X15" i="70"/>
  <c r="P15" i="70"/>
  <c r="N15" i="70"/>
  <c r="D15" i="70"/>
  <c r="B15" i="70"/>
  <c r="X14" i="70"/>
  <c r="Z14" i="70" s="1"/>
  <c r="P14" i="70"/>
  <c r="N14" i="70"/>
  <c r="L14" i="70"/>
  <c r="D14" i="70"/>
  <c r="B14" i="70"/>
  <c r="Z13" i="70"/>
  <c r="X13" i="70"/>
  <c r="P13" i="70"/>
  <c r="P12" i="70" s="1"/>
  <c r="R75" i="70" s="1"/>
  <c r="N13" i="70"/>
  <c r="L13" i="70"/>
  <c r="D13" i="70"/>
  <c r="B13" i="70"/>
  <c r="X12" i="70"/>
  <c r="T12" i="70"/>
  <c r="V68" i="70" s="1"/>
  <c r="H12" i="70"/>
  <c r="D6" i="70"/>
  <c r="D4" i="70"/>
  <c r="X132" i="69"/>
  <c r="Z132" i="69" s="1"/>
  <c r="N132" i="69"/>
  <c r="L132" i="69"/>
  <c r="Z128" i="69"/>
  <c r="X128" i="69"/>
  <c r="V128" i="69"/>
  <c r="P128" i="69"/>
  <c r="N128" i="69"/>
  <c r="D128" i="69"/>
  <c r="L128" i="69" s="1"/>
  <c r="B128" i="69"/>
  <c r="T127" i="69"/>
  <c r="P127" i="69"/>
  <c r="H127" i="69"/>
  <c r="N127" i="69" s="1"/>
  <c r="D127" i="69"/>
  <c r="X125" i="69"/>
  <c r="Z125" i="69" s="1"/>
  <c r="N125" i="69"/>
  <c r="L125" i="69"/>
  <c r="B125" i="69"/>
  <c r="Z124" i="69"/>
  <c r="V124" i="69"/>
  <c r="T124" i="69"/>
  <c r="P124" i="69"/>
  <c r="X124" i="69" s="1"/>
  <c r="H124" i="69"/>
  <c r="D124" i="69"/>
  <c r="L124" i="69" s="1"/>
  <c r="N124" i="69" s="1"/>
  <c r="B124" i="69"/>
  <c r="X123" i="69"/>
  <c r="Z123" i="69" s="1"/>
  <c r="L123" i="69"/>
  <c r="N123" i="69" s="1"/>
  <c r="B123" i="69"/>
  <c r="X122" i="69"/>
  <c r="V122" i="69"/>
  <c r="T122" i="69"/>
  <c r="P122" i="69"/>
  <c r="H122" i="69"/>
  <c r="L122" i="69" s="1"/>
  <c r="N122" i="69" s="1"/>
  <c r="D122" i="69"/>
  <c r="B122" i="69"/>
  <c r="Z121" i="69"/>
  <c r="X121" i="69"/>
  <c r="N121" i="69"/>
  <c r="L121" i="69"/>
  <c r="B121" i="69"/>
  <c r="Z120" i="69"/>
  <c r="X120" i="69"/>
  <c r="N120" i="69"/>
  <c r="L120" i="69"/>
  <c r="B120" i="69"/>
  <c r="X119" i="69"/>
  <c r="Z119" i="69" s="1"/>
  <c r="N119" i="69"/>
  <c r="L119" i="69"/>
  <c r="B119" i="69"/>
  <c r="T118" i="69"/>
  <c r="P118" i="69"/>
  <c r="X118" i="69" s="1"/>
  <c r="Z118" i="69" s="1"/>
  <c r="H118" i="69"/>
  <c r="D118" i="69"/>
  <c r="L118" i="69" s="1"/>
  <c r="B118" i="69"/>
  <c r="X117" i="69"/>
  <c r="Z117" i="69" s="1"/>
  <c r="N117" i="69"/>
  <c r="L117" i="69"/>
  <c r="B117" i="69"/>
  <c r="Z116" i="69"/>
  <c r="X116" i="69"/>
  <c r="V116" i="69"/>
  <c r="N116" i="69"/>
  <c r="L116" i="69"/>
  <c r="B116" i="69"/>
  <c r="V115" i="69"/>
  <c r="T115" i="69"/>
  <c r="P115" i="69"/>
  <c r="X115" i="69" s="1"/>
  <c r="H115" i="69"/>
  <c r="D115" i="69"/>
  <c r="B115" i="69"/>
  <c r="X114" i="69"/>
  <c r="Z114" i="69" s="1"/>
  <c r="V114" i="69"/>
  <c r="N114" i="69"/>
  <c r="L114" i="69"/>
  <c r="B114" i="69"/>
  <c r="Z113" i="69"/>
  <c r="X113" i="69"/>
  <c r="N113" i="69"/>
  <c r="L113" i="69"/>
  <c r="B113" i="69"/>
  <c r="V112" i="69"/>
  <c r="T112" i="69"/>
  <c r="X112" i="69" s="1"/>
  <c r="Z112" i="69" s="1"/>
  <c r="P112" i="69"/>
  <c r="L112" i="69"/>
  <c r="H112" i="69"/>
  <c r="N112" i="69" s="1"/>
  <c r="D112" i="69"/>
  <c r="B112" i="69"/>
  <c r="X111" i="69"/>
  <c r="Z111" i="69" s="1"/>
  <c r="N111" i="69"/>
  <c r="L111" i="69"/>
  <c r="B111" i="69"/>
  <c r="T110" i="69"/>
  <c r="P110" i="69"/>
  <c r="X110" i="69" s="1"/>
  <c r="Z110" i="69" s="1"/>
  <c r="H110" i="69"/>
  <c r="D110" i="69"/>
  <c r="L110" i="69" s="1"/>
  <c r="B110" i="69"/>
  <c r="X109" i="69"/>
  <c r="Z109" i="69" s="1"/>
  <c r="N109" i="69"/>
  <c r="L109" i="69"/>
  <c r="B109" i="69"/>
  <c r="V108" i="69"/>
  <c r="T108" i="69"/>
  <c r="P108" i="69"/>
  <c r="X108" i="69" s="1"/>
  <c r="Z108" i="69" s="1"/>
  <c r="N108" i="69"/>
  <c r="H108" i="69"/>
  <c r="D108" i="69"/>
  <c r="L108" i="69" s="1"/>
  <c r="B108" i="69"/>
  <c r="X107" i="69"/>
  <c r="Z107" i="69" s="1"/>
  <c r="L107" i="69"/>
  <c r="N107" i="69" s="1"/>
  <c r="B107" i="69"/>
  <c r="X106" i="69"/>
  <c r="V106" i="69"/>
  <c r="T106" i="69"/>
  <c r="Z106" i="69" s="1"/>
  <c r="P106" i="69"/>
  <c r="H106" i="69"/>
  <c r="L106" i="69" s="1"/>
  <c r="N106" i="69" s="1"/>
  <c r="D106" i="69"/>
  <c r="B106" i="69"/>
  <c r="Z105" i="69"/>
  <c r="X105" i="69"/>
  <c r="N105" i="69"/>
  <c r="L105" i="69"/>
  <c r="B105" i="69"/>
  <c r="X104" i="69"/>
  <c r="Z104" i="69" s="1"/>
  <c r="N104" i="69"/>
  <c r="L104" i="69"/>
  <c r="B104" i="69"/>
  <c r="X103" i="69"/>
  <c r="Z103" i="69" s="1"/>
  <c r="T103" i="69"/>
  <c r="P103" i="69"/>
  <c r="N103" i="69"/>
  <c r="L103" i="69"/>
  <c r="H103" i="69"/>
  <c r="D103" i="69"/>
  <c r="B103" i="69"/>
  <c r="Z102" i="69"/>
  <c r="X102" i="69"/>
  <c r="N102" i="69"/>
  <c r="L102" i="69"/>
  <c r="B102" i="69"/>
  <c r="T101" i="69"/>
  <c r="P101" i="69"/>
  <c r="H101" i="69"/>
  <c r="N101" i="69" s="1"/>
  <c r="D101" i="69"/>
  <c r="B101" i="69"/>
  <c r="Z100" i="69"/>
  <c r="X100" i="69"/>
  <c r="V100" i="69"/>
  <c r="L100" i="69"/>
  <c r="N100" i="69" s="1"/>
  <c r="B100" i="69"/>
  <c r="X99" i="69"/>
  <c r="T99" i="69"/>
  <c r="Z99" i="69" s="1"/>
  <c r="P99" i="69"/>
  <c r="H99" i="69"/>
  <c r="D99" i="69"/>
  <c r="L99" i="69" s="1"/>
  <c r="N99" i="69" s="1"/>
  <c r="B99" i="69"/>
  <c r="Z98" i="69"/>
  <c r="X98" i="69"/>
  <c r="N98" i="69"/>
  <c r="L98" i="69"/>
  <c r="B98" i="69"/>
  <c r="Z97" i="69"/>
  <c r="X97" i="69"/>
  <c r="N97" i="69"/>
  <c r="L97" i="69"/>
  <c r="B97" i="69"/>
  <c r="X96" i="69"/>
  <c r="Z96" i="69" s="1"/>
  <c r="N96" i="69"/>
  <c r="L96" i="69"/>
  <c r="B96" i="69"/>
  <c r="X95" i="69"/>
  <c r="Z95" i="69" s="1"/>
  <c r="N95" i="69"/>
  <c r="L95" i="69"/>
  <c r="B95" i="69"/>
  <c r="Z94" i="69"/>
  <c r="X94" i="69"/>
  <c r="V94" i="69"/>
  <c r="N94" i="69"/>
  <c r="L94" i="69"/>
  <c r="B94" i="69"/>
  <c r="Z93" i="69"/>
  <c r="X93" i="69"/>
  <c r="N93" i="69"/>
  <c r="L93" i="69"/>
  <c r="B93" i="69"/>
  <c r="Z92" i="69"/>
  <c r="X92" i="69"/>
  <c r="N92" i="69"/>
  <c r="L92" i="69"/>
  <c r="B92" i="69"/>
  <c r="Z91" i="69"/>
  <c r="X91" i="69"/>
  <c r="N91" i="69"/>
  <c r="L91" i="69"/>
  <c r="B91" i="69"/>
  <c r="Z90" i="69"/>
  <c r="X90" i="69"/>
  <c r="V90" i="69"/>
  <c r="N90" i="69"/>
  <c r="L90" i="69"/>
  <c r="B90" i="69"/>
  <c r="X89" i="69"/>
  <c r="Z89" i="69" s="1"/>
  <c r="L89" i="69"/>
  <c r="N89" i="69" s="1"/>
  <c r="B89" i="69"/>
  <c r="T88" i="69"/>
  <c r="P88" i="69"/>
  <c r="N88" i="69"/>
  <c r="H88" i="69"/>
  <c r="D88" i="69"/>
  <c r="L88" i="69" s="1"/>
  <c r="B88" i="69"/>
  <c r="Z87" i="69"/>
  <c r="X87" i="69"/>
  <c r="V87" i="69"/>
  <c r="N87" i="69"/>
  <c r="L87" i="69"/>
  <c r="B87" i="69"/>
  <c r="Z86" i="69"/>
  <c r="X86" i="69"/>
  <c r="L86" i="69"/>
  <c r="N86" i="69" s="1"/>
  <c r="B86" i="69"/>
  <c r="X85" i="69"/>
  <c r="Z85" i="69" s="1"/>
  <c r="N85" i="69"/>
  <c r="L85" i="69"/>
  <c r="B85" i="69"/>
  <c r="Z84" i="69"/>
  <c r="X84" i="69"/>
  <c r="V84" i="69"/>
  <c r="N84" i="69"/>
  <c r="L84" i="69"/>
  <c r="B84" i="69"/>
  <c r="Z83" i="69"/>
  <c r="X83" i="69"/>
  <c r="V83" i="69"/>
  <c r="L83" i="69"/>
  <c r="N83" i="69" s="1"/>
  <c r="B83" i="69"/>
  <c r="Z82" i="69"/>
  <c r="X82" i="69"/>
  <c r="L82" i="69"/>
  <c r="N82" i="69" s="1"/>
  <c r="B82" i="69"/>
  <c r="X81" i="69"/>
  <c r="Z81" i="69" s="1"/>
  <c r="N81" i="69"/>
  <c r="L81" i="69"/>
  <c r="B81" i="69"/>
  <c r="Z80" i="69"/>
  <c r="X80" i="69"/>
  <c r="V80" i="69"/>
  <c r="N80" i="69"/>
  <c r="L80" i="69"/>
  <c r="B80" i="69"/>
  <c r="Z79" i="69"/>
  <c r="X79" i="69"/>
  <c r="V79" i="69"/>
  <c r="L79" i="69"/>
  <c r="N79" i="69" s="1"/>
  <c r="B79" i="69"/>
  <c r="T78" i="69"/>
  <c r="P78" i="69"/>
  <c r="X78" i="69" s="1"/>
  <c r="Z78" i="69" s="1"/>
  <c r="H78" i="69"/>
  <c r="D78" i="69"/>
  <c r="L78" i="69" s="1"/>
  <c r="N78" i="69" s="1"/>
  <c r="B78" i="69"/>
  <c r="T77" i="69"/>
  <c r="P77" i="69"/>
  <c r="X77" i="69" s="1"/>
  <c r="Z77" i="69" s="1"/>
  <c r="H77" i="69"/>
  <c r="D77" i="69"/>
  <c r="L77" i="69" s="1"/>
  <c r="Z73" i="69"/>
  <c r="X73" i="69"/>
  <c r="N73" i="69"/>
  <c r="L73" i="69"/>
  <c r="B73" i="69"/>
  <c r="Z72" i="69"/>
  <c r="X72" i="69"/>
  <c r="V72" i="69"/>
  <c r="N72" i="69"/>
  <c r="L72" i="69"/>
  <c r="B72" i="69"/>
  <c r="Z71" i="69"/>
  <c r="X71" i="69"/>
  <c r="N71" i="69"/>
  <c r="L71" i="69"/>
  <c r="B71" i="69"/>
  <c r="Z70" i="69"/>
  <c r="X70" i="69"/>
  <c r="V70" i="69"/>
  <c r="N70" i="69"/>
  <c r="L70" i="69"/>
  <c r="B70" i="69"/>
  <c r="Z69" i="69"/>
  <c r="X69" i="69"/>
  <c r="N69" i="69"/>
  <c r="L69" i="69"/>
  <c r="B69" i="69"/>
  <c r="Z68" i="69"/>
  <c r="X68" i="69"/>
  <c r="V68" i="69"/>
  <c r="N68" i="69"/>
  <c r="L68" i="69"/>
  <c r="B68" i="69"/>
  <c r="Z67" i="69"/>
  <c r="X67" i="69"/>
  <c r="N67" i="69"/>
  <c r="L67" i="69"/>
  <c r="B67" i="69"/>
  <c r="Z66" i="69"/>
  <c r="X66" i="69"/>
  <c r="V66" i="69"/>
  <c r="N66" i="69"/>
  <c r="L66" i="69"/>
  <c r="B66" i="69"/>
  <c r="Z65" i="69"/>
  <c r="X65" i="69"/>
  <c r="N65" i="69"/>
  <c r="L65" i="69"/>
  <c r="B65" i="69"/>
  <c r="Z64" i="69"/>
  <c r="X64" i="69"/>
  <c r="V64" i="69"/>
  <c r="N64" i="69"/>
  <c r="L64" i="69"/>
  <c r="B64" i="69"/>
  <c r="Z63" i="69"/>
  <c r="X63" i="69"/>
  <c r="N63" i="69"/>
  <c r="L63" i="69"/>
  <c r="B63" i="69"/>
  <c r="Z62" i="69"/>
  <c r="X62" i="69"/>
  <c r="V62" i="69"/>
  <c r="N62" i="69"/>
  <c r="L62" i="69"/>
  <c r="B62" i="69"/>
  <c r="Z61" i="69"/>
  <c r="X61" i="69"/>
  <c r="N61" i="69"/>
  <c r="L61" i="69"/>
  <c r="B61" i="69"/>
  <c r="Z60" i="69"/>
  <c r="X60" i="69"/>
  <c r="V60" i="69"/>
  <c r="N60" i="69"/>
  <c r="L60" i="69"/>
  <c r="B60" i="69"/>
  <c r="Z59" i="69"/>
  <c r="X59" i="69"/>
  <c r="N59" i="69"/>
  <c r="L59" i="69"/>
  <c r="B59" i="69"/>
  <c r="Z58" i="69"/>
  <c r="X58" i="69"/>
  <c r="V58" i="69"/>
  <c r="N58" i="69"/>
  <c r="L58" i="69"/>
  <c r="B58" i="69"/>
  <c r="Z57" i="69"/>
  <c r="X57" i="69"/>
  <c r="N57" i="69"/>
  <c r="L57" i="69"/>
  <c r="B57" i="69"/>
  <c r="Z56" i="69"/>
  <c r="X56" i="69"/>
  <c r="V56" i="69"/>
  <c r="N56" i="69"/>
  <c r="L56" i="69"/>
  <c r="B56" i="69"/>
  <c r="Z55" i="69"/>
  <c r="X55" i="69"/>
  <c r="N55" i="69"/>
  <c r="L55" i="69"/>
  <c r="B55" i="69"/>
  <c r="Z54" i="69"/>
  <c r="X54" i="69"/>
  <c r="V54" i="69"/>
  <c r="N54" i="69"/>
  <c r="L54" i="69"/>
  <c r="B54" i="69"/>
  <c r="Z53" i="69"/>
  <c r="X53" i="69"/>
  <c r="N53" i="69"/>
  <c r="L53" i="69"/>
  <c r="B53" i="69"/>
  <c r="V52" i="69"/>
  <c r="T52" i="69"/>
  <c r="X52" i="69" s="1"/>
  <c r="Z52" i="69" s="1"/>
  <c r="P52" i="69"/>
  <c r="L52" i="69"/>
  <c r="H52" i="69"/>
  <c r="N52" i="69" s="1"/>
  <c r="D52" i="69"/>
  <c r="Z50" i="69"/>
  <c r="P50" i="69"/>
  <c r="X50" i="69" s="1"/>
  <c r="N50" i="69"/>
  <c r="D50" i="69"/>
  <c r="L50" i="69" s="1"/>
  <c r="B50" i="69"/>
  <c r="Z49" i="69"/>
  <c r="X49" i="69"/>
  <c r="P49" i="69"/>
  <c r="N49" i="69"/>
  <c r="D49" i="69"/>
  <c r="L49" i="69" s="1"/>
  <c r="B49" i="69"/>
  <c r="Z48" i="69"/>
  <c r="X48" i="69"/>
  <c r="P48" i="69"/>
  <c r="N48" i="69"/>
  <c r="D48" i="69"/>
  <c r="L48" i="69" s="1"/>
  <c r="B48" i="69"/>
  <c r="Z47" i="69"/>
  <c r="X47" i="69"/>
  <c r="P47" i="69"/>
  <c r="N47" i="69"/>
  <c r="D47" i="69"/>
  <c r="L47" i="69" s="1"/>
  <c r="B47" i="69"/>
  <c r="Z46" i="69"/>
  <c r="X46" i="69"/>
  <c r="P46" i="69"/>
  <c r="N46" i="69"/>
  <c r="L46" i="69"/>
  <c r="D46" i="69"/>
  <c r="B46" i="69"/>
  <c r="Z45" i="69"/>
  <c r="X45" i="69"/>
  <c r="P45" i="69"/>
  <c r="N45" i="69"/>
  <c r="L45" i="69"/>
  <c r="D45" i="69"/>
  <c r="B45" i="69"/>
  <c r="Z44" i="69"/>
  <c r="X44" i="69"/>
  <c r="P44" i="69"/>
  <c r="N44" i="69"/>
  <c r="L44" i="69"/>
  <c r="D44" i="69"/>
  <c r="B44" i="69"/>
  <c r="Z43" i="69"/>
  <c r="X43" i="69"/>
  <c r="P43" i="69"/>
  <c r="N43" i="69"/>
  <c r="L43" i="69"/>
  <c r="D43" i="69"/>
  <c r="B43" i="69"/>
  <c r="Z42" i="69"/>
  <c r="P42" i="69"/>
  <c r="X42" i="69" s="1"/>
  <c r="N42" i="69"/>
  <c r="L42" i="69"/>
  <c r="D42" i="69"/>
  <c r="B42" i="69"/>
  <c r="Z41" i="69"/>
  <c r="P41" i="69"/>
  <c r="X41" i="69" s="1"/>
  <c r="N41" i="69"/>
  <c r="L41" i="69"/>
  <c r="D41" i="69"/>
  <c r="B41" i="69"/>
  <c r="Z40" i="69"/>
  <c r="P40" i="69"/>
  <c r="X40" i="69" s="1"/>
  <c r="N40" i="69"/>
  <c r="L40" i="69"/>
  <c r="D40" i="69"/>
  <c r="B40" i="69"/>
  <c r="Z39" i="69"/>
  <c r="P39" i="69"/>
  <c r="X39" i="69" s="1"/>
  <c r="N39" i="69"/>
  <c r="D39" i="69"/>
  <c r="L39" i="69" s="1"/>
  <c r="B39" i="69"/>
  <c r="Z38" i="69"/>
  <c r="P38" i="69"/>
  <c r="X38" i="69" s="1"/>
  <c r="N38" i="69"/>
  <c r="D38" i="69"/>
  <c r="L38" i="69" s="1"/>
  <c r="B38" i="69"/>
  <c r="Z37" i="69"/>
  <c r="X37" i="69"/>
  <c r="P37" i="69"/>
  <c r="N37" i="69"/>
  <c r="D37" i="69"/>
  <c r="L37" i="69" s="1"/>
  <c r="B37" i="69"/>
  <c r="Z36" i="69"/>
  <c r="X36" i="69"/>
  <c r="P36" i="69"/>
  <c r="N36" i="69"/>
  <c r="D36" i="69"/>
  <c r="L36" i="69" s="1"/>
  <c r="B36" i="69"/>
  <c r="Z35" i="69"/>
  <c r="X35" i="69"/>
  <c r="P35" i="69"/>
  <c r="N35" i="69"/>
  <c r="D35" i="69"/>
  <c r="L35" i="69" s="1"/>
  <c r="B35" i="69"/>
  <c r="Z34" i="69"/>
  <c r="X34" i="69"/>
  <c r="P34" i="69"/>
  <c r="N34" i="69"/>
  <c r="L34" i="69"/>
  <c r="D34" i="69"/>
  <c r="B34" i="69"/>
  <c r="Z33" i="69"/>
  <c r="X33" i="69"/>
  <c r="P33" i="69"/>
  <c r="N33" i="69"/>
  <c r="L33" i="69"/>
  <c r="D33" i="69"/>
  <c r="B33" i="69"/>
  <c r="X32" i="69"/>
  <c r="Z32" i="69" s="1"/>
  <c r="P32" i="69"/>
  <c r="L32" i="69"/>
  <c r="N32" i="69" s="1"/>
  <c r="D32" i="69"/>
  <c r="B32" i="69"/>
  <c r="Z31" i="69"/>
  <c r="X31" i="69"/>
  <c r="P31" i="69"/>
  <c r="N31" i="69"/>
  <c r="L31" i="69"/>
  <c r="D31" i="69"/>
  <c r="B31" i="69"/>
  <c r="Z30" i="69"/>
  <c r="P30" i="69"/>
  <c r="X30" i="69" s="1"/>
  <c r="N30" i="69"/>
  <c r="L30" i="69"/>
  <c r="D30" i="69"/>
  <c r="B30" i="69"/>
  <c r="Z29" i="69"/>
  <c r="P29" i="69"/>
  <c r="X29" i="69" s="1"/>
  <c r="N29" i="69"/>
  <c r="L29" i="69"/>
  <c r="D29" i="69"/>
  <c r="B29" i="69"/>
  <c r="Z28" i="69"/>
  <c r="P28" i="69"/>
  <c r="X28" i="69" s="1"/>
  <c r="N28" i="69"/>
  <c r="L28" i="69"/>
  <c r="D28" i="69"/>
  <c r="B28" i="69"/>
  <c r="Z27" i="69"/>
  <c r="P27" i="69"/>
  <c r="X27" i="69" s="1"/>
  <c r="N27" i="69"/>
  <c r="D27" i="69"/>
  <c r="L27" i="69" s="1"/>
  <c r="B27" i="69"/>
  <c r="Z26" i="69"/>
  <c r="P26" i="69"/>
  <c r="X26" i="69" s="1"/>
  <c r="N26" i="69"/>
  <c r="D26" i="69"/>
  <c r="L26" i="69" s="1"/>
  <c r="B26" i="69"/>
  <c r="Z25" i="69"/>
  <c r="X25" i="69"/>
  <c r="P25" i="69"/>
  <c r="N25" i="69"/>
  <c r="D25" i="69"/>
  <c r="L25" i="69" s="1"/>
  <c r="B25" i="69"/>
  <c r="Z24" i="69"/>
  <c r="X24" i="69"/>
  <c r="P24" i="69"/>
  <c r="N24" i="69"/>
  <c r="D24" i="69"/>
  <c r="L24" i="69" s="1"/>
  <c r="B24" i="69"/>
  <c r="Z23" i="69"/>
  <c r="X23" i="69"/>
  <c r="P23" i="69"/>
  <c r="N23" i="69"/>
  <c r="D23" i="69"/>
  <c r="L23" i="69" s="1"/>
  <c r="B23" i="69"/>
  <c r="Z22" i="69"/>
  <c r="X22" i="69"/>
  <c r="P22" i="69"/>
  <c r="N22" i="69"/>
  <c r="L22" i="69"/>
  <c r="D22" i="69"/>
  <c r="B22" i="69"/>
  <c r="Z21" i="69"/>
  <c r="X21" i="69"/>
  <c r="P21" i="69"/>
  <c r="N21" i="69"/>
  <c r="L21" i="69"/>
  <c r="D21" i="69"/>
  <c r="B21" i="69"/>
  <c r="Z20" i="69"/>
  <c r="P20" i="69"/>
  <c r="X20" i="69" s="1"/>
  <c r="N20" i="69"/>
  <c r="L20" i="69"/>
  <c r="D20" i="69"/>
  <c r="B20" i="69"/>
  <c r="Z19" i="69"/>
  <c r="X19" i="69"/>
  <c r="P19" i="69"/>
  <c r="N19" i="69"/>
  <c r="L19" i="69"/>
  <c r="D19" i="69"/>
  <c r="B19" i="69"/>
  <c r="Z18" i="69"/>
  <c r="P18" i="69"/>
  <c r="X18" i="69" s="1"/>
  <c r="N18" i="69"/>
  <c r="L18" i="69"/>
  <c r="D18" i="69"/>
  <c r="B18" i="69"/>
  <c r="Z17" i="69"/>
  <c r="P17" i="69"/>
  <c r="X17" i="69" s="1"/>
  <c r="N17" i="69"/>
  <c r="L17" i="69"/>
  <c r="D17" i="69"/>
  <c r="B17" i="69"/>
  <c r="Z16" i="69"/>
  <c r="P16" i="69"/>
  <c r="X16" i="69" s="1"/>
  <c r="N16" i="69"/>
  <c r="L16" i="69"/>
  <c r="D16" i="69"/>
  <c r="B16" i="69"/>
  <c r="Z15" i="69"/>
  <c r="P15" i="69"/>
  <c r="X15" i="69" s="1"/>
  <c r="N15" i="69"/>
  <c r="D15" i="69"/>
  <c r="L15" i="69" s="1"/>
  <c r="B15" i="69"/>
  <c r="Z14" i="69"/>
  <c r="P14" i="69"/>
  <c r="N14" i="69"/>
  <c r="D14" i="69"/>
  <c r="L14" i="69" s="1"/>
  <c r="B14" i="69"/>
  <c r="X13" i="69"/>
  <c r="Z13" i="69" s="1"/>
  <c r="P13" i="69"/>
  <c r="D13" i="69"/>
  <c r="B13" i="69"/>
  <c r="T12" i="69"/>
  <c r="V121" i="69" s="1"/>
  <c r="H12" i="69"/>
  <c r="J82" i="69" s="1"/>
  <c r="D6" i="69"/>
  <c r="D4" i="69"/>
  <c r="J72" i="68"/>
  <c r="Z67" i="68"/>
  <c r="X67" i="68"/>
  <c r="N67" i="68"/>
  <c r="L67" i="68"/>
  <c r="Z63" i="68"/>
  <c r="T63" i="68"/>
  <c r="P63" i="68"/>
  <c r="X63" i="68" s="1"/>
  <c r="N63" i="68"/>
  <c r="L63" i="68"/>
  <c r="H63" i="68"/>
  <c r="D63" i="68"/>
  <c r="Z61" i="68"/>
  <c r="X61" i="68"/>
  <c r="N61" i="68"/>
  <c r="L61" i="68"/>
  <c r="B61" i="68"/>
  <c r="T60" i="68"/>
  <c r="P60" i="68"/>
  <c r="X60" i="68" s="1"/>
  <c r="L60" i="68"/>
  <c r="H60" i="68"/>
  <c r="D60" i="68"/>
  <c r="B60" i="68"/>
  <c r="X59" i="68"/>
  <c r="Z59" i="68" s="1"/>
  <c r="N59" i="68"/>
  <c r="L59" i="68"/>
  <c r="B59" i="68"/>
  <c r="Z58" i="68"/>
  <c r="T58" i="68"/>
  <c r="P58" i="68"/>
  <c r="X58" i="68" s="1"/>
  <c r="L58" i="68"/>
  <c r="H58" i="68"/>
  <c r="D58" i="68"/>
  <c r="B58" i="68"/>
  <c r="X57" i="68"/>
  <c r="Z57" i="68" s="1"/>
  <c r="N57" i="68"/>
  <c r="L57" i="68"/>
  <c r="J57" i="68"/>
  <c r="B57" i="68"/>
  <c r="X56" i="68"/>
  <c r="Z56" i="68" s="1"/>
  <c r="N56" i="68"/>
  <c r="L56" i="68"/>
  <c r="B56" i="68"/>
  <c r="Z55" i="68"/>
  <c r="X55" i="68"/>
  <c r="N55" i="68"/>
  <c r="L55" i="68"/>
  <c r="B55" i="68"/>
  <c r="Z54" i="68"/>
  <c r="X54" i="68"/>
  <c r="N54" i="68"/>
  <c r="L54" i="68"/>
  <c r="B54" i="68"/>
  <c r="T53" i="68"/>
  <c r="P53" i="68"/>
  <c r="N53" i="68"/>
  <c r="H53" i="68"/>
  <c r="D53" i="68"/>
  <c r="L53" i="68" s="1"/>
  <c r="B53" i="68"/>
  <c r="Z52" i="68"/>
  <c r="X52" i="68"/>
  <c r="L52" i="68"/>
  <c r="N52" i="68" s="1"/>
  <c r="B52" i="68"/>
  <c r="Z51" i="68"/>
  <c r="X51" i="68"/>
  <c r="N51" i="68"/>
  <c r="L51" i="68"/>
  <c r="B51" i="68"/>
  <c r="X50" i="68"/>
  <c r="T50" i="68"/>
  <c r="P50" i="68"/>
  <c r="J50" i="68"/>
  <c r="H50" i="68"/>
  <c r="D50" i="68"/>
  <c r="B50" i="68"/>
  <c r="Z49" i="68"/>
  <c r="X49" i="68"/>
  <c r="N49" i="68"/>
  <c r="L49" i="68"/>
  <c r="B49" i="68"/>
  <c r="X48" i="68"/>
  <c r="T48" i="68"/>
  <c r="Z48" i="68" s="1"/>
  <c r="P48" i="68"/>
  <c r="N48" i="68"/>
  <c r="H48" i="68"/>
  <c r="D48" i="68"/>
  <c r="L48" i="68" s="1"/>
  <c r="B48" i="68"/>
  <c r="Z47" i="68"/>
  <c r="X47" i="68"/>
  <c r="L47" i="68"/>
  <c r="N47" i="68" s="1"/>
  <c r="B47" i="68"/>
  <c r="T46" i="68"/>
  <c r="P46" i="68"/>
  <c r="L46" i="68"/>
  <c r="N46" i="68" s="1"/>
  <c r="H46" i="68"/>
  <c r="D46" i="68"/>
  <c r="B46" i="68"/>
  <c r="Z45" i="68"/>
  <c r="X45" i="68"/>
  <c r="N45" i="68"/>
  <c r="L45" i="68"/>
  <c r="J45" i="68"/>
  <c r="B45" i="68"/>
  <c r="T44" i="68"/>
  <c r="P44" i="68"/>
  <c r="H44" i="68"/>
  <c r="F44" i="68"/>
  <c r="D44" i="68"/>
  <c r="B44" i="68"/>
  <c r="X43" i="68"/>
  <c r="Z43" i="68" s="1"/>
  <c r="N43" i="68"/>
  <c r="L43" i="68"/>
  <c r="B43" i="68"/>
  <c r="T42" i="68"/>
  <c r="P42" i="68"/>
  <c r="X42" i="68" s="1"/>
  <c r="Z42" i="68" s="1"/>
  <c r="H42" i="68"/>
  <c r="D42" i="68"/>
  <c r="L42" i="68" s="1"/>
  <c r="B42" i="68"/>
  <c r="X41" i="68"/>
  <c r="Z41" i="68" s="1"/>
  <c r="N41" i="68"/>
  <c r="L41" i="68"/>
  <c r="J41" i="68"/>
  <c r="B41" i="68"/>
  <c r="X40" i="68"/>
  <c r="Z40" i="68" s="1"/>
  <c r="T40" i="68"/>
  <c r="P40" i="68"/>
  <c r="N40" i="68"/>
  <c r="L40" i="68"/>
  <c r="H40" i="68"/>
  <c r="D40" i="68"/>
  <c r="B40" i="68"/>
  <c r="Z39" i="68"/>
  <c r="X39" i="68"/>
  <c r="N39" i="68"/>
  <c r="L39" i="68"/>
  <c r="J39" i="68"/>
  <c r="B39" i="68"/>
  <c r="Z38" i="68"/>
  <c r="X38" i="68"/>
  <c r="N38" i="68"/>
  <c r="L38" i="68"/>
  <c r="B38" i="68"/>
  <c r="Z37" i="68"/>
  <c r="X37" i="68"/>
  <c r="N37" i="68"/>
  <c r="L37" i="68"/>
  <c r="B37" i="68"/>
  <c r="Z36" i="68"/>
  <c r="X36" i="68"/>
  <c r="N36" i="68"/>
  <c r="L36" i="68"/>
  <c r="B36" i="68"/>
  <c r="Z35" i="68"/>
  <c r="X35" i="68"/>
  <c r="N35" i="68"/>
  <c r="L35" i="68"/>
  <c r="B35" i="68"/>
  <c r="Z34" i="68"/>
  <c r="X34" i="68"/>
  <c r="N34" i="68"/>
  <c r="L34" i="68"/>
  <c r="B34" i="68"/>
  <c r="Z33" i="68"/>
  <c r="X33" i="68"/>
  <c r="L33" i="68"/>
  <c r="N33" i="68" s="1"/>
  <c r="F33" i="68"/>
  <c r="B33" i="68"/>
  <c r="Z32" i="68"/>
  <c r="X32" i="68"/>
  <c r="V32" i="68"/>
  <c r="N32" i="68"/>
  <c r="L32" i="68"/>
  <c r="B32" i="68"/>
  <c r="Z31" i="68"/>
  <c r="X31" i="68"/>
  <c r="L31" i="68"/>
  <c r="N31" i="68" s="1"/>
  <c r="J31" i="68"/>
  <c r="B31" i="68"/>
  <c r="X30" i="68"/>
  <c r="Z30" i="68" s="1"/>
  <c r="V30" i="68"/>
  <c r="N30" i="68"/>
  <c r="L30" i="68"/>
  <c r="J30" i="68"/>
  <c r="B30" i="68"/>
  <c r="Z29" i="68"/>
  <c r="T29" i="68"/>
  <c r="P29" i="68"/>
  <c r="X29" i="68" s="1"/>
  <c r="L29" i="68"/>
  <c r="N29" i="68" s="1"/>
  <c r="H29" i="68"/>
  <c r="D29" i="68"/>
  <c r="B29" i="68"/>
  <c r="Z28" i="68"/>
  <c r="X28" i="68"/>
  <c r="N28" i="68"/>
  <c r="L28" i="68"/>
  <c r="J28" i="68"/>
  <c r="B28" i="68"/>
  <c r="X27" i="68"/>
  <c r="Z27" i="68" s="1"/>
  <c r="V27" i="68"/>
  <c r="N27" i="68"/>
  <c r="L27" i="68"/>
  <c r="J27" i="68"/>
  <c r="B27" i="68"/>
  <c r="Z26" i="68"/>
  <c r="X26" i="68"/>
  <c r="V26" i="68"/>
  <c r="N26" i="68"/>
  <c r="L26" i="68"/>
  <c r="F26" i="68"/>
  <c r="B26" i="68"/>
  <c r="Z25" i="68"/>
  <c r="X25" i="68"/>
  <c r="N25" i="68"/>
  <c r="L25" i="68"/>
  <c r="B25" i="68"/>
  <c r="Z24" i="68"/>
  <c r="X24" i="68"/>
  <c r="N24" i="68"/>
  <c r="L24" i="68"/>
  <c r="B24" i="68"/>
  <c r="X23" i="68"/>
  <c r="Z23" i="68" s="1"/>
  <c r="N23" i="68"/>
  <c r="L23" i="68"/>
  <c r="F23" i="68"/>
  <c r="B23" i="68"/>
  <c r="Z22" i="68"/>
  <c r="X22" i="68"/>
  <c r="N22" i="68"/>
  <c r="L22" i="68"/>
  <c r="J22" i="68"/>
  <c r="B22" i="68"/>
  <c r="Z21" i="68"/>
  <c r="X21" i="68"/>
  <c r="N21" i="68"/>
  <c r="L21" i="68"/>
  <c r="B21" i="68"/>
  <c r="X20" i="68"/>
  <c r="Z20" i="68" s="1"/>
  <c r="N20" i="68"/>
  <c r="L20" i="68"/>
  <c r="F20" i="68"/>
  <c r="B20" i="68"/>
  <c r="T19" i="68"/>
  <c r="P19" i="68"/>
  <c r="J19" i="68"/>
  <c r="H19" i="68"/>
  <c r="D19" i="68"/>
  <c r="L19" i="68" s="1"/>
  <c r="N19" i="68" s="1"/>
  <c r="B19" i="68"/>
  <c r="T18" i="68"/>
  <c r="P18" i="68"/>
  <c r="J18" i="68"/>
  <c r="H18" i="68"/>
  <c r="D18" i="68"/>
  <c r="J16" i="68"/>
  <c r="H16" i="68"/>
  <c r="F16" i="68"/>
  <c r="X14" i="68"/>
  <c r="V14" i="68"/>
  <c r="T14" i="68"/>
  <c r="Z14" i="68" s="1"/>
  <c r="P14" i="68"/>
  <c r="L14" i="68"/>
  <c r="H14" i="68"/>
  <c r="N14" i="68" s="1"/>
  <c r="D14" i="68"/>
  <c r="T12" i="68"/>
  <c r="V65" i="68" s="1"/>
  <c r="P12" i="68"/>
  <c r="R65" i="68" s="1"/>
  <c r="H12" i="68"/>
  <c r="D12" i="68"/>
  <c r="F53" i="68" s="1"/>
  <c r="D6" i="68"/>
  <c r="D4" i="68"/>
  <c r="Z110" i="64"/>
  <c r="X110" i="64"/>
  <c r="N110" i="64"/>
  <c r="L110" i="64"/>
  <c r="P106" i="64"/>
  <c r="X106" i="64" s="1"/>
  <c r="Z106" i="64" s="1"/>
  <c r="D106" i="64"/>
  <c r="L106" i="64" s="1"/>
  <c r="N106" i="64" s="1"/>
  <c r="B106" i="64"/>
  <c r="Z105" i="64"/>
  <c r="P105" i="64"/>
  <c r="X105" i="64" s="1"/>
  <c r="N105" i="64"/>
  <c r="L105" i="64"/>
  <c r="D105" i="64"/>
  <c r="B105" i="64"/>
  <c r="X104" i="64"/>
  <c r="Z104" i="64" s="1"/>
  <c r="P104" i="64"/>
  <c r="P102" i="64" s="1"/>
  <c r="X102" i="64" s="1"/>
  <c r="D104" i="64"/>
  <c r="L104" i="64" s="1"/>
  <c r="N104" i="64" s="1"/>
  <c r="B104" i="64"/>
  <c r="Z103" i="64"/>
  <c r="X103" i="64"/>
  <c r="P103" i="64"/>
  <c r="L103" i="64"/>
  <c r="N103" i="64" s="1"/>
  <c r="D103" i="64"/>
  <c r="B103" i="64"/>
  <c r="T102" i="64"/>
  <c r="L102" i="64"/>
  <c r="N102" i="64" s="1"/>
  <c r="H102" i="64"/>
  <c r="D102" i="64"/>
  <c r="X100" i="64"/>
  <c r="Z100" i="64" s="1"/>
  <c r="N100" i="64"/>
  <c r="L100" i="64"/>
  <c r="B100" i="64"/>
  <c r="T99" i="64"/>
  <c r="P99" i="64"/>
  <c r="X99" i="64" s="1"/>
  <c r="Z99" i="64" s="1"/>
  <c r="H99" i="64"/>
  <c r="L99" i="64" s="1"/>
  <c r="N99" i="64" s="1"/>
  <c r="D99" i="64"/>
  <c r="B99" i="64"/>
  <c r="Z98" i="64"/>
  <c r="X98" i="64"/>
  <c r="N98" i="64"/>
  <c r="L98" i="64"/>
  <c r="B98" i="64"/>
  <c r="Z97" i="64"/>
  <c r="X97" i="64"/>
  <c r="N97" i="64"/>
  <c r="L97" i="64"/>
  <c r="B97" i="64"/>
  <c r="Z96" i="64"/>
  <c r="X96" i="64"/>
  <c r="N96" i="64"/>
  <c r="L96" i="64"/>
  <c r="B96" i="64"/>
  <c r="Z95" i="64"/>
  <c r="T95" i="64"/>
  <c r="P95" i="64"/>
  <c r="X95" i="64" s="1"/>
  <c r="N95" i="64"/>
  <c r="L95" i="64"/>
  <c r="H95" i="64"/>
  <c r="D95" i="64"/>
  <c r="B95" i="64"/>
  <c r="X94" i="64"/>
  <c r="Z94" i="64" s="1"/>
  <c r="L94" i="64"/>
  <c r="N94" i="64" s="1"/>
  <c r="B94" i="64"/>
  <c r="T93" i="64"/>
  <c r="P93" i="64"/>
  <c r="X93" i="64" s="1"/>
  <c r="Z93" i="64" s="1"/>
  <c r="L93" i="64"/>
  <c r="H93" i="64"/>
  <c r="N93" i="64" s="1"/>
  <c r="D93" i="64"/>
  <c r="B93" i="64"/>
  <c r="X92" i="64"/>
  <c r="Z92" i="64" s="1"/>
  <c r="N92" i="64"/>
  <c r="L92" i="64"/>
  <c r="B92" i="64"/>
  <c r="X91" i="64"/>
  <c r="Z91" i="64" s="1"/>
  <c r="T91" i="64"/>
  <c r="P91" i="64"/>
  <c r="H91" i="64"/>
  <c r="L91" i="64" s="1"/>
  <c r="N91" i="64" s="1"/>
  <c r="D91" i="64"/>
  <c r="B91" i="64"/>
  <c r="X90" i="64"/>
  <c r="Z90" i="64" s="1"/>
  <c r="L90" i="64"/>
  <c r="N90" i="64" s="1"/>
  <c r="B90" i="64"/>
  <c r="Z89" i="64"/>
  <c r="X89" i="64"/>
  <c r="N89" i="64"/>
  <c r="L89" i="64"/>
  <c r="B89" i="64"/>
  <c r="Z88" i="64"/>
  <c r="X88" i="64"/>
  <c r="N88" i="64"/>
  <c r="L88" i="64"/>
  <c r="B88" i="64"/>
  <c r="Z87" i="64"/>
  <c r="X87" i="64"/>
  <c r="N87" i="64"/>
  <c r="L87" i="64"/>
  <c r="B87" i="64"/>
  <c r="Z86" i="64"/>
  <c r="X86" i="64"/>
  <c r="N86" i="64"/>
  <c r="L86" i="64"/>
  <c r="B86" i="64"/>
  <c r="Z85" i="64"/>
  <c r="X85" i="64"/>
  <c r="N85" i="64"/>
  <c r="L85" i="64"/>
  <c r="B85" i="64"/>
  <c r="T84" i="64"/>
  <c r="Z84" i="64" s="1"/>
  <c r="P84" i="64"/>
  <c r="X84" i="64" s="1"/>
  <c r="H84" i="64"/>
  <c r="N84" i="64" s="1"/>
  <c r="D84" i="64"/>
  <c r="L84" i="64" s="1"/>
  <c r="B84" i="64"/>
  <c r="Z83" i="64"/>
  <c r="X83" i="64"/>
  <c r="N83" i="64"/>
  <c r="L83" i="64"/>
  <c r="B83" i="64"/>
  <c r="X82" i="64"/>
  <c r="Z82" i="64" s="1"/>
  <c r="L82" i="64"/>
  <c r="N82" i="64" s="1"/>
  <c r="B82" i="64"/>
  <c r="T81" i="64"/>
  <c r="P81" i="64"/>
  <c r="X81" i="64" s="1"/>
  <c r="Z81" i="64" s="1"/>
  <c r="L81" i="64"/>
  <c r="H81" i="64"/>
  <c r="N81" i="64" s="1"/>
  <c r="D81" i="64"/>
  <c r="B81" i="64"/>
  <c r="X80" i="64"/>
  <c r="Z80" i="64" s="1"/>
  <c r="N80" i="64"/>
  <c r="L80" i="64"/>
  <c r="B80" i="64"/>
  <c r="Z79" i="64"/>
  <c r="X79" i="64"/>
  <c r="N79" i="64"/>
  <c r="L79" i="64"/>
  <c r="B79" i="64"/>
  <c r="Z78" i="64"/>
  <c r="X78" i="64"/>
  <c r="N78" i="64"/>
  <c r="L78" i="64"/>
  <c r="B78" i="64"/>
  <c r="T77" i="64"/>
  <c r="P77" i="64"/>
  <c r="X77" i="64" s="1"/>
  <c r="Z77" i="64" s="1"/>
  <c r="J77" i="64"/>
  <c r="H77" i="64"/>
  <c r="D77" i="64"/>
  <c r="L77" i="64" s="1"/>
  <c r="N77" i="64" s="1"/>
  <c r="B77" i="64"/>
  <c r="Z76" i="64"/>
  <c r="X76" i="64"/>
  <c r="N76" i="64"/>
  <c r="L76" i="64"/>
  <c r="B76" i="64"/>
  <c r="Z75" i="64"/>
  <c r="X75" i="64"/>
  <c r="N75" i="64"/>
  <c r="L75" i="64"/>
  <c r="B75" i="64"/>
  <c r="Z74" i="64"/>
  <c r="X74" i="64"/>
  <c r="N74" i="64"/>
  <c r="L74" i="64"/>
  <c r="B74" i="64"/>
  <c r="Z73" i="64"/>
  <c r="X73" i="64"/>
  <c r="N73" i="64"/>
  <c r="L73" i="64"/>
  <c r="B73" i="64"/>
  <c r="T72" i="64"/>
  <c r="P72" i="64"/>
  <c r="X72" i="64" s="1"/>
  <c r="H72" i="64"/>
  <c r="D72" i="64"/>
  <c r="L72" i="64" s="1"/>
  <c r="B72" i="64"/>
  <c r="X71" i="64"/>
  <c r="Z71" i="64" s="1"/>
  <c r="L71" i="64"/>
  <c r="N71" i="64" s="1"/>
  <c r="B71" i="64"/>
  <c r="T70" i="64"/>
  <c r="P70" i="64"/>
  <c r="X70" i="64" s="1"/>
  <c r="Z70" i="64" s="1"/>
  <c r="H70" i="64"/>
  <c r="D70" i="64"/>
  <c r="L70" i="64" s="1"/>
  <c r="B70" i="64"/>
  <c r="Z69" i="64"/>
  <c r="X69" i="64"/>
  <c r="N69" i="64"/>
  <c r="L69" i="64"/>
  <c r="B69" i="64"/>
  <c r="T68" i="64"/>
  <c r="P68" i="64"/>
  <c r="H68" i="64"/>
  <c r="D68" i="64"/>
  <c r="L68" i="64" s="1"/>
  <c r="N68" i="64" s="1"/>
  <c r="B68" i="64"/>
  <c r="Z67" i="64"/>
  <c r="X67" i="64"/>
  <c r="N67" i="64"/>
  <c r="L67" i="64"/>
  <c r="B67" i="64"/>
  <c r="T66" i="64"/>
  <c r="Z66" i="64" s="1"/>
  <c r="P66" i="64"/>
  <c r="X66" i="64" s="1"/>
  <c r="H66" i="64"/>
  <c r="N66" i="64" s="1"/>
  <c r="D66" i="64"/>
  <c r="L66" i="64" s="1"/>
  <c r="B66" i="64"/>
  <c r="Z65" i="64"/>
  <c r="X65" i="64"/>
  <c r="N65" i="64"/>
  <c r="L65" i="64"/>
  <c r="B65" i="64"/>
  <c r="T64" i="64"/>
  <c r="P64" i="64"/>
  <c r="X64" i="64" s="1"/>
  <c r="H64" i="64"/>
  <c r="D64" i="64"/>
  <c r="L64" i="64" s="1"/>
  <c r="N64" i="64" s="1"/>
  <c r="B64" i="64"/>
  <c r="Z63" i="64"/>
  <c r="X63" i="64"/>
  <c r="N63" i="64"/>
  <c r="L63" i="64"/>
  <c r="B63" i="64"/>
  <c r="T62" i="64"/>
  <c r="P62" i="64"/>
  <c r="X62" i="64" s="1"/>
  <c r="L62" i="64"/>
  <c r="H62" i="64"/>
  <c r="D62" i="64"/>
  <c r="B62" i="64"/>
  <c r="Z61" i="64"/>
  <c r="X61" i="64"/>
  <c r="N61" i="64"/>
  <c r="L61" i="64"/>
  <c r="B61" i="64"/>
  <c r="T60" i="64"/>
  <c r="P60" i="64"/>
  <c r="X60" i="64" s="1"/>
  <c r="L60" i="64"/>
  <c r="H60" i="64"/>
  <c r="D60" i="64"/>
  <c r="B60" i="64"/>
  <c r="X59" i="64"/>
  <c r="Z59" i="64" s="1"/>
  <c r="N59" i="64"/>
  <c r="L59" i="64"/>
  <c r="B59" i="64"/>
  <c r="X58" i="64"/>
  <c r="Z58" i="64" s="1"/>
  <c r="T58" i="64"/>
  <c r="P58" i="64"/>
  <c r="H58" i="64"/>
  <c r="D58" i="64"/>
  <c r="L58" i="64" s="1"/>
  <c r="B58" i="64"/>
  <c r="Z57" i="64"/>
  <c r="X57" i="64"/>
  <c r="N57" i="64"/>
  <c r="L57" i="64"/>
  <c r="B57" i="64"/>
  <c r="X56" i="64"/>
  <c r="Z56" i="64" s="1"/>
  <c r="N56" i="64"/>
  <c r="L56" i="64"/>
  <c r="B56" i="64"/>
  <c r="Z55" i="64"/>
  <c r="X55" i="64"/>
  <c r="T55" i="64"/>
  <c r="P55" i="64"/>
  <c r="L55" i="64"/>
  <c r="N55" i="64" s="1"/>
  <c r="H55" i="64"/>
  <c r="D55" i="64"/>
  <c r="B55" i="64"/>
  <c r="Z54" i="64"/>
  <c r="X54" i="64"/>
  <c r="N54" i="64"/>
  <c r="L54" i="64"/>
  <c r="B54" i="64"/>
  <c r="Z53" i="64"/>
  <c r="X53" i="64"/>
  <c r="N53" i="64"/>
  <c r="L53" i="64"/>
  <c r="B53" i="64"/>
  <c r="T52" i="64"/>
  <c r="R52" i="64"/>
  <c r="P52" i="64"/>
  <c r="H52" i="64"/>
  <c r="N52" i="64" s="1"/>
  <c r="D52" i="64"/>
  <c r="L52" i="64" s="1"/>
  <c r="B52" i="64"/>
  <c r="X51" i="64"/>
  <c r="Z51" i="64" s="1"/>
  <c r="L51" i="64"/>
  <c r="N51" i="64" s="1"/>
  <c r="B51" i="64"/>
  <c r="X50" i="64"/>
  <c r="Z50" i="64" s="1"/>
  <c r="L50" i="64"/>
  <c r="N50" i="64" s="1"/>
  <c r="J50" i="64"/>
  <c r="B50" i="64"/>
  <c r="Z49" i="64"/>
  <c r="X49" i="64"/>
  <c r="L49" i="64"/>
  <c r="N49" i="64" s="1"/>
  <c r="B49" i="64"/>
  <c r="Z48" i="64"/>
  <c r="X48" i="64"/>
  <c r="L48" i="64"/>
  <c r="N48" i="64" s="1"/>
  <c r="J48" i="64"/>
  <c r="B48" i="64"/>
  <c r="T47" i="64"/>
  <c r="P47" i="64"/>
  <c r="X47" i="64" s="1"/>
  <c r="H47" i="64"/>
  <c r="D47" i="64"/>
  <c r="L47" i="64" s="1"/>
  <c r="N47" i="64" s="1"/>
  <c r="B47" i="64"/>
  <c r="Z46" i="64"/>
  <c r="X46" i="64"/>
  <c r="L46" i="64"/>
  <c r="N46" i="64" s="1"/>
  <c r="B46" i="64"/>
  <c r="X45" i="64"/>
  <c r="Z45" i="64" s="1"/>
  <c r="V45" i="64"/>
  <c r="T45" i="64"/>
  <c r="P45" i="64"/>
  <c r="J45" i="64"/>
  <c r="H45" i="64"/>
  <c r="D45" i="64"/>
  <c r="B45" i="64"/>
  <c r="Z44" i="64"/>
  <c r="X44" i="64"/>
  <c r="N44" i="64"/>
  <c r="L44" i="64"/>
  <c r="J44" i="64"/>
  <c r="B44" i="64"/>
  <c r="Z43" i="64"/>
  <c r="X43" i="64"/>
  <c r="N43" i="64"/>
  <c r="L43" i="64"/>
  <c r="B43" i="64"/>
  <c r="V42" i="64"/>
  <c r="T42" i="64"/>
  <c r="X42" i="64" s="1"/>
  <c r="Z42" i="64" s="1"/>
  <c r="P42" i="64"/>
  <c r="L42" i="64"/>
  <c r="N42" i="64" s="1"/>
  <c r="H42" i="64"/>
  <c r="D42" i="64"/>
  <c r="B42" i="64"/>
  <c r="X41" i="64"/>
  <c r="Z41" i="64" s="1"/>
  <c r="L41" i="64"/>
  <c r="N41" i="64" s="1"/>
  <c r="J41" i="64"/>
  <c r="B41" i="64"/>
  <c r="X40" i="64"/>
  <c r="T40" i="64"/>
  <c r="Z40" i="64" s="1"/>
  <c r="P40" i="64"/>
  <c r="J40" i="64"/>
  <c r="H40" i="64"/>
  <c r="D40" i="64"/>
  <c r="B40" i="64"/>
  <c r="Z39" i="64"/>
  <c r="X39" i="64"/>
  <c r="N39" i="64"/>
  <c r="L39" i="64"/>
  <c r="J39" i="64"/>
  <c r="B39" i="64"/>
  <c r="Z38" i="64"/>
  <c r="X38" i="64"/>
  <c r="N38" i="64"/>
  <c r="L38" i="64"/>
  <c r="J38" i="64"/>
  <c r="B38" i="64"/>
  <c r="X37" i="64"/>
  <c r="Z37" i="64" s="1"/>
  <c r="V37" i="64"/>
  <c r="N37" i="64"/>
  <c r="L37" i="64"/>
  <c r="J37" i="64"/>
  <c r="B37" i="64"/>
  <c r="Z36" i="64"/>
  <c r="X36" i="64"/>
  <c r="N36" i="64"/>
  <c r="L36" i="64"/>
  <c r="B36" i="64"/>
  <c r="Z35" i="64"/>
  <c r="X35" i="64"/>
  <c r="N35" i="64"/>
  <c r="L35" i="64"/>
  <c r="J35" i="64"/>
  <c r="B35" i="64"/>
  <c r="Z34" i="64"/>
  <c r="X34" i="64"/>
  <c r="N34" i="64"/>
  <c r="L34" i="64"/>
  <c r="J34" i="64"/>
  <c r="B34" i="64"/>
  <c r="X33" i="64"/>
  <c r="Z33" i="64" s="1"/>
  <c r="V33" i="64"/>
  <c r="N33" i="64"/>
  <c r="L33" i="64"/>
  <c r="J33" i="64"/>
  <c r="B33" i="64"/>
  <c r="Z32" i="64"/>
  <c r="X32" i="64"/>
  <c r="N32" i="64"/>
  <c r="L32" i="64"/>
  <c r="B32" i="64"/>
  <c r="Z31" i="64"/>
  <c r="X31" i="64"/>
  <c r="N31" i="64"/>
  <c r="L31" i="64"/>
  <c r="J31" i="64"/>
  <c r="B31" i="64"/>
  <c r="X30" i="64"/>
  <c r="Z30" i="64" s="1"/>
  <c r="N30" i="64"/>
  <c r="L30" i="64"/>
  <c r="J30" i="64"/>
  <c r="B30" i="64"/>
  <c r="X29" i="64"/>
  <c r="Z29" i="64" s="1"/>
  <c r="V29" i="64"/>
  <c r="T29" i="64"/>
  <c r="P29" i="64"/>
  <c r="J29" i="64"/>
  <c r="H29" i="64"/>
  <c r="D29" i="64"/>
  <c r="B29" i="64"/>
  <c r="X28" i="64"/>
  <c r="Z28" i="64" s="1"/>
  <c r="L28" i="64"/>
  <c r="N28" i="64" s="1"/>
  <c r="J28" i="64"/>
  <c r="B28" i="64"/>
  <c r="Z27" i="64"/>
  <c r="X27" i="64"/>
  <c r="N27" i="64"/>
  <c r="L27" i="64"/>
  <c r="J27" i="64"/>
  <c r="B27" i="64"/>
  <c r="Z26" i="64"/>
  <c r="X26" i="64"/>
  <c r="V26" i="64"/>
  <c r="L26" i="64"/>
  <c r="N26" i="64" s="1"/>
  <c r="J26" i="64"/>
  <c r="F26" i="64"/>
  <c r="B26" i="64"/>
  <c r="Z25" i="64"/>
  <c r="X25" i="64"/>
  <c r="N25" i="64"/>
  <c r="L25" i="64"/>
  <c r="J25" i="64"/>
  <c r="B25" i="64"/>
  <c r="X24" i="64"/>
  <c r="Z24" i="64" s="1"/>
  <c r="L24" i="64"/>
  <c r="N24" i="64" s="1"/>
  <c r="J24" i="64"/>
  <c r="B24" i="64"/>
  <c r="Z23" i="64"/>
  <c r="X23" i="64"/>
  <c r="N23" i="64"/>
  <c r="L23" i="64"/>
  <c r="J23" i="64"/>
  <c r="B23" i="64"/>
  <c r="Z22" i="64"/>
  <c r="X22" i="64"/>
  <c r="V22" i="64"/>
  <c r="L22" i="64"/>
  <c r="N22" i="64" s="1"/>
  <c r="J22" i="64"/>
  <c r="F22" i="64"/>
  <c r="B22" i="64"/>
  <c r="Z21" i="64"/>
  <c r="X21" i="64"/>
  <c r="V21" i="64"/>
  <c r="L21" i="64"/>
  <c r="N21" i="64" s="1"/>
  <c r="J21" i="64"/>
  <c r="B21" i="64"/>
  <c r="X20" i="64"/>
  <c r="Z20" i="64" s="1"/>
  <c r="L20" i="64"/>
  <c r="N20" i="64" s="1"/>
  <c r="J20" i="64"/>
  <c r="B20" i="64"/>
  <c r="T19" i="64"/>
  <c r="Z19" i="64" s="1"/>
  <c r="R19" i="64"/>
  <c r="P19" i="64"/>
  <c r="X19" i="64" s="1"/>
  <c r="J19" i="64"/>
  <c r="H19" i="64"/>
  <c r="N19" i="64" s="1"/>
  <c r="D19" i="64"/>
  <c r="L19" i="64" s="1"/>
  <c r="B19" i="64"/>
  <c r="T18" i="64"/>
  <c r="P18" i="64"/>
  <c r="X18" i="64" s="1"/>
  <c r="J18" i="64"/>
  <c r="H18" i="64"/>
  <c r="F18" i="64"/>
  <c r="D18" i="64"/>
  <c r="L18" i="64" s="1"/>
  <c r="J16" i="64"/>
  <c r="F16" i="64"/>
  <c r="T14" i="64"/>
  <c r="P14" i="64"/>
  <c r="J14" i="64"/>
  <c r="H14" i="64"/>
  <c r="H16" i="64" s="1"/>
  <c r="F14" i="64"/>
  <c r="D14" i="64"/>
  <c r="L14" i="64" s="1"/>
  <c r="T12" i="64"/>
  <c r="V75" i="64" s="1"/>
  <c r="P12" i="64"/>
  <c r="N12" i="64"/>
  <c r="L12" i="64"/>
  <c r="H12" i="64"/>
  <c r="D12" i="64"/>
  <c r="F52" i="64" s="1"/>
  <c r="D6" i="64"/>
  <c r="D4" i="64"/>
  <c r="V69" i="61"/>
  <c r="V66" i="61"/>
  <c r="Z64" i="61"/>
  <c r="X64" i="61"/>
  <c r="V64" i="61"/>
  <c r="N64" i="61"/>
  <c r="L64" i="61"/>
  <c r="F64" i="61"/>
  <c r="T60" i="61"/>
  <c r="Z60" i="61" s="1"/>
  <c r="P60" i="61"/>
  <c r="X60" i="61" s="1"/>
  <c r="N60" i="61"/>
  <c r="H60" i="61"/>
  <c r="D60" i="61"/>
  <c r="L60" i="61" s="1"/>
  <c r="X58" i="61"/>
  <c r="Z58" i="61" s="1"/>
  <c r="L58" i="61"/>
  <c r="N58" i="61" s="1"/>
  <c r="J58" i="61"/>
  <c r="B58" i="61"/>
  <c r="Z57" i="61"/>
  <c r="X57" i="61"/>
  <c r="V57" i="61"/>
  <c r="T57" i="61"/>
  <c r="P57" i="61"/>
  <c r="J57" i="61"/>
  <c r="H57" i="61"/>
  <c r="D57" i="61"/>
  <c r="B57" i="61"/>
  <c r="X56" i="61"/>
  <c r="Z56" i="61" s="1"/>
  <c r="L56" i="61"/>
  <c r="N56" i="61" s="1"/>
  <c r="B56" i="61"/>
  <c r="T55" i="61"/>
  <c r="R55" i="61"/>
  <c r="P55" i="61"/>
  <c r="X55" i="61" s="1"/>
  <c r="Z55" i="61" s="1"/>
  <c r="H55" i="61"/>
  <c r="D55" i="61"/>
  <c r="L55" i="61" s="1"/>
  <c r="N55" i="61" s="1"/>
  <c r="B55" i="61"/>
  <c r="X54" i="61"/>
  <c r="Z54" i="61" s="1"/>
  <c r="R54" i="61"/>
  <c r="L54" i="61"/>
  <c r="N54" i="61" s="1"/>
  <c r="B54" i="61"/>
  <c r="X53" i="61"/>
  <c r="Z53" i="61" s="1"/>
  <c r="V53" i="61"/>
  <c r="T53" i="61"/>
  <c r="P53" i="61"/>
  <c r="H53" i="61"/>
  <c r="D53" i="61"/>
  <c r="L53" i="61" s="1"/>
  <c r="N53" i="61" s="1"/>
  <c r="B53" i="61"/>
  <c r="Z52" i="61"/>
  <c r="X52" i="61"/>
  <c r="N52" i="61"/>
  <c r="L52" i="61"/>
  <c r="B52" i="61"/>
  <c r="Z51" i="61"/>
  <c r="X51" i="61"/>
  <c r="V51" i="61"/>
  <c r="N51" i="61"/>
  <c r="L51" i="61"/>
  <c r="B51" i="61"/>
  <c r="T50" i="61"/>
  <c r="P50" i="61"/>
  <c r="X50" i="61" s="1"/>
  <c r="H50" i="61"/>
  <c r="D50" i="61"/>
  <c r="L50" i="61" s="1"/>
  <c r="N50" i="61" s="1"/>
  <c r="B50" i="61"/>
  <c r="Z49" i="61"/>
  <c r="X49" i="61"/>
  <c r="L49" i="61"/>
  <c r="N49" i="61" s="1"/>
  <c r="J49" i="61"/>
  <c r="B49" i="61"/>
  <c r="X48" i="61"/>
  <c r="T48" i="61"/>
  <c r="P48" i="61"/>
  <c r="J48" i="61"/>
  <c r="H48" i="61"/>
  <c r="D48" i="61"/>
  <c r="B48" i="61"/>
  <c r="Z47" i="61"/>
  <c r="X47" i="61"/>
  <c r="N47" i="61"/>
  <c r="L47" i="61"/>
  <c r="J47" i="61"/>
  <c r="F47" i="61"/>
  <c r="B47" i="61"/>
  <c r="T46" i="61"/>
  <c r="Z46" i="61" s="1"/>
  <c r="P46" i="61"/>
  <c r="H46" i="61"/>
  <c r="N46" i="61" s="1"/>
  <c r="F46" i="61"/>
  <c r="D46" i="61"/>
  <c r="L46" i="61" s="1"/>
  <c r="B46" i="61"/>
  <c r="Z45" i="61"/>
  <c r="X45" i="61"/>
  <c r="V45" i="61"/>
  <c r="N45" i="61"/>
  <c r="L45" i="61"/>
  <c r="B45" i="61"/>
  <c r="Z44" i="61"/>
  <c r="T44" i="61"/>
  <c r="P44" i="61"/>
  <c r="X44" i="61" s="1"/>
  <c r="H44" i="61"/>
  <c r="D44" i="61"/>
  <c r="L44" i="61" s="1"/>
  <c r="B44" i="61"/>
  <c r="Z43" i="61"/>
  <c r="X43" i="61"/>
  <c r="N43" i="61"/>
  <c r="L43" i="61"/>
  <c r="J43" i="61"/>
  <c r="B43" i="61"/>
  <c r="V42" i="61"/>
  <c r="T42" i="61"/>
  <c r="P42" i="61"/>
  <c r="L42" i="61"/>
  <c r="H42" i="61"/>
  <c r="N42" i="61" s="1"/>
  <c r="D42" i="61"/>
  <c r="B42" i="61"/>
  <c r="X41" i="61"/>
  <c r="Z41" i="61" s="1"/>
  <c r="V41" i="61"/>
  <c r="N41" i="61"/>
  <c r="L41" i="61"/>
  <c r="J41" i="61"/>
  <c r="B41" i="61"/>
  <c r="T40" i="61"/>
  <c r="P40" i="61"/>
  <c r="X40" i="61" s="1"/>
  <c r="H40" i="61"/>
  <c r="D40" i="61"/>
  <c r="L40" i="61" s="1"/>
  <c r="B40" i="61"/>
  <c r="Z39" i="61"/>
  <c r="X39" i="61"/>
  <c r="V39" i="61"/>
  <c r="R39" i="61"/>
  <c r="N39" i="61"/>
  <c r="L39" i="61"/>
  <c r="B39" i="61"/>
  <c r="Z38" i="61"/>
  <c r="X38" i="61"/>
  <c r="N38" i="61"/>
  <c r="L38" i="61"/>
  <c r="J38" i="61"/>
  <c r="F38" i="61"/>
  <c r="B38" i="61"/>
  <c r="Z37" i="61"/>
  <c r="X37" i="61"/>
  <c r="V37" i="61"/>
  <c r="N37" i="61"/>
  <c r="L37" i="61"/>
  <c r="B37" i="61"/>
  <c r="Z36" i="61"/>
  <c r="X36" i="61"/>
  <c r="L36" i="61"/>
  <c r="N36" i="61" s="1"/>
  <c r="F36" i="61"/>
  <c r="B36" i="61"/>
  <c r="Z35" i="61"/>
  <c r="X35" i="61"/>
  <c r="V35" i="61"/>
  <c r="R35" i="61"/>
  <c r="N35" i="61"/>
  <c r="L35" i="61"/>
  <c r="B35" i="61"/>
  <c r="Z34" i="61"/>
  <c r="X34" i="61"/>
  <c r="N34" i="61"/>
  <c r="L34" i="61"/>
  <c r="J34" i="61"/>
  <c r="F34" i="61"/>
  <c r="B34" i="61"/>
  <c r="Z33" i="61"/>
  <c r="X33" i="61"/>
  <c r="V33" i="61"/>
  <c r="N33" i="61"/>
  <c r="L33" i="61"/>
  <c r="B33" i="61"/>
  <c r="Z32" i="61"/>
  <c r="X32" i="61"/>
  <c r="N32" i="61"/>
  <c r="L32" i="61"/>
  <c r="F32" i="61"/>
  <c r="B32" i="61"/>
  <c r="Z31" i="61"/>
  <c r="X31" i="61"/>
  <c r="V31" i="61"/>
  <c r="N31" i="61"/>
  <c r="L31" i="61"/>
  <c r="B31" i="61"/>
  <c r="X30" i="61"/>
  <c r="Z30" i="61" s="1"/>
  <c r="L30" i="61"/>
  <c r="N30" i="61" s="1"/>
  <c r="J30" i="61"/>
  <c r="F30" i="61"/>
  <c r="B30" i="61"/>
  <c r="Z29" i="61"/>
  <c r="X29" i="61"/>
  <c r="V29" i="61"/>
  <c r="T29" i="61"/>
  <c r="P29" i="61"/>
  <c r="J29" i="61"/>
  <c r="H29" i="61"/>
  <c r="F29" i="61"/>
  <c r="D29" i="61"/>
  <c r="B29" i="61"/>
  <c r="Z28" i="61"/>
  <c r="X28" i="61"/>
  <c r="N28" i="61"/>
  <c r="L28" i="61"/>
  <c r="F28" i="61"/>
  <c r="B28" i="61"/>
  <c r="Z27" i="61"/>
  <c r="X27" i="61"/>
  <c r="V27" i="61"/>
  <c r="N27" i="61"/>
  <c r="L27" i="61"/>
  <c r="J27" i="61"/>
  <c r="B27" i="61"/>
  <c r="X26" i="61"/>
  <c r="Z26" i="61" s="1"/>
  <c r="V26" i="61"/>
  <c r="L26" i="61"/>
  <c r="N26" i="61" s="1"/>
  <c r="F26" i="61"/>
  <c r="B26" i="61"/>
  <c r="Z25" i="61"/>
  <c r="X25" i="61"/>
  <c r="V25" i="61"/>
  <c r="N25" i="61"/>
  <c r="L25" i="61"/>
  <c r="J25" i="61"/>
  <c r="B25" i="61"/>
  <c r="X24" i="61"/>
  <c r="Z24" i="61" s="1"/>
  <c r="L24" i="61"/>
  <c r="N24" i="61" s="1"/>
  <c r="F24" i="61"/>
  <c r="B24" i="61"/>
  <c r="Z23" i="61"/>
  <c r="X23" i="61"/>
  <c r="V23" i="61"/>
  <c r="N23" i="61"/>
  <c r="L23" i="61"/>
  <c r="J23" i="61"/>
  <c r="B23" i="61"/>
  <c r="X22" i="61"/>
  <c r="Z22" i="61" s="1"/>
  <c r="V22" i="61"/>
  <c r="L22" i="61"/>
  <c r="N22" i="61" s="1"/>
  <c r="F22" i="61"/>
  <c r="B22" i="61"/>
  <c r="Z21" i="61"/>
  <c r="X21" i="61"/>
  <c r="V21" i="61"/>
  <c r="L21" i="61"/>
  <c r="N21" i="61" s="1"/>
  <c r="J21" i="61"/>
  <c r="B21" i="61"/>
  <c r="X20" i="61"/>
  <c r="Z20" i="61" s="1"/>
  <c r="L20" i="61"/>
  <c r="N20" i="61" s="1"/>
  <c r="F20" i="61"/>
  <c r="B20" i="61"/>
  <c r="V19" i="61"/>
  <c r="T19" i="61"/>
  <c r="P19" i="61"/>
  <c r="X19" i="61" s="1"/>
  <c r="Z19" i="61" s="1"/>
  <c r="J19" i="61"/>
  <c r="H19" i="61"/>
  <c r="F19" i="61"/>
  <c r="D19" i="61"/>
  <c r="L19" i="61" s="1"/>
  <c r="N19" i="61" s="1"/>
  <c r="B19" i="61"/>
  <c r="T18" i="61"/>
  <c r="P18" i="61"/>
  <c r="J18" i="61"/>
  <c r="H18" i="61"/>
  <c r="F18" i="61"/>
  <c r="D18" i="61"/>
  <c r="L18" i="61" s="1"/>
  <c r="T16" i="61"/>
  <c r="J16" i="61"/>
  <c r="H16" i="61"/>
  <c r="F16" i="61"/>
  <c r="T14" i="61"/>
  <c r="Z14" i="61" s="1"/>
  <c r="P14" i="61"/>
  <c r="X14" i="61" s="1"/>
  <c r="J14" i="61"/>
  <c r="H14" i="61"/>
  <c r="N14" i="61" s="1"/>
  <c r="F14" i="61"/>
  <c r="D14" i="61"/>
  <c r="T12" i="61"/>
  <c r="V49" i="61" s="1"/>
  <c r="P12" i="61"/>
  <c r="N12" i="61"/>
  <c r="L12" i="61"/>
  <c r="H12" i="61"/>
  <c r="J55" i="61" s="1"/>
  <c r="D12" i="61"/>
  <c r="F54" i="61" s="1"/>
  <c r="D6" i="61"/>
  <c r="D4" i="61"/>
  <c r="Z63" i="60"/>
  <c r="X63" i="60"/>
  <c r="N63" i="60"/>
  <c r="L63" i="60"/>
  <c r="R61" i="60"/>
  <c r="T59" i="60"/>
  <c r="Z59" i="60" s="1"/>
  <c r="P59" i="60"/>
  <c r="H59" i="60"/>
  <c r="N59" i="60" s="1"/>
  <c r="D59" i="60"/>
  <c r="L59" i="60" s="1"/>
  <c r="Z57" i="60"/>
  <c r="X57" i="60"/>
  <c r="N57" i="60"/>
  <c r="L57" i="60"/>
  <c r="B57" i="60"/>
  <c r="Z56" i="60"/>
  <c r="T56" i="60"/>
  <c r="P56" i="60"/>
  <c r="X56" i="60" s="1"/>
  <c r="N56" i="60"/>
  <c r="L56" i="60"/>
  <c r="H56" i="60"/>
  <c r="D56" i="60"/>
  <c r="B56" i="60"/>
  <c r="X55" i="60"/>
  <c r="Z55" i="60" s="1"/>
  <c r="L55" i="60"/>
  <c r="N55" i="60" s="1"/>
  <c r="B55" i="60"/>
  <c r="Z54" i="60"/>
  <c r="X54" i="60"/>
  <c r="V54" i="60"/>
  <c r="T54" i="60"/>
  <c r="P54" i="60"/>
  <c r="J54" i="60"/>
  <c r="H54" i="60"/>
  <c r="D54" i="60"/>
  <c r="B54" i="60"/>
  <c r="X53" i="60"/>
  <c r="Z53" i="60" s="1"/>
  <c r="L53" i="60"/>
  <c r="N53" i="60" s="1"/>
  <c r="F53" i="60"/>
  <c r="B53" i="60"/>
  <c r="Z52" i="60"/>
  <c r="X52" i="60"/>
  <c r="N52" i="60"/>
  <c r="L52" i="60"/>
  <c r="B52" i="60"/>
  <c r="X51" i="60"/>
  <c r="T51" i="60"/>
  <c r="P51" i="60"/>
  <c r="L51" i="60"/>
  <c r="H51" i="60"/>
  <c r="D51" i="60"/>
  <c r="B51" i="60"/>
  <c r="Z50" i="60"/>
  <c r="X50" i="60"/>
  <c r="N50" i="60"/>
  <c r="L50" i="60"/>
  <c r="B50" i="60"/>
  <c r="T49" i="60"/>
  <c r="R49" i="60"/>
  <c r="P49" i="60"/>
  <c r="X49" i="60" s="1"/>
  <c r="H49" i="60"/>
  <c r="D49" i="60"/>
  <c r="B49" i="60"/>
  <c r="Z48" i="60"/>
  <c r="X48" i="60"/>
  <c r="N48" i="60"/>
  <c r="L48" i="60"/>
  <c r="B48" i="60"/>
  <c r="X47" i="60"/>
  <c r="Z47" i="60" s="1"/>
  <c r="L47" i="60"/>
  <c r="N47" i="60" s="1"/>
  <c r="J47" i="60"/>
  <c r="B47" i="60"/>
  <c r="Z46" i="60"/>
  <c r="X46" i="60"/>
  <c r="T46" i="60"/>
  <c r="P46" i="60"/>
  <c r="H46" i="60"/>
  <c r="D46" i="60"/>
  <c r="B46" i="60"/>
  <c r="X45" i="60"/>
  <c r="Z45" i="60" s="1"/>
  <c r="N45" i="60"/>
  <c r="L45" i="60"/>
  <c r="B45" i="60"/>
  <c r="Z44" i="60"/>
  <c r="T44" i="60"/>
  <c r="X44" i="60" s="1"/>
  <c r="R44" i="60"/>
  <c r="P44" i="60"/>
  <c r="N44" i="60"/>
  <c r="H44" i="60"/>
  <c r="F44" i="60"/>
  <c r="D44" i="60"/>
  <c r="L44" i="60" s="1"/>
  <c r="B44" i="60"/>
  <c r="X43" i="60"/>
  <c r="Z43" i="60" s="1"/>
  <c r="L43" i="60"/>
  <c r="N43" i="60" s="1"/>
  <c r="B43" i="60"/>
  <c r="X42" i="60"/>
  <c r="Z42" i="60" s="1"/>
  <c r="T42" i="60"/>
  <c r="P42" i="60"/>
  <c r="N42" i="60"/>
  <c r="H42" i="60"/>
  <c r="D42" i="60"/>
  <c r="L42" i="60" s="1"/>
  <c r="B42" i="60"/>
  <c r="Z41" i="60"/>
  <c r="X41" i="60"/>
  <c r="L41" i="60"/>
  <c r="N41" i="60" s="1"/>
  <c r="F41" i="60"/>
  <c r="B41" i="60"/>
  <c r="T40" i="60"/>
  <c r="R40" i="60"/>
  <c r="P40" i="60"/>
  <c r="H40" i="60"/>
  <c r="D40" i="60"/>
  <c r="L40" i="60" s="1"/>
  <c r="N40" i="60" s="1"/>
  <c r="B40" i="60"/>
  <c r="Z39" i="60"/>
  <c r="X39" i="60"/>
  <c r="N39" i="60"/>
  <c r="L39" i="60"/>
  <c r="B39" i="60"/>
  <c r="Z38" i="60"/>
  <c r="X38" i="60"/>
  <c r="N38" i="60"/>
  <c r="L38" i="60"/>
  <c r="B38" i="60"/>
  <c r="Z37" i="60"/>
  <c r="X37" i="60"/>
  <c r="N37" i="60"/>
  <c r="L37" i="60"/>
  <c r="B37" i="60"/>
  <c r="Z36" i="60"/>
  <c r="X36" i="60"/>
  <c r="N36" i="60"/>
  <c r="L36" i="60"/>
  <c r="J36" i="60"/>
  <c r="B36" i="60"/>
  <c r="Z35" i="60"/>
  <c r="X35" i="60"/>
  <c r="N35" i="60"/>
  <c r="L35" i="60"/>
  <c r="B35" i="60"/>
  <c r="Z34" i="60"/>
  <c r="X34" i="60"/>
  <c r="N34" i="60"/>
  <c r="L34" i="60"/>
  <c r="B34" i="60"/>
  <c r="Z33" i="60"/>
  <c r="X33" i="60"/>
  <c r="N33" i="60"/>
  <c r="L33" i="60"/>
  <c r="B33" i="60"/>
  <c r="Z32" i="60"/>
  <c r="X32" i="60"/>
  <c r="N32" i="60"/>
  <c r="L32" i="60"/>
  <c r="B32" i="60"/>
  <c r="X31" i="60"/>
  <c r="Z31" i="60" s="1"/>
  <c r="L31" i="60"/>
  <c r="N31" i="60" s="1"/>
  <c r="B31" i="60"/>
  <c r="Z30" i="60"/>
  <c r="X30" i="60"/>
  <c r="N30" i="60"/>
  <c r="L30" i="60"/>
  <c r="B30" i="60"/>
  <c r="T29" i="60"/>
  <c r="P29" i="60"/>
  <c r="J29" i="60"/>
  <c r="H29" i="60"/>
  <c r="D29" i="60"/>
  <c r="L29" i="60" s="1"/>
  <c r="B29" i="60"/>
  <c r="Z28" i="60"/>
  <c r="X28" i="60"/>
  <c r="N28" i="60"/>
  <c r="L28" i="60"/>
  <c r="J28" i="60"/>
  <c r="B28" i="60"/>
  <c r="X27" i="60"/>
  <c r="Z27" i="60" s="1"/>
  <c r="L27" i="60"/>
  <c r="N27" i="60" s="1"/>
  <c r="B27" i="60"/>
  <c r="Z26" i="60"/>
  <c r="X26" i="60"/>
  <c r="N26" i="60"/>
  <c r="L26" i="60"/>
  <c r="J26" i="60"/>
  <c r="B26" i="60"/>
  <c r="Z25" i="60"/>
  <c r="X25" i="60"/>
  <c r="N25" i="60"/>
  <c r="L25" i="60"/>
  <c r="B25" i="60"/>
  <c r="Z24" i="60"/>
  <c r="X24" i="60"/>
  <c r="N24" i="60"/>
  <c r="L24" i="60"/>
  <c r="J24" i="60"/>
  <c r="B24" i="60"/>
  <c r="X23" i="60"/>
  <c r="Z23" i="60" s="1"/>
  <c r="V23" i="60"/>
  <c r="L23" i="60"/>
  <c r="N23" i="60" s="1"/>
  <c r="J23" i="60"/>
  <c r="F23" i="60"/>
  <c r="B23" i="60"/>
  <c r="X22" i="60"/>
  <c r="Z22" i="60" s="1"/>
  <c r="N22" i="60"/>
  <c r="L22" i="60"/>
  <c r="J22" i="60"/>
  <c r="B22" i="60"/>
  <c r="X21" i="60"/>
  <c r="Z21" i="60" s="1"/>
  <c r="R21" i="60"/>
  <c r="L21" i="60"/>
  <c r="N21" i="60" s="1"/>
  <c r="B21" i="60"/>
  <c r="X20" i="60"/>
  <c r="Z20" i="60" s="1"/>
  <c r="L20" i="60"/>
  <c r="N20" i="60" s="1"/>
  <c r="J20" i="60"/>
  <c r="F20" i="60"/>
  <c r="B20" i="60"/>
  <c r="T19" i="60"/>
  <c r="P19" i="60"/>
  <c r="X19" i="60" s="1"/>
  <c r="J19" i="60"/>
  <c r="H19" i="60"/>
  <c r="F19" i="60"/>
  <c r="D19" i="60"/>
  <c r="L19" i="60" s="1"/>
  <c r="B19" i="60"/>
  <c r="T18" i="60"/>
  <c r="R18" i="60"/>
  <c r="P18" i="60"/>
  <c r="X18" i="60" s="1"/>
  <c r="Z18" i="60" s="1"/>
  <c r="J18" i="60"/>
  <c r="H18" i="60"/>
  <c r="F18" i="60"/>
  <c r="D18" i="60"/>
  <c r="R16" i="60"/>
  <c r="J16" i="60"/>
  <c r="F16" i="60"/>
  <c r="Z14" i="60"/>
  <c r="T14" i="60"/>
  <c r="R14" i="60"/>
  <c r="P14" i="60"/>
  <c r="X14" i="60" s="1"/>
  <c r="J14" i="60"/>
  <c r="H14" i="60"/>
  <c r="H16" i="60" s="1"/>
  <c r="F14" i="60"/>
  <c r="D14" i="60"/>
  <c r="Z12" i="60"/>
  <c r="T12" i="60"/>
  <c r="V30" i="60" s="1"/>
  <c r="P12" i="60"/>
  <c r="R45" i="60" s="1"/>
  <c r="N12" i="60"/>
  <c r="L12" i="60"/>
  <c r="H12" i="60"/>
  <c r="J55" i="60" s="1"/>
  <c r="D12" i="60"/>
  <c r="D6" i="60"/>
  <c r="D4" i="60"/>
  <c r="Z76" i="59"/>
  <c r="X76" i="59"/>
  <c r="V76" i="59"/>
  <c r="N76" i="59"/>
  <c r="L76" i="59"/>
  <c r="J76" i="59"/>
  <c r="T72" i="59"/>
  <c r="Z72" i="59" s="1"/>
  <c r="P72" i="59"/>
  <c r="N72" i="59"/>
  <c r="H72" i="59"/>
  <c r="F72" i="59"/>
  <c r="D72" i="59"/>
  <c r="L72" i="59" s="1"/>
  <c r="Z70" i="59"/>
  <c r="X70" i="59"/>
  <c r="N70" i="59"/>
  <c r="L70" i="59"/>
  <c r="J70" i="59"/>
  <c r="B70" i="59"/>
  <c r="X69" i="59"/>
  <c r="Z69" i="59" s="1"/>
  <c r="N69" i="59"/>
  <c r="L69" i="59"/>
  <c r="B69" i="59"/>
  <c r="T68" i="59"/>
  <c r="R68" i="59"/>
  <c r="P68" i="59"/>
  <c r="X68" i="59" s="1"/>
  <c r="Z68" i="59" s="1"/>
  <c r="H68" i="59"/>
  <c r="N68" i="59" s="1"/>
  <c r="D68" i="59"/>
  <c r="B68" i="59"/>
  <c r="X67" i="59"/>
  <c r="Z67" i="59" s="1"/>
  <c r="R67" i="59"/>
  <c r="N67" i="59"/>
  <c r="L67" i="59"/>
  <c r="B67" i="59"/>
  <c r="V66" i="59"/>
  <c r="T66" i="59"/>
  <c r="P66" i="59"/>
  <c r="X66" i="59" s="1"/>
  <c r="Z66" i="59" s="1"/>
  <c r="N66" i="59"/>
  <c r="H66" i="59"/>
  <c r="D66" i="59"/>
  <c r="L66" i="59" s="1"/>
  <c r="B66" i="59"/>
  <c r="X65" i="59"/>
  <c r="Z65" i="59" s="1"/>
  <c r="L65" i="59"/>
  <c r="N65" i="59" s="1"/>
  <c r="B65" i="59"/>
  <c r="X64" i="59"/>
  <c r="Z64" i="59" s="1"/>
  <c r="N64" i="59"/>
  <c r="L64" i="59"/>
  <c r="B64" i="59"/>
  <c r="T63" i="59"/>
  <c r="P63" i="59"/>
  <c r="X63" i="59" s="1"/>
  <c r="H63" i="59"/>
  <c r="D63" i="59"/>
  <c r="L63" i="59" s="1"/>
  <c r="B63" i="59"/>
  <c r="X62" i="59"/>
  <c r="Z62" i="59" s="1"/>
  <c r="N62" i="59"/>
  <c r="L62" i="59"/>
  <c r="J62" i="59"/>
  <c r="B62" i="59"/>
  <c r="X61" i="59"/>
  <c r="Z61" i="59" s="1"/>
  <c r="L61" i="59"/>
  <c r="N61" i="59" s="1"/>
  <c r="B61" i="59"/>
  <c r="T60" i="59"/>
  <c r="R60" i="59"/>
  <c r="P60" i="59"/>
  <c r="X60" i="59" s="1"/>
  <c r="Z60" i="59" s="1"/>
  <c r="H60" i="59"/>
  <c r="D60" i="59"/>
  <c r="B60" i="59"/>
  <c r="X59" i="59"/>
  <c r="Z59" i="59" s="1"/>
  <c r="R59" i="59"/>
  <c r="N59" i="59"/>
  <c r="L59" i="59"/>
  <c r="B59" i="59"/>
  <c r="V58" i="59"/>
  <c r="T58" i="59"/>
  <c r="P58" i="59"/>
  <c r="X58" i="59" s="1"/>
  <c r="Z58" i="59" s="1"/>
  <c r="H58" i="59"/>
  <c r="D58" i="59"/>
  <c r="L58" i="59" s="1"/>
  <c r="N58" i="59" s="1"/>
  <c r="B58" i="59"/>
  <c r="Z57" i="59"/>
  <c r="X57" i="59"/>
  <c r="N57" i="59"/>
  <c r="L57" i="59"/>
  <c r="B57" i="59"/>
  <c r="X56" i="59"/>
  <c r="Z56" i="59" s="1"/>
  <c r="N56" i="59"/>
  <c r="L56" i="59"/>
  <c r="B56" i="59"/>
  <c r="Z55" i="59"/>
  <c r="X55" i="59"/>
  <c r="N55" i="59"/>
  <c r="L55" i="59"/>
  <c r="B55" i="59"/>
  <c r="Z54" i="59"/>
  <c r="X54" i="59"/>
  <c r="V54" i="59"/>
  <c r="L54" i="59"/>
  <c r="N54" i="59" s="1"/>
  <c r="B54" i="59"/>
  <c r="T53" i="59"/>
  <c r="P53" i="59"/>
  <c r="X53" i="59" s="1"/>
  <c r="H53" i="59"/>
  <c r="D53" i="59"/>
  <c r="L53" i="59" s="1"/>
  <c r="B53" i="59"/>
  <c r="Z52" i="59"/>
  <c r="X52" i="59"/>
  <c r="N52" i="59"/>
  <c r="L52" i="59"/>
  <c r="B52" i="59"/>
  <c r="T51" i="59"/>
  <c r="P51" i="59"/>
  <c r="L51" i="59"/>
  <c r="N51" i="59" s="1"/>
  <c r="H51" i="59"/>
  <c r="D51" i="59"/>
  <c r="B51" i="59"/>
  <c r="Z50" i="59"/>
  <c r="X50" i="59"/>
  <c r="V50" i="59"/>
  <c r="N50" i="59"/>
  <c r="L50" i="59"/>
  <c r="J50" i="59"/>
  <c r="B50" i="59"/>
  <c r="T49" i="59"/>
  <c r="Z49" i="59" s="1"/>
  <c r="P49" i="59"/>
  <c r="X49" i="59" s="1"/>
  <c r="H49" i="59"/>
  <c r="D49" i="59"/>
  <c r="B49" i="59"/>
  <c r="X48" i="59"/>
  <c r="Z48" i="59" s="1"/>
  <c r="N48" i="59"/>
  <c r="L48" i="59"/>
  <c r="B48" i="59"/>
  <c r="T47" i="59"/>
  <c r="Z47" i="59" s="1"/>
  <c r="R47" i="59"/>
  <c r="P47" i="59"/>
  <c r="X47" i="59" s="1"/>
  <c r="H47" i="59"/>
  <c r="N47" i="59" s="1"/>
  <c r="D47" i="59"/>
  <c r="L47" i="59" s="1"/>
  <c r="B47" i="59"/>
  <c r="X46" i="59"/>
  <c r="Z46" i="59" s="1"/>
  <c r="R46" i="59"/>
  <c r="N46" i="59"/>
  <c r="L46" i="59"/>
  <c r="J46" i="59"/>
  <c r="B46" i="59"/>
  <c r="X45" i="59"/>
  <c r="Z45" i="59" s="1"/>
  <c r="L45" i="59"/>
  <c r="N45" i="59" s="1"/>
  <c r="B45" i="59"/>
  <c r="T44" i="59"/>
  <c r="R44" i="59"/>
  <c r="P44" i="59"/>
  <c r="X44" i="59" s="1"/>
  <c r="Z44" i="59" s="1"/>
  <c r="H44" i="59"/>
  <c r="D44" i="59"/>
  <c r="B44" i="59"/>
  <c r="Z43" i="59"/>
  <c r="X43" i="59"/>
  <c r="R43" i="59"/>
  <c r="N43" i="59"/>
  <c r="L43" i="59"/>
  <c r="B43" i="59"/>
  <c r="Z42" i="59"/>
  <c r="V42" i="59"/>
  <c r="T42" i="59"/>
  <c r="P42" i="59"/>
  <c r="X42" i="59" s="1"/>
  <c r="N42" i="59"/>
  <c r="H42" i="59"/>
  <c r="D42" i="59"/>
  <c r="L42" i="59" s="1"/>
  <c r="B42" i="59"/>
  <c r="Z41" i="59"/>
  <c r="X41" i="59"/>
  <c r="N41" i="59"/>
  <c r="L41" i="59"/>
  <c r="B41" i="59"/>
  <c r="Z40" i="59"/>
  <c r="X40" i="59"/>
  <c r="N40" i="59"/>
  <c r="L40" i="59"/>
  <c r="B40" i="59"/>
  <c r="Z39" i="59"/>
  <c r="X39" i="59"/>
  <c r="N39" i="59"/>
  <c r="L39" i="59"/>
  <c r="B39" i="59"/>
  <c r="Z38" i="59"/>
  <c r="X38" i="59"/>
  <c r="V38" i="59"/>
  <c r="L38" i="59"/>
  <c r="N38" i="59" s="1"/>
  <c r="B38" i="59"/>
  <c r="Z37" i="59"/>
  <c r="X37" i="59"/>
  <c r="N37" i="59"/>
  <c r="L37" i="59"/>
  <c r="B37" i="59"/>
  <c r="Z36" i="59"/>
  <c r="X36" i="59"/>
  <c r="N36" i="59"/>
  <c r="L36" i="59"/>
  <c r="B36" i="59"/>
  <c r="X35" i="59"/>
  <c r="Z35" i="59" s="1"/>
  <c r="N35" i="59"/>
  <c r="L35" i="59"/>
  <c r="B35" i="59"/>
  <c r="Z34" i="59"/>
  <c r="X34" i="59"/>
  <c r="V34" i="59"/>
  <c r="N34" i="59"/>
  <c r="L34" i="59"/>
  <c r="B34" i="59"/>
  <c r="X33" i="59"/>
  <c r="Z33" i="59" s="1"/>
  <c r="L33" i="59"/>
  <c r="N33" i="59" s="1"/>
  <c r="B33" i="59"/>
  <c r="Z32" i="59"/>
  <c r="X32" i="59"/>
  <c r="N32" i="59"/>
  <c r="L32" i="59"/>
  <c r="B32" i="59"/>
  <c r="T31" i="59"/>
  <c r="R31" i="59"/>
  <c r="P31" i="59"/>
  <c r="X31" i="59" s="1"/>
  <c r="H31" i="59"/>
  <c r="D31" i="59"/>
  <c r="L31" i="59" s="1"/>
  <c r="B31" i="59"/>
  <c r="Z30" i="59"/>
  <c r="X30" i="59"/>
  <c r="R30" i="59"/>
  <c r="N30" i="59"/>
  <c r="L30" i="59"/>
  <c r="J30" i="59"/>
  <c r="B30" i="59"/>
  <c r="X29" i="59"/>
  <c r="Z29" i="59" s="1"/>
  <c r="N29" i="59"/>
  <c r="L29" i="59"/>
  <c r="J29" i="59"/>
  <c r="B29" i="59"/>
  <c r="Z28" i="59"/>
  <c r="X28" i="59"/>
  <c r="N28" i="59"/>
  <c r="L28" i="59"/>
  <c r="B28" i="59"/>
  <c r="Z27" i="59"/>
  <c r="X27" i="59"/>
  <c r="R27" i="59"/>
  <c r="N27" i="59"/>
  <c r="L27" i="59"/>
  <c r="F27" i="59"/>
  <c r="B27" i="59"/>
  <c r="Z26" i="59"/>
  <c r="X26" i="59"/>
  <c r="R26" i="59"/>
  <c r="N26" i="59"/>
  <c r="L26" i="59"/>
  <c r="J26" i="59"/>
  <c r="B26" i="59"/>
  <c r="X25" i="59"/>
  <c r="Z25" i="59" s="1"/>
  <c r="N25" i="59"/>
  <c r="L25" i="59"/>
  <c r="J25" i="59"/>
  <c r="B25" i="59"/>
  <c r="Z24" i="59"/>
  <c r="X24" i="59"/>
  <c r="N24" i="59"/>
  <c r="L24" i="59"/>
  <c r="B24" i="59"/>
  <c r="Z23" i="59"/>
  <c r="X23" i="59"/>
  <c r="R23" i="59"/>
  <c r="L23" i="59"/>
  <c r="N23" i="59" s="1"/>
  <c r="B23" i="59"/>
  <c r="X22" i="59"/>
  <c r="Z22" i="59" s="1"/>
  <c r="R22" i="59"/>
  <c r="N22" i="59"/>
  <c r="L22" i="59"/>
  <c r="J22" i="59"/>
  <c r="B22" i="59"/>
  <c r="X21" i="59"/>
  <c r="Z21" i="59" s="1"/>
  <c r="N21" i="59"/>
  <c r="L21" i="59"/>
  <c r="J21" i="59"/>
  <c r="B21" i="59"/>
  <c r="T20" i="59"/>
  <c r="R20" i="59"/>
  <c r="P20" i="59"/>
  <c r="X20" i="59" s="1"/>
  <c r="Z20" i="59" s="1"/>
  <c r="H20" i="59"/>
  <c r="D20" i="59"/>
  <c r="L20" i="59" s="1"/>
  <c r="B20" i="59"/>
  <c r="T19" i="59"/>
  <c r="P19" i="59"/>
  <c r="X19" i="59" s="1"/>
  <c r="J19" i="59"/>
  <c r="H19" i="59"/>
  <c r="D19" i="59"/>
  <c r="J17" i="59"/>
  <c r="T15" i="59"/>
  <c r="Z15" i="59" s="1"/>
  <c r="P15" i="59"/>
  <c r="J15" i="59"/>
  <c r="H15" i="59"/>
  <c r="H17" i="59" s="1"/>
  <c r="D15" i="59"/>
  <c r="L15" i="59" s="1"/>
  <c r="X13" i="59"/>
  <c r="Z13" i="59" s="1"/>
  <c r="P13" i="59"/>
  <c r="N13" i="59"/>
  <c r="D13" i="59"/>
  <c r="D12" i="59" s="1"/>
  <c r="F23" i="59" s="1"/>
  <c r="B13" i="59"/>
  <c r="X12" i="59"/>
  <c r="T12" i="59"/>
  <c r="P12" i="59"/>
  <c r="R55" i="59" s="1"/>
  <c r="N12" i="59"/>
  <c r="H12" i="59"/>
  <c r="J68" i="59" s="1"/>
  <c r="D6" i="59"/>
  <c r="D4" i="59"/>
  <c r="Z79" i="58"/>
  <c r="X79" i="58"/>
  <c r="N79" i="58"/>
  <c r="L79" i="58"/>
  <c r="J79" i="58"/>
  <c r="V77" i="58"/>
  <c r="Z75" i="58"/>
  <c r="V75" i="58"/>
  <c r="T75" i="58"/>
  <c r="P75" i="58"/>
  <c r="X75" i="58" s="1"/>
  <c r="L75" i="58"/>
  <c r="H75" i="58"/>
  <c r="N75" i="58" s="1"/>
  <c r="D75" i="58"/>
  <c r="Z73" i="58"/>
  <c r="X73" i="58"/>
  <c r="V73" i="58"/>
  <c r="N73" i="58"/>
  <c r="L73" i="58"/>
  <c r="B73" i="58"/>
  <c r="T72" i="58"/>
  <c r="P72" i="58"/>
  <c r="X72" i="58" s="1"/>
  <c r="N72" i="58"/>
  <c r="H72" i="58"/>
  <c r="D72" i="58"/>
  <c r="L72" i="58" s="1"/>
  <c r="B72" i="58"/>
  <c r="Z71" i="58"/>
  <c r="X71" i="58"/>
  <c r="N71" i="58"/>
  <c r="L71" i="58"/>
  <c r="B71" i="58"/>
  <c r="T70" i="58"/>
  <c r="P70" i="58"/>
  <c r="L70" i="58"/>
  <c r="H70" i="58"/>
  <c r="N70" i="58" s="1"/>
  <c r="D70" i="58"/>
  <c r="B70" i="58"/>
  <c r="Z69" i="58"/>
  <c r="X69" i="58"/>
  <c r="V69" i="58"/>
  <c r="N69" i="58"/>
  <c r="L69" i="58"/>
  <c r="J69" i="58"/>
  <c r="B69" i="58"/>
  <c r="T68" i="58"/>
  <c r="P68" i="58"/>
  <c r="X68" i="58" s="1"/>
  <c r="H68" i="58"/>
  <c r="D68" i="58"/>
  <c r="L68" i="58" s="1"/>
  <c r="B68" i="58"/>
  <c r="Z67" i="58"/>
  <c r="X67" i="58"/>
  <c r="N67" i="58"/>
  <c r="L67" i="58"/>
  <c r="B67" i="58"/>
  <c r="X66" i="58"/>
  <c r="Z66" i="58" s="1"/>
  <c r="N66" i="58"/>
  <c r="L66" i="58"/>
  <c r="B66" i="58"/>
  <c r="Z65" i="58"/>
  <c r="X65" i="58"/>
  <c r="V65" i="58"/>
  <c r="N65" i="58"/>
  <c r="L65" i="58"/>
  <c r="B65" i="58"/>
  <c r="T64" i="58"/>
  <c r="P64" i="58"/>
  <c r="X64" i="58" s="1"/>
  <c r="H64" i="58"/>
  <c r="N64" i="58" s="1"/>
  <c r="D64" i="58"/>
  <c r="L64" i="58" s="1"/>
  <c r="B64" i="58"/>
  <c r="Z63" i="58"/>
  <c r="X63" i="58"/>
  <c r="N63" i="58"/>
  <c r="L63" i="58"/>
  <c r="B63" i="58"/>
  <c r="T62" i="58"/>
  <c r="P62" i="58"/>
  <c r="L62" i="58"/>
  <c r="H62" i="58"/>
  <c r="N62" i="58" s="1"/>
  <c r="D62" i="58"/>
  <c r="B62" i="58"/>
  <c r="Z61" i="58"/>
  <c r="X61" i="58"/>
  <c r="V61" i="58"/>
  <c r="N61" i="58"/>
  <c r="L61" i="58"/>
  <c r="J61" i="58"/>
  <c r="B61" i="58"/>
  <c r="X60" i="58"/>
  <c r="Z60" i="58" s="1"/>
  <c r="L60" i="58"/>
  <c r="N60" i="58" s="1"/>
  <c r="B60" i="58"/>
  <c r="Z59" i="58"/>
  <c r="T59" i="58"/>
  <c r="P59" i="58"/>
  <c r="X59" i="58" s="1"/>
  <c r="J59" i="58"/>
  <c r="H59" i="58"/>
  <c r="D59" i="58"/>
  <c r="L59" i="58" s="1"/>
  <c r="N59" i="58" s="1"/>
  <c r="B59" i="58"/>
  <c r="X58" i="58"/>
  <c r="Z58" i="58" s="1"/>
  <c r="N58" i="58"/>
  <c r="L58" i="58"/>
  <c r="B58" i="58"/>
  <c r="X57" i="58"/>
  <c r="Z57" i="58" s="1"/>
  <c r="V57" i="58"/>
  <c r="N57" i="58"/>
  <c r="L57" i="58"/>
  <c r="B57" i="58"/>
  <c r="Z56" i="58"/>
  <c r="X56" i="58"/>
  <c r="N56" i="58"/>
  <c r="L56" i="58"/>
  <c r="B56" i="58"/>
  <c r="X55" i="58"/>
  <c r="Z55" i="58" s="1"/>
  <c r="T55" i="58"/>
  <c r="P55" i="58"/>
  <c r="L55" i="58"/>
  <c r="N55" i="58" s="1"/>
  <c r="J55" i="58"/>
  <c r="H55" i="58"/>
  <c r="D55" i="58"/>
  <c r="B55" i="58"/>
  <c r="Z54" i="58"/>
  <c r="X54" i="58"/>
  <c r="L54" i="58"/>
  <c r="N54" i="58" s="1"/>
  <c r="B54" i="58"/>
  <c r="T53" i="58"/>
  <c r="P53" i="58"/>
  <c r="H53" i="58"/>
  <c r="F53" i="58"/>
  <c r="D53" i="58"/>
  <c r="L53" i="58" s="1"/>
  <c r="N53" i="58" s="1"/>
  <c r="B53" i="58"/>
  <c r="X52" i="58"/>
  <c r="Z52" i="58" s="1"/>
  <c r="L52" i="58"/>
  <c r="N52" i="58" s="1"/>
  <c r="B52" i="58"/>
  <c r="T51" i="58"/>
  <c r="P51" i="58"/>
  <c r="X51" i="58" s="1"/>
  <c r="Z51" i="58" s="1"/>
  <c r="J51" i="58"/>
  <c r="H51" i="58"/>
  <c r="D51" i="58"/>
  <c r="L51" i="58" s="1"/>
  <c r="N51" i="58" s="1"/>
  <c r="B51" i="58"/>
  <c r="X50" i="58"/>
  <c r="Z50" i="58" s="1"/>
  <c r="N50" i="58"/>
  <c r="L50" i="58"/>
  <c r="B50" i="58"/>
  <c r="X49" i="58"/>
  <c r="V49" i="58"/>
  <c r="T49" i="58"/>
  <c r="Z49" i="58" s="1"/>
  <c r="P49" i="58"/>
  <c r="L49" i="58"/>
  <c r="N49" i="58" s="1"/>
  <c r="H49" i="58"/>
  <c r="D49" i="58"/>
  <c r="B49" i="58"/>
  <c r="X48" i="58"/>
  <c r="Z48" i="58" s="1"/>
  <c r="N48" i="58"/>
  <c r="L48" i="58"/>
  <c r="B48" i="58"/>
  <c r="T47" i="58"/>
  <c r="X47" i="58" s="1"/>
  <c r="Z47" i="58" s="1"/>
  <c r="R47" i="58"/>
  <c r="P47" i="58"/>
  <c r="H47" i="58"/>
  <c r="D47" i="58"/>
  <c r="B47" i="58"/>
  <c r="X46" i="58"/>
  <c r="Z46" i="58" s="1"/>
  <c r="R46" i="58"/>
  <c r="L46" i="58"/>
  <c r="N46" i="58" s="1"/>
  <c r="B46" i="58"/>
  <c r="V45" i="58"/>
  <c r="T45" i="58"/>
  <c r="P45" i="58"/>
  <c r="X45" i="58" s="1"/>
  <c r="Z45" i="58" s="1"/>
  <c r="H45" i="58"/>
  <c r="D45" i="58"/>
  <c r="L45" i="58" s="1"/>
  <c r="N45" i="58" s="1"/>
  <c r="B45" i="58"/>
  <c r="X44" i="58"/>
  <c r="Z44" i="58" s="1"/>
  <c r="L44" i="58"/>
  <c r="N44" i="58" s="1"/>
  <c r="B44" i="58"/>
  <c r="X43" i="58"/>
  <c r="T43" i="58"/>
  <c r="Z43" i="58" s="1"/>
  <c r="P43" i="58"/>
  <c r="L43" i="58"/>
  <c r="N43" i="58" s="1"/>
  <c r="J43" i="58"/>
  <c r="H43" i="58"/>
  <c r="D43" i="58"/>
  <c r="B43" i="58"/>
  <c r="Z42" i="58"/>
  <c r="X42" i="58"/>
  <c r="L42" i="58"/>
  <c r="N42" i="58" s="1"/>
  <c r="F42" i="58"/>
  <c r="B42" i="58"/>
  <c r="T41" i="58"/>
  <c r="P41" i="58"/>
  <c r="H41" i="58"/>
  <c r="F41" i="58"/>
  <c r="D41" i="58"/>
  <c r="L41" i="58" s="1"/>
  <c r="N41" i="58" s="1"/>
  <c r="B41" i="58"/>
  <c r="Z40" i="58"/>
  <c r="X40" i="58"/>
  <c r="V40" i="58"/>
  <c r="N40" i="58"/>
  <c r="L40" i="58"/>
  <c r="B40" i="58"/>
  <c r="Z39" i="58"/>
  <c r="X39" i="58"/>
  <c r="N39" i="58"/>
  <c r="L39" i="58"/>
  <c r="B39" i="58"/>
  <c r="Z38" i="58"/>
  <c r="X38" i="58"/>
  <c r="R38" i="58"/>
  <c r="N38" i="58"/>
  <c r="L38" i="58"/>
  <c r="B38" i="58"/>
  <c r="Z37" i="58"/>
  <c r="X37" i="58"/>
  <c r="V37" i="58"/>
  <c r="N37" i="58"/>
  <c r="L37" i="58"/>
  <c r="J37" i="58"/>
  <c r="B37" i="58"/>
  <c r="Z36" i="58"/>
  <c r="X36" i="58"/>
  <c r="V36" i="58"/>
  <c r="N36" i="58"/>
  <c r="L36" i="58"/>
  <c r="B36" i="58"/>
  <c r="Z35" i="58"/>
  <c r="X35" i="58"/>
  <c r="L35" i="58"/>
  <c r="N35" i="58" s="1"/>
  <c r="B35" i="58"/>
  <c r="X34" i="58"/>
  <c r="Z34" i="58" s="1"/>
  <c r="R34" i="58"/>
  <c r="L34" i="58"/>
  <c r="N34" i="58" s="1"/>
  <c r="B34" i="58"/>
  <c r="Z33" i="58"/>
  <c r="X33" i="58"/>
  <c r="V33" i="58"/>
  <c r="N33" i="58"/>
  <c r="L33" i="58"/>
  <c r="J33" i="58"/>
  <c r="B33" i="58"/>
  <c r="Z32" i="58"/>
  <c r="X32" i="58"/>
  <c r="V32" i="58"/>
  <c r="N32" i="58"/>
  <c r="L32" i="58"/>
  <c r="B32" i="58"/>
  <c r="Z31" i="58"/>
  <c r="X31" i="58"/>
  <c r="L31" i="58"/>
  <c r="N31" i="58" s="1"/>
  <c r="B31" i="58"/>
  <c r="V30" i="58"/>
  <c r="T30" i="58"/>
  <c r="P30" i="58"/>
  <c r="J30" i="58"/>
  <c r="H30" i="58"/>
  <c r="D30" i="58"/>
  <c r="L30" i="58" s="1"/>
  <c r="B30" i="58"/>
  <c r="X29" i="58"/>
  <c r="Z29" i="58" s="1"/>
  <c r="V29" i="58"/>
  <c r="N29" i="58"/>
  <c r="L29" i="58"/>
  <c r="B29" i="58"/>
  <c r="X28" i="58"/>
  <c r="Z28" i="58" s="1"/>
  <c r="L28" i="58"/>
  <c r="N28" i="58" s="1"/>
  <c r="B28" i="58"/>
  <c r="X27" i="58"/>
  <c r="Z27" i="58" s="1"/>
  <c r="V27" i="58"/>
  <c r="N27" i="58"/>
  <c r="L27" i="58"/>
  <c r="B27" i="58"/>
  <c r="Z26" i="58"/>
  <c r="X26" i="58"/>
  <c r="N26" i="58"/>
  <c r="L26" i="58"/>
  <c r="B26" i="58"/>
  <c r="X25" i="58"/>
  <c r="Z25" i="58" s="1"/>
  <c r="V25" i="58"/>
  <c r="N25" i="58"/>
  <c r="L25" i="58"/>
  <c r="B25" i="58"/>
  <c r="X24" i="58"/>
  <c r="Z24" i="58" s="1"/>
  <c r="L24" i="58"/>
  <c r="N24" i="58" s="1"/>
  <c r="B24" i="58"/>
  <c r="X23" i="58"/>
  <c r="Z23" i="58" s="1"/>
  <c r="V23" i="58"/>
  <c r="N23" i="58"/>
  <c r="L23" i="58"/>
  <c r="B23" i="58"/>
  <c r="X22" i="58"/>
  <c r="Z22" i="58" s="1"/>
  <c r="V22" i="58"/>
  <c r="N22" i="58"/>
  <c r="L22" i="58"/>
  <c r="B22" i="58"/>
  <c r="X21" i="58"/>
  <c r="Z21" i="58" s="1"/>
  <c r="V21" i="58"/>
  <c r="N21" i="58"/>
  <c r="L21" i="58"/>
  <c r="B21" i="58"/>
  <c r="X20" i="58"/>
  <c r="Z20" i="58" s="1"/>
  <c r="V20" i="58"/>
  <c r="L20" i="58"/>
  <c r="N20" i="58" s="1"/>
  <c r="B20" i="58"/>
  <c r="X19" i="58"/>
  <c r="V19" i="58"/>
  <c r="T19" i="58"/>
  <c r="Z19" i="58" s="1"/>
  <c r="P19" i="58"/>
  <c r="L19" i="58"/>
  <c r="N19" i="58" s="1"/>
  <c r="J19" i="58"/>
  <c r="H19" i="58"/>
  <c r="D19" i="58"/>
  <c r="B19" i="58"/>
  <c r="T18" i="58"/>
  <c r="P18" i="58"/>
  <c r="X18" i="58" s="1"/>
  <c r="L18" i="58"/>
  <c r="H18" i="58"/>
  <c r="D18" i="58"/>
  <c r="T14" i="58"/>
  <c r="Z14" i="58" s="1"/>
  <c r="P14" i="58"/>
  <c r="X14" i="58" s="1"/>
  <c r="L14" i="58"/>
  <c r="H14" i="58"/>
  <c r="N14" i="58" s="1"/>
  <c r="D14" i="58"/>
  <c r="Z12" i="58"/>
  <c r="T12" i="58"/>
  <c r="V84" i="58" s="1"/>
  <c r="P12" i="58"/>
  <c r="R66" i="58" s="1"/>
  <c r="H12" i="58"/>
  <c r="J73" i="58" s="1"/>
  <c r="D12" i="58"/>
  <c r="D6" i="58"/>
  <c r="D4" i="58"/>
  <c r="Z80" i="57"/>
  <c r="X80" i="57"/>
  <c r="N80" i="57"/>
  <c r="L80" i="57"/>
  <c r="X76" i="57"/>
  <c r="T76" i="57"/>
  <c r="Z76" i="57" s="1"/>
  <c r="P76" i="57"/>
  <c r="H76" i="57"/>
  <c r="N76" i="57" s="1"/>
  <c r="D76" i="57"/>
  <c r="L76" i="57" s="1"/>
  <c r="X74" i="57"/>
  <c r="Z74" i="57" s="1"/>
  <c r="L74" i="57"/>
  <c r="N74" i="57" s="1"/>
  <c r="B74" i="57"/>
  <c r="Z73" i="57"/>
  <c r="T73" i="57"/>
  <c r="X73" i="57" s="1"/>
  <c r="R73" i="57"/>
  <c r="P73" i="57"/>
  <c r="H73" i="57"/>
  <c r="L73" i="57" s="1"/>
  <c r="N73" i="57" s="1"/>
  <c r="D73" i="57"/>
  <c r="B73" i="57"/>
  <c r="X72" i="57"/>
  <c r="Z72" i="57" s="1"/>
  <c r="R72" i="57"/>
  <c r="L72" i="57"/>
  <c r="N72" i="57" s="1"/>
  <c r="B72" i="57"/>
  <c r="V71" i="57"/>
  <c r="T71" i="57"/>
  <c r="P71" i="57"/>
  <c r="X71" i="57" s="1"/>
  <c r="Z71" i="57" s="1"/>
  <c r="N71" i="57"/>
  <c r="H71" i="57"/>
  <c r="D71" i="57"/>
  <c r="L71" i="57" s="1"/>
  <c r="B71" i="57"/>
  <c r="Z70" i="57"/>
  <c r="X70" i="57"/>
  <c r="N70" i="57"/>
  <c r="L70" i="57"/>
  <c r="B70" i="57"/>
  <c r="X69" i="57"/>
  <c r="Z69" i="57" s="1"/>
  <c r="N69" i="57"/>
  <c r="L69" i="57"/>
  <c r="B69" i="57"/>
  <c r="X68" i="57"/>
  <c r="T68" i="57"/>
  <c r="Z68" i="57" s="1"/>
  <c r="P68" i="57"/>
  <c r="L68" i="57"/>
  <c r="H68" i="57"/>
  <c r="D68" i="57"/>
  <c r="B68" i="57"/>
  <c r="Z67" i="57"/>
  <c r="X67" i="57"/>
  <c r="N67" i="57"/>
  <c r="L67" i="57"/>
  <c r="J67" i="57"/>
  <c r="B67" i="57"/>
  <c r="X66" i="57"/>
  <c r="T66" i="57"/>
  <c r="Z66" i="57" s="1"/>
  <c r="P66" i="57"/>
  <c r="H66" i="57"/>
  <c r="N66" i="57" s="1"/>
  <c r="D66" i="57"/>
  <c r="L66" i="57" s="1"/>
  <c r="B66" i="57"/>
  <c r="Z65" i="57"/>
  <c r="X65" i="57"/>
  <c r="L65" i="57"/>
  <c r="N65" i="57" s="1"/>
  <c r="B65" i="57"/>
  <c r="T64" i="57"/>
  <c r="P64" i="57"/>
  <c r="H64" i="57"/>
  <c r="N64" i="57" s="1"/>
  <c r="D64" i="57"/>
  <c r="L64" i="57" s="1"/>
  <c r="B64" i="57"/>
  <c r="Z63" i="57"/>
  <c r="X63" i="57"/>
  <c r="V63" i="57"/>
  <c r="N63" i="57"/>
  <c r="L63" i="57"/>
  <c r="B63" i="57"/>
  <c r="X62" i="57"/>
  <c r="Z62" i="57" s="1"/>
  <c r="L62" i="57"/>
  <c r="N62" i="57" s="1"/>
  <c r="B62" i="57"/>
  <c r="X61" i="57"/>
  <c r="Z61" i="57" s="1"/>
  <c r="N61" i="57"/>
  <c r="L61" i="57"/>
  <c r="B61" i="57"/>
  <c r="X60" i="57"/>
  <c r="T60" i="57"/>
  <c r="Z60" i="57" s="1"/>
  <c r="P60" i="57"/>
  <c r="H60" i="57"/>
  <c r="D60" i="57"/>
  <c r="L60" i="57" s="1"/>
  <c r="B60" i="57"/>
  <c r="Z59" i="57"/>
  <c r="X59" i="57"/>
  <c r="N59" i="57"/>
  <c r="L59" i="57"/>
  <c r="J59" i="57"/>
  <c r="B59" i="57"/>
  <c r="X58" i="57"/>
  <c r="T58" i="57"/>
  <c r="P58" i="57"/>
  <c r="H58" i="57"/>
  <c r="D58" i="57"/>
  <c r="B58" i="57"/>
  <c r="Z57" i="57"/>
  <c r="X57" i="57"/>
  <c r="N57" i="57"/>
  <c r="L57" i="57"/>
  <c r="B57" i="57"/>
  <c r="Z56" i="57"/>
  <c r="X56" i="57"/>
  <c r="R56" i="57"/>
  <c r="N56" i="57"/>
  <c r="L56" i="57"/>
  <c r="B56" i="57"/>
  <c r="Z55" i="57"/>
  <c r="X55" i="57"/>
  <c r="V55" i="57"/>
  <c r="N55" i="57"/>
  <c r="L55" i="57"/>
  <c r="J55" i="57"/>
  <c r="B55" i="57"/>
  <c r="T54" i="57"/>
  <c r="Z54" i="57" s="1"/>
  <c r="P54" i="57"/>
  <c r="X54" i="57" s="1"/>
  <c r="H54" i="57"/>
  <c r="N54" i="57" s="1"/>
  <c r="D54" i="57"/>
  <c r="L54" i="57" s="1"/>
  <c r="B54" i="57"/>
  <c r="X53" i="57"/>
  <c r="Z53" i="57" s="1"/>
  <c r="N53" i="57"/>
  <c r="L53" i="57"/>
  <c r="B53" i="57"/>
  <c r="X52" i="57"/>
  <c r="T52" i="57"/>
  <c r="Z52" i="57" s="1"/>
  <c r="P52" i="57"/>
  <c r="L52" i="57"/>
  <c r="H52" i="57"/>
  <c r="D52" i="57"/>
  <c r="B52" i="57"/>
  <c r="Z51" i="57"/>
  <c r="X51" i="57"/>
  <c r="N51" i="57"/>
  <c r="L51" i="57"/>
  <c r="J51" i="57"/>
  <c r="B51" i="57"/>
  <c r="X50" i="57"/>
  <c r="T50" i="57"/>
  <c r="Z50" i="57" s="1"/>
  <c r="P50" i="57"/>
  <c r="H50" i="57"/>
  <c r="D50" i="57"/>
  <c r="B50" i="57"/>
  <c r="Z49" i="57"/>
  <c r="X49" i="57"/>
  <c r="L49" i="57"/>
  <c r="N49" i="57" s="1"/>
  <c r="B49" i="57"/>
  <c r="T48" i="57"/>
  <c r="P48" i="57"/>
  <c r="X48" i="57" s="1"/>
  <c r="H48" i="57"/>
  <c r="D48" i="57"/>
  <c r="L48" i="57" s="1"/>
  <c r="B48" i="57"/>
  <c r="Z47" i="57"/>
  <c r="X47" i="57"/>
  <c r="V47" i="57"/>
  <c r="N47" i="57"/>
  <c r="L47" i="57"/>
  <c r="B47" i="57"/>
  <c r="T46" i="57"/>
  <c r="P46" i="57"/>
  <c r="X46" i="57" s="1"/>
  <c r="L46" i="57"/>
  <c r="H46" i="57"/>
  <c r="N46" i="57" s="1"/>
  <c r="D46" i="57"/>
  <c r="B46" i="57"/>
  <c r="Z45" i="57"/>
  <c r="X45" i="57"/>
  <c r="N45" i="57"/>
  <c r="L45" i="57"/>
  <c r="B45" i="57"/>
  <c r="T44" i="57"/>
  <c r="P44" i="57"/>
  <c r="L44" i="57"/>
  <c r="H44" i="57"/>
  <c r="D44" i="57"/>
  <c r="B44" i="57"/>
  <c r="Z43" i="57"/>
  <c r="X43" i="57"/>
  <c r="V43" i="57"/>
  <c r="N43" i="57"/>
  <c r="L43" i="57"/>
  <c r="J43" i="57"/>
  <c r="B43" i="57"/>
  <c r="T42" i="57"/>
  <c r="P42" i="57"/>
  <c r="X42" i="57" s="1"/>
  <c r="H42" i="57"/>
  <c r="D42" i="57"/>
  <c r="L42" i="57" s="1"/>
  <c r="B42" i="57"/>
  <c r="X41" i="57"/>
  <c r="Z41" i="57" s="1"/>
  <c r="N41" i="57"/>
  <c r="L41" i="57"/>
  <c r="B41" i="57"/>
  <c r="X40" i="57"/>
  <c r="T40" i="57"/>
  <c r="Z40" i="57" s="1"/>
  <c r="P40" i="57"/>
  <c r="H40" i="57"/>
  <c r="N40" i="57" s="1"/>
  <c r="D40" i="57"/>
  <c r="L40" i="57" s="1"/>
  <c r="B40" i="57"/>
  <c r="Z39" i="57"/>
  <c r="X39" i="57"/>
  <c r="N39" i="57"/>
  <c r="L39" i="57"/>
  <c r="J39" i="57"/>
  <c r="B39" i="57"/>
  <c r="Z38" i="57"/>
  <c r="X38" i="57"/>
  <c r="N38" i="57"/>
  <c r="L38" i="57"/>
  <c r="B38" i="57"/>
  <c r="Z37" i="57"/>
  <c r="X37" i="57"/>
  <c r="N37" i="57"/>
  <c r="L37" i="57"/>
  <c r="J37" i="57"/>
  <c r="B37" i="57"/>
  <c r="Z36" i="57"/>
  <c r="X36" i="57"/>
  <c r="R36" i="57"/>
  <c r="N36" i="57"/>
  <c r="L36" i="57"/>
  <c r="F36" i="57"/>
  <c r="B36" i="57"/>
  <c r="Z35" i="57"/>
  <c r="X35" i="57"/>
  <c r="N35" i="57"/>
  <c r="L35" i="57"/>
  <c r="J35" i="57"/>
  <c r="B35" i="57"/>
  <c r="Z34" i="57"/>
  <c r="X34" i="57"/>
  <c r="N34" i="57"/>
  <c r="L34" i="57"/>
  <c r="B34" i="57"/>
  <c r="Z33" i="57"/>
  <c r="X33" i="57"/>
  <c r="V33" i="57"/>
  <c r="N33" i="57"/>
  <c r="L33" i="57"/>
  <c r="J33" i="57"/>
  <c r="B33" i="57"/>
  <c r="Z32" i="57"/>
  <c r="X32" i="57"/>
  <c r="R32" i="57"/>
  <c r="N32" i="57"/>
  <c r="L32" i="57"/>
  <c r="F32" i="57"/>
  <c r="B32" i="57"/>
  <c r="Z31" i="57"/>
  <c r="X31" i="57"/>
  <c r="V31" i="57"/>
  <c r="N31" i="57"/>
  <c r="L31" i="57"/>
  <c r="J31" i="57"/>
  <c r="B31" i="57"/>
  <c r="X30" i="57"/>
  <c r="Z30" i="57" s="1"/>
  <c r="L30" i="57"/>
  <c r="N30" i="57" s="1"/>
  <c r="B30" i="57"/>
  <c r="V29" i="57"/>
  <c r="T29" i="57"/>
  <c r="R29" i="57"/>
  <c r="P29" i="57"/>
  <c r="X29" i="57" s="1"/>
  <c r="Z29" i="57" s="1"/>
  <c r="H29" i="57"/>
  <c r="D29" i="57"/>
  <c r="L29" i="57" s="1"/>
  <c r="N29" i="57" s="1"/>
  <c r="B29" i="57"/>
  <c r="X28" i="57"/>
  <c r="Z28" i="57" s="1"/>
  <c r="R28" i="57"/>
  <c r="L28" i="57"/>
  <c r="N28" i="57" s="1"/>
  <c r="B28" i="57"/>
  <c r="X27" i="57"/>
  <c r="Z27" i="57" s="1"/>
  <c r="V27" i="57"/>
  <c r="N27" i="57"/>
  <c r="L27" i="57"/>
  <c r="J27" i="57"/>
  <c r="B27" i="57"/>
  <c r="X26" i="57"/>
  <c r="Z26" i="57" s="1"/>
  <c r="V26" i="57"/>
  <c r="L26" i="57"/>
  <c r="N26" i="57" s="1"/>
  <c r="B26" i="57"/>
  <c r="Z25" i="57"/>
  <c r="X25" i="57"/>
  <c r="V25" i="57"/>
  <c r="N25" i="57"/>
  <c r="L25" i="57"/>
  <c r="B25" i="57"/>
  <c r="X24" i="57"/>
  <c r="Z24" i="57" s="1"/>
  <c r="R24" i="57"/>
  <c r="L24" i="57"/>
  <c r="N24" i="57" s="1"/>
  <c r="B24" i="57"/>
  <c r="X23" i="57"/>
  <c r="Z23" i="57" s="1"/>
  <c r="V23" i="57"/>
  <c r="N23" i="57"/>
  <c r="L23" i="57"/>
  <c r="J23" i="57"/>
  <c r="B23" i="57"/>
  <c r="X22" i="57"/>
  <c r="Z22" i="57" s="1"/>
  <c r="V22" i="57"/>
  <c r="L22" i="57"/>
  <c r="N22" i="57" s="1"/>
  <c r="B22" i="57"/>
  <c r="Z21" i="57"/>
  <c r="X21" i="57"/>
  <c r="V21" i="57"/>
  <c r="L21" i="57"/>
  <c r="N21" i="57" s="1"/>
  <c r="B21" i="57"/>
  <c r="X20" i="57"/>
  <c r="Z20" i="57" s="1"/>
  <c r="V20" i="57"/>
  <c r="R20" i="57"/>
  <c r="L20" i="57"/>
  <c r="N20" i="57" s="1"/>
  <c r="B20" i="57"/>
  <c r="V19" i="57"/>
  <c r="T19" i="57"/>
  <c r="P19" i="57"/>
  <c r="X19" i="57" s="1"/>
  <c r="Z19" i="57" s="1"/>
  <c r="J19" i="57"/>
  <c r="H19" i="57"/>
  <c r="D19" i="57"/>
  <c r="L19" i="57" s="1"/>
  <c r="N19" i="57" s="1"/>
  <c r="B19" i="57"/>
  <c r="T18" i="57"/>
  <c r="P18" i="57"/>
  <c r="H18" i="57"/>
  <c r="D18" i="57"/>
  <c r="L18" i="57" s="1"/>
  <c r="T14" i="57"/>
  <c r="Z14" i="57" s="1"/>
  <c r="P14" i="57"/>
  <c r="L14" i="57"/>
  <c r="H14" i="57"/>
  <c r="H16" i="57" s="1"/>
  <c r="N16" i="57" s="1"/>
  <c r="D14" i="57"/>
  <c r="Z12" i="57"/>
  <c r="X12" i="57"/>
  <c r="T12" i="57"/>
  <c r="V67" i="57" s="1"/>
  <c r="P12" i="57"/>
  <c r="R68" i="57" s="1"/>
  <c r="L12" i="57"/>
  <c r="H12" i="57"/>
  <c r="J73" i="57" s="1"/>
  <c r="D12" i="57"/>
  <c r="F72" i="57" s="1"/>
  <c r="D6" i="57"/>
  <c r="D4" i="57"/>
  <c r="Z83" i="56"/>
  <c r="X83" i="56"/>
  <c r="R83" i="56"/>
  <c r="N83" i="56"/>
  <c r="L83" i="56"/>
  <c r="F83" i="56"/>
  <c r="T79" i="56"/>
  <c r="Z79" i="56" s="1"/>
  <c r="P79" i="56"/>
  <c r="L79" i="56"/>
  <c r="H79" i="56"/>
  <c r="N79" i="56" s="1"/>
  <c r="D79" i="56"/>
  <c r="X77" i="56"/>
  <c r="Z77" i="56" s="1"/>
  <c r="N77" i="56"/>
  <c r="L77" i="56"/>
  <c r="F77" i="56"/>
  <c r="B77" i="56"/>
  <c r="Z76" i="56"/>
  <c r="X76" i="56"/>
  <c r="V76" i="56"/>
  <c r="N76" i="56"/>
  <c r="L76" i="56"/>
  <c r="B76" i="56"/>
  <c r="T75" i="56"/>
  <c r="P75" i="56"/>
  <c r="X75" i="56" s="1"/>
  <c r="H75" i="56"/>
  <c r="D75" i="56"/>
  <c r="B75" i="56"/>
  <c r="Z74" i="56"/>
  <c r="X74" i="56"/>
  <c r="N74" i="56"/>
  <c r="L74" i="56"/>
  <c r="B74" i="56"/>
  <c r="T73" i="56"/>
  <c r="P73" i="56"/>
  <c r="L73" i="56"/>
  <c r="H73" i="56"/>
  <c r="D73" i="56"/>
  <c r="B73" i="56"/>
  <c r="Z72" i="56"/>
  <c r="X72" i="56"/>
  <c r="V72" i="56"/>
  <c r="N72" i="56"/>
  <c r="L72" i="56"/>
  <c r="J72" i="56"/>
  <c r="B72" i="56"/>
  <c r="T71" i="56"/>
  <c r="P71" i="56"/>
  <c r="X71" i="56" s="1"/>
  <c r="H71" i="56"/>
  <c r="D71" i="56"/>
  <c r="L71" i="56" s="1"/>
  <c r="B71" i="56"/>
  <c r="Z70" i="56"/>
  <c r="X70" i="56"/>
  <c r="N70" i="56"/>
  <c r="L70" i="56"/>
  <c r="B70" i="56"/>
  <c r="Z69" i="56"/>
  <c r="X69" i="56"/>
  <c r="N69" i="56"/>
  <c r="L69" i="56"/>
  <c r="F69" i="56"/>
  <c r="B69" i="56"/>
  <c r="Z68" i="56"/>
  <c r="X68" i="56"/>
  <c r="V68" i="56"/>
  <c r="N68" i="56"/>
  <c r="L68" i="56"/>
  <c r="B68" i="56"/>
  <c r="X67" i="56"/>
  <c r="T67" i="56"/>
  <c r="Z67" i="56" s="1"/>
  <c r="P67" i="56"/>
  <c r="H67" i="56"/>
  <c r="D67" i="56"/>
  <c r="B67" i="56"/>
  <c r="Z66" i="56"/>
  <c r="X66" i="56"/>
  <c r="N66" i="56"/>
  <c r="L66" i="56"/>
  <c r="B66" i="56"/>
  <c r="T65" i="56"/>
  <c r="P65" i="56"/>
  <c r="L65" i="56"/>
  <c r="H65" i="56"/>
  <c r="N65" i="56" s="1"/>
  <c r="D65" i="56"/>
  <c r="B65" i="56"/>
  <c r="Z64" i="56"/>
  <c r="X64" i="56"/>
  <c r="V64" i="56"/>
  <c r="N64" i="56"/>
  <c r="L64" i="56"/>
  <c r="J64" i="56"/>
  <c r="B64" i="56"/>
  <c r="X63" i="56"/>
  <c r="Z63" i="56" s="1"/>
  <c r="L63" i="56"/>
  <c r="N63" i="56" s="1"/>
  <c r="B63" i="56"/>
  <c r="Z62" i="56"/>
  <c r="X62" i="56"/>
  <c r="N62" i="56"/>
  <c r="L62" i="56"/>
  <c r="B62" i="56"/>
  <c r="T61" i="56"/>
  <c r="P61" i="56"/>
  <c r="X61" i="56" s="1"/>
  <c r="H61" i="56"/>
  <c r="D61" i="56"/>
  <c r="L61" i="56" s="1"/>
  <c r="B61" i="56"/>
  <c r="Z60" i="56"/>
  <c r="X60" i="56"/>
  <c r="V60" i="56"/>
  <c r="N60" i="56"/>
  <c r="L60" i="56"/>
  <c r="B60" i="56"/>
  <c r="X59" i="56"/>
  <c r="Z59" i="56" s="1"/>
  <c r="L59" i="56"/>
  <c r="N59" i="56" s="1"/>
  <c r="B59" i="56"/>
  <c r="Z58" i="56"/>
  <c r="X58" i="56"/>
  <c r="N58" i="56"/>
  <c r="L58" i="56"/>
  <c r="B58" i="56"/>
  <c r="T57" i="56"/>
  <c r="P57" i="56"/>
  <c r="L57" i="56"/>
  <c r="H57" i="56"/>
  <c r="D57" i="56"/>
  <c r="B57" i="56"/>
  <c r="Z56" i="56"/>
  <c r="X56" i="56"/>
  <c r="N56" i="56"/>
  <c r="L56" i="56"/>
  <c r="J56" i="56"/>
  <c r="B56" i="56"/>
  <c r="X55" i="56"/>
  <c r="T55" i="56"/>
  <c r="P55" i="56"/>
  <c r="H55" i="56"/>
  <c r="D55" i="56"/>
  <c r="L55" i="56" s="1"/>
  <c r="B55" i="56"/>
  <c r="Z54" i="56"/>
  <c r="X54" i="56"/>
  <c r="N54" i="56"/>
  <c r="L54" i="56"/>
  <c r="B54" i="56"/>
  <c r="T53" i="56"/>
  <c r="P53" i="56"/>
  <c r="X53" i="56" s="1"/>
  <c r="H53" i="56"/>
  <c r="D53" i="56"/>
  <c r="L53" i="56" s="1"/>
  <c r="B53" i="56"/>
  <c r="Z52" i="56"/>
  <c r="X52" i="56"/>
  <c r="V52" i="56"/>
  <c r="N52" i="56"/>
  <c r="L52" i="56"/>
  <c r="B52" i="56"/>
  <c r="T51" i="56"/>
  <c r="Z51" i="56" s="1"/>
  <c r="P51" i="56"/>
  <c r="X51" i="56" s="1"/>
  <c r="H51" i="56"/>
  <c r="N51" i="56" s="1"/>
  <c r="D51" i="56"/>
  <c r="B51" i="56"/>
  <c r="Z50" i="56"/>
  <c r="X50" i="56"/>
  <c r="N50" i="56"/>
  <c r="L50" i="56"/>
  <c r="B50" i="56"/>
  <c r="T49" i="56"/>
  <c r="P49" i="56"/>
  <c r="L49" i="56"/>
  <c r="H49" i="56"/>
  <c r="N49" i="56" s="1"/>
  <c r="D49" i="56"/>
  <c r="B49" i="56"/>
  <c r="Z48" i="56"/>
  <c r="X48" i="56"/>
  <c r="V48" i="56"/>
  <c r="N48" i="56"/>
  <c r="L48" i="56"/>
  <c r="J48" i="56"/>
  <c r="B48" i="56"/>
  <c r="T47" i="56"/>
  <c r="Z47" i="56" s="1"/>
  <c r="P47" i="56"/>
  <c r="X47" i="56" s="1"/>
  <c r="H47" i="56"/>
  <c r="D47" i="56"/>
  <c r="B47" i="56"/>
  <c r="Z46" i="56"/>
  <c r="X46" i="56"/>
  <c r="N46" i="56"/>
  <c r="L46" i="56"/>
  <c r="B46" i="56"/>
  <c r="X45" i="56"/>
  <c r="Z45" i="56" s="1"/>
  <c r="N45" i="56"/>
  <c r="L45" i="56"/>
  <c r="F45" i="56"/>
  <c r="B45" i="56"/>
  <c r="V44" i="56"/>
  <c r="T44" i="56"/>
  <c r="P44" i="56"/>
  <c r="X44" i="56" s="1"/>
  <c r="Z44" i="56" s="1"/>
  <c r="H44" i="56"/>
  <c r="F44" i="56"/>
  <c r="D44" i="56"/>
  <c r="L44" i="56" s="1"/>
  <c r="N44" i="56" s="1"/>
  <c r="B44" i="56"/>
  <c r="X43" i="56"/>
  <c r="Z43" i="56" s="1"/>
  <c r="L43" i="56"/>
  <c r="N43" i="56" s="1"/>
  <c r="B43" i="56"/>
  <c r="Z42" i="56"/>
  <c r="X42" i="56"/>
  <c r="T42" i="56"/>
  <c r="R42" i="56"/>
  <c r="P42" i="56"/>
  <c r="H42" i="56"/>
  <c r="L42" i="56" s="1"/>
  <c r="N42" i="56" s="1"/>
  <c r="D42" i="56"/>
  <c r="B42" i="56"/>
  <c r="X41" i="56"/>
  <c r="Z41" i="56" s="1"/>
  <c r="R41" i="56"/>
  <c r="L41" i="56"/>
  <c r="N41" i="56" s="1"/>
  <c r="F41" i="56"/>
  <c r="B41" i="56"/>
  <c r="V40" i="56"/>
  <c r="T40" i="56"/>
  <c r="P40" i="56"/>
  <c r="X40" i="56" s="1"/>
  <c r="Z40" i="56" s="1"/>
  <c r="H40" i="56"/>
  <c r="F40" i="56"/>
  <c r="D40" i="56"/>
  <c r="L40" i="56" s="1"/>
  <c r="N40" i="56" s="1"/>
  <c r="B40" i="56"/>
  <c r="Z39" i="56"/>
  <c r="X39" i="56"/>
  <c r="N39" i="56"/>
  <c r="L39" i="56"/>
  <c r="F39" i="56"/>
  <c r="B39" i="56"/>
  <c r="Z38" i="56"/>
  <c r="X38" i="56"/>
  <c r="N38" i="56"/>
  <c r="L38" i="56"/>
  <c r="B38" i="56"/>
  <c r="Z37" i="56"/>
  <c r="X37" i="56"/>
  <c r="N37" i="56"/>
  <c r="L37" i="56"/>
  <c r="F37" i="56"/>
  <c r="B37" i="56"/>
  <c r="Z36" i="56"/>
  <c r="X36" i="56"/>
  <c r="V36" i="56"/>
  <c r="N36" i="56"/>
  <c r="L36" i="56"/>
  <c r="B36" i="56"/>
  <c r="Z35" i="56"/>
  <c r="X35" i="56"/>
  <c r="N35" i="56"/>
  <c r="L35" i="56"/>
  <c r="F35" i="56"/>
  <c r="B35" i="56"/>
  <c r="Z34" i="56"/>
  <c r="X34" i="56"/>
  <c r="N34" i="56"/>
  <c r="L34" i="56"/>
  <c r="B34" i="56"/>
  <c r="Z33" i="56"/>
  <c r="X33" i="56"/>
  <c r="N33" i="56"/>
  <c r="L33" i="56"/>
  <c r="F33" i="56"/>
  <c r="B33" i="56"/>
  <c r="Z32" i="56"/>
  <c r="X32" i="56"/>
  <c r="V32" i="56"/>
  <c r="N32" i="56"/>
  <c r="L32" i="56"/>
  <c r="B32" i="56"/>
  <c r="X31" i="56"/>
  <c r="Z31" i="56" s="1"/>
  <c r="L31" i="56"/>
  <c r="N31" i="56" s="1"/>
  <c r="F31" i="56"/>
  <c r="B31" i="56"/>
  <c r="Z30" i="56"/>
  <c r="X30" i="56"/>
  <c r="N30" i="56"/>
  <c r="L30" i="56"/>
  <c r="B30" i="56"/>
  <c r="T29" i="56"/>
  <c r="P29" i="56"/>
  <c r="X29" i="56" s="1"/>
  <c r="L29" i="56"/>
  <c r="H29" i="56"/>
  <c r="N29" i="56" s="1"/>
  <c r="D29" i="56"/>
  <c r="B29" i="56"/>
  <c r="Z28" i="56"/>
  <c r="X28" i="56"/>
  <c r="V28" i="56"/>
  <c r="N28" i="56"/>
  <c r="L28" i="56"/>
  <c r="J28" i="56"/>
  <c r="B28" i="56"/>
  <c r="X27" i="56"/>
  <c r="Z27" i="56" s="1"/>
  <c r="L27" i="56"/>
  <c r="N27" i="56" s="1"/>
  <c r="F27" i="56"/>
  <c r="B27" i="56"/>
  <c r="Z26" i="56"/>
  <c r="X26" i="56"/>
  <c r="N26" i="56"/>
  <c r="L26" i="56"/>
  <c r="B26" i="56"/>
  <c r="Z25" i="56"/>
  <c r="X25" i="56"/>
  <c r="R25" i="56"/>
  <c r="N25" i="56"/>
  <c r="L25" i="56"/>
  <c r="F25" i="56"/>
  <c r="B25" i="56"/>
  <c r="Z24" i="56"/>
  <c r="X24" i="56"/>
  <c r="V24" i="56"/>
  <c r="N24" i="56"/>
  <c r="L24" i="56"/>
  <c r="J24" i="56"/>
  <c r="B24" i="56"/>
  <c r="X23" i="56"/>
  <c r="Z23" i="56" s="1"/>
  <c r="L23" i="56"/>
  <c r="N23" i="56" s="1"/>
  <c r="F23" i="56"/>
  <c r="B23" i="56"/>
  <c r="Z22" i="56"/>
  <c r="X22" i="56"/>
  <c r="N22" i="56"/>
  <c r="L22" i="56"/>
  <c r="F22" i="56"/>
  <c r="B22" i="56"/>
  <c r="X21" i="56"/>
  <c r="Z21" i="56" s="1"/>
  <c r="R21" i="56"/>
  <c r="L21" i="56"/>
  <c r="N21" i="56" s="1"/>
  <c r="F21" i="56"/>
  <c r="B21" i="56"/>
  <c r="Z20" i="56"/>
  <c r="X20" i="56"/>
  <c r="V20" i="56"/>
  <c r="N20" i="56"/>
  <c r="L20" i="56"/>
  <c r="J20" i="56"/>
  <c r="B20" i="56"/>
  <c r="X19" i="56"/>
  <c r="T19" i="56"/>
  <c r="Z19" i="56" s="1"/>
  <c r="P19" i="56"/>
  <c r="H19" i="56"/>
  <c r="D19" i="56"/>
  <c r="B19" i="56"/>
  <c r="T18" i="56"/>
  <c r="R18" i="56"/>
  <c r="P18" i="56"/>
  <c r="X18" i="56" s="1"/>
  <c r="Z18" i="56" s="1"/>
  <c r="J18" i="56"/>
  <c r="H18" i="56"/>
  <c r="F18" i="56"/>
  <c r="D18" i="56"/>
  <c r="L18" i="56" s="1"/>
  <c r="R16" i="56"/>
  <c r="J16" i="56"/>
  <c r="F16" i="56"/>
  <c r="Z14" i="56"/>
  <c r="T14" i="56"/>
  <c r="T16" i="56" s="1"/>
  <c r="R14" i="56"/>
  <c r="P14" i="56"/>
  <c r="X14" i="56" s="1"/>
  <c r="J14" i="56"/>
  <c r="H14" i="56"/>
  <c r="N14" i="56" s="1"/>
  <c r="F14" i="56"/>
  <c r="D14" i="56"/>
  <c r="L14" i="56" s="1"/>
  <c r="Z12" i="56"/>
  <c r="T12" i="56"/>
  <c r="V56" i="56" s="1"/>
  <c r="P12" i="56"/>
  <c r="R77" i="56" s="1"/>
  <c r="N12" i="56"/>
  <c r="L12" i="56"/>
  <c r="H12" i="56"/>
  <c r="J76" i="56" s="1"/>
  <c r="D12" i="56"/>
  <c r="F76" i="56" s="1"/>
  <c r="D6" i="56"/>
  <c r="D4" i="56"/>
  <c r="V40" i="55"/>
  <c r="V37" i="55"/>
  <c r="Z35" i="55"/>
  <c r="X35" i="55"/>
  <c r="V35" i="55"/>
  <c r="N35" i="55"/>
  <c r="L35" i="55"/>
  <c r="V33" i="55"/>
  <c r="V31" i="55"/>
  <c r="T31" i="55"/>
  <c r="Z31" i="55" s="1"/>
  <c r="P31" i="55"/>
  <c r="X31" i="55" s="1"/>
  <c r="N31" i="55"/>
  <c r="H31" i="55"/>
  <c r="D31" i="55"/>
  <c r="L31" i="55" s="1"/>
  <c r="Z29" i="55"/>
  <c r="X29" i="55"/>
  <c r="V29" i="55"/>
  <c r="N29" i="55"/>
  <c r="L29" i="55"/>
  <c r="J29" i="55"/>
  <c r="B29" i="55"/>
  <c r="X28" i="55"/>
  <c r="Z28" i="55" s="1"/>
  <c r="N28" i="55"/>
  <c r="L28" i="55"/>
  <c r="B28" i="55"/>
  <c r="T27" i="55"/>
  <c r="P27" i="55"/>
  <c r="X27" i="55" s="1"/>
  <c r="Z27" i="55" s="1"/>
  <c r="J27" i="55"/>
  <c r="H27" i="55"/>
  <c r="N27" i="55" s="1"/>
  <c r="D27" i="55"/>
  <c r="L27" i="55" s="1"/>
  <c r="B27" i="55"/>
  <c r="X26" i="55"/>
  <c r="Z26" i="55" s="1"/>
  <c r="V26" i="55"/>
  <c r="N26" i="55"/>
  <c r="L26" i="55"/>
  <c r="B26" i="55"/>
  <c r="V25" i="55"/>
  <c r="T25" i="55"/>
  <c r="P25" i="55"/>
  <c r="X25" i="55" s="1"/>
  <c r="Z25" i="55" s="1"/>
  <c r="N25" i="55"/>
  <c r="H25" i="55"/>
  <c r="F25" i="55"/>
  <c r="D25" i="55"/>
  <c r="L25" i="55" s="1"/>
  <c r="B25" i="55"/>
  <c r="X24" i="55"/>
  <c r="Z24" i="55" s="1"/>
  <c r="L24" i="55"/>
  <c r="N24" i="55" s="1"/>
  <c r="B24" i="55"/>
  <c r="Z23" i="55"/>
  <c r="X23" i="55"/>
  <c r="V23" i="55"/>
  <c r="T23" i="55"/>
  <c r="P23" i="55"/>
  <c r="L23" i="55"/>
  <c r="H23" i="55"/>
  <c r="N23" i="55" s="1"/>
  <c r="D23" i="55"/>
  <c r="B23" i="55"/>
  <c r="X22" i="55"/>
  <c r="Z22" i="55" s="1"/>
  <c r="V22" i="55"/>
  <c r="L22" i="55"/>
  <c r="N22" i="55" s="1"/>
  <c r="B22" i="55"/>
  <c r="V21" i="55"/>
  <c r="T21" i="55"/>
  <c r="P21" i="55"/>
  <c r="X21" i="55" s="1"/>
  <c r="N21" i="55"/>
  <c r="H21" i="55"/>
  <c r="D21" i="55"/>
  <c r="L21" i="55" s="1"/>
  <c r="B21" i="55"/>
  <c r="X20" i="55"/>
  <c r="Z20" i="55" s="1"/>
  <c r="V20" i="55"/>
  <c r="L20" i="55"/>
  <c r="N20" i="55" s="1"/>
  <c r="B20" i="55"/>
  <c r="V19" i="55"/>
  <c r="T19" i="55"/>
  <c r="R19" i="55"/>
  <c r="P19" i="55"/>
  <c r="X19" i="55" s="1"/>
  <c r="Z19" i="55" s="1"/>
  <c r="N19" i="55"/>
  <c r="J19" i="55"/>
  <c r="H19" i="55"/>
  <c r="D19" i="55"/>
  <c r="L19" i="55" s="1"/>
  <c r="B19" i="55"/>
  <c r="T18" i="55"/>
  <c r="R18" i="55"/>
  <c r="P18" i="55"/>
  <c r="H18" i="55"/>
  <c r="F18" i="55"/>
  <c r="D18" i="55"/>
  <c r="P16" i="55"/>
  <c r="T14" i="55"/>
  <c r="P14" i="55"/>
  <c r="N14" i="55"/>
  <c r="L14" i="55"/>
  <c r="H14" i="55"/>
  <c r="F14" i="55"/>
  <c r="D14" i="55"/>
  <c r="Z12" i="55"/>
  <c r="T12" i="55"/>
  <c r="V28" i="55" s="1"/>
  <c r="P12" i="55"/>
  <c r="R20" i="55" s="1"/>
  <c r="N12" i="55"/>
  <c r="L12" i="55"/>
  <c r="H12" i="55"/>
  <c r="J35" i="55" s="1"/>
  <c r="D12" i="55"/>
  <c r="D6" i="55"/>
  <c r="D4" i="55"/>
  <c r="T29" i="54"/>
  <c r="P29" i="54"/>
  <c r="X29" i="54" s="1"/>
  <c r="Z29" i="54" s="1"/>
  <c r="L29" i="54"/>
  <c r="H29" i="54"/>
  <c r="N29" i="54" s="1"/>
  <c r="D29" i="54"/>
  <c r="V28" i="54"/>
  <c r="T28" i="54"/>
  <c r="P28" i="54"/>
  <c r="X28" i="54" s="1"/>
  <c r="Z28" i="54" s="1"/>
  <c r="H28" i="54"/>
  <c r="L28" i="54" s="1"/>
  <c r="D28" i="54"/>
  <c r="Z24" i="54"/>
  <c r="X24" i="54"/>
  <c r="N24" i="54"/>
  <c r="L24" i="54"/>
  <c r="X20" i="54"/>
  <c r="T20" i="54"/>
  <c r="Z20" i="54" s="1"/>
  <c r="R20" i="54"/>
  <c r="P20" i="54"/>
  <c r="H20" i="54"/>
  <c r="N20" i="54" s="1"/>
  <c r="D20" i="54"/>
  <c r="L20" i="54" s="1"/>
  <c r="X18" i="54"/>
  <c r="T18" i="54"/>
  <c r="Z18" i="54" s="1"/>
  <c r="R18" i="54"/>
  <c r="P18" i="54"/>
  <c r="N18" i="54"/>
  <c r="H18" i="54"/>
  <c r="D18" i="54"/>
  <c r="L18" i="54" s="1"/>
  <c r="R16" i="54"/>
  <c r="J16" i="54"/>
  <c r="F16" i="54"/>
  <c r="Z14" i="54"/>
  <c r="X14" i="54"/>
  <c r="T14" i="54"/>
  <c r="R14" i="54"/>
  <c r="P14" i="54"/>
  <c r="P16" i="54" s="1"/>
  <c r="N14" i="54"/>
  <c r="L14" i="54"/>
  <c r="J14" i="54"/>
  <c r="H14" i="54"/>
  <c r="F14" i="54"/>
  <c r="D14" i="54"/>
  <c r="T12" i="54"/>
  <c r="V24" i="54" s="1"/>
  <c r="P12" i="54"/>
  <c r="R22" i="54" s="1"/>
  <c r="N12" i="54"/>
  <c r="H12" i="54"/>
  <c r="H16" i="54" s="1"/>
  <c r="D12" i="54"/>
  <c r="F18" i="54" s="1"/>
  <c r="D6" i="54"/>
  <c r="D4" i="54"/>
  <c r="Z114" i="51"/>
  <c r="X114" i="51"/>
  <c r="N114" i="51"/>
  <c r="L114" i="51"/>
  <c r="Z110" i="51"/>
  <c r="P110" i="51"/>
  <c r="X110" i="51" s="1"/>
  <c r="L110" i="51"/>
  <c r="N110" i="51" s="1"/>
  <c r="D110" i="51"/>
  <c r="B110" i="51"/>
  <c r="Z109" i="51"/>
  <c r="X109" i="51"/>
  <c r="P109" i="51"/>
  <c r="N109" i="51"/>
  <c r="D109" i="51"/>
  <c r="L109" i="51" s="1"/>
  <c r="B109" i="51"/>
  <c r="Z108" i="51"/>
  <c r="V108" i="51"/>
  <c r="P108" i="51"/>
  <c r="X108" i="51" s="1"/>
  <c r="N108" i="51"/>
  <c r="L108" i="51"/>
  <c r="D108" i="51"/>
  <c r="B108" i="51"/>
  <c r="Z107" i="51"/>
  <c r="X107" i="51"/>
  <c r="P107" i="51"/>
  <c r="N107" i="51"/>
  <c r="D107" i="51"/>
  <c r="D106" i="51" s="1"/>
  <c r="L106" i="51" s="1"/>
  <c r="B107" i="51"/>
  <c r="T106" i="51"/>
  <c r="H106" i="51"/>
  <c r="Z104" i="51"/>
  <c r="X104" i="51"/>
  <c r="N104" i="51"/>
  <c r="L104" i="51"/>
  <c r="B104" i="51"/>
  <c r="X103" i="51"/>
  <c r="T103" i="51"/>
  <c r="Z103" i="51" s="1"/>
  <c r="P103" i="51"/>
  <c r="L103" i="51"/>
  <c r="H103" i="51"/>
  <c r="N103" i="51" s="1"/>
  <c r="D103" i="51"/>
  <c r="B103" i="51"/>
  <c r="Z102" i="51"/>
  <c r="X102" i="51"/>
  <c r="N102" i="51"/>
  <c r="L102" i="51"/>
  <c r="J102" i="51"/>
  <c r="B102" i="51"/>
  <c r="T101" i="51"/>
  <c r="X101" i="51" s="1"/>
  <c r="P101" i="51"/>
  <c r="H101" i="51"/>
  <c r="D101" i="51"/>
  <c r="B101" i="51"/>
  <c r="Z100" i="51"/>
  <c r="X100" i="51"/>
  <c r="N100" i="51"/>
  <c r="L100" i="51"/>
  <c r="B100" i="51"/>
  <c r="X99" i="51"/>
  <c r="Z99" i="51" s="1"/>
  <c r="L99" i="51"/>
  <c r="N99" i="51" s="1"/>
  <c r="B99" i="51"/>
  <c r="V98" i="51"/>
  <c r="T98" i="51"/>
  <c r="P98" i="51"/>
  <c r="X98" i="51" s="1"/>
  <c r="Z98" i="51" s="1"/>
  <c r="H98" i="51"/>
  <c r="D98" i="51"/>
  <c r="L98" i="51" s="1"/>
  <c r="N98" i="51" s="1"/>
  <c r="B98" i="51"/>
  <c r="Z97" i="51"/>
  <c r="X97" i="51"/>
  <c r="N97" i="51"/>
  <c r="L97" i="51"/>
  <c r="B97" i="51"/>
  <c r="X96" i="51"/>
  <c r="Z96" i="51" s="1"/>
  <c r="N96" i="51"/>
  <c r="L96" i="51"/>
  <c r="B96" i="51"/>
  <c r="X95" i="51"/>
  <c r="T95" i="51"/>
  <c r="Z95" i="51" s="1"/>
  <c r="P95" i="51"/>
  <c r="L95" i="51"/>
  <c r="H95" i="51"/>
  <c r="D95" i="51"/>
  <c r="B95" i="51"/>
  <c r="Z94" i="51"/>
  <c r="X94" i="51"/>
  <c r="N94" i="51"/>
  <c r="L94" i="51"/>
  <c r="J94" i="51"/>
  <c r="B94" i="51"/>
  <c r="T93" i="51"/>
  <c r="X93" i="51" s="1"/>
  <c r="P93" i="51"/>
  <c r="H93" i="51"/>
  <c r="D93" i="51"/>
  <c r="B93" i="51"/>
  <c r="Z92" i="51"/>
  <c r="X92" i="51"/>
  <c r="N92" i="51"/>
  <c r="L92" i="51"/>
  <c r="B92" i="51"/>
  <c r="T91" i="51"/>
  <c r="Z91" i="51" s="1"/>
  <c r="P91" i="51"/>
  <c r="X91" i="51" s="1"/>
  <c r="H91" i="51"/>
  <c r="N91" i="51" s="1"/>
  <c r="D91" i="51"/>
  <c r="L91" i="51" s="1"/>
  <c r="B91" i="51"/>
  <c r="Z90" i="51"/>
  <c r="X90" i="51"/>
  <c r="N90" i="51"/>
  <c r="L90" i="51"/>
  <c r="B90" i="51"/>
  <c r="X89" i="51"/>
  <c r="T89" i="51"/>
  <c r="Z89" i="51" s="1"/>
  <c r="P89" i="51"/>
  <c r="L89" i="51"/>
  <c r="H89" i="51"/>
  <c r="N89" i="51" s="1"/>
  <c r="D89" i="51"/>
  <c r="B89" i="51"/>
  <c r="Z88" i="51"/>
  <c r="X88" i="51"/>
  <c r="N88" i="51"/>
  <c r="L88" i="51"/>
  <c r="B88" i="51"/>
  <c r="T87" i="51"/>
  <c r="P87" i="51"/>
  <c r="H87" i="51"/>
  <c r="L87" i="51" s="1"/>
  <c r="D87" i="51"/>
  <c r="B87" i="51"/>
  <c r="Z86" i="51"/>
  <c r="X86" i="51"/>
  <c r="V86" i="51"/>
  <c r="N86" i="51"/>
  <c r="L86" i="51"/>
  <c r="B86" i="51"/>
  <c r="T85" i="51"/>
  <c r="P85" i="51"/>
  <c r="X85" i="51" s="1"/>
  <c r="H85" i="51"/>
  <c r="N85" i="51" s="1"/>
  <c r="D85" i="51"/>
  <c r="L85" i="51" s="1"/>
  <c r="B85" i="51"/>
  <c r="Z84" i="51"/>
  <c r="X84" i="51"/>
  <c r="N84" i="51"/>
  <c r="L84" i="51"/>
  <c r="B84" i="51"/>
  <c r="X83" i="51"/>
  <c r="T83" i="51"/>
  <c r="Z83" i="51" s="1"/>
  <c r="P83" i="51"/>
  <c r="N83" i="51"/>
  <c r="L83" i="51"/>
  <c r="H83" i="51"/>
  <c r="D83" i="51"/>
  <c r="B83" i="51"/>
  <c r="Z82" i="51"/>
  <c r="X82" i="51"/>
  <c r="N82" i="51"/>
  <c r="L82" i="51"/>
  <c r="J82" i="51"/>
  <c r="B82" i="51"/>
  <c r="T81" i="51"/>
  <c r="X81" i="51" s="1"/>
  <c r="P81" i="51"/>
  <c r="H81" i="51"/>
  <c r="D81" i="51"/>
  <c r="B81" i="51"/>
  <c r="Z80" i="51"/>
  <c r="X80" i="51"/>
  <c r="V80" i="51"/>
  <c r="N80" i="51"/>
  <c r="L80" i="51"/>
  <c r="B80" i="51"/>
  <c r="Z79" i="51"/>
  <c r="X79" i="51"/>
  <c r="N79" i="51"/>
  <c r="L79" i="51"/>
  <c r="B79" i="51"/>
  <c r="Z78" i="51"/>
  <c r="X78" i="51"/>
  <c r="V78" i="51"/>
  <c r="N78" i="51"/>
  <c r="L78" i="51"/>
  <c r="B78" i="51"/>
  <c r="X77" i="51"/>
  <c r="Z77" i="51" s="1"/>
  <c r="N77" i="51"/>
  <c r="L77" i="51"/>
  <c r="B77" i="51"/>
  <c r="Z76" i="51"/>
  <c r="X76" i="51"/>
  <c r="V76" i="51"/>
  <c r="N76" i="51"/>
  <c r="L76" i="51"/>
  <c r="B76" i="51"/>
  <c r="Z75" i="51"/>
  <c r="X75" i="51"/>
  <c r="N75" i="51"/>
  <c r="L75" i="51"/>
  <c r="B75" i="51"/>
  <c r="Z74" i="51"/>
  <c r="X74" i="51"/>
  <c r="V74" i="51"/>
  <c r="N74" i="51"/>
  <c r="L74" i="51"/>
  <c r="B74" i="51"/>
  <c r="Z73" i="51"/>
  <c r="X73" i="51"/>
  <c r="N73" i="51"/>
  <c r="L73" i="51"/>
  <c r="B73" i="51"/>
  <c r="Z72" i="51"/>
  <c r="X72" i="51"/>
  <c r="V72" i="51"/>
  <c r="N72" i="51"/>
  <c r="L72" i="51"/>
  <c r="B72" i="51"/>
  <c r="X71" i="51"/>
  <c r="Z71" i="51" s="1"/>
  <c r="L71" i="51"/>
  <c r="N71" i="51" s="1"/>
  <c r="B71" i="51"/>
  <c r="V70" i="51"/>
  <c r="T70" i="51"/>
  <c r="P70" i="51"/>
  <c r="X70" i="51" s="1"/>
  <c r="Z70" i="51" s="1"/>
  <c r="J70" i="51"/>
  <c r="H70" i="51"/>
  <c r="D70" i="51"/>
  <c r="L70" i="51" s="1"/>
  <c r="N70" i="51" s="1"/>
  <c r="B70" i="51"/>
  <c r="Z69" i="51"/>
  <c r="X69" i="51"/>
  <c r="N69" i="51"/>
  <c r="L69" i="51"/>
  <c r="B69" i="51"/>
  <c r="X68" i="51"/>
  <c r="Z68" i="51" s="1"/>
  <c r="N68" i="51"/>
  <c r="L68" i="51"/>
  <c r="B68" i="51"/>
  <c r="X67" i="51"/>
  <c r="Z67" i="51" s="1"/>
  <c r="L67" i="51"/>
  <c r="N67" i="51" s="1"/>
  <c r="B67" i="51"/>
  <c r="Z66" i="51"/>
  <c r="X66" i="51"/>
  <c r="N66" i="51"/>
  <c r="L66" i="51"/>
  <c r="B66" i="51"/>
  <c r="Z65" i="51"/>
  <c r="X65" i="51"/>
  <c r="N65" i="51"/>
  <c r="L65" i="51"/>
  <c r="B65" i="51"/>
  <c r="X64" i="51"/>
  <c r="Z64" i="51" s="1"/>
  <c r="N64" i="51"/>
  <c r="L64" i="51"/>
  <c r="B64" i="51"/>
  <c r="X63" i="51"/>
  <c r="Z63" i="51" s="1"/>
  <c r="L63" i="51"/>
  <c r="N63" i="51" s="1"/>
  <c r="B63" i="51"/>
  <c r="X62" i="51"/>
  <c r="Z62" i="51" s="1"/>
  <c r="N62" i="51"/>
  <c r="L62" i="51"/>
  <c r="B62" i="51"/>
  <c r="X61" i="51"/>
  <c r="Z61" i="51" s="1"/>
  <c r="L61" i="51"/>
  <c r="N61" i="51" s="1"/>
  <c r="B61" i="51"/>
  <c r="X60" i="51"/>
  <c r="Z60" i="51" s="1"/>
  <c r="N60" i="51"/>
  <c r="L60" i="51"/>
  <c r="B60" i="51"/>
  <c r="X59" i="51"/>
  <c r="T59" i="51"/>
  <c r="Z59" i="51" s="1"/>
  <c r="P59" i="51"/>
  <c r="L59" i="51"/>
  <c r="H59" i="51"/>
  <c r="N59" i="51" s="1"/>
  <c r="D59" i="51"/>
  <c r="B59" i="51"/>
  <c r="T58" i="51"/>
  <c r="P58" i="51"/>
  <c r="X58" i="51" s="1"/>
  <c r="Z58" i="51" s="1"/>
  <c r="H58" i="51"/>
  <c r="N58" i="51" s="1"/>
  <c r="D58" i="51"/>
  <c r="L58" i="51" s="1"/>
  <c r="Z54" i="51"/>
  <c r="X54" i="51"/>
  <c r="N54" i="51"/>
  <c r="L54" i="51"/>
  <c r="J54" i="51"/>
  <c r="B54" i="51"/>
  <c r="Z53" i="51"/>
  <c r="X53" i="51"/>
  <c r="N53" i="51"/>
  <c r="L53" i="51"/>
  <c r="B53" i="51"/>
  <c r="Z52" i="51"/>
  <c r="X52" i="51"/>
  <c r="N52" i="51"/>
  <c r="L52" i="51"/>
  <c r="J52" i="51"/>
  <c r="B52" i="51"/>
  <c r="Z51" i="51"/>
  <c r="X51" i="51"/>
  <c r="N51" i="51"/>
  <c r="L51" i="51"/>
  <c r="B51" i="51"/>
  <c r="Z50" i="51"/>
  <c r="X50" i="51"/>
  <c r="N50" i="51"/>
  <c r="L50" i="51"/>
  <c r="J50" i="51"/>
  <c r="B50" i="51"/>
  <c r="Z49" i="51"/>
  <c r="X49" i="51"/>
  <c r="N49" i="51"/>
  <c r="L49" i="51"/>
  <c r="B49" i="51"/>
  <c r="Z48" i="51"/>
  <c r="X48" i="51"/>
  <c r="N48" i="51"/>
  <c r="L48" i="51"/>
  <c r="J48" i="51"/>
  <c r="B48" i="51"/>
  <c r="Z47" i="51"/>
  <c r="X47" i="51"/>
  <c r="N47" i="51"/>
  <c r="L47" i="51"/>
  <c r="B47" i="51"/>
  <c r="Z46" i="51"/>
  <c r="X46" i="51"/>
  <c r="N46" i="51"/>
  <c r="L46" i="51"/>
  <c r="J46" i="51"/>
  <c r="B46" i="51"/>
  <c r="Z45" i="51"/>
  <c r="X45" i="51"/>
  <c r="N45" i="51"/>
  <c r="L45" i="51"/>
  <c r="B45" i="51"/>
  <c r="Z44" i="51"/>
  <c r="X44" i="51"/>
  <c r="N44" i="51"/>
  <c r="L44" i="51"/>
  <c r="J44" i="51"/>
  <c r="B44" i="51"/>
  <c r="Z43" i="51"/>
  <c r="X43" i="51"/>
  <c r="N43" i="51"/>
  <c r="L43" i="51"/>
  <c r="B43" i="51"/>
  <c r="Z42" i="51"/>
  <c r="X42" i="51"/>
  <c r="N42" i="51"/>
  <c r="L42" i="51"/>
  <c r="J42" i="51"/>
  <c r="B42" i="51"/>
  <c r="Z41" i="51"/>
  <c r="X41" i="51"/>
  <c r="V41" i="51"/>
  <c r="L41" i="51"/>
  <c r="N41" i="51" s="1"/>
  <c r="B41" i="51"/>
  <c r="Z40" i="51"/>
  <c r="T40" i="51"/>
  <c r="P40" i="51"/>
  <c r="X40" i="51" s="1"/>
  <c r="H40" i="51"/>
  <c r="D40" i="51"/>
  <c r="L40" i="51" s="1"/>
  <c r="N40" i="51" s="1"/>
  <c r="Z38" i="51"/>
  <c r="P38" i="51"/>
  <c r="X38" i="51" s="1"/>
  <c r="N38" i="51"/>
  <c r="D38" i="51"/>
  <c r="L38" i="51" s="1"/>
  <c r="B38" i="51"/>
  <c r="Z37" i="51"/>
  <c r="P37" i="51"/>
  <c r="X37" i="51" s="1"/>
  <c r="N37" i="51"/>
  <c r="D37" i="51"/>
  <c r="L37" i="51" s="1"/>
  <c r="B37" i="51"/>
  <c r="Z36" i="51"/>
  <c r="X36" i="51"/>
  <c r="P36" i="51"/>
  <c r="N36" i="51"/>
  <c r="L36" i="51"/>
  <c r="D36" i="51"/>
  <c r="B36" i="51"/>
  <c r="Z35" i="51"/>
  <c r="P35" i="51"/>
  <c r="X35" i="51" s="1"/>
  <c r="N35" i="51"/>
  <c r="D35" i="51"/>
  <c r="L35" i="51" s="1"/>
  <c r="B35" i="51"/>
  <c r="Z34" i="51"/>
  <c r="P34" i="51"/>
  <c r="X34" i="51" s="1"/>
  <c r="N34" i="51"/>
  <c r="D34" i="51"/>
  <c r="L34" i="51" s="1"/>
  <c r="B34" i="51"/>
  <c r="Z33" i="51"/>
  <c r="X33" i="51"/>
  <c r="P33" i="51"/>
  <c r="N33" i="51"/>
  <c r="L33" i="51"/>
  <c r="D33" i="51"/>
  <c r="B33" i="51"/>
  <c r="Z32" i="51"/>
  <c r="P32" i="51"/>
  <c r="X32" i="51" s="1"/>
  <c r="N32" i="51"/>
  <c r="L32" i="51"/>
  <c r="D32" i="51"/>
  <c r="B32" i="51"/>
  <c r="Z31" i="51"/>
  <c r="P31" i="51"/>
  <c r="X31" i="51" s="1"/>
  <c r="N31" i="51"/>
  <c r="D31" i="51"/>
  <c r="L31" i="51" s="1"/>
  <c r="B31" i="51"/>
  <c r="Z30" i="51"/>
  <c r="P30" i="51"/>
  <c r="X30" i="51" s="1"/>
  <c r="N30" i="51"/>
  <c r="L30" i="51"/>
  <c r="D30" i="51"/>
  <c r="B30" i="51"/>
  <c r="Z29" i="51"/>
  <c r="P29" i="51"/>
  <c r="X29" i="51" s="1"/>
  <c r="N29" i="51"/>
  <c r="D29" i="51"/>
  <c r="L29" i="51" s="1"/>
  <c r="B29" i="51"/>
  <c r="Z28" i="51"/>
  <c r="P28" i="51"/>
  <c r="X28" i="51" s="1"/>
  <c r="N28" i="51"/>
  <c r="D28" i="51"/>
  <c r="L28" i="51" s="1"/>
  <c r="B28" i="51"/>
  <c r="Z27" i="51"/>
  <c r="X27" i="51"/>
  <c r="P27" i="51"/>
  <c r="N27" i="51"/>
  <c r="L27" i="51"/>
  <c r="D27" i="51"/>
  <c r="B27" i="51"/>
  <c r="Z26" i="51"/>
  <c r="P26" i="51"/>
  <c r="X26" i="51" s="1"/>
  <c r="N26" i="51"/>
  <c r="D26" i="51"/>
  <c r="L26" i="51" s="1"/>
  <c r="B26" i="51"/>
  <c r="Z25" i="51"/>
  <c r="P25" i="51"/>
  <c r="X25" i="51" s="1"/>
  <c r="N25" i="51"/>
  <c r="D25" i="51"/>
  <c r="L25" i="51" s="1"/>
  <c r="B25" i="51"/>
  <c r="Z24" i="51"/>
  <c r="X24" i="51"/>
  <c r="P24" i="51"/>
  <c r="N24" i="51"/>
  <c r="L24" i="51"/>
  <c r="D24" i="51"/>
  <c r="B24" i="51"/>
  <c r="Z23" i="51"/>
  <c r="X23" i="51"/>
  <c r="P23" i="51"/>
  <c r="N23" i="51"/>
  <c r="D23" i="51"/>
  <c r="L23" i="51" s="1"/>
  <c r="B23" i="51"/>
  <c r="Z22" i="51"/>
  <c r="P22" i="51"/>
  <c r="X22" i="51" s="1"/>
  <c r="N22" i="51"/>
  <c r="D22" i="51"/>
  <c r="L22" i="51" s="1"/>
  <c r="B22" i="51"/>
  <c r="X21" i="51"/>
  <c r="Z21" i="51" s="1"/>
  <c r="P21" i="51"/>
  <c r="L21" i="51"/>
  <c r="N21" i="51" s="1"/>
  <c r="D21" i="51"/>
  <c r="B21" i="51"/>
  <c r="Z20" i="51"/>
  <c r="P20" i="51"/>
  <c r="X20" i="51" s="1"/>
  <c r="N20" i="51"/>
  <c r="L20" i="51"/>
  <c r="D20" i="51"/>
  <c r="B20" i="51"/>
  <c r="Z19" i="51"/>
  <c r="P19" i="51"/>
  <c r="X19" i="51" s="1"/>
  <c r="N19" i="51"/>
  <c r="D19" i="51"/>
  <c r="L19" i="51" s="1"/>
  <c r="B19" i="51"/>
  <c r="Z18" i="51"/>
  <c r="P18" i="51"/>
  <c r="X18" i="51" s="1"/>
  <c r="N18" i="51"/>
  <c r="L18" i="51"/>
  <c r="D18" i="51"/>
  <c r="B18" i="51"/>
  <c r="Z17" i="51"/>
  <c r="P17" i="51"/>
  <c r="X17" i="51" s="1"/>
  <c r="N17" i="51"/>
  <c r="D17" i="51"/>
  <c r="L17" i="51" s="1"/>
  <c r="B17" i="51"/>
  <c r="Z16" i="51"/>
  <c r="P16" i="51"/>
  <c r="N16" i="51"/>
  <c r="D16" i="51"/>
  <c r="L16" i="51" s="1"/>
  <c r="B16" i="51"/>
  <c r="Z15" i="51"/>
  <c r="X15" i="51"/>
  <c r="P15" i="51"/>
  <c r="N15" i="51"/>
  <c r="D15" i="51"/>
  <c r="L15" i="51" s="1"/>
  <c r="B15" i="51"/>
  <c r="Z14" i="51"/>
  <c r="P14" i="51"/>
  <c r="X14" i="51" s="1"/>
  <c r="N14" i="51"/>
  <c r="D14" i="51"/>
  <c r="L14" i="51" s="1"/>
  <c r="B14" i="51"/>
  <c r="P13" i="51"/>
  <c r="X13" i="51" s="1"/>
  <c r="Z13" i="51" s="1"/>
  <c r="D13" i="51"/>
  <c r="B13" i="51"/>
  <c r="T12" i="51"/>
  <c r="V90" i="51" s="1"/>
  <c r="H12" i="51"/>
  <c r="J107" i="51" s="1"/>
  <c r="D4" i="51"/>
  <c r="X78" i="48"/>
  <c r="Z78" i="48" s="1"/>
  <c r="L78" i="48"/>
  <c r="N78" i="48" s="1"/>
  <c r="X74" i="48"/>
  <c r="Z74" i="48" s="1"/>
  <c r="P74" i="48"/>
  <c r="D74" i="48"/>
  <c r="D73" i="48" s="1"/>
  <c r="L73" i="48" s="1"/>
  <c r="B74" i="48"/>
  <c r="T73" i="48"/>
  <c r="P73" i="48"/>
  <c r="X73" i="48" s="1"/>
  <c r="H73" i="48"/>
  <c r="N73" i="48" s="1"/>
  <c r="X71" i="48"/>
  <c r="Z71" i="48" s="1"/>
  <c r="N71" i="48"/>
  <c r="L71" i="48"/>
  <c r="B71" i="48"/>
  <c r="X70" i="48"/>
  <c r="Z70" i="48" s="1"/>
  <c r="T70" i="48"/>
  <c r="P70" i="48"/>
  <c r="L70" i="48"/>
  <c r="N70" i="48" s="1"/>
  <c r="H70" i="48"/>
  <c r="D70" i="48"/>
  <c r="B70" i="48"/>
  <c r="Z69" i="48"/>
  <c r="X69" i="48"/>
  <c r="L69" i="48"/>
  <c r="N69" i="48" s="1"/>
  <c r="J69" i="48"/>
  <c r="B69" i="48"/>
  <c r="T68" i="48"/>
  <c r="P68" i="48"/>
  <c r="H68" i="48"/>
  <c r="D68" i="48"/>
  <c r="B68" i="48"/>
  <c r="Z67" i="48"/>
  <c r="X67" i="48"/>
  <c r="N67" i="48"/>
  <c r="L67" i="48"/>
  <c r="B67" i="48"/>
  <c r="Z66" i="48"/>
  <c r="X66" i="48"/>
  <c r="N66" i="48"/>
  <c r="L66" i="48"/>
  <c r="B66" i="48"/>
  <c r="X65" i="48"/>
  <c r="Z65" i="48" s="1"/>
  <c r="N65" i="48"/>
  <c r="L65" i="48"/>
  <c r="B65" i="48"/>
  <c r="T64" i="48"/>
  <c r="P64" i="48"/>
  <c r="X64" i="48" s="1"/>
  <c r="H64" i="48"/>
  <c r="D64" i="48"/>
  <c r="L64" i="48" s="1"/>
  <c r="B64" i="48"/>
  <c r="Z63" i="48"/>
  <c r="X63" i="48"/>
  <c r="N63" i="48"/>
  <c r="L63" i="48"/>
  <c r="B63" i="48"/>
  <c r="Z62" i="48"/>
  <c r="X62" i="48"/>
  <c r="T62" i="48"/>
  <c r="P62" i="48"/>
  <c r="N62" i="48"/>
  <c r="L62" i="48"/>
  <c r="H62" i="48"/>
  <c r="D62" i="48"/>
  <c r="B62" i="48"/>
  <c r="Z61" i="48"/>
  <c r="X61" i="48"/>
  <c r="N61" i="48"/>
  <c r="L61" i="48"/>
  <c r="J61" i="48"/>
  <c r="B61" i="48"/>
  <c r="Z60" i="48"/>
  <c r="X60" i="48"/>
  <c r="N60" i="48"/>
  <c r="L60" i="48"/>
  <c r="B60" i="48"/>
  <c r="Z59" i="48"/>
  <c r="X59" i="48"/>
  <c r="L59" i="48"/>
  <c r="N59" i="48" s="1"/>
  <c r="J59" i="48"/>
  <c r="B59" i="48"/>
  <c r="X58" i="48"/>
  <c r="Z58" i="48" s="1"/>
  <c r="N58" i="48"/>
  <c r="L58" i="48"/>
  <c r="B58" i="48"/>
  <c r="T57" i="48"/>
  <c r="P57" i="48"/>
  <c r="X57" i="48" s="1"/>
  <c r="Z57" i="48" s="1"/>
  <c r="N57" i="48"/>
  <c r="H57" i="48"/>
  <c r="D57" i="48"/>
  <c r="L57" i="48" s="1"/>
  <c r="B57" i="48"/>
  <c r="X56" i="48"/>
  <c r="Z56" i="48" s="1"/>
  <c r="L56" i="48"/>
  <c r="N56" i="48" s="1"/>
  <c r="B56" i="48"/>
  <c r="X55" i="48"/>
  <c r="T55" i="48"/>
  <c r="Z55" i="48" s="1"/>
  <c r="P55" i="48"/>
  <c r="L55" i="48"/>
  <c r="N55" i="48" s="1"/>
  <c r="J55" i="48"/>
  <c r="H55" i="48"/>
  <c r="D55" i="48"/>
  <c r="B55" i="48"/>
  <c r="X54" i="48"/>
  <c r="Z54" i="48" s="1"/>
  <c r="L54" i="48"/>
  <c r="N54" i="48" s="1"/>
  <c r="B54" i="48"/>
  <c r="T53" i="48"/>
  <c r="P53" i="48"/>
  <c r="X53" i="48" s="1"/>
  <c r="H53" i="48"/>
  <c r="D53" i="48"/>
  <c r="L53" i="48" s="1"/>
  <c r="B53" i="48"/>
  <c r="X52" i="48"/>
  <c r="Z52" i="48" s="1"/>
  <c r="L52" i="48"/>
  <c r="N52" i="48" s="1"/>
  <c r="B52" i="48"/>
  <c r="Z51" i="48"/>
  <c r="T51" i="48"/>
  <c r="P51" i="48"/>
  <c r="X51" i="48" s="1"/>
  <c r="N51" i="48"/>
  <c r="H51" i="48"/>
  <c r="D51" i="48"/>
  <c r="L51" i="48" s="1"/>
  <c r="B51" i="48"/>
  <c r="X50" i="48"/>
  <c r="Z50" i="48" s="1"/>
  <c r="L50" i="48"/>
  <c r="N50" i="48" s="1"/>
  <c r="B50" i="48"/>
  <c r="X49" i="48"/>
  <c r="Z49" i="48" s="1"/>
  <c r="T49" i="48"/>
  <c r="P49" i="48"/>
  <c r="L49" i="48"/>
  <c r="N49" i="48" s="1"/>
  <c r="J49" i="48"/>
  <c r="H49" i="48"/>
  <c r="D49" i="48"/>
  <c r="B49" i="48"/>
  <c r="X48" i="48"/>
  <c r="Z48" i="48" s="1"/>
  <c r="L48" i="48"/>
  <c r="N48" i="48" s="1"/>
  <c r="B48" i="48"/>
  <c r="T47" i="48"/>
  <c r="P47" i="48"/>
  <c r="H47" i="48"/>
  <c r="D47" i="48"/>
  <c r="L47" i="48" s="1"/>
  <c r="B47" i="48"/>
  <c r="X46" i="48"/>
  <c r="Z46" i="48" s="1"/>
  <c r="L46" i="48"/>
  <c r="N46" i="48" s="1"/>
  <c r="B46" i="48"/>
  <c r="Z45" i="48"/>
  <c r="T45" i="48"/>
  <c r="P45" i="48"/>
  <c r="X45" i="48" s="1"/>
  <c r="H45" i="48"/>
  <c r="D45" i="48"/>
  <c r="L45" i="48" s="1"/>
  <c r="N45" i="48" s="1"/>
  <c r="B45" i="48"/>
  <c r="Z44" i="48"/>
  <c r="X44" i="48"/>
  <c r="L44" i="48"/>
  <c r="N44" i="48" s="1"/>
  <c r="B44" i="48"/>
  <c r="X43" i="48"/>
  <c r="T43" i="48"/>
  <c r="Z43" i="48" s="1"/>
  <c r="P43" i="48"/>
  <c r="L43" i="48"/>
  <c r="N43" i="48" s="1"/>
  <c r="J43" i="48"/>
  <c r="H43" i="48"/>
  <c r="D43" i="48"/>
  <c r="B43" i="48"/>
  <c r="X42" i="48"/>
  <c r="Z42" i="48" s="1"/>
  <c r="L42" i="48"/>
  <c r="N42" i="48" s="1"/>
  <c r="B42" i="48"/>
  <c r="T41" i="48"/>
  <c r="Z41" i="48" s="1"/>
  <c r="P41" i="48"/>
  <c r="X41" i="48" s="1"/>
  <c r="H41" i="48"/>
  <c r="D41" i="48"/>
  <c r="L41" i="48" s="1"/>
  <c r="B41" i="48"/>
  <c r="Z40" i="48"/>
  <c r="X40" i="48"/>
  <c r="N40" i="48"/>
  <c r="L40" i="48"/>
  <c r="B40" i="48"/>
  <c r="Z39" i="48"/>
  <c r="X39" i="48"/>
  <c r="N39" i="48"/>
  <c r="L39" i="48"/>
  <c r="J39" i="48"/>
  <c r="B39" i="48"/>
  <c r="X38" i="48"/>
  <c r="Z38" i="48" s="1"/>
  <c r="R38" i="48"/>
  <c r="N38" i="48"/>
  <c r="L38" i="48"/>
  <c r="B38" i="48"/>
  <c r="Z37" i="48"/>
  <c r="X37" i="48"/>
  <c r="N37" i="48"/>
  <c r="L37" i="48"/>
  <c r="J37" i="48"/>
  <c r="B37" i="48"/>
  <c r="Z36" i="48"/>
  <c r="X36" i="48"/>
  <c r="N36" i="48"/>
  <c r="L36" i="48"/>
  <c r="B36" i="48"/>
  <c r="Z35" i="48"/>
  <c r="X35" i="48"/>
  <c r="N35" i="48"/>
  <c r="L35" i="48"/>
  <c r="J35" i="48"/>
  <c r="B35" i="48"/>
  <c r="X34" i="48"/>
  <c r="Z34" i="48" s="1"/>
  <c r="R34" i="48"/>
  <c r="N34" i="48"/>
  <c r="L34" i="48"/>
  <c r="B34" i="48"/>
  <c r="Z33" i="48"/>
  <c r="X33" i="48"/>
  <c r="N33" i="48"/>
  <c r="L33" i="48"/>
  <c r="J33" i="48"/>
  <c r="B33" i="48"/>
  <c r="X32" i="48"/>
  <c r="Z32" i="48" s="1"/>
  <c r="R32" i="48"/>
  <c r="L32" i="48"/>
  <c r="N32" i="48" s="1"/>
  <c r="B32" i="48"/>
  <c r="Z31" i="48"/>
  <c r="X31" i="48"/>
  <c r="N31" i="48"/>
  <c r="L31" i="48"/>
  <c r="J31" i="48"/>
  <c r="B31" i="48"/>
  <c r="T30" i="48"/>
  <c r="P30" i="48"/>
  <c r="H30" i="48"/>
  <c r="D30" i="48"/>
  <c r="B30" i="48"/>
  <c r="X29" i="48"/>
  <c r="Z29" i="48" s="1"/>
  <c r="V29" i="48"/>
  <c r="N29" i="48"/>
  <c r="L29" i="48"/>
  <c r="B29" i="48"/>
  <c r="X28" i="48"/>
  <c r="Z28" i="48" s="1"/>
  <c r="L28" i="48"/>
  <c r="N28" i="48" s="1"/>
  <c r="J28" i="48"/>
  <c r="B28" i="48"/>
  <c r="X27" i="48"/>
  <c r="Z27" i="48" s="1"/>
  <c r="N27" i="48"/>
  <c r="L27" i="48"/>
  <c r="B27" i="48"/>
  <c r="Z26" i="48"/>
  <c r="X26" i="48"/>
  <c r="N26" i="48"/>
  <c r="L26" i="48"/>
  <c r="B26" i="48"/>
  <c r="X25" i="48"/>
  <c r="Z25" i="48" s="1"/>
  <c r="V25" i="48"/>
  <c r="N25" i="48"/>
  <c r="L25" i="48"/>
  <c r="B25" i="48"/>
  <c r="X24" i="48"/>
  <c r="Z24" i="48" s="1"/>
  <c r="L24" i="48"/>
  <c r="N24" i="48" s="1"/>
  <c r="J24" i="48"/>
  <c r="B24" i="48"/>
  <c r="X23" i="48"/>
  <c r="Z23" i="48" s="1"/>
  <c r="N23" i="48"/>
  <c r="L23" i="48"/>
  <c r="B23" i="48"/>
  <c r="Z22" i="48"/>
  <c r="X22" i="48"/>
  <c r="N22" i="48"/>
  <c r="L22" i="48"/>
  <c r="B22" i="48"/>
  <c r="X21" i="48"/>
  <c r="Z21" i="48" s="1"/>
  <c r="V21" i="48"/>
  <c r="R21" i="48"/>
  <c r="L21" i="48"/>
  <c r="N21" i="48" s="1"/>
  <c r="B21" i="48"/>
  <c r="T20" i="48"/>
  <c r="Z20" i="48" s="1"/>
  <c r="P20" i="48"/>
  <c r="X20" i="48" s="1"/>
  <c r="N20" i="48"/>
  <c r="H20" i="48"/>
  <c r="D20" i="48"/>
  <c r="L20" i="48" s="1"/>
  <c r="B20" i="48"/>
  <c r="T19" i="48"/>
  <c r="P19" i="48"/>
  <c r="X19" i="48" s="1"/>
  <c r="H19" i="48"/>
  <c r="D19" i="48"/>
  <c r="P17" i="48"/>
  <c r="H17" i="48"/>
  <c r="T15" i="48"/>
  <c r="Z15" i="48" s="1"/>
  <c r="P15" i="48"/>
  <c r="X15" i="48" s="1"/>
  <c r="H15" i="48"/>
  <c r="N15" i="48" s="1"/>
  <c r="F15" i="48"/>
  <c r="D15" i="48"/>
  <c r="L15" i="48" s="1"/>
  <c r="X13" i="48"/>
  <c r="Z13" i="48" s="1"/>
  <c r="P13" i="48"/>
  <c r="D13" i="48"/>
  <c r="D12" i="48" s="1"/>
  <c r="F54" i="48" s="1"/>
  <c r="B13" i="48"/>
  <c r="T12" i="48"/>
  <c r="V55" i="48" s="1"/>
  <c r="P12" i="48"/>
  <c r="R53" i="48" s="1"/>
  <c r="H12" i="48"/>
  <c r="J74" i="48" s="1"/>
  <c r="D4" i="48"/>
  <c r="X106" i="45"/>
  <c r="Z106" i="45" s="1"/>
  <c r="N106" i="45"/>
  <c r="L106" i="45"/>
  <c r="Z102" i="45"/>
  <c r="X102" i="45"/>
  <c r="T102" i="45"/>
  <c r="P102" i="45"/>
  <c r="N102" i="45"/>
  <c r="H102" i="45"/>
  <c r="D102" i="45"/>
  <c r="L102" i="45" s="1"/>
  <c r="X100" i="45"/>
  <c r="Z100" i="45" s="1"/>
  <c r="L100" i="45"/>
  <c r="N100" i="45" s="1"/>
  <c r="B100" i="45"/>
  <c r="X99" i="45"/>
  <c r="Z99" i="45" s="1"/>
  <c r="N99" i="45"/>
  <c r="L99" i="45"/>
  <c r="B99" i="45"/>
  <c r="T98" i="45"/>
  <c r="P98" i="45"/>
  <c r="X98" i="45" s="1"/>
  <c r="Z98" i="45" s="1"/>
  <c r="L98" i="45"/>
  <c r="N98" i="45" s="1"/>
  <c r="H98" i="45"/>
  <c r="D98" i="45"/>
  <c r="B98" i="45"/>
  <c r="Z97" i="45"/>
  <c r="X97" i="45"/>
  <c r="L97" i="45"/>
  <c r="N97" i="45" s="1"/>
  <c r="B97" i="45"/>
  <c r="X96" i="45"/>
  <c r="T96" i="45"/>
  <c r="Z96" i="45" s="1"/>
  <c r="P96" i="45"/>
  <c r="H96" i="45"/>
  <c r="D96" i="45"/>
  <c r="B96" i="45"/>
  <c r="Z95" i="45"/>
  <c r="X95" i="45"/>
  <c r="L95" i="45"/>
  <c r="N95" i="45" s="1"/>
  <c r="B95" i="45"/>
  <c r="T94" i="45"/>
  <c r="Z94" i="45" s="1"/>
  <c r="P94" i="45"/>
  <c r="X94" i="45" s="1"/>
  <c r="H94" i="45"/>
  <c r="N94" i="45" s="1"/>
  <c r="D94" i="45"/>
  <c r="L94" i="45" s="1"/>
  <c r="B94" i="45"/>
  <c r="Z93" i="45"/>
  <c r="X93" i="45"/>
  <c r="N93" i="45"/>
  <c r="L93" i="45"/>
  <c r="B93" i="45"/>
  <c r="X92" i="45"/>
  <c r="Z92" i="45" s="1"/>
  <c r="L92" i="45"/>
  <c r="N92" i="45" s="1"/>
  <c r="B92" i="45"/>
  <c r="X91" i="45"/>
  <c r="Z91" i="45" s="1"/>
  <c r="N91" i="45"/>
  <c r="L91" i="45"/>
  <c r="B91" i="45"/>
  <c r="X90" i="45"/>
  <c r="Z90" i="45" s="1"/>
  <c r="L90" i="45"/>
  <c r="N90" i="45" s="1"/>
  <c r="B90" i="45"/>
  <c r="Z89" i="45"/>
  <c r="X89" i="45"/>
  <c r="N89" i="45"/>
  <c r="L89" i="45"/>
  <c r="B89" i="45"/>
  <c r="X88" i="45"/>
  <c r="Z88" i="45" s="1"/>
  <c r="L88" i="45"/>
  <c r="N88" i="45" s="1"/>
  <c r="B88" i="45"/>
  <c r="X87" i="45"/>
  <c r="Z87" i="45" s="1"/>
  <c r="N87" i="45"/>
  <c r="L87" i="45"/>
  <c r="B87" i="45"/>
  <c r="X86" i="45"/>
  <c r="Z86" i="45" s="1"/>
  <c r="L86" i="45"/>
  <c r="N86" i="45" s="1"/>
  <c r="B86" i="45"/>
  <c r="Z85" i="45"/>
  <c r="X85" i="45"/>
  <c r="N85" i="45"/>
  <c r="L85" i="45"/>
  <c r="B85" i="45"/>
  <c r="X84" i="45"/>
  <c r="Z84" i="45" s="1"/>
  <c r="T84" i="45"/>
  <c r="P84" i="45"/>
  <c r="H84" i="45"/>
  <c r="D84" i="45"/>
  <c r="L84" i="45" s="1"/>
  <c r="B84" i="45"/>
  <c r="Z83" i="45"/>
  <c r="X83" i="45"/>
  <c r="N83" i="45"/>
  <c r="L83" i="45"/>
  <c r="B83" i="45"/>
  <c r="X82" i="45"/>
  <c r="Z82" i="45" s="1"/>
  <c r="N82" i="45"/>
  <c r="L82" i="45"/>
  <c r="B82" i="45"/>
  <c r="Z81" i="45"/>
  <c r="X81" i="45"/>
  <c r="N81" i="45"/>
  <c r="L81" i="45"/>
  <c r="B81" i="45"/>
  <c r="X80" i="45"/>
  <c r="Z80" i="45" s="1"/>
  <c r="L80" i="45"/>
  <c r="N80" i="45" s="1"/>
  <c r="B80" i="45"/>
  <c r="Z79" i="45"/>
  <c r="X79" i="45"/>
  <c r="T79" i="45"/>
  <c r="P79" i="45"/>
  <c r="H79" i="45"/>
  <c r="D79" i="45"/>
  <c r="L79" i="45" s="1"/>
  <c r="N79" i="45" s="1"/>
  <c r="B79" i="45"/>
  <c r="Z78" i="45"/>
  <c r="X78" i="45"/>
  <c r="N78" i="45"/>
  <c r="L78" i="45"/>
  <c r="B78" i="45"/>
  <c r="X77" i="45"/>
  <c r="Z77" i="45" s="1"/>
  <c r="N77" i="45"/>
  <c r="L77" i="45"/>
  <c r="B77" i="45"/>
  <c r="X76" i="45"/>
  <c r="Z76" i="45" s="1"/>
  <c r="L76" i="45"/>
  <c r="N76" i="45" s="1"/>
  <c r="B76" i="45"/>
  <c r="Z75" i="45"/>
  <c r="X75" i="45"/>
  <c r="L75" i="45"/>
  <c r="N75" i="45" s="1"/>
  <c r="B75" i="45"/>
  <c r="T74" i="45"/>
  <c r="Z74" i="45" s="1"/>
  <c r="P74" i="45"/>
  <c r="X74" i="45" s="1"/>
  <c r="H74" i="45"/>
  <c r="N74" i="45" s="1"/>
  <c r="D74" i="45"/>
  <c r="L74" i="45" s="1"/>
  <c r="B74" i="45"/>
  <c r="Z73" i="45"/>
  <c r="X73" i="45"/>
  <c r="N73" i="45"/>
  <c r="L73" i="45"/>
  <c r="B73" i="45"/>
  <c r="X72" i="45"/>
  <c r="Z72" i="45" s="1"/>
  <c r="T72" i="45"/>
  <c r="P72" i="45"/>
  <c r="H72" i="45"/>
  <c r="D72" i="45"/>
  <c r="L72" i="45" s="1"/>
  <c r="B72" i="45"/>
  <c r="Z71" i="45"/>
  <c r="X71" i="45"/>
  <c r="N71" i="45"/>
  <c r="L71" i="45"/>
  <c r="B71" i="45"/>
  <c r="T70" i="45"/>
  <c r="P70" i="45"/>
  <c r="L70" i="45"/>
  <c r="H70" i="45"/>
  <c r="N70" i="45" s="1"/>
  <c r="D70" i="45"/>
  <c r="B70" i="45"/>
  <c r="X69" i="45"/>
  <c r="Z69" i="45" s="1"/>
  <c r="N69" i="45"/>
  <c r="L69" i="45"/>
  <c r="B69" i="45"/>
  <c r="T68" i="45"/>
  <c r="Z68" i="45" s="1"/>
  <c r="P68" i="45"/>
  <c r="X68" i="45" s="1"/>
  <c r="H68" i="45"/>
  <c r="D68" i="45"/>
  <c r="L68" i="45" s="1"/>
  <c r="B68" i="45"/>
  <c r="X67" i="45"/>
  <c r="Z67" i="45" s="1"/>
  <c r="N67" i="45"/>
  <c r="L67" i="45"/>
  <c r="B67" i="45"/>
  <c r="T66" i="45"/>
  <c r="P66" i="45"/>
  <c r="X66" i="45" s="1"/>
  <c r="L66" i="45"/>
  <c r="N66" i="45" s="1"/>
  <c r="H66" i="45"/>
  <c r="D66" i="45"/>
  <c r="B66" i="45"/>
  <c r="Z65" i="45"/>
  <c r="X65" i="45"/>
  <c r="L65" i="45"/>
  <c r="N65" i="45" s="1"/>
  <c r="B65" i="45"/>
  <c r="X64" i="45"/>
  <c r="T64" i="45"/>
  <c r="Z64" i="45" s="1"/>
  <c r="P64" i="45"/>
  <c r="H64" i="45"/>
  <c r="D64" i="45"/>
  <c r="B64" i="45"/>
  <c r="Z63" i="45"/>
  <c r="X63" i="45"/>
  <c r="N63" i="45"/>
  <c r="L63" i="45"/>
  <c r="B63" i="45"/>
  <c r="T62" i="45"/>
  <c r="P62" i="45"/>
  <c r="X62" i="45" s="1"/>
  <c r="H62" i="45"/>
  <c r="N62" i="45" s="1"/>
  <c r="D62" i="45"/>
  <c r="L62" i="45" s="1"/>
  <c r="B62" i="45"/>
  <c r="Z61" i="45"/>
  <c r="X61" i="45"/>
  <c r="N61" i="45"/>
  <c r="L61" i="45"/>
  <c r="B61" i="45"/>
  <c r="X60" i="45"/>
  <c r="Z60" i="45" s="1"/>
  <c r="L60" i="45"/>
  <c r="N60" i="45" s="1"/>
  <c r="B60" i="45"/>
  <c r="T59" i="45"/>
  <c r="P59" i="45"/>
  <c r="H59" i="45"/>
  <c r="D59" i="45"/>
  <c r="L59" i="45" s="1"/>
  <c r="N59" i="45" s="1"/>
  <c r="B59" i="45"/>
  <c r="Z58" i="45"/>
  <c r="X58" i="45"/>
  <c r="N58" i="45"/>
  <c r="L58" i="45"/>
  <c r="B58" i="45"/>
  <c r="Z57" i="45"/>
  <c r="T57" i="45"/>
  <c r="P57" i="45"/>
  <c r="X57" i="45" s="1"/>
  <c r="N57" i="45"/>
  <c r="H57" i="45"/>
  <c r="D57" i="45"/>
  <c r="L57" i="45" s="1"/>
  <c r="B57" i="45"/>
  <c r="X56" i="45"/>
  <c r="Z56" i="45" s="1"/>
  <c r="L56" i="45"/>
  <c r="N56" i="45" s="1"/>
  <c r="B56" i="45"/>
  <c r="T55" i="45"/>
  <c r="P55" i="45"/>
  <c r="X55" i="45" s="1"/>
  <c r="Z55" i="45" s="1"/>
  <c r="L55" i="45"/>
  <c r="N55" i="45" s="1"/>
  <c r="H55" i="45"/>
  <c r="D55" i="45"/>
  <c r="B55" i="45"/>
  <c r="X54" i="45"/>
  <c r="Z54" i="45" s="1"/>
  <c r="L54" i="45"/>
  <c r="N54" i="45" s="1"/>
  <c r="B54" i="45"/>
  <c r="X53" i="45"/>
  <c r="Z53" i="45" s="1"/>
  <c r="N53" i="45"/>
  <c r="L53" i="45"/>
  <c r="B53" i="45"/>
  <c r="X52" i="45"/>
  <c r="Z52" i="45" s="1"/>
  <c r="T52" i="45"/>
  <c r="P52" i="45"/>
  <c r="H52" i="45"/>
  <c r="N52" i="45" s="1"/>
  <c r="D52" i="45"/>
  <c r="L52" i="45" s="1"/>
  <c r="B52" i="45"/>
  <c r="Z51" i="45"/>
  <c r="X51" i="45"/>
  <c r="N51" i="45"/>
  <c r="L51" i="45"/>
  <c r="B51" i="45"/>
  <c r="T50" i="45"/>
  <c r="P50" i="45"/>
  <c r="H50" i="45"/>
  <c r="N50" i="45" s="1"/>
  <c r="D50" i="45"/>
  <c r="L50" i="45" s="1"/>
  <c r="B50" i="45"/>
  <c r="Z49" i="45"/>
  <c r="X49" i="45"/>
  <c r="N49" i="45"/>
  <c r="L49" i="45"/>
  <c r="B49" i="45"/>
  <c r="Z48" i="45"/>
  <c r="X48" i="45"/>
  <c r="N48" i="45"/>
  <c r="L48" i="45"/>
  <c r="B48" i="45"/>
  <c r="Z47" i="45"/>
  <c r="X47" i="45"/>
  <c r="N47" i="45"/>
  <c r="L47" i="45"/>
  <c r="B47" i="45"/>
  <c r="X46" i="45"/>
  <c r="Z46" i="45" s="1"/>
  <c r="L46" i="45"/>
  <c r="N46" i="45" s="1"/>
  <c r="B46" i="45"/>
  <c r="Z45" i="45"/>
  <c r="X45" i="45"/>
  <c r="N45" i="45"/>
  <c r="L45" i="45"/>
  <c r="B45" i="45"/>
  <c r="X44" i="45"/>
  <c r="Z44" i="45" s="1"/>
  <c r="L44" i="45"/>
  <c r="N44" i="45" s="1"/>
  <c r="B44" i="45"/>
  <c r="Z43" i="45"/>
  <c r="X43" i="45"/>
  <c r="N43" i="45"/>
  <c r="L43" i="45"/>
  <c r="B43" i="45"/>
  <c r="Z42" i="45"/>
  <c r="X42" i="45"/>
  <c r="N42" i="45"/>
  <c r="L42" i="45"/>
  <c r="B42" i="45"/>
  <c r="X41" i="45"/>
  <c r="Z41" i="45" s="1"/>
  <c r="L41" i="45"/>
  <c r="N41" i="45" s="1"/>
  <c r="B41" i="45"/>
  <c r="Z40" i="45"/>
  <c r="X40" i="45"/>
  <c r="N40" i="45"/>
  <c r="L40" i="45"/>
  <c r="B40" i="45"/>
  <c r="T39" i="45"/>
  <c r="P39" i="45"/>
  <c r="X39" i="45" s="1"/>
  <c r="Z39" i="45" s="1"/>
  <c r="L39" i="45"/>
  <c r="N39" i="45" s="1"/>
  <c r="H39" i="45"/>
  <c r="D39" i="45"/>
  <c r="B39" i="45"/>
  <c r="X38" i="45"/>
  <c r="Z38" i="45" s="1"/>
  <c r="N38" i="45"/>
  <c r="L38" i="45"/>
  <c r="B38" i="45"/>
  <c r="X37" i="45"/>
  <c r="Z37" i="45" s="1"/>
  <c r="N37" i="45"/>
  <c r="L37" i="45"/>
  <c r="B37" i="45"/>
  <c r="X36" i="45"/>
  <c r="Z36" i="45" s="1"/>
  <c r="N36" i="45"/>
  <c r="L36" i="45"/>
  <c r="B36" i="45"/>
  <c r="Z35" i="45"/>
  <c r="X35" i="45"/>
  <c r="N35" i="45"/>
  <c r="L35" i="45"/>
  <c r="B35" i="45"/>
  <c r="Z34" i="45"/>
  <c r="X34" i="45"/>
  <c r="N34" i="45"/>
  <c r="L34" i="45"/>
  <c r="B34" i="45"/>
  <c r="X33" i="45"/>
  <c r="Z33" i="45" s="1"/>
  <c r="N33" i="45"/>
  <c r="L33" i="45"/>
  <c r="B33" i="45"/>
  <c r="X32" i="45"/>
  <c r="Z32" i="45" s="1"/>
  <c r="L32" i="45"/>
  <c r="N32" i="45" s="1"/>
  <c r="B32" i="45"/>
  <c r="Z31" i="45"/>
  <c r="X31" i="45"/>
  <c r="N31" i="45"/>
  <c r="L31" i="45"/>
  <c r="B31" i="45"/>
  <c r="X30" i="45"/>
  <c r="Z30" i="45" s="1"/>
  <c r="L30" i="45"/>
  <c r="N30" i="45" s="1"/>
  <c r="B30" i="45"/>
  <c r="X29" i="45"/>
  <c r="Z29" i="45" s="1"/>
  <c r="N29" i="45"/>
  <c r="L29" i="45"/>
  <c r="B29" i="45"/>
  <c r="X28" i="45"/>
  <c r="Z28" i="45" s="1"/>
  <c r="T28" i="45"/>
  <c r="P28" i="45"/>
  <c r="H28" i="45"/>
  <c r="D28" i="45"/>
  <c r="L28" i="45" s="1"/>
  <c r="B28" i="45"/>
  <c r="T27" i="45"/>
  <c r="P27" i="45"/>
  <c r="X27" i="45" s="1"/>
  <c r="Z27" i="45" s="1"/>
  <c r="H27" i="45"/>
  <c r="D27" i="45"/>
  <c r="L27" i="45" s="1"/>
  <c r="Z23" i="45"/>
  <c r="X23" i="45"/>
  <c r="N23" i="45"/>
  <c r="L23" i="45"/>
  <c r="B23" i="45"/>
  <c r="Z22" i="45"/>
  <c r="X22" i="45"/>
  <c r="N22" i="45"/>
  <c r="L22" i="45"/>
  <c r="B22" i="45"/>
  <c r="Z21" i="45"/>
  <c r="X21" i="45"/>
  <c r="L21" i="45"/>
  <c r="N21" i="45" s="1"/>
  <c r="J21" i="45"/>
  <c r="B21" i="45"/>
  <c r="T20" i="45"/>
  <c r="P20" i="45"/>
  <c r="X20" i="45" s="1"/>
  <c r="Z20" i="45" s="1"/>
  <c r="J20" i="45"/>
  <c r="H20" i="45"/>
  <c r="D20" i="45"/>
  <c r="Z18" i="45"/>
  <c r="P18" i="45"/>
  <c r="X18" i="45" s="1"/>
  <c r="N18" i="45"/>
  <c r="D18" i="45"/>
  <c r="L18" i="45" s="1"/>
  <c r="B18" i="45"/>
  <c r="Z17" i="45"/>
  <c r="X17" i="45"/>
  <c r="P17" i="45"/>
  <c r="N17" i="45"/>
  <c r="D17" i="45"/>
  <c r="L17" i="45" s="1"/>
  <c r="B17" i="45"/>
  <c r="Z16" i="45"/>
  <c r="X16" i="45"/>
  <c r="P16" i="45"/>
  <c r="N16" i="45"/>
  <c r="L16" i="45"/>
  <c r="D16" i="45"/>
  <c r="B16" i="45"/>
  <c r="Z15" i="45"/>
  <c r="X15" i="45"/>
  <c r="P15" i="45"/>
  <c r="D15" i="45"/>
  <c r="L15" i="45" s="1"/>
  <c r="N15" i="45" s="1"/>
  <c r="B15" i="45"/>
  <c r="Z14" i="45"/>
  <c r="P14" i="45"/>
  <c r="X14" i="45" s="1"/>
  <c r="N14" i="45"/>
  <c r="L14" i="45"/>
  <c r="D14" i="45"/>
  <c r="D12" i="45" s="1"/>
  <c r="B14" i="45"/>
  <c r="Z13" i="45"/>
  <c r="X13" i="45"/>
  <c r="P13" i="45"/>
  <c r="N13" i="45"/>
  <c r="L13" i="45"/>
  <c r="D13" i="45"/>
  <c r="B13" i="45"/>
  <c r="T12" i="45"/>
  <c r="P12" i="45"/>
  <c r="R77" i="45" s="1"/>
  <c r="H12" i="45"/>
  <c r="J98" i="45" s="1"/>
  <c r="D4" i="45"/>
  <c r="Z136" i="42"/>
  <c r="X136" i="42"/>
  <c r="N136" i="42"/>
  <c r="L136" i="42"/>
  <c r="Z132" i="42"/>
  <c r="X132" i="42"/>
  <c r="P132" i="42"/>
  <c r="N132" i="42"/>
  <c r="D132" i="42"/>
  <c r="L132" i="42" s="1"/>
  <c r="B132" i="42"/>
  <c r="Z131" i="42"/>
  <c r="P131" i="42"/>
  <c r="X131" i="42" s="1"/>
  <c r="N131" i="42"/>
  <c r="D131" i="42"/>
  <c r="L131" i="42" s="1"/>
  <c r="B131" i="42"/>
  <c r="X130" i="42"/>
  <c r="Z130" i="42" s="1"/>
  <c r="P130" i="42"/>
  <c r="D130" i="42"/>
  <c r="L130" i="42" s="1"/>
  <c r="N130" i="42" s="1"/>
  <c r="B130" i="42"/>
  <c r="P129" i="42"/>
  <c r="X129" i="42" s="1"/>
  <c r="Z129" i="42" s="1"/>
  <c r="N129" i="42"/>
  <c r="L129" i="42"/>
  <c r="D129" i="42"/>
  <c r="B129" i="42"/>
  <c r="T128" i="42"/>
  <c r="P128" i="42"/>
  <c r="X128" i="42" s="1"/>
  <c r="Z128" i="42" s="1"/>
  <c r="H128" i="42"/>
  <c r="N128" i="42" s="1"/>
  <c r="D128" i="42"/>
  <c r="L128" i="42" s="1"/>
  <c r="Z126" i="42"/>
  <c r="X126" i="42"/>
  <c r="L126" i="42"/>
  <c r="N126" i="42" s="1"/>
  <c r="B126" i="42"/>
  <c r="T125" i="42"/>
  <c r="P125" i="42"/>
  <c r="X125" i="42" s="1"/>
  <c r="H125" i="42"/>
  <c r="D125" i="42"/>
  <c r="L125" i="42" s="1"/>
  <c r="N125" i="42" s="1"/>
  <c r="B125" i="42"/>
  <c r="Z124" i="42"/>
  <c r="X124" i="42"/>
  <c r="N124" i="42"/>
  <c r="L124" i="42"/>
  <c r="B124" i="42"/>
  <c r="X123" i="42"/>
  <c r="Z123" i="42" s="1"/>
  <c r="N123" i="42"/>
  <c r="L123" i="42"/>
  <c r="B123" i="42"/>
  <c r="X122" i="42"/>
  <c r="Z122" i="42" s="1"/>
  <c r="N122" i="42"/>
  <c r="L122" i="42"/>
  <c r="B122" i="42"/>
  <c r="T121" i="42"/>
  <c r="P121" i="42"/>
  <c r="X121" i="42" s="1"/>
  <c r="Z121" i="42" s="1"/>
  <c r="H121" i="42"/>
  <c r="D121" i="42"/>
  <c r="L121" i="42" s="1"/>
  <c r="N121" i="42" s="1"/>
  <c r="B121" i="42"/>
  <c r="X120" i="42"/>
  <c r="Z120" i="42" s="1"/>
  <c r="N120" i="42"/>
  <c r="L120" i="42"/>
  <c r="B120" i="42"/>
  <c r="Z119" i="42"/>
  <c r="X119" i="42"/>
  <c r="T119" i="42"/>
  <c r="P119" i="42"/>
  <c r="H119" i="42"/>
  <c r="D119" i="42"/>
  <c r="B119" i="42"/>
  <c r="Z118" i="42"/>
  <c r="X118" i="42"/>
  <c r="L118" i="42"/>
  <c r="N118" i="42" s="1"/>
  <c r="B118" i="42"/>
  <c r="Z117" i="42"/>
  <c r="X117" i="42"/>
  <c r="N117" i="42"/>
  <c r="L117" i="42"/>
  <c r="B117" i="42"/>
  <c r="T116" i="42"/>
  <c r="Z116" i="42" s="1"/>
  <c r="P116" i="42"/>
  <c r="X116" i="42" s="1"/>
  <c r="H116" i="42"/>
  <c r="D116" i="42"/>
  <c r="L116" i="42" s="1"/>
  <c r="N116" i="42" s="1"/>
  <c r="B116" i="42"/>
  <c r="X115" i="42"/>
  <c r="Z115" i="42" s="1"/>
  <c r="N115" i="42"/>
  <c r="L115" i="42"/>
  <c r="B115" i="42"/>
  <c r="X114" i="42"/>
  <c r="Z114" i="42" s="1"/>
  <c r="N114" i="42"/>
  <c r="L114" i="42"/>
  <c r="B114" i="42"/>
  <c r="Z113" i="42"/>
  <c r="X113" i="42"/>
  <c r="N113" i="42"/>
  <c r="L113" i="42"/>
  <c r="B113" i="42"/>
  <c r="X112" i="42"/>
  <c r="Z112" i="42" s="1"/>
  <c r="L112" i="42"/>
  <c r="N112" i="42" s="1"/>
  <c r="B112" i="42"/>
  <c r="X111" i="42"/>
  <c r="Z111" i="42" s="1"/>
  <c r="N111" i="42"/>
  <c r="L111" i="42"/>
  <c r="B111" i="42"/>
  <c r="X110" i="42"/>
  <c r="Z110" i="42" s="1"/>
  <c r="N110" i="42"/>
  <c r="L110" i="42"/>
  <c r="B110" i="42"/>
  <c r="Z109" i="42"/>
  <c r="X109" i="42"/>
  <c r="N109" i="42"/>
  <c r="L109" i="42"/>
  <c r="B109" i="42"/>
  <c r="X108" i="42"/>
  <c r="Z108" i="42" s="1"/>
  <c r="L108" i="42"/>
  <c r="N108" i="42" s="1"/>
  <c r="B108" i="42"/>
  <c r="X107" i="42"/>
  <c r="Z107" i="42" s="1"/>
  <c r="N107" i="42"/>
  <c r="L107" i="42"/>
  <c r="B107" i="42"/>
  <c r="X106" i="42"/>
  <c r="Z106" i="42" s="1"/>
  <c r="N106" i="42"/>
  <c r="L106" i="42"/>
  <c r="B106" i="42"/>
  <c r="T105" i="42"/>
  <c r="P105" i="42"/>
  <c r="X105" i="42" s="1"/>
  <c r="Z105" i="42" s="1"/>
  <c r="H105" i="42"/>
  <c r="N105" i="42" s="1"/>
  <c r="D105" i="42"/>
  <c r="L105" i="42" s="1"/>
  <c r="B105" i="42"/>
  <c r="X104" i="42"/>
  <c r="Z104" i="42" s="1"/>
  <c r="N104" i="42"/>
  <c r="L104" i="42"/>
  <c r="B104" i="42"/>
  <c r="Z103" i="42"/>
  <c r="X103" i="42"/>
  <c r="N103" i="42"/>
  <c r="L103" i="42"/>
  <c r="B103" i="42"/>
  <c r="T102" i="42"/>
  <c r="P102" i="42"/>
  <c r="L102" i="42"/>
  <c r="H102" i="42"/>
  <c r="N102" i="42" s="1"/>
  <c r="D102" i="42"/>
  <c r="B102" i="42"/>
  <c r="Z101" i="42"/>
  <c r="X101" i="42"/>
  <c r="N101" i="42"/>
  <c r="L101" i="42"/>
  <c r="B101" i="42"/>
  <c r="Z100" i="42"/>
  <c r="X100" i="42"/>
  <c r="L100" i="42"/>
  <c r="N100" i="42" s="1"/>
  <c r="B100" i="42"/>
  <c r="Z99" i="42"/>
  <c r="X99" i="42"/>
  <c r="L99" i="42"/>
  <c r="N99" i="42" s="1"/>
  <c r="B99" i="42"/>
  <c r="Z98" i="42"/>
  <c r="X98" i="42"/>
  <c r="L98" i="42"/>
  <c r="N98" i="42" s="1"/>
  <c r="B98" i="42"/>
  <c r="Z97" i="42"/>
  <c r="X97" i="42"/>
  <c r="N97" i="42"/>
  <c r="L97" i="42"/>
  <c r="B97" i="42"/>
  <c r="T96" i="42"/>
  <c r="Z96" i="42" s="1"/>
  <c r="P96" i="42"/>
  <c r="X96" i="42" s="1"/>
  <c r="H96" i="42"/>
  <c r="D96" i="42"/>
  <c r="L96" i="42" s="1"/>
  <c r="N96" i="42" s="1"/>
  <c r="B96" i="42"/>
  <c r="X95" i="42"/>
  <c r="Z95" i="42" s="1"/>
  <c r="N95" i="42"/>
  <c r="L95" i="42"/>
  <c r="B95" i="42"/>
  <c r="X94" i="42"/>
  <c r="Z94" i="42" s="1"/>
  <c r="N94" i="42"/>
  <c r="L94" i="42"/>
  <c r="B94" i="42"/>
  <c r="Z93" i="42"/>
  <c r="X93" i="42"/>
  <c r="N93" i="42"/>
  <c r="L93" i="42"/>
  <c r="B93" i="42"/>
  <c r="X92" i="42"/>
  <c r="Z92" i="42" s="1"/>
  <c r="L92" i="42"/>
  <c r="N92" i="42" s="1"/>
  <c r="B92" i="42"/>
  <c r="T91" i="42"/>
  <c r="P91" i="42"/>
  <c r="X91" i="42" s="1"/>
  <c r="Z91" i="42" s="1"/>
  <c r="H91" i="42"/>
  <c r="D91" i="42"/>
  <c r="L91" i="42" s="1"/>
  <c r="N91" i="42" s="1"/>
  <c r="B91" i="42"/>
  <c r="X90" i="42"/>
  <c r="Z90" i="42" s="1"/>
  <c r="N90" i="42"/>
  <c r="L90" i="42"/>
  <c r="B90" i="42"/>
  <c r="Z89" i="42"/>
  <c r="X89" i="42"/>
  <c r="N89" i="42"/>
  <c r="L89" i="42"/>
  <c r="B89" i="42"/>
  <c r="X88" i="42"/>
  <c r="Z88" i="42" s="1"/>
  <c r="N88" i="42"/>
  <c r="L88" i="42"/>
  <c r="B88" i="42"/>
  <c r="Z87" i="42"/>
  <c r="X87" i="42"/>
  <c r="N87" i="42"/>
  <c r="L87" i="42"/>
  <c r="B87" i="42"/>
  <c r="X86" i="42"/>
  <c r="T86" i="42"/>
  <c r="Z86" i="42" s="1"/>
  <c r="P86" i="42"/>
  <c r="H86" i="42"/>
  <c r="D86" i="42"/>
  <c r="B86" i="42"/>
  <c r="Z85" i="42"/>
  <c r="X85" i="42"/>
  <c r="N85" i="42"/>
  <c r="L85" i="42"/>
  <c r="B85" i="42"/>
  <c r="T84" i="42"/>
  <c r="P84" i="42"/>
  <c r="X84" i="42" s="1"/>
  <c r="H84" i="42"/>
  <c r="D84" i="42"/>
  <c r="L84" i="42" s="1"/>
  <c r="N84" i="42" s="1"/>
  <c r="B84" i="42"/>
  <c r="Z83" i="42"/>
  <c r="X83" i="42"/>
  <c r="N83" i="42"/>
  <c r="L83" i="42"/>
  <c r="B83" i="42"/>
  <c r="T82" i="42"/>
  <c r="Z82" i="42" s="1"/>
  <c r="P82" i="42"/>
  <c r="X82" i="42" s="1"/>
  <c r="L82" i="42"/>
  <c r="H82" i="42"/>
  <c r="N82" i="42" s="1"/>
  <c r="D82" i="42"/>
  <c r="B82" i="42"/>
  <c r="Z81" i="42"/>
  <c r="X81" i="42"/>
  <c r="N81" i="42"/>
  <c r="L81" i="42"/>
  <c r="B81" i="42"/>
  <c r="T80" i="42"/>
  <c r="P80" i="42"/>
  <c r="L80" i="42"/>
  <c r="H80" i="42"/>
  <c r="N80" i="42" s="1"/>
  <c r="D80" i="42"/>
  <c r="B80" i="42"/>
  <c r="Z79" i="42"/>
  <c r="X79" i="42"/>
  <c r="L79" i="42"/>
  <c r="N79" i="42" s="1"/>
  <c r="B79" i="42"/>
  <c r="T78" i="42"/>
  <c r="P78" i="42"/>
  <c r="X78" i="42" s="1"/>
  <c r="Z78" i="42" s="1"/>
  <c r="H78" i="42"/>
  <c r="N78" i="42" s="1"/>
  <c r="D78" i="42"/>
  <c r="L78" i="42" s="1"/>
  <c r="B78" i="42"/>
  <c r="Z77" i="42"/>
  <c r="X77" i="42"/>
  <c r="N77" i="42"/>
  <c r="L77" i="42"/>
  <c r="B77" i="42"/>
  <c r="X76" i="42"/>
  <c r="Z76" i="42" s="1"/>
  <c r="L76" i="42"/>
  <c r="N76" i="42" s="1"/>
  <c r="B76" i="42"/>
  <c r="T75" i="42"/>
  <c r="P75" i="42"/>
  <c r="X75" i="42" s="1"/>
  <c r="Z75" i="42" s="1"/>
  <c r="H75" i="42"/>
  <c r="D75" i="42"/>
  <c r="L75" i="42" s="1"/>
  <c r="N75" i="42" s="1"/>
  <c r="B75" i="42"/>
  <c r="X74" i="42"/>
  <c r="Z74" i="42" s="1"/>
  <c r="N74" i="42"/>
  <c r="L74" i="42"/>
  <c r="B74" i="42"/>
  <c r="Z73" i="42"/>
  <c r="X73" i="42"/>
  <c r="T73" i="42"/>
  <c r="P73" i="42"/>
  <c r="N73" i="42"/>
  <c r="L73" i="42"/>
  <c r="H73" i="42"/>
  <c r="D73" i="42"/>
  <c r="B73" i="42"/>
  <c r="Z72" i="42"/>
  <c r="X72" i="42"/>
  <c r="L72" i="42"/>
  <c r="N72" i="42" s="1"/>
  <c r="B72" i="42"/>
  <c r="T71" i="42"/>
  <c r="Z71" i="42" s="1"/>
  <c r="P71" i="42"/>
  <c r="X71" i="42" s="1"/>
  <c r="H71" i="42"/>
  <c r="D71" i="42"/>
  <c r="L71" i="42" s="1"/>
  <c r="N71" i="42" s="1"/>
  <c r="B71" i="42"/>
  <c r="X70" i="42"/>
  <c r="Z70" i="42" s="1"/>
  <c r="L70" i="42"/>
  <c r="N70" i="42" s="1"/>
  <c r="B70" i="42"/>
  <c r="T69" i="42"/>
  <c r="P69" i="42"/>
  <c r="X69" i="42" s="1"/>
  <c r="H69" i="42"/>
  <c r="D69" i="42"/>
  <c r="L69" i="42" s="1"/>
  <c r="N69" i="42" s="1"/>
  <c r="B69" i="42"/>
  <c r="Z68" i="42"/>
  <c r="X68" i="42"/>
  <c r="N68" i="42"/>
  <c r="L68" i="42"/>
  <c r="B68" i="42"/>
  <c r="Z67" i="42"/>
  <c r="X67" i="42"/>
  <c r="T67" i="42"/>
  <c r="P67" i="42"/>
  <c r="N67" i="42"/>
  <c r="L67" i="42"/>
  <c r="H67" i="42"/>
  <c r="D67" i="42"/>
  <c r="B67" i="42"/>
  <c r="Z66" i="42"/>
  <c r="X66" i="42"/>
  <c r="L66" i="42"/>
  <c r="N66" i="42" s="1"/>
  <c r="B66" i="42"/>
  <c r="Z65" i="42"/>
  <c r="X65" i="42"/>
  <c r="N65" i="42"/>
  <c r="L65" i="42"/>
  <c r="B65" i="42"/>
  <c r="Z64" i="42"/>
  <c r="X64" i="42"/>
  <c r="L64" i="42"/>
  <c r="N64" i="42" s="1"/>
  <c r="B64" i="42"/>
  <c r="Z63" i="42"/>
  <c r="X63" i="42"/>
  <c r="L63" i="42"/>
  <c r="N63" i="42" s="1"/>
  <c r="B63" i="42"/>
  <c r="T62" i="42"/>
  <c r="P62" i="42"/>
  <c r="X62" i="42" s="1"/>
  <c r="Z62" i="42" s="1"/>
  <c r="H62" i="42"/>
  <c r="D62" i="42"/>
  <c r="L62" i="42" s="1"/>
  <c r="B62" i="42"/>
  <c r="X61" i="42"/>
  <c r="Z61" i="42" s="1"/>
  <c r="N61" i="42"/>
  <c r="L61" i="42"/>
  <c r="B61" i="42"/>
  <c r="X60" i="42"/>
  <c r="T60" i="42"/>
  <c r="Z60" i="42" s="1"/>
  <c r="P60" i="42"/>
  <c r="H60" i="42"/>
  <c r="D60" i="42"/>
  <c r="L60" i="42" s="1"/>
  <c r="B60" i="42"/>
  <c r="Z59" i="42"/>
  <c r="X59" i="42"/>
  <c r="N59" i="42"/>
  <c r="L59" i="42"/>
  <c r="B59" i="42"/>
  <c r="X58" i="42"/>
  <c r="T58" i="42"/>
  <c r="P58" i="42"/>
  <c r="H58" i="42"/>
  <c r="D58" i="42"/>
  <c r="B58" i="42"/>
  <c r="Z57" i="42"/>
  <c r="X57" i="42"/>
  <c r="L57" i="42"/>
  <c r="N57" i="42" s="1"/>
  <c r="B57" i="42"/>
  <c r="T56" i="42"/>
  <c r="P56" i="42"/>
  <c r="X56" i="42" s="1"/>
  <c r="H56" i="42"/>
  <c r="D56" i="42"/>
  <c r="L56" i="42" s="1"/>
  <c r="N56" i="42" s="1"/>
  <c r="B56" i="42"/>
  <c r="Z55" i="42"/>
  <c r="X55" i="42"/>
  <c r="N55" i="42"/>
  <c r="L55" i="42"/>
  <c r="B55" i="42"/>
  <c r="Z54" i="42"/>
  <c r="X54" i="42"/>
  <c r="N54" i="42"/>
  <c r="L54" i="42"/>
  <c r="B54" i="42"/>
  <c r="X53" i="42"/>
  <c r="Z53" i="42" s="1"/>
  <c r="N53" i="42"/>
  <c r="L53" i="42"/>
  <c r="B53" i="42"/>
  <c r="X52" i="42"/>
  <c r="Z52" i="42" s="1"/>
  <c r="L52" i="42"/>
  <c r="N52" i="42" s="1"/>
  <c r="B52" i="42"/>
  <c r="Z51" i="42"/>
  <c r="X51" i="42"/>
  <c r="V51" i="42"/>
  <c r="N51" i="42"/>
  <c r="L51" i="42"/>
  <c r="B51" i="42"/>
  <c r="X50" i="42"/>
  <c r="Z50" i="42" s="1"/>
  <c r="L50" i="42"/>
  <c r="N50" i="42" s="1"/>
  <c r="B50" i="42"/>
  <c r="X49" i="42"/>
  <c r="Z49" i="42" s="1"/>
  <c r="N49" i="42"/>
  <c r="L49" i="42"/>
  <c r="B49" i="42"/>
  <c r="Z48" i="42"/>
  <c r="X48" i="42"/>
  <c r="N48" i="42"/>
  <c r="L48" i="42"/>
  <c r="B48" i="42"/>
  <c r="X47" i="42"/>
  <c r="Z47" i="42" s="1"/>
  <c r="N47" i="42"/>
  <c r="L47" i="42"/>
  <c r="B47" i="42"/>
  <c r="X46" i="42"/>
  <c r="Z46" i="42" s="1"/>
  <c r="L46" i="42"/>
  <c r="N46" i="42" s="1"/>
  <c r="B46" i="42"/>
  <c r="T45" i="42"/>
  <c r="P45" i="42"/>
  <c r="X45" i="42" s="1"/>
  <c r="Z45" i="42" s="1"/>
  <c r="H45" i="42"/>
  <c r="D45" i="42"/>
  <c r="L45" i="42" s="1"/>
  <c r="N45" i="42" s="1"/>
  <c r="B45" i="42"/>
  <c r="X44" i="42"/>
  <c r="Z44" i="42" s="1"/>
  <c r="N44" i="42"/>
  <c r="L44" i="42"/>
  <c r="B44" i="42"/>
  <c r="X43" i="42"/>
  <c r="Z43" i="42" s="1"/>
  <c r="N43" i="42"/>
  <c r="L43" i="42"/>
  <c r="B43" i="42"/>
  <c r="X42" i="42"/>
  <c r="Z42" i="42" s="1"/>
  <c r="N42" i="42"/>
  <c r="L42" i="42"/>
  <c r="B42" i="42"/>
  <c r="Z41" i="42"/>
  <c r="X41" i="42"/>
  <c r="N41" i="42"/>
  <c r="L41" i="42"/>
  <c r="B41" i="42"/>
  <c r="X40" i="42"/>
  <c r="Z40" i="42" s="1"/>
  <c r="N40" i="42"/>
  <c r="L40" i="42"/>
  <c r="B40" i="42"/>
  <c r="Z39" i="42"/>
  <c r="X39" i="42"/>
  <c r="N39" i="42"/>
  <c r="L39" i="42"/>
  <c r="B39" i="42"/>
  <c r="X38" i="42"/>
  <c r="Z38" i="42" s="1"/>
  <c r="N38" i="42"/>
  <c r="L38" i="42"/>
  <c r="B38" i="42"/>
  <c r="Z37" i="42"/>
  <c r="X37" i="42"/>
  <c r="N37" i="42"/>
  <c r="L37" i="42"/>
  <c r="B37" i="42"/>
  <c r="X36" i="42"/>
  <c r="Z36" i="42" s="1"/>
  <c r="N36" i="42"/>
  <c r="L36" i="42"/>
  <c r="B36" i="42"/>
  <c r="X35" i="42"/>
  <c r="Z35" i="42" s="1"/>
  <c r="N35" i="42"/>
  <c r="L35" i="42"/>
  <c r="B35" i="42"/>
  <c r="X34" i="42"/>
  <c r="T34" i="42"/>
  <c r="P34" i="42"/>
  <c r="H34" i="42"/>
  <c r="D34" i="42"/>
  <c r="B34" i="42"/>
  <c r="T33" i="42"/>
  <c r="P33" i="42"/>
  <c r="H33" i="42"/>
  <c r="D33" i="42"/>
  <c r="Z29" i="42"/>
  <c r="X29" i="42"/>
  <c r="V29" i="42"/>
  <c r="N29" i="42"/>
  <c r="L29" i="42"/>
  <c r="B29" i="42"/>
  <c r="Z28" i="42"/>
  <c r="X28" i="42"/>
  <c r="V28" i="42"/>
  <c r="N28" i="42"/>
  <c r="L28" i="42"/>
  <c r="J28" i="42"/>
  <c r="B28" i="42"/>
  <c r="Z27" i="42"/>
  <c r="X27" i="42"/>
  <c r="L27" i="42"/>
  <c r="N27" i="42" s="1"/>
  <c r="B27" i="42"/>
  <c r="T26" i="42"/>
  <c r="P26" i="42"/>
  <c r="X26" i="42" s="1"/>
  <c r="Z26" i="42" s="1"/>
  <c r="H26" i="42"/>
  <c r="D26" i="42"/>
  <c r="Z24" i="42"/>
  <c r="P24" i="42"/>
  <c r="X24" i="42" s="1"/>
  <c r="N24" i="42"/>
  <c r="D24" i="42"/>
  <c r="L24" i="42" s="1"/>
  <c r="B24" i="42"/>
  <c r="Z23" i="42"/>
  <c r="P23" i="42"/>
  <c r="X23" i="42" s="1"/>
  <c r="N23" i="42"/>
  <c r="D23" i="42"/>
  <c r="L23" i="42" s="1"/>
  <c r="B23" i="42"/>
  <c r="Z22" i="42"/>
  <c r="X22" i="42"/>
  <c r="P22" i="42"/>
  <c r="N22" i="42"/>
  <c r="L22" i="42"/>
  <c r="D22" i="42"/>
  <c r="B22" i="42"/>
  <c r="Z21" i="42"/>
  <c r="P21" i="42"/>
  <c r="X21" i="42" s="1"/>
  <c r="N21" i="42"/>
  <c r="D21" i="42"/>
  <c r="L21" i="42" s="1"/>
  <c r="B21" i="42"/>
  <c r="Z20" i="42"/>
  <c r="X20" i="42"/>
  <c r="P20" i="42"/>
  <c r="N20" i="42"/>
  <c r="L20" i="42"/>
  <c r="D20" i="42"/>
  <c r="B20" i="42"/>
  <c r="Z19" i="42"/>
  <c r="X19" i="42"/>
  <c r="P19" i="42"/>
  <c r="N19" i="42"/>
  <c r="L19" i="42"/>
  <c r="D19" i="42"/>
  <c r="B19" i="42"/>
  <c r="Z18" i="42"/>
  <c r="P18" i="42"/>
  <c r="N18" i="42"/>
  <c r="D18" i="42"/>
  <c r="L18" i="42" s="1"/>
  <c r="B18" i="42"/>
  <c r="Z17" i="42"/>
  <c r="X17" i="42"/>
  <c r="P17" i="42"/>
  <c r="N17" i="42"/>
  <c r="D17" i="42"/>
  <c r="L17" i="42" s="1"/>
  <c r="B17" i="42"/>
  <c r="Z16" i="42"/>
  <c r="X16" i="42"/>
  <c r="P16" i="42"/>
  <c r="N16" i="42"/>
  <c r="L16" i="42"/>
  <c r="D16" i="42"/>
  <c r="B16" i="42"/>
  <c r="Z15" i="42"/>
  <c r="P15" i="42"/>
  <c r="X15" i="42" s="1"/>
  <c r="N15" i="42"/>
  <c r="D15" i="42"/>
  <c r="L15" i="42" s="1"/>
  <c r="B15" i="42"/>
  <c r="Z14" i="42"/>
  <c r="X14" i="42"/>
  <c r="P14" i="42"/>
  <c r="N14" i="42"/>
  <c r="D14" i="42"/>
  <c r="B14" i="42"/>
  <c r="X13" i="42"/>
  <c r="Z13" i="42" s="1"/>
  <c r="P13" i="42"/>
  <c r="L13" i="42"/>
  <c r="N13" i="42" s="1"/>
  <c r="D13" i="42"/>
  <c r="B13" i="42"/>
  <c r="T12" i="42"/>
  <c r="V27" i="42" s="1"/>
  <c r="H12" i="42"/>
  <c r="J33" i="42" s="1"/>
  <c r="D4" i="42"/>
  <c r="Z147" i="39"/>
  <c r="X147" i="39"/>
  <c r="L147" i="39"/>
  <c r="N147" i="39" s="1"/>
  <c r="Z143" i="39"/>
  <c r="P143" i="39"/>
  <c r="X143" i="39" s="1"/>
  <c r="N143" i="39"/>
  <c r="L143" i="39"/>
  <c r="D143" i="39"/>
  <c r="B143" i="39"/>
  <c r="Z142" i="39"/>
  <c r="P142" i="39"/>
  <c r="X142" i="39" s="1"/>
  <c r="N142" i="39"/>
  <c r="L142" i="39"/>
  <c r="D142" i="39"/>
  <c r="B142" i="39"/>
  <c r="X141" i="39"/>
  <c r="Z141" i="39" s="1"/>
  <c r="P141" i="39"/>
  <c r="P139" i="39" s="1"/>
  <c r="N141" i="39"/>
  <c r="L141" i="39"/>
  <c r="D141" i="39"/>
  <c r="B141" i="39"/>
  <c r="Z140" i="39"/>
  <c r="X140" i="39"/>
  <c r="V140" i="39"/>
  <c r="P140" i="39"/>
  <c r="L140" i="39"/>
  <c r="N140" i="39" s="1"/>
  <c r="D140" i="39"/>
  <c r="D139" i="39" s="1"/>
  <c r="L139" i="39" s="1"/>
  <c r="N139" i="39" s="1"/>
  <c r="B140" i="39"/>
  <c r="T139" i="39"/>
  <c r="H139" i="39"/>
  <c r="X137" i="39"/>
  <c r="Z137" i="39" s="1"/>
  <c r="N137" i="39"/>
  <c r="L137" i="39"/>
  <c r="B137" i="39"/>
  <c r="X136" i="39"/>
  <c r="Z136" i="39" s="1"/>
  <c r="T136" i="39"/>
  <c r="P136" i="39"/>
  <c r="N136" i="39"/>
  <c r="H136" i="39"/>
  <c r="D136" i="39"/>
  <c r="L136" i="39" s="1"/>
  <c r="B136" i="39"/>
  <c r="Z135" i="39"/>
  <c r="X135" i="39"/>
  <c r="N135" i="39"/>
  <c r="L135" i="39"/>
  <c r="B135" i="39"/>
  <c r="Z134" i="39"/>
  <c r="X134" i="39"/>
  <c r="L134" i="39"/>
  <c r="N134" i="39" s="1"/>
  <c r="B134" i="39"/>
  <c r="Z133" i="39"/>
  <c r="X133" i="39"/>
  <c r="N133" i="39"/>
  <c r="L133" i="39"/>
  <c r="B133" i="39"/>
  <c r="V132" i="39"/>
  <c r="T132" i="39"/>
  <c r="P132" i="39"/>
  <c r="X132" i="39" s="1"/>
  <c r="Z132" i="39" s="1"/>
  <c r="N132" i="39"/>
  <c r="L132" i="39"/>
  <c r="H132" i="39"/>
  <c r="D132" i="39"/>
  <c r="B132" i="39"/>
  <c r="X131" i="39"/>
  <c r="Z131" i="39" s="1"/>
  <c r="L131" i="39"/>
  <c r="N131" i="39" s="1"/>
  <c r="B131" i="39"/>
  <c r="T130" i="39"/>
  <c r="Z130" i="39" s="1"/>
  <c r="P130" i="39"/>
  <c r="X130" i="39" s="1"/>
  <c r="H130" i="39"/>
  <c r="D130" i="39"/>
  <c r="B130" i="39"/>
  <c r="X129" i="39"/>
  <c r="Z129" i="39" s="1"/>
  <c r="N129" i="39"/>
  <c r="L129" i="39"/>
  <c r="B129" i="39"/>
  <c r="X128" i="39"/>
  <c r="Z128" i="39" s="1"/>
  <c r="N128" i="39"/>
  <c r="L128" i="39"/>
  <c r="J128" i="39"/>
  <c r="B128" i="39"/>
  <c r="X127" i="39"/>
  <c r="Z127" i="39" s="1"/>
  <c r="T127" i="39"/>
  <c r="P127" i="39"/>
  <c r="H127" i="39"/>
  <c r="D127" i="39"/>
  <c r="B127" i="39"/>
  <c r="Z126" i="39"/>
  <c r="X126" i="39"/>
  <c r="N126" i="39"/>
  <c r="L126" i="39"/>
  <c r="B126" i="39"/>
  <c r="Z125" i="39"/>
  <c r="X125" i="39"/>
  <c r="N125" i="39"/>
  <c r="L125" i="39"/>
  <c r="B125" i="39"/>
  <c r="Z124" i="39"/>
  <c r="X124" i="39"/>
  <c r="V124" i="39"/>
  <c r="L124" i="39"/>
  <c r="N124" i="39" s="1"/>
  <c r="B124" i="39"/>
  <c r="Z123" i="39"/>
  <c r="X123" i="39"/>
  <c r="L123" i="39"/>
  <c r="N123" i="39" s="1"/>
  <c r="B123" i="39"/>
  <c r="Z122" i="39"/>
  <c r="X122" i="39"/>
  <c r="L122" i="39"/>
  <c r="N122" i="39" s="1"/>
  <c r="B122" i="39"/>
  <c r="Z121" i="39"/>
  <c r="X121" i="39"/>
  <c r="N121" i="39"/>
  <c r="L121" i="39"/>
  <c r="B121" i="39"/>
  <c r="Z120" i="39"/>
  <c r="X120" i="39"/>
  <c r="V120" i="39"/>
  <c r="L120" i="39"/>
  <c r="N120" i="39" s="1"/>
  <c r="B120" i="39"/>
  <c r="Z119" i="39"/>
  <c r="X119" i="39"/>
  <c r="L119" i="39"/>
  <c r="N119" i="39" s="1"/>
  <c r="B119" i="39"/>
  <c r="Z118" i="39"/>
  <c r="X118" i="39"/>
  <c r="L118" i="39"/>
  <c r="N118" i="39" s="1"/>
  <c r="B118" i="39"/>
  <c r="Z117" i="39"/>
  <c r="X117" i="39"/>
  <c r="N117" i="39"/>
  <c r="L117" i="39"/>
  <c r="B117" i="39"/>
  <c r="V116" i="39"/>
  <c r="T116" i="39"/>
  <c r="P116" i="39"/>
  <c r="X116" i="39" s="1"/>
  <c r="Z116" i="39" s="1"/>
  <c r="N116" i="39"/>
  <c r="L116" i="39"/>
  <c r="H116" i="39"/>
  <c r="D116" i="39"/>
  <c r="B116" i="39"/>
  <c r="X115" i="39"/>
  <c r="Z115" i="39" s="1"/>
  <c r="L115" i="39"/>
  <c r="N115" i="39" s="1"/>
  <c r="B115" i="39"/>
  <c r="X114" i="39"/>
  <c r="Z114" i="39" s="1"/>
  <c r="N114" i="39"/>
  <c r="L114" i="39"/>
  <c r="B114" i="39"/>
  <c r="Z113" i="39"/>
  <c r="X113" i="39"/>
  <c r="T113" i="39"/>
  <c r="P113" i="39"/>
  <c r="L113" i="39"/>
  <c r="H113" i="39"/>
  <c r="N113" i="39" s="1"/>
  <c r="D113" i="39"/>
  <c r="B113" i="39"/>
  <c r="X112" i="39"/>
  <c r="Z112" i="39" s="1"/>
  <c r="N112" i="39"/>
  <c r="L112" i="39"/>
  <c r="J112" i="39"/>
  <c r="B112" i="39"/>
  <c r="X111" i="39"/>
  <c r="Z111" i="39" s="1"/>
  <c r="N111" i="39"/>
  <c r="L111" i="39"/>
  <c r="B111" i="39"/>
  <c r="Z110" i="39"/>
  <c r="X110" i="39"/>
  <c r="N110" i="39"/>
  <c r="L110" i="39"/>
  <c r="B110" i="39"/>
  <c r="Z109" i="39"/>
  <c r="X109" i="39"/>
  <c r="N109" i="39"/>
  <c r="L109" i="39"/>
  <c r="B109" i="39"/>
  <c r="X108" i="39"/>
  <c r="Z108" i="39" s="1"/>
  <c r="N108" i="39"/>
  <c r="L108" i="39"/>
  <c r="J108" i="39"/>
  <c r="B108" i="39"/>
  <c r="Z107" i="39"/>
  <c r="X107" i="39"/>
  <c r="N107" i="39"/>
  <c r="L107" i="39"/>
  <c r="B107" i="39"/>
  <c r="T106" i="39"/>
  <c r="P106" i="39"/>
  <c r="X106" i="39" s="1"/>
  <c r="Z106" i="39" s="1"/>
  <c r="L106" i="39"/>
  <c r="H106" i="39"/>
  <c r="N106" i="39" s="1"/>
  <c r="D106" i="39"/>
  <c r="B106" i="39"/>
  <c r="Z105" i="39"/>
  <c r="X105" i="39"/>
  <c r="N105" i="39"/>
  <c r="L105" i="39"/>
  <c r="B105" i="39"/>
  <c r="Z104" i="39"/>
  <c r="X104" i="39"/>
  <c r="V104" i="39"/>
  <c r="N104" i="39"/>
  <c r="L104" i="39"/>
  <c r="J104" i="39"/>
  <c r="B104" i="39"/>
  <c r="Z103" i="39"/>
  <c r="X103" i="39"/>
  <c r="L103" i="39"/>
  <c r="N103" i="39" s="1"/>
  <c r="B103" i="39"/>
  <c r="Z102" i="39"/>
  <c r="X102" i="39"/>
  <c r="L102" i="39"/>
  <c r="N102" i="39" s="1"/>
  <c r="B102" i="39"/>
  <c r="T101" i="39"/>
  <c r="Z101" i="39" s="1"/>
  <c r="P101" i="39"/>
  <c r="X101" i="39" s="1"/>
  <c r="H101" i="39"/>
  <c r="D101" i="39"/>
  <c r="L101" i="39" s="1"/>
  <c r="N101" i="39" s="1"/>
  <c r="B101" i="39"/>
  <c r="X100" i="39"/>
  <c r="Z100" i="39" s="1"/>
  <c r="V100" i="39"/>
  <c r="N100" i="39"/>
  <c r="L100" i="39"/>
  <c r="B100" i="39"/>
  <c r="X99" i="39"/>
  <c r="Z99" i="39" s="1"/>
  <c r="L99" i="39"/>
  <c r="N99" i="39" s="1"/>
  <c r="B99" i="39"/>
  <c r="X98" i="39"/>
  <c r="Z98" i="39" s="1"/>
  <c r="N98" i="39"/>
  <c r="L98" i="39"/>
  <c r="B98" i="39"/>
  <c r="Z97" i="39"/>
  <c r="X97" i="39"/>
  <c r="N97" i="39"/>
  <c r="L97" i="39"/>
  <c r="B97" i="39"/>
  <c r="X96" i="39"/>
  <c r="V96" i="39"/>
  <c r="T96" i="39"/>
  <c r="Z96" i="39" s="1"/>
  <c r="P96" i="39"/>
  <c r="H96" i="39"/>
  <c r="D96" i="39"/>
  <c r="L96" i="39" s="1"/>
  <c r="N96" i="39" s="1"/>
  <c r="B96" i="39"/>
  <c r="X95" i="39"/>
  <c r="Z95" i="39" s="1"/>
  <c r="N95" i="39"/>
  <c r="L95" i="39"/>
  <c r="B95" i="39"/>
  <c r="Z94" i="39"/>
  <c r="T94" i="39"/>
  <c r="P94" i="39"/>
  <c r="X94" i="39" s="1"/>
  <c r="L94" i="39"/>
  <c r="N94" i="39" s="1"/>
  <c r="H94" i="39"/>
  <c r="D94" i="39"/>
  <c r="B94" i="39"/>
  <c r="Z93" i="39"/>
  <c r="X93" i="39"/>
  <c r="N93" i="39"/>
  <c r="L93" i="39"/>
  <c r="B93" i="39"/>
  <c r="V92" i="39"/>
  <c r="T92" i="39"/>
  <c r="Z92" i="39" s="1"/>
  <c r="P92" i="39"/>
  <c r="X92" i="39" s="1"/>
  <c r="N92" i="39"/>
  <c r="L92" i="39"/>
  <c r="H92" i="39"/>
  <c r="D92" i="39"/>
  <c r="B92" i="39"/>
  <c r="Z91" i="39"/>
  <c r="X91" i="39"/>
  <c r="N91" i="39"/>
  <c r="L91" i="39"/>
  <c r="B91" i="39"/>
  <c r="X90" i="39"/>
  <c r="T90" i="39"/>
  <c r="Z90" i="39" s="1"/>
  <c r="P90" i="39"/>
  <c r="L90" i="39"/>
  <c r="J90" i="39"/>
  <c r="H90" i="39"/>
  <c r="N90" i="39" s="1"/>
  <c r="D90" i="39"/>
  <c r="B90" i="39"/>
  <c r="Z89" i="39"/>
  <c r="X89" i="39"/>
  <c r="N89" i="39"/>
  <c r="L89" i="39"/>
  <c r="B89" i="39"/>
  <c r="X88" i="39"/>
  <c r="T88" i="39"/>
  <c r="Z88" i="39" s="1"/>
  <c r="P88" i="39"/>
  <c r="H88" i="39"/>
  <c r="D88" i="39"/>
  <c r="L88" i="39" s="1"/>
  <c r="N88" i="39" s="1"/>
  <c r="B88" i="39"/>
  <c r="Z87" i="39"/>
  <c r="X87" i="39"/>
  <c r="L87" i="39"/>
  <c r="N87" i="39" s="1"/>
  <c r="B87" i="39"/>
  <c r="Z86" i="39"/>
  <c r="X86" i="39"/>
  <c r="T86" i="39"/>
  <c r="P86" i="39"/>
  <c r="J86" i="39"/>
  <c r="H86" i="39"/>
  <c r="D86" i="39"/>
  <c r="L86" i="39" s="1"/>
  <c r="B86" i="39"/>
  <c r="Z85" i="39"/>
  <c r="X85" i="39"/>
  <c r="N85" i="39"/>
  <c r="L85" i="39"/>
  <c r="B85" i="39"/>
  <c r="X84" i="39"/>
  <c r="Z84" i="39" s="1"/>
  <c r="V84" i="39"/>
  <c r="L84" i="39"/>
  <c r="N84" i="39" s="1"/>
  <c r="B84" i="39"/>
  <c r="X83" i="39"/>
  <c r="Z83" i="39" s="1"/>
  <c r="T83" i="39"/>
  <c r="P83" i="39"/>
  <c r="N83" i="39"/>
  <c r="L83" i="39"/>
  <c r="H83" i="39"/>
  <c r="D83" i="39"/>
  <c r="B83" i="39"/>
  <c r="Z82" i="39"/>
  <c r="X82" i="39"/>
  <c r="N82" i="39"/>
  <c r="L82" i="39"/>
  <c r="B82" i="39"/>
  <c r="T81" i="39"/>
  <c r="P81" i="39"/>
  <c r="N81" i="39"/>
  <c r="L81" i="39"/>
  <c r="H81" i="39"/>
  <c r="D81" i="39"/>
  <c r="B81" i="39"/>
  <c r="X80" i="39"/>
  <c r="Z80" i="39" s="1"/>
  <c r="V80" i="39"/>
  <c r="L80" i="39"/>
  <c r="N80" i="39" s="1"/>
  <c r="J80" i="39"/>
  <c r="B80" i="39"/>
  <c r="T79" i="39"/>
  <c r="P79" i="39"/>
  <c r="X79" i="39" s="1"/>
  <c r="Z79" i="39" s="1"/>
  <c r="H79" i="39"/>
  <c r="D79" i="39"/>
  <c r="L79" i="39" s="1"/>
  <c r="B79" i="39"/>
  <c r="X78" i="39"/>
  <c r="Z78" i="39" s="1"/>
  <c r="N78" i="39"/>
  <c r="L78" i="39"/>
  <c r="B78" i="39"/>
  <c r="Z77" i="39"/>
  <c r="X77" i="39"/>
  <c r="T77" i="39"/>
  <c r="P77" i="39"/>
  <c r="L77" i="39"/>
  <c r="N77" i="39" s="1"/>
  <c r="H77" i="39"/>
  <c r="D77" i="39"/>
  <c r="B77" i="39"/>
  <c r="X76" i="39"/>
  <c r="Z76" i="39" s="1"/>
  <c r="L76" i="39"/>
  <c r="N76" i="39" s="1"/>
  <c r="J76" i="39"/>
  <c r="B76" i="39"/>
  <c r="X75" i="39"/>
  <c r="Z75" i="39" s="1"/>
  <c r="T75" i="39"/>
  <c r="P75" i="39"/>
  <c r="H75" i="39"/>
  <c r="D75" i="39"/>
  <c r="B75" i="39"/>
  <c r="Z74" i="39"/>
  <c r="X74" i="39"/>
  <c r="N74" i="39"/>
  <c r="L74" i="39"/>
  <c r="B74" i="39"/>
  <c r="T73" i="39"/>
  <c r="Z73" i="39" s="1"/>
  <c r="P73" i="39"/>
  <c r="X73" i="39" s="1"/>
  <c r="N73" i="39"/>
  <c r="H73" i="39"/>
  <c r="D73" i="39"/>
  <c r="L73" i="39" s="1"/>
  <c r="B73" i="39"/>
  <c r="X72" i="39"/>
  <c r="Z72" i="39" s="1"/>
  <c r="V72" i="39"/>
  <c r="L72" i="39"/>
  <c r="N72" i="39" s="1"/>
  <c r="B72" i="39"/>
  <c r="X71" i="39"/>
  <c r="Z71" i="39" s="1"/>
  <c r="L71" i="39"/>
  <c r="N71" i="39" s="1"/>
  <c r="B71" i="39"/>
  <c r="X70" i="39"/>
  <c r="Z70" i="39" s="1"/>
  <c r="N70" i="39"/>
  <c r="L70" i="39"/>
  <c r="B70" i="39"/>
  <c r="Z69" i="39"/>
  <c r="X69" i="39"/>
  <c r="N69" i="39"/>
  <c r="L69" i="39"/>
  <c r="B69" i="39"/>
  <c r="X68" i="39"/>
  <c r="V68" i="39"/>
  <c r="T68" i="39"/>
  <c r="Z68" i="39" s="1"/>
  <c r="P68" i="39"/>
  <c r="H68" i="39"/>
  <c r="D68" i="39"/>
  <c r="L68" i="39" s="1"/>
  <c r="B68" i="39"/>
  <c r="X67" i="39"/>
  <c r="Z67" i="39" s="1"/>
  <c r="N67" i="39"/>
  <c r="L67" i="39"/>
  <c r="B67" i="39"/>
  <c r="Z66" i="39"/>
  <c r="T66" i="39"/>
  <c r="P66" i="39"/>
  <c r="X66" i="39" s="1"/>
  <c r="L66" i="39"/>
  <c r="N66" i="39" s="1"/>
  <c r="H66" i="39"/>
  <c r="D66" i="39"/>
  <c r="B66" i="39"/>
  <c r="Z65" i="39"/>
  <c r="X65" i="39"/>
  <c r="N65" i="39"/>
  <c r="L65" i="39"/>
  <c r="B65" i="39"/>
  <c r="V64" i="39"/>
  <c r="T64" i="39"/>
  <c r="Z64" i="39" s="1"/>
  <c r="P64" i="39"/>
  <c r="X64" i="39" s="1"/>
  <c r="N64" i="39"/>
  <c r="L64" i="39"/>
  <c r="H64" i="39"/>
  <c r="D64" i="39"/>
  <c r="B64" i="39"/>
  <c r="X63" i="39"/>
  <c r="Z63" i="39" s="1"/>
  <c r="L63" i="39"/>
  <c r="N63" i="39" s="1"/>
  <c r="B63" i="39"/>
  <c r="T62" i="39"/>
  <c r="Z62" i="39" s="1"/>
  <c r="P62" i="39"/>
  <c r="X62" i="39" s="1"/>
  <c r="L62" i="39"/>
  <c r="J62" i="39"/>
  <c r="H62" i="39"/>
  <c r="N62" i="39" s="1"/>
  <c r="D62" i="39"/>
  <c r="B62" i="39"/>
  <c r="Z61" i="39"/>
  <c r="X61" i="39"/>
  <c r="N61" i="39"/>
  <c r="L61" i="39"/>
  <c r="B61" i="39"/>
  <c r="Z60" i="39"/>
  <c r="X60" i="39"/>
  <c r="N60" i="39"/>
  <c r="L60" i="39"/>
  <c r="J60" i="39"/>
  <c r="B60" i="39"/>
  <c r="X59" i="39"/>
  <c r="Z59" i="39" s="1"/>
  <c r="N59" i="39"/>
  <c r="L59" i="39"/>
  <c r="B59" i="39"/>
  <c r="Z58" i="39"/>
  <c r="X58" i="39"/>
  <c r="N58" i="39"/>
  <c r="L58" i="39"/>
  <c r="B58" i="39"/>
  <c r="Z57" i="39"/>
  <c r="X57" i="39"/>
  <c r="N57" i="39"/>
  <c r="L57" i="39"/>
  <c r="B57" i="39"/>
  <c r="X56" i="39"/>
  <c r="Z56" i="39" s="1"/>
  <c r="L56" i="39"/>
  <c r="N56" i="39" s="1"/>
  <c r="J56" i="39"/>
  <c r="B56" i="39"/>
  <c r="X55" i="39"/>
  <c r="Z55" i="39" s="1"/>
  <c r="N55" i="39"/>
  <c r="L55" i="39"/>
  <c r="B55" i="39"/>
  <c r="Z54" i="39"/>
  <c r="X54" i="39"/>
  <c r="N54" i="39"/>
  <c r="L54" i="39"/>
  <c r="B54" i="39"/>
  <c r="Z53" i="39"/>
  <c r="X53" i="39"/>
  <c r="N53" i="39"/>
  <c r="L53" i="39"/>
  <c r="B53" i="39"/>
  <c r="X52" i="39"/>
  <c r="Z52" i="39" s="1"/>
  <c r="L52" i="39"/>
  <c r="N52" i="39" s="1"/>
  <c r="J52" i="39"/>
  <c r="B52" i="39"/>
  <c r="X51" i="39"/>
  <c r="Z51" i="39" s="1"/>
  <c r="T51" i="39"/>
  <c r="P51" i="39"/>
  <c r="H51" i="39"/>
  <c r="D51" i="39"/>
  <c r="B51" i="39"/>
  <c r="Z50" i="39"/>
  <c r="X50" i="39"/>
  <c r="L50" i="39"/>
  <c r="N50" i="39" s="1"/>
  <c r="B50" i="39"/>
  <c r="Z49" i="39"/>
  <c r="X49" i="39"/>
  <c r="N49" i="39"/>
  <c r="L49" i="39"/>
  <c r="B49" i="39"/>
  <c r="X48" i="39"/>
  <c r="Z48" i="39" s="1"/>
  <c r="V48" i="39"/>
  <c r="L48" i="39"/>
  <c r="N48" i="39" s="1"/>
  <c r="J48" i="39"/>
  <c r="B48" i="39"/>
  <c r="Z47" i="39"/>
  <c r="X47" i="39"/>
  <c r="N47" i="39"/>
  <c r="L47" i="39"/>
  <c r="B47" i="39"/>
  <c r="Z46" i="39"/>
  <c r="X46" i="39"/>
  <c r="N46" i="39"/>
  <c r="L46" i="39"/>
  <c r="B46" i="39"/>
  <c r="Z45" i="39"/>
  <c r="X45" i="39"/>
  <c r="N45" i="39"/>
  <c r="L45" i="39"/>
  <c r="B45" i="39"/>
  <c r="X44" i="39"/>
  <c r="Z44" i="39" s="1"/>
  <c r="V44" i="39"/>
  <c r="L44" i="39"/>
  <c r="N44" i="39" s="1"/>
  <c r="J44" i="39"/>
  <c r="B44" i="39"/>
  <c r="Z43" i="39"/>
  <c r="X43" i="39"/>
  <c r="L43" i="39"/>
  <c r="N43" i="39" s="1"/>
  <c r="B43" i="39"/>
  <c r="Z42" i="39"/>
  <c r="X42" i="39"/>
  <c r="L42" i="39"/>
  <c r="N42" i="39" s="1"/>
  <c r="B42" i="39"/>
  <c r="Z41" i="39"/>
  <c r="X41" i="39"/>
  <c r="N41" i="39"/>
  <c r="L41" i="39"/>
  <c r="B41" i="39"/>
  <c r="V40" i="39"/>
  <c r="T40" i="39"/>
  <c r="P40" i="39"/>
  <c r="X40" i="39" s="1"/>
  <c r="N40" i="39"/>
  <c r="L40" i="39"/>
  <c r="H40" i="39"/>
  <c r="D40" i="39"/>
  <c r="B40" i="39"/>
  <c r="T39" i="39"/>
  <c r="X39" i="39" s="1"/>
  <c r="P39" i="39"/>
  <c r="H39" i="39"/>
  <c r="D39" i="39"/>
  <c r="L39" i="39" s="1"/>
  <c r="Z35" i="39"/>
  <c r="X35" i="39"/>
  <c r="N35" i="39"/>
  <c r="L35" i="39"/>
  <c r="B35" i="39"/>
  <c r="Z34" i="39"/>
  <c r="X34" i="39"/>
  <c r="N34" i="39"/>
  <c r="L34" i="39"/>
  <c r="B34" i="39"/>
  <c r="Z33" i="39"/>
  <c r="X33" i="39"/>
  <c r="L33" i="39"/>
  <c r="N33" i="39" s="1"/>
  <c r="B33" i="39"/>
  <c r="X32" i="39"/>
  <c r="Z32" i="39" s="1"/>
  <c r="V32" i="39"/>
  <c r="T32" i="39"/>
  <c r="P32" i="39"/>
  <c r="N32" i="39"/>
  <c r="L32" i="39"/>
  <c r="H32" i="39"/>
  <c r="D32" i="39"/>
  <c r="Z30" i="39"/>
  <c r="P30" i="39"/>
  <c r="X30" i="39" s="1"/>
  <c r="N30" i="39"/>
  <c r="L30" i="39"/>
  <c r="D30" i="39"/>
  <c r="B30" i="39"/>
  <c r="Z29" i="39"/>
  <c r="X29" i="39"/>
  <c r="P29" i="39"/>
  <c r="N29" i="39"/>
  <c r="D29" i="39"/>
  <c r="L29" i="39" s="1"/>
  <c r="B29" i="39"/>
  <c r="Z28" i="39"/>
  <c r="X28" i="39"/>
  <c r="P28" i="39"/>
  <c r="N28" i="39"/>
  <c r="L28" i="39"/>
  <c r="D28" i="39"/>
  <c r="B28" i="39"/>
  <c r="Z27" i="39"/>
  <c r="X27" i="39"/>
  <c r="P27" i="39"/>
  <c r="N27" i="39"/>
  <c r="D27" i="39"/>
  <c r="L27" i="39" s="1"/>
  <c r="B27" i="39"/>
  <c r="Z26" i="39"/>
  <c r="P26" i="39"/>
  <c r="X26" i="39" s="1"/>
  <c r="N26" i="39"/>
  <c r="L26" i="39"/>
  <c r="D26" i="39"/>
  <c r="B26" i="39"/>
  <c r="Z25" i="39"/>
  <c r="P25" i="39"/>
  <c r="X25" i="39" s="1"/>
  <c r="N25" i="39"/>
  <c r="L25" i="39"/>
  <c r="D25" i="39"/>
  <c r="B25" i="39"/>
  <c r="Z24" i="39"/>
  <c r="P24" i="39"/>
  <c r="X24" i="39" s="1"/>
  <c r="N24" i="39"/>
  <c r="L24" i="39"/>
  <c r="D24" i="39"/>
  <c r="B24" i="39"/>
  <c r="Z23" i="39"/>
  <c r="X23" i="39"/>
  <c r="P23" i="39"/>
  <c r="N23" i="39"/>
  <c r="D23" i="39"/>
  <c r="L23" i="39" s="1"/>
  <c r="B23" i="39"/>
  <c r="Z22" i="39"/>
  <c r="P22" i="39"/>
  <c r="X22" i="39" s="1"/>
  <c r="N22" i="39"/>
  <c r="D22" i="39"/>
  <c r="L22" i="39" s="1"/>
  <c r="B22" i="39"/>
  <c r="P21" i="39"/>
  <c r="X21" i="39" s="1"/>
  <c r="Z21" i="39" s="1"/>
  <c r="D21" i="39"/>
  <c r="L21" i="39" s="1"/>
  <c r="N21" i="39" s="1"/>
  <c r="B21" i="39"/>
  <c r="Z20" i="39"/>
  <c r="P20" i="39"/>
  <c r="X20" i="39" s="1"/>
  <c r="N20" i="39"/>
  <c r="L20" i="39"/>
  <c r="D20" i="39"/>
  <c r="B20" i="39"/>
  <c r="Z19" i="39"/>
  <c r="X19" i="39"/>
  <c r="P19" i="39"/>
  <c r="N19" i="39"/>
  <c r="D19" i="39"/>
  <c r="L19" i="39" s="1"/>
  <c r="B19" i="39"/>
  <c r="Z18" i="39"/>
  <c r="P18" i="39"/>
  <c r="X18" i="39" s="1"/>
  <c r="N18" i="39"/>
  <c r="L18" i="39"/>
  <c r="D18" i="39"/>
  <c r="B18" i="39"/>
  <c r="Z17" i="39"/>
  <c r="X17" i="39"/>
  <c r="P17" i="39"/>
  <c r="N17" i="39"/>
  <c r="D17" i="39"/>
  <c r="L17" i="39" s="1"/>
  <c r="B17" i="39"/>
  <c r="Z16" i="39"/>
  <c r="X16" i="39"/>
  <c r="P16" i="39"/>
  <c r="N16" i="39"/>
  <c r="L16" i="39"/>
  <c r="D16" i="39"/>
  <c r="B16" i="39"/>
  <c r="Z15" i="39"/>
  <c r="X15" i="39"/>
  <c r="P15" i="39"/>
  <c r="N15" i="39"/>
  <c r="D15" i="39"/>
  <c r="B15" i="39"/>
  <c r="Z14" i="39"/>
  <c r="P14" i="39"/>
  <c r="X14" i="39" s="1"/>
  <c r="N14" i="39"/>
  <c r="L14" i="39"/>
  <c r="D14" i="39"/>
  <c r="B14" i="39"/>
  <c r="P13" i="39"/>
  <c r="X13" i="39" s="1"/>
  <c r="Z13" i="39" s="1"/>
  <c r="N13" i="39"/>
  <c r="L13" i="39"/>
  <c r="D13" i="39"/>
  <c r="B13" i="39"/>
  <c r="T12" i="39"/>
  <c r="V142" i="39" s="1"/>
  <c r="H12" i="39"/>
  <c r="J136" i="39" s="1"/>
  <c r="D4" i="39"/>
  <c r="X142" i="36"/>
  <c r="Z142" i="36" s="1"/>
  <c r="L142" i="36"/>
  <c r="N142" i="36" s="1"/>
  <c r="Z138" i="36"/>
  <c r="X138" i="36"/>
  <c r="P138" i="36"/>
  <c r="N138" i="36"/>
  <c r="D138" i="36"/>
  <c r="B138" i="36"/>
  <c r="Z137" i="36"/>
  <c r="X137" i="36"/>
  <c r="P137" i="36"/>
  <c r="N137" i="36"/>
  <c r="L137" i="36"/>
  <c r="D137" i="36"/>
  <c r="B137" i="36"/>
  <c r="P136" i="36"/>
  <c r="X136" i="36" s="1"/>
  <c r="Z136" i="36" s="1"/>
  <c r="D136" i="36"/>
  <c r="L136" i="36" s="1"/>
  <c r="N136" i="36" s="1"/>
  <c r="B136" i="36"/>
  <c r="Z135" i="36"/>
  <c r="P135" i="36"/>
  <c r="X135" i="36" s="1"/>
  <c r="N135" i="36"/>
  <c r="L135" i="36"/>
  <c r="D135" i="36"/>
  <c r="B135" i="36"/>
  <c r="X134" i="36"/>
  <c r="T134" i="36"/>
  <c r="P134" i="36"/>
  <c r="H134" i="36"/>
  <c r="X132" i="36"/>
  <c r="Z132" i="36" s="1"/>
  <c r="L132" i="36"/>
  <c r="N132" i="36" s="1"/>
  <c r="B132" i="36"/>
  <c r="T131" i="36"/>
  <c r="P131" i="36"/>
  <c r="X131" i="36" s="1"/>
  <c r="Z131" i="36" s="1"/>
  <c r="L131" i="36"/>
  <c r="H131" i="36"/>
  <c r="N131" i="36" s="1"/>
  <c r="D131" i="36"/>
  <c r="B131" i="36"/>
  <c r="X130" i="36"/>
  <c r="Z130" i="36" s="1"/>
  <c r="L130" i="36"/>
  <c r="N130" i="36" s="1"/>
  <c r="B130" i="36"/>
  <c r="X129" i="36"/>
  <c r="Z129" i="36" s="1"/>
  <c r="N129" i="36"/>
  <c r="L129" i="36"/>
  <c r="B129" i="36"/>
  <c r="X128" i="36"/>
  <c r="Z128" i="36" s="1"/>
  <c r="L128" i="36"/>
  <c r="N128" i="36" s="1"/>
  <c r="B128" i="36"/>
  <c r="Z127" i="36"/>
  <c r="T127" i="36"/>
  <c r="P127" i="36"/>
  <c r="X127" i="36" s="1"/>
  <c r="H127" i="36"/>
  <c r="N127" i="36" s="1"/>
  <c r="D127" i="36"/>
  <c r="L127" i="36" s="1"/>
  <c r="B127" i="36"/>
  <c r="X126" i="36"/>
  <c r="Z126" i="36" s="1"/>
  <c r="N126" i="36"/>
  <c r="L126" i="36"/>
  <c r="B126" i="36"/>
  <c r="V125" i="36"/>
  <c r="T125" i="36"/>
  <c r="P125" i="36"/>
  <c r="X125" i="36" s="1"/>
  <c r="Z125" i="36" s="1"/>
  <c r="N125" i="36"/>
  <c r="L125" i="36"/>
  <c r="H125" i="36"/>
  <c r="D125" i="36"/>
  <c r="B125" i="36"/>
  <c r="X124" i="36"/>
  <c r="Z124" i="36" s="1"/>
  <c r="L124" i="36"/>
  <c r="N124" i="36" s="1"/>
  <c r="B124" i="36"/>
  <c r="Z123" i="36"/>
  <c r="X123" i="36"/>
  <c r="N123" i="36"/>
  <c r="L123" i="36"/>
  <c r="B123" i="36"/>
  <c r="T122" i="36"/>
  <c r="Z122" i="36" s="1"/>
  <c r="P122" i="36"/>
  <c r="X122" i="36" s="1"/>
  <c r="H122" i="36"/>
  <c r="D122" i="36"/>
  <c r="L122" i="36" s="1"/>
  <c r="B122" i="36"/>
  <c r="X121" i="36"/>
  <c r="Z121" i="36" s="1"/>
  <c r="N121" i="36"/>
  <c r="L121" i="36"/>
  <c r="B121" i="36"/>
  <c r="X120" i="36"/>
  <c r="Z120" i="36" s="1"/>
  <c r="L120" i="36"/>
  <c r="N120" i="36" s="1"/>
  <c r="B120" i="36"/>
  <c r="Z119" i="36"/>
  <c r="X119" i="36"/>
  <c r="N119" i="36"/>
  <c r="L119" i="36"/>
  <c r="B119" i="36"/>
  <c r="X118" i="36"/>
  <c r="Z118" i="36" s="1"/>
  <c r="L118" i="36"/>
  <c r="N118" i="36" s="1"/>
  <c r="B118" i="36"/>
  <c r="X117" i="36"/>
  <c r="Z117" i="36" s="1"/>
  <c r="N117" i="36"/>
  <c r="L117" i="36"/>
  <c r="B117" i="36"/>
  <c r="X116" i="36"/>
  <c r="Z116" i="36" s="1"/>
  <c r="L116" i="36"/>
  <c r="N116" i="36" s="1"/>
  <c r="B116" i="36"/>
  <c r="Z115" i="36"/>
  <c r="X115" i="36"/>
  <c r="N115" i="36"/>
  <c r="L115" i="36"/>
  <c r="B115" i="36"/>
  <c r="X114" i="36"/>
  <c r="Z114" i="36" s="1"/>
  <c r="L114" i="36"/>
  <c r="N114" i="36" s="1"/>
  <c r="B114" i="36"/>
  <c r="X113" i="36"/>
  <c r="Z113" i="36" s="1"/>
  <c r="N113" i="36"/>
  <c r="L113" i="36"/>
  <c r="B113" i="36"/>
  <c r="X112" i="36"/>
  <c r="Z112" i="36" s="1"/>
  <c r="L112" i="36"/>
  <c r="N112" i="36" s="1"/>
  <c r="B112" i="36"/>
  <c r="Z111" i="36"/>
  <c r="T111" i="36"/>
  <c r="P111" i="36"/>
  <c r="X111" i="36" s="1"/>
  <c r="H111" i="36"/>
  <c r="D111" i="36"/>
  <c r="L111" i="36" s="1"/>
  <c r="B111" i="36"/>
  <c r="X110" i="36"/>
  <c r="Z110" i="36" s="1"/>
  <c r="N110" i="36"/>
  <c r="L110" i="36"/>
  <c r="B110" i="36"/>
  <c r="Z109" i="36"/>
  <c r="X109" i="36"/>
  <c r="V109" i="36"/>
  <c r="N109" i="36"/>
  <c r="L109" i="36"/>
  <c r="J109" i="36"/>
  <c r="B109" i="36"/>
  <c r="T108" i="36"/>
  <c r="P108" i="36"/>
  <c r="X108" i="36" s="1"/>
  <c r="H108" i="36"/>
  <c r="D108" i="36"/>
  <c r="B108" i="36"/>
  <c r="Z107" i="36"/>
  <c r="X107" i="36"/>
  <c r="N107" i="36"/>
  <c r="L107" i="36"/>
  <c r="B107" i="36"/>
  <c r="Z106" i="36"/>
  <c r="X106" i="36"/>
  <c r="L106" i="36"/>
  <c r="N106" i="36" s="1"/>
  <c r="B106" i="36"/>
  <c r="X105" i="36"/>
  <c r="Z105" i="36" s="1"/>
  <c r="L105" i="36"/>
  <c r="N105" i="36" s="1"/>
  <c r="B105" i="36"/>
  <c r="X104" i="36"/>
  <c r="Z104" i="36" s="1"/>
  <c r="L104" i="36"/>
  <c r="N104" i="36" s="1"/>
  <c r="B104" i="36"/>
  <c r="Z103" i="36"/>
  <c r="X103" i="36"/>
  <c r="N103" i="36"/>
  <c r="L103" i="36"/>
  <c r="B103" i="36"/>
  <c r="T102" i="36"/>
  <c r="Z102" i="36" s="1"/>
  <c r="P102" i="36"/>
  <c r="X102" i="36" s="1"/>
  <c r="H102" i="36"/>
  <c r="D102" i="36"/>
  <c r="L102" i="36" s="1"/>
  <c r="B102" i="36"/>
  <c r="X101" i="36"/>
  <c r="Z101" i="36" s="1"/>
  <c r="N101" i="36"/>
  <c r="L101" i="36"/>
  <c r="B101" i="36"/>
  <c r="X100" i="36"/>
  <c r="Z100" i="36" s="1"/>
  <c r="N100" i="36"/>
  <c r="L100" i="36"/>
  <c r="B100" i="36"/>
  <c r="Z99" i="36"/>
  <c r="X99" i="36"/>
  <c r="N99" i="36"/>
  <c r="L99" i="36"/>
  <c r="B99" i="36"/>
  <c r="X98" i="36"/>
  <c r="Z98" i="36" s="1"/>
  <c r="L98" i="36"/>
  <c r="N98" i="36" s="1"/>
  <c r="B98" i="36"/>
  <c r="T97" i="36"/>
  <c r="P97" i="36"/>
  <c r="X97" i="36" s="1"/>
  <c r="N97" i="36"/>
  <c r="H97" i="36"/>
  <c r="D97" i="36"/>
  <c r="L97" i="36" s="1"/>
  <c r="B97" i="36"/>
  <c r="X96" i="36"/>
  <c r="Z96" i="36" s="1"/>
  <c r="L96" i="36"/>
  <c r="N96" i="36" s="1"/>
  <c r="B96" i="36"/>
  <c r="Z95" i="36"/>
  <c r="X95" i="36"/>
  <c r="N95" i="36"/>
  <c r="L95" i="36"/>
  <c r="B95" i="36"/>
  <c r="X94" i="36"/>
  <c r="Z94" i="36" s="1"/>
  <c r="N94" i="36"/>
  <c r="L94" i="36"/>
  <c r="B94" i="36"/>
  <c r="Z93" i="36"/>
  <c r="X93" i="36"/>
  <c r="L93" i="36"/>
  <c r="N93" i="36" s="1"/>
  <c r="B93" i="36"/>
  <c r="T92" i="36"/>
  <c r="P92" i="36"/>
  <c r="X92" i="36" s="1"/>
  <c r="H92" i="36"/>
  <c r="D92" i="36"/>
  <c r="B92" i="36"/>
  <c r="Z91" i="36"/>
  <c r="X91" i="36"/>
  <c r="N91" i="36"/>
  <c r="L91" i="36"/>
  <c r="B91" i="36"/>
  <c r="T90" i="36"/>
  <c r="P90" i="36"/>
  <c r="X90" i="36" s="1"/>
  <c r="L90" i="36"/>
  <c r="H90" i="36"/>
  <c r="N90" i="36" s="1"/>
  <c r="D90" i="36"/>
  <c r="B90" i="36"/>
  <c r="X89" i="36"/>
  <c r="Z89" i="36" s="1"/>
  <c r="N89" i="36"/>
  <c r="L89" i="36"/>
  <c r="B89" i="36"/>
  <c r="X88" i="36"/>
  <c r="Z88" i="36" s="1"/>
  <c r="T88" i="36"/>
  <c r="P88" i="36"/>
  <c r="H88" i="36"/>
  <c r="D88" i="36"/>
  <c r="B88" i="36"/>
  <c r="Z87" i="36"/>
  <c r="X87" i="36"/>
  <c r="N87" i="36"/>
  <c r="L87" i="36"/>
  <c r="B87" i="36"/>
  <c r="T86" i="36"/>
  <c r="P86" i="36"/>
  <c r="H86" i="36"/>
  <c r="N86" i="36" s="1"/>
  <c r="D86" i="36"/>
  <c r="L86" i="36" s="1"/>
  <c r="B86" i="36"/>
  <c r="Z85" i="36"/>
  <c r="X85" i="36"/>
  <c r="L85" i="36"/>
  <c r="N85" i="36" s="1"/>
  <c r="B85" i="36"/>
  <c r="T84" i="36"/>
  <c r="P84" i="36"/>
  <c r="X84" i="36" s="1"/>
  <c r="H84" i="36"/>
  <c r="N84" i="36" s="1"/>
  <c r="D84" i="36"/>
  <c r="L84" i="36" s="1"/>
  <c r="B84" i="36"/>
  <c r="Z83" i="36"/>
  <c r="X83" i="36"/>
  <c r="N83" i="36"/>
  <c r="L83" i="36"/>
  <c r="B83" i="36"/>
  <c r="T82" i="36"/>
  <c r="P82" i="36"/>
  <c r="L82" i="36"/>
  <c r="N82" i="36" s="1"/>
  <c r="H82" i="36"/>
  <c r="D82" i="36"/>
  <c r="B82" i="36"/>
  <c r="Z81" i="36"/>
  <c r="X81" i="36"/>
  <c r="V81" i="36"/>
  <c r="N81" i="36"/>
  <c r="L81" i="36"/>
  <c r="J81" i="36"/>
  <c r="B81" i="36"/>
  <c r="X80" i="36"/>
  <c r="Z80" i="36" s="1"/>
  <c r="L80" i="36"/>
  <c r="N80" i="36" s="1"/>
  <c r="B80" i="36"/>
  <c r="Z79" i="36"/>
  <c r="X79" i="36"/>
  <c r="T79" i="36"/>
  <c r="P79" i="36"/>
  <c r="J79" i="36"/>
  <c r="H79" i="36"/>
  <c r="D79" i="36"/>
  <c r="L79" i="36" s="1"/>
  <c r="N79" i="36" s="1"/>
  <c r="B79" i="36"/>
  <c r="Z78" i="36"/>
  <c r="X78" i="36"/>
  <c r="L78" i="36"/>
  <c r="N78" i="36" s="1"/>
  <c r="B78" i="36"/>
  <c r="T77" i="36"/>
  <c r="P77" i="36"/>
  <c r="N77" i="36"/>
  <c r="H77" i="36"/>
  <c r="D77" i="36"/>
  <c r="L77" i="36" s="1"/>
  <c r="B77" i="36"/>
  <c r="X76" i="36"/>
  <c r="Z76" i="36" s="1"/>
  <c r="L76" i="36"/>
  <c r="N76" i="36" s="1"/>
  <c r="B76" i="36"/>
  <c r="T75" i="36"/>
  <c r="P75" i="36"/>
  <c r="X75" i="36" s="1"/>
  <c r="Z75" i="36" s="1"/>
  <c r="H75" i="36"/>
  <c r="N75" i="36" s="1"/>
  <c r="D75" i="36"/>
  <c r="L75" i="36" s="1"/>
  <c r="B75" i="36"/>
  <c r="X74" i="36"/>
  <c r="Z74" i="36" s="1"/>
  <c r="N74" i="36"/>
  <c r="L74" i="36"/>
  <c r="B74" i="36"/>
  <c r="T73" i="36"/>
  <c r="P73" i="36"/>
  <c r="X73" i="36" s="1"/>
  <c r="Z73" i="36" s="1"/>
  <c r="N73" i="36"/>
  <c r="L73" i="36"/>
  <c r="H73" i="36"/>
  <c r="D73" i="36"/>
  <c r="B73" i="36"/>
  <c r="X72" i="36"/>
  <c r="Z72" i="36" s="1"/>
  <c r="L72" i="36"/>
  <c r="N72" i="36" s="1"/>
  <c r="B72" i="36"/>
  <c r="Z71" i="36"/>
  <c r="X71" i="36"/>
  <c r="N71" i="36"/>
  <c r="L71" i="36"/>
  <c r="B71" i="36"/>
  <c r="T70" i="36"/>
  <c r="P70" i="36"/>
  <c r="H70" i="36"/>
  <c r="N70" i="36" s="1"/>
  <c r="D70" i="36"/>
  <c r="L70" i="36" s="1"/>
  <c r="B70" i="36"/>
  <c r="Z69" i="36"/>
  <c r="X69" i="36"/>
  <c r="N69" i="36"/>
  <c r="L69" i="36"/>
  <c r="B69" i="36"/>
  <c r="Z68" i="36"/>
  <c r="T68" i="36"/>
  <c r="P68" i="36"/>
  <c r="X68" i="36" s="1"/>
  <c r="H68" i="36"/>
  <c r="N68" i="36" s="1"/>
  <c r="D68" i="36"/>
  <c r="B68" i="36"/>
  <c r="Z67" i="36"/>
  <c r="X67" i="36"/>
  <c r="N67" i="36"/>
  <c r="L67" i="36"/>
  <c r="B67" i="36"/>
  <c r="X66" i="36"/>
  <c r="Z66" i="36" s="1"/>
  <c r="N66" i="36"/>
  <c r="L66" i="36"/>
  <c r="B66" i="36"/>
  <c r="Z65" i="36"/>
  <c r="X65" i="36"/>
  <c r="L65" i="36"/>
  <c r="N65" i="36" s="1"/>
  <c r="B65" i="36"/>
  <c r="X64" i="36"/>
  <c r="Z64" i="36" s="1"/>
  <c r="L64" i="36"/>
  <c r="N64" i="36" s="1"/>
  <c r="B64" i="36"/>
  <c r="Z63" i="36"/>
  <c r="X63" i="36"/>
  <c r="T63" i="36"/>
  <c r="P63" i="36"/>
  <c r="H63" i="36"/>
  <c r="D63" i="36"/>
  <c r="L63" i="36" s="1"/>
  <c r="N63" i="36" s="1"/>
  <c r="B63" i="36"/>
  <c r="Z62" i="36"/>
  <c r="X62" i="36"/>
  <c r="L62" i="36"/>
  <c r="N62" i="36" s="1"/>
  <c r="B62" i="36"/>
  <c r="X61" i="36"/>
  <c r="T61" i="36"/>
  <c r="P61" i="36"/>
  <c r="N61" i="36"/>
  <c r="L61" i="36"/>
  <c r="H61" i="36"/>
  <c r="D61" i="36"/>
  <c r="B61" i="36"/>
  <c r="X60" i="36"/>
  <c r="Z60" i="36" s="1"/>
  <c r="L60" i="36"/>
  <c r="N60" i="36" s="1"/>
  <c r="J60" i="36"/>
  <c r="B60" i="36"/>
  <c r="Z59" i="36"/>
  <c r="X59" i="36"/>
  <c r="N59" i="36"/>
  <c r="L59" i="36"/>
  <c r="B59" i="36"/>
  <c r="T58" i="36"/>
  <c r="P58" i="36"/>
  <c r="L58" i="36"/>
  <c r="N58" i="36" s="1"/>
  <c r="H58" i="36"/>
  <c r="D58" i="36"/>
  <c r="B58" i="36"/>
  <c r="Z57" i="36"/>
  <c r="X57" i="36"/>
  <c r="L57" i="36"/>
  <c r="N57" i="36" s="1"/>
  <c r="J57" i="36"/>
  <c r="B57" i="36"/>
  <c r="X56" i="36"/>
  <c r="T56" i="36"/>
  <c r="P56" i="36"/>
  <c r="H56" i="36"/>
  <c r="D56" i="36"/>
  <c r="L56" i="36" s="1"/>
  <c r="B56" i="36"/>
  <c r="Z55" i="36"/>
  <c r="X55" i="36"/>
  <c r="N55" i="36"/>
  <c r="L55" i="36"/>
  <c r="B55" i="36"/>
  <c r="Z54" i="36"/>
  <c r="X54" i="36"/>
  <c r="N54" i="36"/>
  <c r="L54" i="36"/>
  <c r="B54" i="36"/>
  <c r="X53" i="36"/>
  <c r="Z53" i="36" s="1"/>
  <c r="V53" i="36"/>
  <c r="L53" i="36"/>
  <c r="N53" i="36" s="1"/>
  <c r="B53" i="36"/>
  <c r="Z52" i="36"/>
  <c r="X52" i="36"/>
  <c r="V52" i="36"/>
  <c r="L52" i="36"/>
  <c r="N52" i="36" s="1"/>
  <c r="J52" i="36"/>
  <c r="B52" i="36"/>
  <c r="Z51" i="36"/>
  <c r="X51" i="36"/>
  <c r="N51" i="36"/>
  <c r="L51" i="36"/>
  <c r="B51" i="36"/>
  <c r="Z50" i="36"/>
  <c r="X50" i="36"/>
  <c r="N50" i="36"/>
  <c r="L50" i="36"/>
  <c r="B50" i="36"/>
  <c r="X49" i="36"/>
  <c r="Z49" i="36" s="1"/>
  <c r="V49" i="36"/>
  <c r="L49" i="36"/>
  <c r="N49" i="36" s="1"/>
  <c r="B49" i="36"/>
  <c r="Z48" i="36"/>
  <c r="X48" i="36"/>
  <c r="V48" i="36"/>
  <c r="N48" i="36"/>
  <c r="L48" i="36"/>
  <c r="J48" i="36"/>
  <c r="B48" i="36"/>
  <c r="X47" i="36"/>
  <c r="Z47" i="36" s="1"/>
  <c r="L47" i="36"/>
  <c r="N47" i="36" s="1"/>
  <c r="B47" i="36"/>
  <c r="Z46" i="36"/>
  <c r="X46" i="36"/>
  <c r="N46" i="36"/>
  <c r="L46" i="36"/>
  <c r="B46" i="36"/>
  <c r="T45" i="36"/>
  <c r="P45" i="36"/>
  <c r="X45" i="36" s="1"/>
  <c r="H45" i="36"/>
  <c r="N45" i="36" s="1"/>
  <c r="D45" i="36"/>
  <c r="L45" i="36" s="1"/>
  <c r="B45" i="36"/>
  <c r="X44" i="36"/>
  <c r="Z44" i="36" s="1"/>
  <c r="V44" i="36"/>
  <c r="N44" i="36"/>
  <c r="L44" i="36"/>
  <c r="B44" i="36"/>
  <c r="X43" i="36"/>
  <c r="Z43" i="36" s="1"/>
  <c r="L43" i="36"/>
  <c r="N43" i="36" s="1"/>
  <c r="B43" i="36"/>
  <c r="Z42" i="36"/>
  <c r="X42" i="36"/>
  <c r="N42" i="36"/>
  <c r="L42" i="36"/>
  <c r="B42" i="36"/>
  <c r="Z41" i="36"/>
  <c r="X41" i="36"/>
  <c r="N41" i="36"/>
  <c r="L41" i="36"/>
  <c r="B41" i="36"/>
  <c r="X40" i="36"/>
  <c r="Z40" i="36" s="1"/>
  <c r="V40" i="36"/>
  <c r="N40" i="36"/>
  <c r="L40" i="36"/>
  <c r="B40" i="36"/>
  <c r="X39" i="36"/>
  <c r="Z39" i="36" s="1"/>
  <c r="L39" i="36"/>
  <c r="N39" i="36" s="1"/>
  <c r="B39" i="36"/>
  <c r="Z38" i="36"/>
  <c r="X38" i="36"/>
  <c r="V38" i="36"/>
  <c r="N38" i="36"/>
  <c r="L38" i="36"/>
  <c r="B38" i="36"/>
  <c r="X37" i="36"/>
  <c r="Z37" i="36" s="1"/>
  <c r="L37" i="36"/>
  <c r="N37" i="36" s="1"/>
  <c r="B37" i="36"/>
  <c r="X36" i="36"/>
  <c r="Z36" i="36" s="1"/>
  <c r="V36" i="36"/>
  <c r="N36" i="36"/>
  <c r="L36" i="36"/>
  <c r="B36" i="36"/>
  <c r="X35" i="36"/>
  <c r="Z35" i="36" s="1"/>
  <c r="N35" i="36"/>
  <c r="L35" i="36"/>
  <c r="B35" i="36"/>
  <c r="Z34" i="36"/>
  <c r="X34" i="36"/>
  <c r="V34" i="36"/>
  <c r="T34" i="36"/>
  <c r="P34" i="36"/>
  <c r="L34" i="36"/>
  <c r="J34" i="36"/>
  <c r="H34" i="36"/>
  <c r="D34" i="36"/>
  <c r="B34" i="36"/>
  <c r="T33" i="36"/>
  <c r="P33" i="36"/>
  <c r="H33" i="36"/>
  <c r="D33" i="36"/>
  <c r="L33" i="36" s="1"/>
  <c r="N33" i="36" s="1"/>
  <c r="Z29" i="36"/>
  <c r="X29" i="36"/>
  <c r="N29" i="36"/>
  <c r="L29" i="36"/>
  <c r="J29" i="36"/>
  <c r="B29" i="36"/>
  <c r="Z28" i="36"/>
  <c r="X28" i="36"/>
  <c r="V28" i="36"/>
  <c r="N28" i="36"/>
  <c r="L28" i="36"/>
  <c r="J28" i="36"/>
  <c r="B28" i="36"/>
  <c r="X27" i="36"/>
  <c r="Z27" i="36" s="1"/>
  <c r="L27" i="36"/>
  <c r="N27" i="36" s="1"/>
  <c r="B27" i="36"/>
  <c r="T26" i="36"/>
  <c r="P26" i="36"/>
  <c r="N26" i="36"/>
  <c r="L26" i="36"/>
  <c r="H26" i="36"/>
  <c r="D26" i="36"/>
  <c r="Z24" i="36"/>
  <c r="P24" i="36"/>
  <c r="X24" i="36" s="1"/>
  <c r="N24" i="36"/>
  <c r="L24" i="36"/>
  <c r="D24" i="36"/>
  <c r="B24" i="36"/>
  <c r="Z23" i="36"/>
  <c r="X23" i="36"/>
  <c r="P23" i="36"/>
  <c r="N23" i="36"/>
  <c r="D23" i="36"/>
  <c r="L23" i="36" s="1"/>
  <c r="B23" i="36"/>
  <c r="Z22" i="36"/>
  <c r="P22" i="36"/>
  <c r="X22" i="36" s="1"/>
  <c r="N22" i="36"/>
  <c r="L22" i="36"/>
  <c r="D22" i="36"/>
  <c r="B22" i="36"/>
  <c r="Z21" i="36"/>
  <c r="X21" i="36"/>
  <c r="P21" i="36"/>
  <c r="N21" i="36"/>
  <c r="D21" i="36"/>
  <c r="L21" i="36" s="1"/>
  <c r="B21" i="36"/>
  <c r="Z20" i="36"/>
  <c r="P20" i="36"/>
  <c r="X20" i="36" s="1"/>
  <c r="N20" i="36"/>
  <c r="L20" i="36"/>
  <c r="D20" i="36"/>
  <c r="B20" i="36"/>
  <c r="X19" i="36"/>
  <c r="Z19" i="36" s="1"/>
  <c r="P19" i="36"/>
  <c r="D19" i="36"/>
  <c r="L19" i="36" s="1"/>
  <c r="N19" i="36" s="1"/>
  <c r="B19" i="36"/>
  <c r="Z18" i="36"/>
  <c r="P18" i="36"/>
  <c r="X18" i="36" s="1"/>
  <c r="N18" i="36"/>
  <c r="L18" i="36"/>
  <c r="D18" i="36"/>
  <c r="B18" i="36"/>
  <c r="Z17" i="36"/>
  <c r="P17" i="36"/>
  <c r="X17" i="36" s="1"/>
  <c r="N17" i="36"/>
  <c r="D17" i="36"/>
  <c r="L17" i="36" s="1"/>
  <c r="B17" i="36"/>
  <c r="Z16" i="36"/>
  <c r="P16" i="36"/>
  <c r="X16" i="36" s="1"/>
  <c r="N16" i="36"/>
  <c r="L16" i="36"/>
  <c r="D16" i="36"/>
  <c r="B16" i="36"/>
  <c r="Z15" i="36"/>
  <c r="X15" i="36"/>
  <c r="P15" i="36"/>
  <c r="N15" i="36"/>
  <c r="D15" i="36"/>
  <c r="L15" i="36" s="1"/>
  <c r="B15" i="36"/>
  <c r="Z14" i="36"/>
  <c r="P14" i="36"/>
  <c r="X14" i="36" s="1"/>
  <c r="N14" i="36"/>
  <c r="D14" i="36"/>
  <c r="L14" i="36" s="1"/>
  <c r="B14" i="36"/>
  <c r="X13" i="36"/>
  <c r="Z13" i="36" s="1"/>
  <c r="P13" i="36"/>
  <c r="D13" i="36"/>
  <c r="B13" i="36"/>
  <c r="T12" i="36"/>
  <c r="V27" i="36" s="1"/>
  <c r="H12" i="36"/>
  <c r="J58" i="36" s="1"/>
  <c r="D4" i="36"/>
  <c r="X111" i="33"/>
  <c r="Z111" i="33" s="1"/>
  <c r="N111" i="33"/>
  <c r="L111" i="33"/>
  <c r="Z107" i="33"/>
  <c r="X107" i="33"/>
  <c r="P107" i="33"/>
  <c r="N107" i="33"/>
  <c r="D107" i="33"/>
  <c r="L107" i="33" s="1"/>
  <c r="B107" i="33"/>
  <c r="P106" i="33"/>
  <c r="X106" i="33" s="1"/>
  <c r="Z106" i="33" s="1"/>
  <c r="D106" i="33"/>
  <c r="L106" i="33" s="1"/>
  <c r="N106" i="33" s="1"/>
  <c r="B106" i="33"/>
  <c r="X105" i="33"/>
  <c r="Z105" i="33" s="1"/>
  <c r="P105" i="33"/>
  <c r="D105" i="33"/>
  <c r="L105" i="33" s="1"/>
  <c r="N105" i="33" s="1"/>
  <c r="B105" i="33"/>
  <c r="Z104" i="33"/>
  <c r="P104" i="33"/>
  <c r="X104" i="33" s="1"/>
  <c r="N104" i="33"/>
  <c r="L104" i="33"/>
  <c r="D104" i="33"/>
  <c r="B104" i="33"/>
  <c r="Z103" i="33"/>
  <c r="X103" i="33"/>
  <c r="P103" i="33"/>
  <c r="N103" i="33"/>
  <c r="D103" i="33"/>
  <c r="L103" i="33" s="1"/>
  <c r="B103" i="33"/>
  <c r="Z102" i="33"/>
  <c r="X102" i="33"/>
  <c r="V102" i="33"/>
  <c r="P102" i="33"/>
  <c r="P100" i="33" s="1"/>
  <c r="N102" i="33"/>
  <c r="L102" i="33"/>
  <c r="D102" i="33"/>
  <c r="B102" i="33"/>
  <c r="Z101" i="33"/>
  <c r="X101" i="33"/>
  <c r="V101" i="33"/>
  <c r="P101" i="33"/>
  <c r="N101" i="33"/>
  <c r="D101" i="33"/>
  <c r="L101" i="33" s="1"/>
  <c r="B101" i="33"/>
  <c r="T100" i="33"/>
  <c r="H100" i="33"/>
  <c r="Z98" i="33"/>
  <c r="X98" i="33"/>
  <c r="N98" i="33"/>
  <c r="L98" i="33"/>
  <c r="B98" i="33"/>
  <c r="T97" i="33"/>
  <c r="Z97" i="33" s="1"/>
  <c r="P97" i="33"/>
  <c r="N97" i="33"/>
  <c r="L97" i="33"/>
  <c r="H97" i="33"/>
  <c r="D97" i="33"/>
  <c r="B97" i="33"/>
  <c r="Z96" i="33"/>
  <c r="X96" i="33"/>
  <c r="N96" i="33"/>
  <c r="L96" i="33"/>
  <c r="B96" i="33"/>
  <c r="X95" i="33"/>
  <c r="Z95" i="33" s="1"/>
  <c r="L95" i="33"/>
  <c r="N95" i="33" s="1"/>
  <c r="B95" i="33"/>
  <c r="T94" i="33"/>
  <c r="P94" i="33"/>
  <c r="X94" i="33" s="1"/>
  <c r="Z94" i="33" s="1"/>
  <c r="H94" i="33"/>
  <c r="D94" i="33"/>
  <c r="L94" i="33" s="1"/>
  <c r="N94" i="33" s="1"/>
  <c r="B94" i="33"/>
  <c r="X93" i="33"/>
  <c r="Z93" i="33" s="1"/>
  <c r="L93" i="33"/>
  <c r="N93" i="33" s="1"/>
  <c r="B93" i="33"/>
  <c r="Z92" i="33"/>
  <c r="X92" i="33"/>
  <c r="V92" i="33"/>
  <c r="N92" i="33"/>
  <c r="L92" i="33"/>
  <c r="B92" i="33"/>
  <c r="X91" i="33"/>
  <c r="Z91" i="33" s="1"/>
  <c r="N91" i="33"/>
  <c r="L91" i="33"/>
  <c r="B91" i="33"/>
  <c r="Z90" i="33"/>
  <c r="X90" i="33"/>
  <c r="N90" i="33"/>
  <c r="L90" i="33"/>
  <c r="B90" i="33"/>
  <c r="Z89" i="33"/>
  <c r="X89" i="33"/>
  <c r="N89" i="33"/>
  <c r="L89" i="33"/>
  <c r="B89" i="33"/>
  <c r="X88" i="33"/>
  <c r="Z88" i="33" s="1"/>
  <c r="V88" i="33"/>
  <c r="T88" i="33"/>
  <c r="P88" i="33"/>
  <c r="H88" i="33"/>
  <c r="D88" i="33"/>
  <c r="L88" i="33" s="1"/>
  <c r="N88" i="33" s="1"/>
  <c r="B88" i="33"/>
  <c r="Z87" i="33"/>
  <c r="X87" i="33"/>
  <c r="N87" i="33"/>
  <c r="L87" i="33"/>
  <c r="B87" i="33"/>
  <c r="Z86" i="33"/>
  <c r="X86" i="33"/>
  <c r="N86" i="33"/>
  <c r="L86" i="33"/>
  <c r="B86" i="33"/>
  <c r="T85" i="33"/>
  <c r="P85" i="33"/>
  <c r="N85" i="33"/>
  <c r="L85" i="33"/>
  <c r="H85" i="33"/>
  <c r="D85" i="33"/>
  <c r="B85" i="33"/>
  <c r="Z84" i="33"/>
  <c r="X84" i="33"/>
  <c r="N84" i="33"/>
  <c r="L84" i="33"/>
  <c r="B84" i="33"/>
  <c r="X83" i="33"/>
  <c r="Z83" i="33" s="1"/>
  <c r="L83" i="33"/>
  <c r="N83" i="33" s="1"/>
  <c r="B83" i="33"/>
  <c r="Z82" i="33"/>
  <c r="T82" i="33"/>
  <c r="P82" i="33"/>
  <c r="X82" i="33" s="1"/>
  <c r="H82" i="33"/>
  <c r="D82" i="33"/>
  <c r="L82" i="33" s="1"/>
  <c r="N82" i="33" s="1"/>
  <c r="B82" i="33"/>
  <c r="X81" i="33"/>
  <c r="Z81" i="33" s="1"/>
  <c r="L81" i="33"/>
  <c r="N81" i="33" s="1"/>
  <c r="B81" i="33"/>
  <c r="X80" i="33"/>
  <c r="Z80" i="33" s="1"/>
  <c r="V80" i="33"/>
  <c r="T80" i="33"/>
  <c r="P80" i="33"/>
  <c r="H80" i="33"/>
  <c r="D80" i="33"/>
  <c r="L80" i="33" s="1"/>
  <c r="N80" i="33" s="1"/>
  <c r="B80" i="33"/>
  <c r="X79" i="33"/>
  <c r="Z79" i="33" s="1"/>
  <c r="L79" i="33"/>
  <c r="N79" i="33" s="1"/>
  <c r="B79" i="33"/>
  <c r="T78" i="33"/>
  <c r="P78" i="33"/>
  <c r="H78" i="33"/>
  <c r="D78" i="33"/>
  <c r="L78" i="33" s="1"/>
  <c r="N78" i="33" s="1"/>
  <c r="B78" i="33"/>
  <c r="Z77" i="33"/>
  <c r="X77" i="33"/>
  <c r="V77" i="33"/>
  <c r="N77" i="33"/>
  <c r="L77" i="33"/>
  <c r="B77" i="33"/>
  <c r="Z76" i="33"/>
  <c r="X76" i="33"/>
  <c r="L76" i="33"/>
  <c r="N76" i="33" s="1"/>
  <c r="J76" i="33"/>
  <c r="B76" i="33"/>
  <c r="T75" i="33"/>
  <c r="P75" i="33"/>
  <c r="X75" i="33" s="1"/>
  <c r="H75" i="33"/>
  <c r="D75" i="33"/>
  <c r="B75" i="33"/>
  <c r="Z74" i="33"/>
  <c r="X74" i="33"/>
  <c r="N74" i="33"/>
  <c r="L74" i="33"/>
  <c r="B74" i="33"/>
  <c r="T73" i="33"/>
  <c r="X73" i="33" s="1"/>
  <c r="P73" i="33"/>
  <c r="H73" i="33"/>
  <c r="D73" i="33"/>
  <c r="L73" i="33" s="1"/>
  <c r="N73" i="33" s="1"/>
  <c r="B73" i="33"/>
  <c r="Z72" i="33"/>
  <c r="X72" i="33"/>
  <c r="N72" i="33"/>
  <c r="L72" i="33"/>
  <c r="B72" i="33"/>
  <c r="Z71" i="33"/>
  <c r="X71" i="33"/>
  <c r="T71" i="33"/>
  <c r="P71" i="33"/>
  <c r="H71" i="33"/>
  <c r="D71" i="33"/>
  <c r="B71" i="33"/>
  <c r="Z70" i="33"/>
  <c r="X70" i="33"/>
  <c r="N70" i="33"/>
  <c r="L70" i="33"/>
  <c r="B70" i="33"/>
  <c r="V69" i="33"/>
  <c r="T69" i="33"/>
  <c r="P69" i="33"/>
  <c r="X69" i="33" s="1"/>
  <c r="H69" i="33"/>
  <c r="D69" i="33"/>
  <c r="L69" i="33" s="1"/>
  <c r="B69" i="33"/>
  <c r="Z68" i="33"/>
  <c r="X68" i="33"/>
  <c r="V68" i="33"/>
  <c r="N68" i="33"/>
  <c r="L68" i="33"/>
  <c r="B68" i="33"/>
  <c r="T67" i="33"/>
  <c r="Z67" i="33" s="1"/>
  <c r="P67" i="33"/>
  <c r="X67" i="33" s="1"/>
  <c r="H67" i="33"/>
  <c r="L67" i="33" s="1"/>
  <c r="D67" i="33"/>
  <c r="B67" i="33"/>
  <c r="Z66" i="33"/>
  <c r="X66" i="33"/>
  <c r="N66" i="33"/>
  <c r="L66" i="33"/>
  <c r="B66" i="33"/>
  <c r="T65" i="33"/>
  <c r="P65" i="33"/>
  <c r="N65" i="33"/>
  <c r="L65" i="33"/>
  <c r="H65" i="33"/>
  <c r="D65" i="33"/>
  <c r="B65" i="33"/>
  <c r="Z64" i="33"/>
  <c r="X64" i="33"/>
  <c r="N64" i="33"/>
  <c r="L64" i="33"/>
  <c r="J64" i="33"/>
  <c r="B64" i="33"/>
  <c r="Z63" i="33"/>
  <c r="X63" i="33"/>
  <c r="N63" i="33"/>
  <c r="L63" i="33"/>
  <c r="B63" i="33"/>
  <c r="Z62" i="33"/>
  <c r="X62" i="33"/>
  <c r="N62" i="33"/>
  <c r="L62" i="33"/>
  <c r="B62" i="33"/>
  <c r="X61" i="33"/>
  <c r="Z61" i="33" s="1"/>
  <c r="V61" i="33"/>
  <c r="L61" i="33"/>
  <c r="N61" i="33" s="1"/>
  <c r="B61" i="33"/>
  <c r="Z60" i="33"/>
  <c r="X60" i="33"/>
  <c r="N60" i="33"/>
  <c r="L60" i="33"/>
  <c r="B60" i="33"/>
  <c r="Z59" i="33"/>
  <c r="X59" i="33"/>
  <c r="N59" i="33"/>
  <c r="L59" i="33"/>
  <c r="B59" i="33"/>
  <c r="Z58" i="33"/>
  <c r="X58" i="33"/>
  <c r="N58" i="33"/>
  <c r="L58" i="33"/>
  <c r="B58" i="33"/>
  <c r="Z57" i="33"/>
  <c r="X57" i="33"/>
  <c r="V57" i="33"/>
  <c r="N57" i="33"/>
  <c r="L57" i="33"/>
  <c r="B57" i="33"/>
  <c r="Z56" i="33"/>
  <c r="X56" i="33"/>
  <c r="L56" i="33"/>
  <c r="N56" i="33" s="1"/>
  <c r="B56" i="33"/>
  <c r="X55" i="33"/>
  <c r="Z55" i="33" s="1"/>
  <c r="L55" i="33"/>
  <c r="N55" i="33" s="1"/>
  <c r="B55" i="33"/>
  <c r="Z54" i="33"/>
  <c r="T54" i="33"/>
  <c r="P54" i="33"/>
  <c r="X54" i="33" s="1"/>
  <c r="H54" i="33"/>
  <c r="D54" i="33"/>
  <c r="L54" i="33" s="1"/>
  <c r="N54" i="33" s="1"/>
  <c r="B54" i="33"/>
  <c r="X53" i="33"/>
  <c r="Z53" i="33" s="1"/>
  <c r="L53" i="33"/>
  <c r="N53" i="33" s="1"/>
  <c r="B53" i="33"/>
  <c r="X52" i="33"/>
  <c r="Z52" i="33" s="1"/>
  <c r="V52" i="33"/>
  <c r="N52" i="33"/>
  <c r="L52" i="33"/>
  <c r="B52" i="33"/>
  <c r="X51" i="33"/>
  <c r="Z51" i="33" s="1"/>
  <c r="N51" i="33"/>
  <c r="L51" i="33"/>
  <c r="B51" i="33"/>
  <c r="Z50" i="33"/>
  <c r="X50" i="33"/>
  <c r="N50" i="33"/>
  <c r="L50" i="33"/>
  <c r="B50" i="33"/>
  <c r="X49" i="33"/>
  <c r="Z49" i="33" s="1"/>
  <c r="L49" i="33"/>
  <c r="N49" i="33" s="1"/>
  <c r="B49" i="33"/>
  <c r="X48" i="33"/>
  <c r="Z48" i="33" s="1"/>
  <c r="V48" i="33"/>
  <c r="N48" i="33"/>
  <c r="L48" i="33"/>
  <c r="B48" i="33"/>
  <c r="X47" i="33"/>
  <c r="Z47" i="33" s="1"/>
  <c r="N47" i="33"/>
  <c r="L47" i="33"/>
  <c r="B47" i="33"/>
  <c r="Z46" i="33"/>
  <c r="X46" i="33"/>
  <c r="N46" i="33"/>
  <c r="L46" i="33"/>
  <c r="B46" i="33"/>
  <c r="X45" i="33"/>
  <c r="Z45" i="33" s="1"/>
  <c r="L45" i="33"/>
  <c r="N45" i="33" s="1"/>
  <c r="B45" i="33"/>
  <c r="X44" i="33"/>
  <c r="Z44" i="33" s="1"/>
  <c r="V44" i="33"/>
  <c r="T44" i="33"/>
  <c r="P44" i="33"/>
  <c r="H44" i="33"/>
  <c r="D44" i="33"/>
  <c r="L44" i="33" s="1"/>
  <c r="N44" i="33" s="1"/>
  <c r="B44" i="33"/>
  <c r="T43" i="33"/>
  <c r="P43" i="33"/>
  <c r="X43" i="33" s="1"/>
  <c r="Z43" i="33" s="1"/>
  <c r="H43" i="33"/>
  <c r="D43" i="33"/>
  <c r="Z39" i="33"/>
  <c r="X39" i="33"/>
  <c r="N39" i="33"/>
  <c r="L39" i="33"/>
  <c r="B39" i="33"/>
  <c r="Z38" i="33"/>
  <c r="X38" i="33"/>
  <c r="N38" i="33"/>
  <c r="L38" i="33"/>
  <c r="B38" i="33"/>
  <c r="Z37" i="33"/>
  <c r="X37" i="33"/>
  <c r="N37" i="33"/>
  <c r="L37" i="33"/>
  <c r="B37" i="33"/>
  <c r="Z36" i="33"/>
  <c r="X36" i="33"/>
  <c r="N36" i="33"/>
  <c r="L36" i="33"/>
  <c r="B36" i="33"/>
  <c r="Z35" i="33"/>
  <c r="X35" i="33"/>
  <c r="N35" i="33"/>
  <c r="L35" i="33"/>
  <c r="B35" i="33"/>
  <c r="Z34" i="33"/>
  <c r="X34" i="33"/>
  <c r="N34" i="33"/>
  <c r="L34" i="33"/>
  <c r="B34" i="33"/>
  <c r="T33" i="33"/>
  <c r="P33" i="33"/>
  <c r="L33" i="33"/>
  <c r="N33" i="33" s="1"/>
  <c r="H33" i="33"/>
  <c r="D33" i="33"/>
  <c r="Z31" i="33"/>
  <c r="X31" i="33"/>
  <c r="P31" i="33"/>
  <c r="N31" i="33"/>
  <c r="D31" i="33"/>
  <c r="L31" i="33" s="1"/>
  <c r="B31" i="33"/>
  <c r="Z30" i="33"/>
  <c r="P30" i="33"/>
  <c r="X30" i="33" s="1"/>
  <c r="N30" i="33"/>
  <c r="L30" i="33"/>
  <c r="D30" i="33"/>
  <c r="B30" i="33"/>
  <c r="Z29" i="33"/>
  <c r="X29" i="33"/>
  <c r="P29" i="33"/>
  <c r="N29" i="33"/>
  <c r="D29" i="33"/>
  <c r="L29" i="33" s="1"/>
  <c r="B29" i="33"/>
  <c r="Z28" i="33"/>
  <c r="P28" i="33"/>
  <c r="X28" i="33" s="1"/>
  <c r="N28" i="33"/>
  <c r="L28" i="33"/>
  <c r="D28" i="33"/>
  <c r="B28" i="33"/>
  <c r="Z27" i="33"/>
  <c r="P27" i="33"/>
  <c r="X27" i="33" s="1"/>
  <c r="N27" i="33"/>
  <c r="D27" i="33"/>
  <c r="L27" i="33" s="1"/>
  <c r="B27" i="33"/>
  <c r="Z26" i="33"/>
  <c r="P26" i="33"/>
  <c r="X26" i="33" s="1"/>
  <c r="N26" i="33"/>
  <c r="L26" i="33"/>
  <c r="D26" i="33"/>
  <c r="B26" i="33"/>
  <c r="Z25" i="33"/>
  <c r="X25" i="33"/>
  <c r="P25" i="33"/>
  <c r="N25" i="33"/>
  <c r="D25" i="33"/>
  <c r="L25" i="33" s="1"/>
  <c r="B25" i="33"/>
  <c r="Z24" i="33"/>
  <c r="P24" i="33"/>
  <c r="X24" i="33" s="1"/>
  <c r="N24" i="33"/>
  <c r="D24" i="33"/>
  <c r="L24" i="33" s="1"/>
  <c r="B24" i="33"/>
  <c r="Z23" i="33"/>
  <c r="X23" i="33"/>
  <c r="P23" i="33"/>
  <c r="N23" i="33"/>
  <c r="D23" i="33"/>
  <c r="L23" i="33" s="1"/>
  <c r="B23" i="33"/>
  <c r="Z22" i="33"/>
  <c r="P22" i="33"/>
  <c r="X22" i="33" s="1"/>
  <c r="N22" i="33"/>
  <c r="L22" i="33"/>
  <c r="D22" i="33"/>
  <c r="B22" i="33"/>
  <c r="X21" i="33"/>
  <c r="Z21" i="33" s="1"/>
  <c r="P21" i="33"/>
  <c r="D21" i="33"/>
  <c r="L21" i="33" s="1"/>
  <c r="N21" i="33" s="1"/>
  <c r="B21" i="33"/>
  <c r="Z20" i="33"/>
  <c r="P20" i="33"/>
  <c r="X20" i="33" s="1"/>
  <c r="N20" i="33"/>
  <c r="L20" i="33"/>
  <c r="D20" i="33"/>
  <c r="B20" i="33"/>
  <c r="Z19" i="33"/>
  <c r="X19" i="33"/>
  <c r="P19" i="33"/>
  <c r="N19" i="33"/>
  <c r="D19" i="33"/>
  <c r="L19" i="33" s="1"/>
  <c r="B19" i="33"/>
  <c r="Z18" i="33"/>
  <c r="P18" i="33"/>
  <c r="X18" i="33" s="1"/>
  <c r="N18" i="33"/>
  <c r="L18" i="33"/>
  <c r="D18" i="33"/>
  <c r="B18" i="33"/>
  <c r="Z17" i="33"/>
  <c r="X17" i="33"/>
  <c r="P17" i="33"/>
  <c r="N17" i="33"/>
  <c r="D17" i="33"/>
  <c r="L17" i="33" s="1"/>
  <c r="B17" i="33"/>
  <c r="Z16" i="33"/>
  <c r="P16" i="33"/>
  <c r="X16" i="33" s="1"/>
  <c r="N16" i="33"/>
  <c r="L16" i="33"/>
  <c r="D16" i="33"/>
  <c r="B16" i="33"/>
  <c r="Z15" i="33"/>
  <c r="P15" i="33"/>
  <c r="X15" i="33" s="1"/>
  <c r="N15" i="33"/>
  <c r="D15" i="33"/>
  <c r="L15" i="33" s="1"/>
  <c r="B15" i="33"/>
  <c r="Z14" i="33"/>
  <c r="P14" i="33"/>
  <c r="X14" i="33" s="1"/>
  <c r="N14" i="33"/>
  <c r="L14" i="33"/>
  <c r="D14" i="33"/>
  <c r="B14" i="33"/>
  <c r="X13" i="33"/>
  <c r="Z13" i="33" s="1"/>
  <c r="P13" i="33"/>
  <c r="D13" i="33"/>
  <c r="L13" i="33" s="1"/>
  <c r="N13" i="33" s="1"/>
  <c r="B13" i="33"/>
  <c r="T12" i="33"/>
  <c r="V104" i="33" s="1"/>
  <c r="H12" i="33"/>
  <c r="D4" i="33"/>
  <c r="X159" i="30"/>
  <c r="Z159" i="30" s="1"/>
  <c r="L159" i="30"/>
  <c r="N159" i="30" s="1"/>
  <c r="X155" i="30"/>
  <c r="Z155" i="30" s="1"/>
  <c r="P155" i="30"/>
  <c r="J155" i="30"/>
  <c r="D155" i="30"/>
  <c r="L155" i="30" s="1"/>
  <c r="N155" i="30" s="1"/>
  <c r="B155" i="30"/>
  <c r="P154" i="30"/>
  <c r="P152" i="30" s="1"/>
  <c r="X152" i="30" s="1"/>
  <c r="Z152" i="30" s="1"/>
  <c r="L154" i="30"/>
  <c r="N154" i="30" s="1"/>
  <c r="D154" i="30"/>
  <c r="B154" i="30"/>
  <c r="X153" i="30"/>
  <c r="Z153" i="30" s="1"/>
  <c r="P153" i="30"/>
  <c r="D153" i="30"/>
  <c r="B153" i="30"/>
  <c r="T152" i="30"/>
  <c r="H152" i="30"/>
  <c r="X150" i="30"/>
  <c r="Z150" i="30" s="1"/>
  <c r="N150" i="30"/>
  <c r="L150" i="30"/>
  <c r="B150" i="30"/>
  <c r="X149" i="30"/>
  <c r="T149" i="30"/>
  <c r="P149" i="30"/>
  <c r="H149" i="30"/>
  <c r="L149" i="30" s="1"/>
  <c r="D149" i="30"/>
  <c r="B149" i="30"/>
  <c r="Z148" i="30"/>
  <c r="X148" i="30"/>
  <c r="N148" i="30"/>
  <c r="L148" i="30"/>
  <c r="B148" i="30"/>
  <c r="Z147" i="30"/>
  <c r="X147" i="30"/>
  <c r="N147" i="30"/>
  <c r="L147" i="30"/>
  <c r="B147" i="30"/>
  <c r="Z146" i="30"/>
  <c r="X146" i="30"/>
  <c r="T146" i="30"/>
  <c r="P146" i="30"/>
  <c r="H146" i="30"/>
  <c r="N146" i="30" s="1"/>
  <c r="D146" i="30"/>
  <c r="L146" i="30" s="1"/>
  <c r="B146" i="30"/>
  <c r="X145" i="30"/>
  <c r="Z145" i="30" s="1"/>
  <c r="L145" i="30"/>
  <c r="N145" i="30" s="1"/>
  <c r="B145" i="30"/>
  <c r="T144" i="30"/>
  <c r="P144" i="30"/>
  <c r="X144" i="30" s="1"/>
  <c r="Z144" i="30" s="1"/>
  <c r="J144" i="30"/>
  <c r="H144" i="30"/>
  <c r="D144" i="30"/>
  <c r="L144" i="30" s="1"/>
  <c r="N144" i="30" s="1"/>
  <c r="B144" i="30"/>
  <c r="X143" i="30"/>
  <c r="Z143" i="30" s="1"/>
  <c r="L143" i="30"/>
  <c r="N143" i="30" s="1"/>
  <c r="B143" i="30"/>
  <c r="X142" i="30"/>
  <c r="Z142" i="30" s="1"/>
  <c r="N142" i="30"/>
  <c r="L142" i="30"/>
  <c r="B142" i="30"/>
  <c r="T141" i="30"/>
  <c r="P141" i="30"/>
  <c r="X141" i="30" s="1"/>
  <c r="H141" i="30"/>
  <c r="L141" i="30" s="1"/>
  <c r="D141" i="30"/>
  <c r="B141" i="30"/>
  <c r="Z140" i="30"/>
  <c r="X140" i="30"/>
  <c r="N140" i="30"/>
  <c r="L140" i="30"/>
  <c r="B140" i="30"/>
  <c r="X139" i="30"/>
  <c r="Z139" i="30" s="1"/>
  <c r="N139" i="30"/>
  <c r="L139" i="30"/>
  <c r="B139" i="30"/>
  <c r="Z138" i="30"/>
  <c r="X138" i="30"/>
  <c r="N138" i="30"/>
  <c r="L138" i="30"/>
  <c r="B138" i="30"/>
  <c r="X137" i="30"/>
  <c r="Z137" i="30" s="1"/>
  <c r="L137" i="30"/>
  <c r="N137" i="30" s="1"/>
  <c r="B137" i="30"/>
  <c r="Z136" i="30"/>
  <c r="X136" i="30"/>
  <c r="N136" i="30"/>
  <c r="L136" i="30"/>
  <c r="B136" i="30"/>
  <c r="X135" i="30"/>
  <c r="Z135" i="30" s="1"/>
  <c r="L135" i="30"/>
  <c r="N135" i="30" s="1"/>
  <c r="B135" i="30"/>
  <c r="Z134" i="30"/>
  <c r="X134" i="30"/>
  <c r="T134" i="30"/>
  <c r="P134" i="30"/>
  <c r="H134" i="30"/>
  <c r="D134" i="30"/>
  <c r="B134" i="30"/>
  <c r="X133" i="30"/>
  <c r="Z133" i="30" s="1"/>
  <c r="L133" i="30"/>
  <c r="N133" i="30" s="1"/>
  <c r="B133" i="30"/>
  <c r="Z132" i="30"/>
  <c r="X132" i="30"/>
  <c r="N132" i="30"/>
  <c r="L132" i="30"/>
  <c r="B132" i="30"/>
  <c r="V131" i="30"/>
  <c r="T131" i="30"/>
  <c r="P131" i="30"/>
  <c r="X131" i="30" s="1"/>
  <c r="H131" i="30"/>
  <c r="D131" i="30"/>
  <c r="L131" i="30" s="1"/>
  <c r="B131" i="30"/>
  <c r="X130" i="30"/>
  <c r="Z130" i="30" s="1"/>
  <c r="N130" i="30"/>
  <c r="L130" i="30"/>
  <c r="B130" i="30"/>
  <c r="X129" i="30"/>
  <c r="Z129" i="30" s="1"/>
  <c r="N129" i="30"/>
  <c r="L129" i="30"/>
  <c r="B129" i="30"/>
  <c r="Z128" i="30"/>
  <c r="X128" i="30"/>
  <c r="N128" i="30"/>
  <c r="L128" i="30"/>
  <c r="B128" i="30"/>
  <c r="T127" i="30"/>
  <c r="X127" i="30" s="1"/>
  <c r="P127" i="30"/>
  <c r="L127" i="30"/>
  <c r="H127" i="30"/>
  <c r="D127" i="30"/>
  <c r="B127" i="30"/>
  <c r="Z126" i="30"/>
  <c r="X126" i="30"/>
  <c r="N126" i="30"/>
  <c r="L126" i="30"/>
  <c r="J126" i="30"/>
  <c r="B126" i="30"/>
  <c r="X125" i="30"/>
  <c r="Z125" i="30" s="1"/>
  <c r="L125" i="30"/>
  <c r="N125" i="30" s="1"/>
  <c r="B125" i="30"/>
  <c r="Z124" i="30"/>
  <c r="X124" i="30"/>
  <c r="N124" i="30"/>
  <c r="L124" i="30"/>
  <c r="B124" i="30"/>
  <c r="T123" i="30"/>
  <c r="P123" i="30"/>
  <c r="L123" i="30"/>
  <c r="N123" i="30" s="1"/>
  <c r="H123" i="30"/>
  <c r="D123" i="30"/>
  <c r="B123" i="30"/>
  <c r="Z122" i="30"/>
  <c r="X122" i="30"/>
  <c r="L122" i="30"/>
  <c r="N122" i="30" s="1"/>
  <c r="B122" i="30"/>
  <c r="X121" i="30"/>
  <c r="Z121" i="30" s="1"/>
  <c r="N121" i="30"/>
  <c r="L121" i="30"/>
  <c r="B121" i="30"/>
  <c r="T120" i="30"/>
  <c r="X120" i="30" s="1"/>
  <c r="Z120" i="30" s="1"/>
  <c r="P120" i="30"/>
  <c r="J120" i="30"/>
  <c r="H120" i="30"/>
  <c r="D120" i="30"/>
  <c r="L120" i="30" s="1"/>
  <c r="N120" i="30" s="1"/>
  <c r="B120" i="30"/>
  <c r="X119" i="30"/>
  <c r="Z119" i="30" s="1"/>
  <c r="L119" i="30"/>
  <c r="N119" i="30" s="1"/>
  <c r="B119" i="30"/>
  <c r="X118" i="30"/>
  <c r="T118" i="30"/>
  <c r="P118" i="30"/>
  <c r="H118" i="30"/>
  <c r="D118" i="30"/>
  <c r="L118" i="30" s="1"/>
  <c r="N118" i="30" s="1"/>
  <c r="B118" i="30"/>
  <c r="Z117" i="30"/>
  <c r="X117" i="30"/>
  <c r="N117" i="30"/>
  <c r="L117" i="30"/>
  <c r="B117" i="30"/>
  <c r="T116" i="30"/>
  <c r="X116" i="30" s="1"/>
  <c r="P116" i="30"/>
  <c r="N116" i="30"/>
  <c r="H116" i="30"/>
  <c r="D116" i="30"/>
  <c r="L116" i="30" s="1"/>
  <c r="B116" i="30"/>
  <c r="Z115" i="30"/>
  <c r="X115" i="30"/>
  <c r="V115" i="30"/>
  <c r="L115" i="30"/>
  <c r="N115" i="30" s="1"/>
  <c r="B115" i="30"/>
  <c r="T114" i="30"/>
  <c r="P114" i="30"/>
  <c r="X114" i="30" s="1"/>
  <c r="Z114" i="30" s="1"/>
  <c r="H114" i="30"/>
  <c r="D114" i="30"/>
  <c r="L114" i="30" s="1"/>
  <c r="N114" i="30" s="1"/>
  <c r="B114" i="30"/>
  <c r="X113" i="30"/>
  <c r="Z113" i="30" s="1"/>
  <c r="L113" i="30"/>
  <c r="N113" i="30" s="1"/>
  <c r="B113" i="30"/>
  <c r="Z112" i="30"/>
  <c r="X112" i="30"/>
  <c r="T112" i="30"/>
  <c r="P112" i="30"/>
  <c r="L112" i="30"/>
  <c r="J112" i="30"/>
  <c r="H112" i="30"/>
  <c r="N112" i="30" s="1"/>
  <c r="D112" i="30"/>
  <c r="B112" i="30"/>
  <c r="X111" i="30"/>
  <c r="Z111" i="30" s="1"/>
  <c r="N111" i="30"/>
  <c r="L111" i="30"/>
  <c r="J111" i="30"/>
  <c r="B111" i="30"/>
  <c r="T110" i="30"/>
  <c r="X110" i="30" s="1"/>
  <c r="Z110" i="30" s="1"/>
  <c r="P110" i="30"/>
  <c r="H110" i="30"/>
  <c r="N110" i="30" s="1"/>
  <c r="D110" i="30"/>
  <c r="L110" i="30" s="1"/>
  <c r="B110" i="30"/>
  <c r="Z109" i="30"/>
  <c r="X109" i="30"/>
  <c r="N109" i="30"/>
  <c r="L109" i="30"/>
  <c r="B109" i="30"/>
  <c r="Z108" i="30"/>
  <c r="X108" i="30"/>
  <c r="N108" i="30"/>
  <c r="L108" i="30"/>
  <c r="B108" i="30"/>
  <c r="V107" i="30"/>
  <c r="T107" i="30"/>
  <c r="P107" i="30"/>
  <c r="X107" i="30" s="1"/>
  <c r="H107" i="30"/>
  <c r="D107" i="30"/>
  <c r="L107" i="30" s="1"/>
  <c r="B107" i="30"/>
  <c r="X106" i="30"/>
  <c r="Z106" i="30" s="1"/>
  <c r="N106" i="30"/>
  <c r="L106" i="30"/>
  <c r="B106" i="30"/>
  <c r="X105" i="30"/>
  <c r="Z105" i="30" s="1"/>
  <c r="T105" i="30"/>
  <c r="P105" i="30"/>
  <c r="H105" i="30"/>
  <c r="L105" i="30" s="1"/>
  <c r="D105" i="30"/>
  <c r="B105" i="30"/>
  <c r="Z104" i="30"/>
  <c r="X104" i="30"/>
  <c r="N104" i="30"/>
  <c r="L104" i="30"/>
  <c r="B104" i="30"/>
  <c r="T103" i="30"/>
  <c r="P103" i="30"/>
  <c r="N103" i="30"/>
  <c r="L103" i="30"/>
  <c r="H103" i="30"/>
  <c r="D103" i="30"/>
  <c r="B103" i="30"/>
  <c r="Z102" i="30"/>
  <c r="X102" i="30"/>
  <c r="N102" i="30"/>
  <c r="L102" i="30"/>
  <c r="J102" i="30"/>
  <c r="B102" i="30"/>
  <c r="X101" i="30"/>
  <c r="Z101" i="30" s="1"/>
  <c r="L101" i="30"/>
  <c r="N101" i="30" s="1"/>
  <c r="B101" i="30"/>
  <c r="Z100" i="30"/>
  <c r="T100" i="30"/>
  <c r="P100" i="30"/>
  <c r="X100" i="30" s="1"/>
  <c r="J100" i="30"/>
  <c r="H100" i="30"/>
  <c r="D100" i="30"/>
  <c r="L100" i="30" s="1"/>
  <c r="N100" i="30" s="1"/>
  <c r="B100" i="30"/>
  <c r="X99" i="30"/>
  <c r="Z99" i="30" s="1"/>
  <c r="L99" i="30"/>
  <c r="N99" i="30" s="1"/>
  <c r="B99" i="30"/>
  <c r="X98" i="30"/>
  <c r="T98" i="30"/>
  <c r="P98" i="30"/>
  <c r="N98" i="30"/>
  <c r="L98" i="30"/>
  <c r="H98" i="30"/>
  <c r="D98" i="30"/>
  <c r="B98" i="30"/>
  <c r="Z97" i="30"/>
  <c r="X97" i="30"/>
  <c r="L97" i="30"/>
  <c r="N97" i="30" s="1"/>
  <c r="B97" i="30"/>
  <c r="Z96" i="30"/>
  <c r="X96" i="30"/>
  <c r="N96" i="30"/>
  <c r="L96" i="30"/>
  <c r="B96" i="30"/>
  <c r="T95" i="30"/>
  <c r="P95" i="30"/>
  <c r="N95" i="30"/>
  <c r="L95" i="30"/>
  <c r="H95" i="30"/>
  <c r="D95" i="30"/>
  <c r="B95" i="30"/>
  <c r="Z94" i="30"/>
  <c r="X94" i="30"/>
  <c r="L94" i="30"/>
  <c r="N94" i="30" s="1"/>
  <c r="J94" i="30"/>
  <c r="B94" i="30"/>
  <c r="T93" i="30"/>
  <c r="P93" i="30"/>
  <c r="X93" i="30" s="1"/>
  <c r="H93" i="30"/>
  <c r="D93" i="30"/>
  <c r="B93" i="30"/>
  <c r="Z92" i="30"/>
  <c r="X92" i="30"/>
  <c r="N92" i="30"/>
  <c r="L92" i="30"/>
  <c r="B92" i="30"/>
  <c r="Z91" i="30"/>
  <c r="X91" i="30"/>
  <c r="N91" i="30"/>
  <c r="L91" i="30"/>
  <c r="B91" i="30"/>
  <c r="X90" i="30"/>
  <c r="Z90" i="30" s="1"/>
  <c r="N90" i="30"/>
  <c r="L90" i="30"/>
  <c r="B90" i="30"/>
  <c r="X89" i="30"/>
  <c r="Z89" i="30" s="1"/>
  <c r="N89" i="30"/>
  <c r="L89" i="30"/>
  <c r="B89" i="30"/>
  <c r="Z88" i="30"/>
  <c r="X88" i="30"/>
  <c r="N88" i="30"/>
  <c r="L88" i="30"/>
  <c r="B88" i="30"/>
  <c r="Z87" i="30"/>
  <c r="X87" i="30"/>
  <c r="N87" i="30"/>
  <c r="L87" i="30"/>
  <c r="B87" i="30"/>
  <c r="X86" i="30"/>
  <c r="Z86" i="30" s="1"/>
  <c r="N86" i="30"/>
  <c r="L86" i="30"/>
  <c r="B86" i="30"/>
  <c r="Z85" i="30"/>
  <c r="X85" i="30"/>
  <c r="N85" i="30"/>
  <c r="L85" i="30"/>
  <c r="B85" i="30"/>
  <c r="Z84" i="30"/>
  <c r="X84" i="30"/>
  <c r="N84" i="30"/>
  <c r="L84" i="30"/>
  <c r="B84" i="30"/>
  <c r="Z83" i="30"/>
  <c r="X83" i="30"/>
  <c r="N83" i="30"/>
  <c r="L83" i="30"/>
  <c r="B83" i="30"/>
  <c r="X82" i="30"/>
  <c r="T82" i="30"/>
  <c r="Z82" i="30" s="1"/>
  <c r="P82" i="30"/>
  <c r="H82" i="30"/>
  <c r="D82" i="30"/>
  <c r="L82" i="30" s="1"/>
  <c r="N82" i="30" s="1"/>
  <c r="B82" i="30"/>
  <c r="Z81" i="30"/>
  <c r="X81" i="30"/>
  <c r="N81" i="30"/>
  <c r="L81" i="30"/>
  <c r="B81" i="30"/>
  <c r="Z80" i="30"/>
  <c r="X80" i="30"/>
  <c r="N80" i="30"/>
  <c r="L80" i="30"/>
  <c r="B80" i="30"/>
  <c r="X79" i="30"/>
  <c r="Z79" i="30" s="1"/>
  <c r="N79" i="30"/>
  <c r="L79" i="30"/>
  <c r="B79" i="30"/>
  <c r="Z78" i="30"/>
  <c r="X78" i="30"/>
  <c r="N78" i="30"/>
  <c r="L78" i="30"/>
  <c r="J78" i="30"/>
  <c r="B78" i="30"/>
  <c r="X77" i="30"/>
  <c r="Z77" i="30" s="1"/>
  <c r="L77" i="30"/>
  <c r="N77" i="30" s="1"/>
  <c r="B77" i="30"/>
  <c r="Z76" i="30"/>
  <c r="X76" i="30"/>
  <c r="N76" i="30"/>
  <c r="L76" i="30"/>
  <c r="B76" i="30"/>
  <c r="X75" i="30"/>
  <c r="Z75" i="30" s="1"/>
  <c r="N75" i="30"/>
  <c r="L75" i="30"/>
  <c r="J75" i="30"/>
  <c r="B75" i="30"/>
  <c r="Z74" i="30"/>
  <c r="X74" i="30"/>
  <c r="N74" i="30"/>
  <c r="L74" i="30"/>
  <c r="B74" i="30"/>
  <c r="Z73" i="30"/>
  <c r="X73" i="30"/>
  <c r="L73" i="30"/>
  <c r="N73" i="30" s="1"/>
  <c r="B73" i="30"/>
  <c r="T72" i="30"/>
  <c r="X72" i="30" s="1"/>
  <c r="P72" i="30"/>
  <c r="N72" i="30"/>
  <c r="L72" i="30"/>
  <c r="H72" i="30"/>
  <c r="D72" i="30"/>
  <c r="B72" i="30"/>
  <c r="T71" i="30"/>
  <c r="P71" i="30"/>
  <c r="H71" i="30"/>
  <c r="D71" i="30"/>
  <c r="L71" i="30" s="1"/>
  <c r="Z67" i="30"/>
  <c r="X67" i="30"/>
  <c r="N67" i="30"/>
  <c r="L67" i="30"/>
  <c r="B67" i="30"/>
  <c r="Z66" i="30"/>
  <c r="X66" i="30"/>
  <c r="N66" i="30"/>
  <c r="L66" i="30"/>
  <c r="J66" i="30"/>
  <c r="B66" i="30"/>
  <c r="Z65" i="30"/>
  <c r="X65" i="30"/>
  <c r="N65" i="30"/>
  <c r="L65" i="30"/>
  <c r="B65" i="30"/>
  <c r="Z64" i="30"/>
  <c r="X64" i="30"/>
  <c r="N64" i="30"/>
  <c r="L64" i="30"/>
  <c r="B64" i="30"/>
  <c r="Z63" i="30"/>
  <c r="X63" i="30"/>
  <c r="N63" i="30"/>
  <c r="L63" i="30"/>
  <c r="B63" i="30"/>
  <c r="Z62" i="30"/>
  <c r="X62" i="30"/>
  <c r="N62" i="30"/>
  <c r="L62" i="30"/>
  <c r="J62" i="30"/>
  <c r="B62" i="30"/>
  <c r="Z61" i="30"/>
  <c r="X61" i="30"/>
  <c r="N61" i="30"/>
  <c r="L61" i="30"/>
  <c r="B61" i="30"/>
  <c r="Z60" i="30"/>
  <c r="X60" i="30"/>
  <c r="N60" i="30"/>
  <c r="L60" i="30"/>
  <c r="B60" i="30"/>
  <c r="Z59" i="30"/>
  <c r="X59" i="30"/>
  <c r="N59" i="30"/>
  <c r="L59" i="30"/>
  <c r="B59" i="30"/>
  <c r="Z58" i="30"/>
  <c r="X58" i="30"/>
  <c r="N58" i="30"/>
  <c r="L58" i="30"/>
  <c r="J58" i="30"/>
  <c r="B58" i="30"/>
  <c r="Z57" i="30"/>
  <c r="X57" i="30"/>
  <c r="N57" i="30"/>
  <c r="L57" i="30"/>
  <c r="B57" i="30"/>
  <c r="Z56" i="30"/>
  <c r="X56" i="30"/>
  <c r="N56" i="30"/>
  <c r="L56" i="30"/>
  <c r="B56" i="30"/>
  <c r="Z55" i="30"/>
  <c r="X55" i="30"/>
  <c r="N55" i="30"/>
  <c r="L55" i="30"/>
  <c r="B55" i="30"/>
  <c r="Z54" i="30"/>
  <c r="X54" i="30"/>
  <c r="N54" i="30"/>
  <c r="L54" i="30"/>
  <c r="J54" i="30"/>
  <c r="B54" i="30"/>
  <c r="Z53" i="30"/>
  <c r="X53" i="30"/>
  <c r="N53" i="30"/>
  <c r="L53" i="30"/>
  <c r="B53" i="30"/>
  <c r="Z52" i="30"/>
  <c r="X52" i="30"/>
  <c r="N52" i="30"/>
  <c r="L52" i="30"/>
  <c r="B52" i="30"/>
  <c r="Z51" i="30"/>
  <c r="X51" i="30"/>
  <c r="N51" i="30"/>
  <c r="L51" i="30"/>
  <c r="B51" i="30"/>
  <c r="Z50" i="30"/>
  <c r="X50" i="30"/>
  <c r="N50" i="30"/>
  <c r="L50" i="30"/>
  <c r="J50" i="30"/>
  <c r="B50" i="30"/>
  <c r="Z49" i="30"/>
  <c r="X49" i="30"/>
  <c r="N49" i="30"/>
  <c r="L49" i="30"/>
  <c r="B49" i="30"/>
  <c r="Z48" i="30"/>
  <c r="X48" i="30"/>
  <c r="N48" i="30"/>
  <c r="L48" i="30"/>
  <c r="B48" i="30"/>
  <c r="Z47" i="30"/>
  <c r="X47" i="30"/>
  <c r="N47" i="30"/>
  <c r="L47" i="30"/>
  <c r="B47" i="30"/>
  <c r="Z46" i="30"/>
  <c r="X46" i="30"/>
  <c r="N46" i="30"/>
  <c r="L46" i="30"/>
  <c r="J46" i="30"/>
  <c r="B46" i="30"/>
  <c r="X45" i="30"/>
  <c r="Z45" i="30" s="1"/>
  <c r="L45" i="30"/>
  <c r="N45" i="30" s="1"/>
  <c r="B45" i="30"/>
  <c r="Z44" i="30"/>
  <c r="T44" i="30"/>
  <c r="P44" i="30"/>
  <c r="X44" i="30" s="1"/>
  <c r="J44" i="30"/>
  <c r="H44" i="30"/>
  <c r="D44" i="30"/>
  <c r="L44" i="30" s="1"/>
  <c r="N44" i="30" s="1"/>
  <c r="Z42" i="30"/>
  <c r="P42" i="30"/>
  <c r="X42" i="30" s="1"/>
  <c r="N42" i="30"/>
  <c r="L42" i="30"/>
  <c r="D42" i="30"/>
  <c r="B42" i="30"/>
  <c r="Z41" i="30"/>
  <c r="X41" i="30"/>
  <c r="P41" i="30"/>
  <c r="N41" i="30"/>
  <c r="D41" i="30"/>
  <c r="L41" i="30" s="1"/>
  <c r="B41" i="30"/>
  <c r="Z40" i="30"/>
  <c r="P40" i="30"/>
  <c r="X40" i="30" s="1"/>
  <c r="N40" i="30"/>
  <c r="L40" i="30"/>
  <c r="D40" i="30"/>
  <c r="B40" i="30"/>
  <c r="Z39" i="30"/>
  <c r="P39" i="30"/>
  <c r="X39" i="30" s="1"/>
  <c r="N39" i="30"/>
  <c r="D39" i="30"/>
  <c r="L39" i="30" s="1"/>
  <c r="B39" i="30"/>
  <c r="Z38" i="30"/>
  <c r="P38" i="30"/>
  <c r="X38" i="30" s="1"/>
  <c r="N38" i="30"/>
  <c r="L38" i="30"/>
  <c r="D38" i="30"/>
  <c r="B38" i="30"/>
  <c r="Z37" i="30"/>
  <c r="X37" i="30"/>
  <c r="P37" i="30"/>
  <c r="N37" i="30"/>
  <c r="D37" i="30"/>
  <c r="L37" i="30" s="1"/>
  <c r="B37" i="30"/>
  <c r="Z36" i="30"/>
  <c r="P36" i="30"/>
  <c r="X36" i="30" s="1"/>
  <c r="N36" i="30"/>
  <c r="D36" i="30"/>
  <c r="L36" i="30" s="1"/>
  <c r="B36" i="30"/>
  <c r="Z35" i="30"/>
  <c r="X35" i="30"/>
  <c r="P35" i="30"/>
  <c r="N35" i="30"/>
  <c r="D35" i="30"/>
  <c r="L35" i="30" s="1"/>
  <c r="B35" i="30"/>
  <c r="Z34" i="30"/>
  <c r="X34" i="30"/>
  <c r="P34" i="30"/>
  <c r="N34" i="30"/>
  <c r="L34" i="30"/>
  <c r="D34" i="30"/>
  <c r="B34" i="30"/>
  <c r="Z33" i="30"/>
  <c r="X33" i="30"/>
  <c r="P33" i="30"/>
  <c r="N33" i="30"/>
  <c r="D33" i="30"/>
  <c r="L33" i="30" s="1"/>
  <c r="B33" i="30"/>
  <c r="Z32" i="30"/>
  <c r="X32" i="30"/>
  <c r="P32" i="30"/>
  <c r="N32" i="30"/>
  <c r="L32" i="30"/>
  <c r="D32" i="30"/>
  <c r="B32" i="30"/>
  <c r="Z31" i="30"/>
  <c r="X31" i="30"/>
  <c r="P31" i="30"/>
  <c r="N31" i="30"/>
  <c r="L31" i="30"/>
  <c r="D31" i="30"/>
  <c r="B31" i="30"/>
  <c r="Z30" i="30"/>
  <c r="P30" i="30"/>
  <c r="X30" i="30" s="1"/>
  <c r="N30" i="30"/>
  <c r="L30" i="30"/>
  <c r="D30" i="30"/>
  <c r="B30" i="30"/>
  <c r="Z29" i="30"/>
  <c r="X29" i="30"/>
  <c r="P29" i="30"/>
  <c r="N29" i="30"/>
  <c r="D29" i="30"/>
  <c r="L29" i="30" s="1"/>
  <c r="B29" i="30"/>
  <c r="Z28" i="30"/>
  <c r="P28" i="30"/>
  <c r="X28" i="30" s="1"/>
  <c r="N28" i="30"/>
  <c r="L28" i="30"/>
  <c r="D28" i="30"/>
  <c r="B28" i="30"/>
  <c r="Z27" i="30"/>
  <c r="P27" i="30"/>
  <c r="X27" i="30" s="1"/>
  <c r="N27" i="30"/>
  <c r="D27" i="30"/>
  <c r="L27" i="30" s="1"/>
  <c r="B27" i="30"/>
  <c r="Z26" i="30"/>
  <c r="P26" i="30"/>
  <c r="X26" i="30" s="1"/>
  <c r="N26" i="30"/>
  <c r="L26" i="30"/>
  <c r="D26" i="30"/>
  <c r="B26" i="30"/>
  <c r="Z25" i="30"/>
  <c r="X25" i="30"/>
  <c r="P25" i="30"/>
  <c r="N25" i="30"/>
  <c r="D25" i="30"/>
  <c r="L25" i="30" s="1"/>
  <c r="B25" i="30"/>
  <c r="Z24" i="30"/>
  <c r="P24" i="30"/>
  <c r="X24" i="30" s="1"/>
  <c r="N24" i="30"/>
  <c r="D24" i="30"/>
  <c r="L24" i="30" s="1"/>
  <c r="B24" i="30"/>
  <c r="Z23" i="30"/>
  <c r="X23" i="30"/>
  <c r="P23" i="30"/>
  <c r="N23" i="30"/>
  <c r="D23" i="30"/>
  <c r="L23" i="30" s="1"/>
  <c r="B23" i="30"/>
  <c r="Z22" i="30"/>
  <c r="X22" i="30"/>
  <c r="P22" i="30"/>
  <c r="N22" i="30"/>
  <c r="L22" i="30"/>
  <c r="D22" i="30"/>
  <c r="B22" i="30"/>
  <c r="Z21" i="30"/>
  <c r="X21" i="30"/>
  <c r="P21" i="30"/>
  <c r="N21" i="30"/>
  <c r="D21" i="30"/>
  <c r="L21" i="30" s="1"/>
  <c r="B21" i="30"/>
  <c r="Z20" i="30"/>
  <c r="X20" i="30"/>
  <c r="P20" i="30"/>
  <c r="N20" i="30"/>
  <c r="L20" i="30"/>
  <c r="D20" i="30"/>
  <c r="B20" i="30"/>
  <c r="Z19" i="30"/>
  <c r="X19" i="30"/>
  <c r="P19" i="30"/>
  <c r="N19" i="30"/>
  <c r="L19" i="30"/>
  <c r="D19" i="30"/>
  <c r="B19" i="30"/>
  <c r="Z18" i="30"/>
  <c r="P18" i="30"/>
  <c r="X18" i="30" s="1"/>
  <c r="N18" i="30"/>
  <c r="L18" i="30"/>
  <c r="D18" i="30"/>
  <c r="B18" i="30"/>
  <c r="Z17" i="30"/>
  <c r="X17" i="30"/>
  <c r="P17" i="30"/>
  <c r="N17" i="30"/>
  <c r="D17" i="30"/>
  <c r="L17" i="30" s="1"/>
  <c r="B17" i="30"/>
  <c r="Z16" i="30"/>
  <c r="P16" i="30"/>
  <c r="X16" i="30" s="1"/>
  <c r="N16" i="30"/>
  <c r="L16" i="30"/>
  <c r="D16" i="30"/>
  <c r="B16" i="30"/>
  <c r="Z15" i="30"/>
  <c r="P15" i="30"/>
  <c r="X15" i="30" s="1"/>
  <c r="N15" i="30"/>
  <c r="D15" i="30"/>
  <c r="L15" i="30" s="1"/>
  <c r="B15" i="30"/>
  <c r="Z14" i="30"/>
  <c r="P14" i="30"/>
  <c r="X14" i="30" s="1"/>
  <c r="N14" i="30"/>
  <c r="L14" i="30"/>
  <c r="D14" i="30"/>
  <c r="B14" i="30"/>
  <c r="X13" i="30"/>
  <c r="Z13" i="30" s="1"/>
  <c r="P13" i="30"/>
  <c r="D13" i="30"/>
  <c r="L13" i="30" s="1"/>
  <c r="N13" i="30" s="1"/>
  <c r="B13" i="30"/>
  <c r="T12" i="30"/>
  <c r="V142" i="30" s="1"/>
  <c r="H12" i="30"/>
  <c r="J138" i="30" s="1"/>
  <c r="D4" i="30"/>
  <c r="X129" i="27"/>
  <c r="Z129" i="27" s="1"/>
  <c r="N129" i="27"/>
  <c r="L129" i="27"/>
  <c r="X125" i="27"/>
  <c r="Z125" i="27" s="1"/>
  <c r="P125" i="27"/>
  <c r="N125" i="27"/>
  <c r="L125" i="27"/>
  <c r="D125" i="27"/>
  <c r="B125" i="27"/>
  <c r="Z124" i="27"/>
  <c r="V124" i="27"/>
  <c r="P124" i="27"/>
  <c r="X124" i="27" s="1"/>
  <c r="N124" i="27"/>
  <c r="L124" i="27"/>
  <c r="D124" i="27"/>
  <c r="B124" i="27"/>
  <c r="Z123" i="27"/>
  <c r="X123" i="27"/>
  <c r="P123" i="27"/>
  <c r="N123" i="27"/>
  <c r="J123" i="27"/>
  <c r="D123" i="27"/>
  <c r="L123" i="27" s="1"/>
  <c r="B123" i="27"/>
  <c r="Z122" i="27"/>
  <c r="X122" i="27"/>
  <c r="P122" i="27"/>
  <c r="N122" i="27"/>
  <c r="L122" i="27"/>
  <c r="D122" i="27"/>
  <c r="B122" i="27"/>
  <c r="V121" i="27"/>
  <c r="T121" i="27"/>
  <c r="P121" i="27"/>
  <c r="X121" i="27" s="1"/>
  <c r="H121" i="27"/>
  <c r="D121" i="27"/>
  <c r="L121" i="27" s="1"/>
  <c r="X119" i="27"/>
  <c r="Z119" i="27" s="1"/>
  <c r="N119" i="27"/>
  <c r="L119" i="27"/>
  <c r="B119" i="27"/>
  <c r="Z118" i="27"/>
  <c r="X118" i="27"/>
  <c r="N118" i="27"/>
  <c r="L118" i="27"/>
  <c r="B118" i="27"/>
  <c r="X117" i="27"/>
  <c r="T117" i="27"/>
  <c r="P117" i="27"/>
  <c r="H117" i="27"/>
  <c r="N117" i="27" s="1"/>
  <c r="D117" i="27"/>
  <c r="B117" i="27"/>
  <c r="Z116" i="27"/>
  <c r="X116" i="27"/>
  <c r="N116" i="27"/>
  <c r="L116" i="27"/>
  <c r="B116" i="27"/>
  <c r="T115" i="27"/>
  <c r="P115" i="27"/>
  <c r="H115" i="27"/>
  <c r="D115" i="27"/>
  <c r="L115" i="27" s="1"/>
  <c r="N115" i="27" s="1"/>
  <c r="B115" i="27"/>
  <c r="Z114" i="27"/>
  <c r="X114" i="27"/>
  <c r="V114" i="27"/>
  <c r="N114" i="27"/>
  <c r="L114" i="27"/>
  <c r="J114" i="27"/>
  <c r="B114" i="27"/>
  <c r="X113" i="27"/>
  <c r="Z113" i="27" s="1"/>
  <c r="L113" i="27"/>
  <c r="N113" i="27" s="1"/>
  <c r="B113" i="27"/>
  <c r="T112" i="27"/>
  <c r="P112" i="27"/>
  <c r="N112" i="27"/>
  <c r="J112" i="27"/>
  <c r="H112" i="27"/>
  <c r="D112" i="27"/>
  <c r="L112" i="27" s="1"/>
  <c r="B112" i="27"/>
  <c r="X111" i="27"/>
  <c r="Z111" i="27" s="1"/>
  <c r="L111" i="27"/>
  <c r="N111" i="27" s="1"/>
  <c r="B111" i="27"/>
  <c r="Z110" i="27"/>
  <c r="X110" i="27"/>
  <c r="L110" i="27"/>
  <c r="N110" i="27" s="1"/>
  <c r="B110" i="27"/>
  <c r="X109" i="27"/>
  <c r="Z109" i="27" s="1"/>
  <c r="L109" i="27"/>
  <c r="N109" i="27" s="1"/>
  <c r="B109" i="27"/>
  <c r="V108" i="27"/>
  <c r="T108" i="27"/>
  <c r="P108" i="27"/>
  <c r="X108" i="27" s="1"/>
  <c r="Z108" i="27" s="1"/>
  <c r="H108" i="27"/>
  <c r="D108" i="27"/>
  <c r="L108" i="27" s="1"/>
  <c r="N108" i="27" s="1"/>
  <c r="B108" i="27"/>
  <c r="X107" i="27"/>
  <c r="Z107" i="27" s="1"/>
  <c r="L107" i="27"/>
  <c r="N107" i="27" s="1"/>
  <c r="B107" i="27"/>
  <c r="X106" i="27"/>
  <c r="T106" i="27"/>
  <c r="Z106" i="27" s="1"/>
  <c r="P106" i="27"/>
  <c r="L106" i="27"/>
  <c r="N106" i="27" s="1"/>
  <c r="H106" i="27"/>
  <c r="D106" i="27"/>
  <c r="B106" i="27"/>
  <c r="Z105" i="27"/>
  <c r="X105" i="27"/>
  <c r="L105" i="27"/>
  <c r="N105" i="27" s="1"/>
  <c r="B105" i="27"/>
  <c r="Z104" i="27"/>
  <c r="X104" i="27"/>
  <c r="N104" i="27"/>
  <c r="L104" i="27"/>
  <c r="B104" i="27"/>
  <c r="Z103" i="27"/>
  <c r="X103" i="27"/>
  <c r="N103" i="27"/>
  <c r="L103" i="27"/>
  <c r="B103" i="27"/>
  <c r="Z102" i="27"/>
  <c r="T102" i="27"/>
  <c r="P102" i="27"/>
  <c r="X102" i="27" s="1"/>
  <c r="H102" i="27"/>
  <c r="N102" i="27" s="1"/>
  <c r="D102" i="27"/>
  <c r="L102" i="27" s="1"/>
  <c r="B102" i="27"/>
  <c r="X101" i="27"/>
  <c r="Z101" i="27" s="1"/>
  <c r="V101" i="27"/>
  <c r="N101" i="27"/>
  <c r="L101" i="27"/>
  <c r="B101" i="27"/>
  <c r="V100" i="27"/>
  <c r="T100" i="27"/>
  <c r="P100" i="27"/>
  <c r="X100" i="27" s="1"/>
  <c r="Z100" i="27" s="1"/>
  <c r="N100" i="27"/>
  <c r="H100" i="27"/>
  <c r="D100" i="27"/>
  <c r="L100" i="27" s="1"/>
  <c r="B100" i="27"/>
  <c r="Z99" i="27"/>
  <c r="X99" i="27"/>
  <c r="V99" i="27"/>
  <c r="N99" i="27"/>
  <c r="L99" i="27"/>
  <c r="J99" i="27"/>
  <c r="B99" i="27"/>
  <c r="T98" i="27"/>
  <c r="P98" i="27"/>
  <c r="H98" i="27"/>
  <c r="D98" i="27"/>
  <c r="B98" i="27"/>
  <c r="Z97" i="27"/>
  <c r="X97" i="27"/>
  <c r="N97" i="27"/>
  <c r="L97" i="27"/>
  <c r="B97" i="27"/>
  <c r="Z96" i="27"/>
  <c r="X96" i="27"/>
  <c r="N96" i="27"/>
  <c r="L96" i="27"/>
  <c r="B96" i="27"/>
  <c r="V95" i="27"/>
  <c r="T95" i="27"/>
  <c r="P95" i="27"/>
  <c r="X95" i="27" s="1"/>
  <c r="H95" i="27"/>
  <c r="N95" i="27" s="1"/>
  <c r="D95" i="27"/>
  <c r="L95" i="27" s="1"/>
  <c r="B95" i="27"/>
  <c r="X94" i="27"/>
  <c r="Z94" i="27" s="1"/>
  <c r="V94" i="27"/>
  <c r="N94" i="27"/>
  <c r="L94" i="27"/>
  <c r="B94" i="27"/>
  <c r="T93" i="27"/>
  <c r="Z93" i="27" s="1"/>
  <c r="P93" i="27"/>
  <c r="X93" i="27" s="1"/>
  <c r="H93" i="27"/>
  <c r="L93" i="27" s="1"/>
  <c r="D93" i="27"/>
  <c r="B93" i="27"/>
  <c r="Z92" i="27"/>
  <c r="X92" i="27"/>
  <c r="N92" i="27"/>
  <c r="L92" i="27"/>
  <c r="B92" i="27"/>
  <c r="T91" i="27"/>
  <c r="P91" i="27"/>
  <c r="L91" i="27"/>
  <c r="N91" i="27" s="1"/>
  <c r="H91" i="27"/>
  <c r="D91" i="27"/>
  <c r="B91" i="27"/>
  <c r="Z90" i="27"/>
  <c r="X90" i="27"/>
  <c r="V90" i="27"/>
  <c r="N90" i="27"/>
  <c r="L90" i="27"/>
  <c r="J90" i="27"/>
  <c r="B90" i="27"/>
  <c r="X89" i="27"/>
  <c r="Z89" i="27" s="1"/>
  <c r="L89" i="27"/>
  <c r="N89" i="27" s="1"/>
  <c r="B89" i="27"/>
  <c r="T88" i="27"/>
  <c r="P88" i="27"/>
  <c r="X88" i="27" s="1"/>
  <c r="Z88" i="27" s="1"/>
  <c r="H88" i="27"/>
  <c r="D88" i="27"/>
  <c r="L88" i="27" s="1"/>
  <c r="N88" i="27" s="1"/>
  <c r="B88" i="27"/>
  <c r="X87" i="27"/>
  <c r="Z87" i="27" s="1"/>
  <c r="L87" i="27"/>
  <c r="N87" i="27" s="1"/>
  <c r="B87" i="27"/>
  <c r="X86" i="27"/>
  <c r="Z86" i="27" s="1"/>
  <c r="V86" i="27"/>
  <c r="T86" i="27"/>
  <c r="P86" i="27"/>
  <c r="N86" i="27"/>
  <c r="L86" i="27"/>
  <c r="H86" i="27"/>
  <c r="D86" i="27"/>
  <c r="B86" i="27"/>
  <c r="Z85" i="27"/>
  <c r="X85" i="27"/>
  <c r="N85" i="27"/>
  <c r="L85" i="27"/>
  <c r="B85" i="27"/>
  <c r="Z84" i="27"/>
  <c r="X84" i="27"/>
  <c r="N84" i="27"/>
  <c r="L84" i="27"/>
  <c r="B84" i="27"/>
  <c r="X83" i="27"/>
  <c r="Z83" i="27" s="1"/>
  <c r="N83" i="27"/>
  <c r="L83" i="27"/>
  <c r="J83" i="27"/>
  <c r="B83" i="27"/>
  <c r="Z82" i="27"/>
  <c r="X82" i="27"/>
  <c r="N82" i="27"/>
  <c r="L82" i="27"/>
  <c r="B82" i="27"/>
  <c r="Z81" i="27"/>
  <c r="X81" i="27"/>
  <c r="N81" i="27"/>
  <c r="L81" i="27"/>
  <c r="B81" i="27"/>
  <c r="Z80" i="27"/>
  <c r="X80" i="27"/>
  <c r="N80" i="27"/>
  <c r="L80" i="27"/>
  <c r="B80" i="27"/>
  <c r="X79" i="27"/>
  <c r="Z79" i="27" s="1"/>
  <c r="N79" i="27"/>
  <c r="L79" i="27"/>
  <c r="J79" i="27"/>
  <c r="B79" i="27"/>
  <c r="Z78" i="27"/>
  <c r="X78" i="27"/>
  <c r="N78" i="27"/>
  <c r="L78" i="27"/>
  <c r="B78" i="27"/>
  <c r="Z77" i="27"/>
  <c r="X77" i="27"/>
  <c r="L77" i="27"/>
  <c r="N77" i="27" s="1"/>
  <c r="B77" i="27"/>
  <c r="Z76" i="27"/>
  <c r="X76" i="27"/>
  <c r="N76" i="27"/>
  <c r="L76" i="27"/>
  <c r="B76" i="27"/>
  <c r="T75" i="27"/>
  <c r="P75" i="27"/>
  <c r="N75" i="27"/>
  <c r="L75" i="27"/>
  <c r="H75" i="27"/>
  <c r="D75" i="27"/>
  <c r="B75" i="27"/>
  <c r="Z74" i="27"/>
  <c r="X74" i="27"/>
  <c r="V74" i="27"/>
  <c r="L74" i="27"/>
  <c r="N74" i="27" s="1"/>
  <c r="J74" i="27"/>
  <c r="B74" i="27"/>
  <c r="X73" i="27"/>
  <c r="Z73" i="27" s="1"/>
  <c r="L73" i="27"/>
  <c r="N73" i="27" s="1"/>
  <c r="B73" i="27"/>
  <c r="Z72" i="27"/>
  <c r="X72" i="27"/>
  <c r="N72" i="27"/>
  <c r="L72" i="27"/>
  <c r="B72" i="27"/>
  <c r="Z71" i="27"/>
  <c r="X71" i="27"/>
  <c r="V71" i="27"/>
  <c r="N71" i="27"/>
  <c r="L71" i="27"/>
  <c r="B71" i="27"/>
  <c r="Z70" i="27"/>
  <c r="X70" i="27"/>
  <c r="V70" i="27"/>
  <c r="N70" i="27"/>
  <c r="L70" i="27"/>
  <c r="J70" i="27"/>
  <c r="B70" i="27"/>
  <c r="X69" i="27"/>
  <c r="Z69" i="27" s="1"/>
  <c r="L69" i="27"/>
  <c r="N69" i="27" s="1"/>
  <c r="B69" i="27"/>
  <c r="Z68" i="27"/>
  <c r="X68" i="27"/>
  <c r="N68" i="27"/>
  <c r="L68" i="27"/>
  <c r="B68" i="27"/>
  <c r="X67" i="27"/>
  <c r="Z67" i="27" s="1"/>
  <c r="V67" i="27"/>
  <c r="L67" i="27"/>
  <c r="N67" i="27" s="1"/>
  <c r="B67" i="27"/>
  <c r="Z66" i="27"/>
  <c r="X66" i="27"/>
  <c r="V66" i="27"/>
  <c r="L66" i="27"/>
  <c r="N66" i="27" s="1"/>
  <c r="J66" i="27"/>
  <c r="B66" i="27"/>
  <c r="X65" i="27"/>
  <c r="Z65" i="27" s="1"/>
  <c r="L65" i="27"/>
  <c r="N65" i="27" s="1"/>
  <c r="B65" i="27"/>
  <c r="T64" i="27"/>
  <c r="P64" i="27"/>
  <c r="X64" i="27" s="1"/>
  <c r="Z64" i="27" s="1"/>
  <c r="H64" i="27"/>
  <c r="D64" i="27"/>
  <c r="L64" i="27" s="1"/>
  <c r="N64" i="27" s="1"/>
  <c r="B64" i="27"/>
  <c r="T63" i="27"/>
  <c r="P63" i="27"/>
  <c r="H63" i="27"/>
  <c r="N63" i="27" s="1"/>
  <c r="D63" i="27"/>
  <c r="L63" i="27" s="1"/>
  <c r="Z59" i="27"/>
  <c r="X59" i="27"/>
  <c r="N59" i="27"/>
  <c r="L59" i="27"/>
  <c r="B59" i="27"/>
  <c r="Z58" i="27"/>
  <c r="X58" i="27"/>
  <c r="V58" i="27"/>
  <c r="N58" i="27"/>
  <c r="L58" i="27"/>
  <c r="B58" i="27"/>
  <c r="Z57" i="27"/>
  <c r="X57" i="27"/>
  <c r="N57" i="27"/>
  <c r="L57" i="27"/>
  <c r="B57" i="27"/>
  <c r="Z56" i="27"/>
  <c r="X56" i="27"/>
  <c r="N56" i="27"/>
  <c r="L56" i="27"/>
  <c r="B56" i="27"/>
  <c r="Z55" i="27"/>
  <c r="X55" i="27"/>
  <c r="N55" i="27"/>
  <c r="L55" i="27"/>
  <c r="B55" i="27"/>
  <c r="Z54" i="27"/>
  <c r="X54" i="27"/>
  <c r="V54" i="27"/>
  <c r="N54" i="27"/>
  <c r="L54" i="27"/>
  <c r="B54" i="27"/>
  <c r="Z53" i="27"/>
  <c r="X53" i="27"/>
  <c r="N53" i="27"/>
  <c r="L53" i="27"/>
  <c r="B53" i="27"/>
  <c r="Z52" i="27"/>
  <c r="X52" i="27"/>
  <c r="N52" i="27"/>
  <c r="L52" i="27"/>
  <c r="B52" i="27"/>
  <c r="Z51" i="27"/>
  <c r="X51" i="27"/>
  <c r="N51" i="27"/>
  <c r="L51" i="27"/>
  <c r="B51" i="27"/>
  <c r="Z50" i="27"/>
  <c r="X50" i="27"/>
  <c r="V50" i="27"/>
  <c r="N50" i="27"/>
  <c r="L50" i="27"/>
  <c r="B50" i="27"/>
  <c r="Z49" i="27"/>
  <c r="X49" i="27"/>
  <c r="N49" i="27"/>
  <c r="L49" i="27"/>
  <c r="B49" i="27"/>
  <c r="Z48" i="27"/>
  <c r="X48" i="27"/>
  <c r="N48" i="27"/>
  <c r="L48" i="27"/>
  <c r="B48" i="27"/>
  <c r="Z47" i="27"/>
  <c r="X47" i="27"/>
  <c r="N47" i="27"/>
  <c r="L47" i="27"/>
  <c r="B47" i="27"/>
  <c r="Z46" i="27"/>
  <c r="X46" i="27"/>
  <c r="V46" i="27"/>
  <c r="N46" i="27"/>
  <c r="L46" i="27"/>
  <c r="B46" i="27"/>
  <c r="Z45" i="27"/>
  <c r="X45" i="27"/>
  <c r="N45" i="27"/>
  <c r="L45" i="27"/>
  <c r="B45" i="27"/>
  <c r="Z44" i="27"/>
  <c r="X44" i="27"/>
  <c r="N44" i="27"/>
  <c r="L44" i="27"/>
  <c r="B44" i="27"/>
  <c r="X43" i="27"/>
  <c r="Z43" i="27" s="1"/>
  <c r="L43" i="27"/>
  <c r="N43" i="27" s="1"/>
  <c r="B43" i="27"/>
  <c r="X42" i="27"/>
  <c r="Z42" i="27" s="1"/>
  <c r="V42" i="27"/>
  <c r="T42" i="27"/>
  <c r="P42" i="27"/>
  <c r="N42" i="27"/>
  <c r="L42" i="27"/>
  <c r="H42" i="27"/>
  <c r="D42" i="27"/>
  <c r="Z40" i="27"/>
  <c r="X40" i="27"/>
  <c r="P40" i="27"/>
  <c r="N40" i="27"/>
  <c r="L40" i="27"/>
  <c r="D40" i="27"/>
  <c r="B40" i="27"/>
  <c r="Z39" i="27"/>
  <c r="X39" i="27"/>
  <c r="P39" i="27"/>
  <c r="N39" i="27"/>
  <c r="D39" i="27"/>
  <c r="L39" i="27" s="1"/>
  <c r="B39" i="27"/>
  <c r="Z38" i="27"/>
  <c r="P38" i="27"/>
  <c r="X38" i="27" s="1"/>
  <c r="N38" i="27"/>
  <c r="L38" i="27"/>
  <c r="D38" i="27"/>
  <c r="B38" i="27"/>
  <c r="Z37" i="27"/>
  <c r="X37" i="27"/>
  <c r="P37" i="27"/>
  <c r="N37" i="27"/>
  <c r="D37" i="27"/>
  <c r="L37" i="27" s="1"/>
  <c r="B37" i="27"/>
  <c r="Z36" i="27"/>
  <c r="P36" i="27"/>
  <c r="X36" i="27" s="1"/>
  <c r="N36" i="27"/>
  <c r="L36" i="27"/>
  <c r="D36" i="27"/>
  <c r="B36" i="27"/>
  <c r="Z35" i="27"/>
  <c r="P35" i="27"/>
  <c r="X35" i="27" s="1"/>
  <c r="N35" i="27"/>
  <c r="D35" i="27"/>
  <c r="L35" i="27" s="1"/>
  <c r="B35" i="27"/>
  <c r="Z34" i="27"/>
  <c r="P34" i="27"/>
  <c r="X34" i="27" s="1"/>
  <c r="N34" i="27"/>
  <c r="L34" i="27"/>
  <c r="D34" i="27"/>
  <c r="B34" i="27"/>
  <c r="Z33" i="27"/>
  <c r="X33" i="27"/>
  <c r="P33" i="27"/>
  <c r="N33" i="27"/>
  <c r="D33" i="27"/>
  <c r="L33" i="27" s="1"/>
  <c r="B33" i="27"/>
  <c r="Z32" i="27"/>
  <c r="P32" i="27"/>
  <c r="X32" i="27" s="1"/>
  <c r="N32" i="27"/>
  <c r="D32" i="27"/>
  <c r="L32" i="27" s="1"/>
  <c r="B32" i="27"/>
  <c r="Z31" i="27"/>
  <c r="X31" i="27"/>
  <c r="P31" i="27"/>
  <c r="N31" i="27"/>
  <c r="D31" i="27"/>
  <c r="L31" i="27" s="1"/>
  <c r="B31" i="27"/>
  <c r="Z30" i="27"/>
  <c r="P30" i="27"/>
  <c r="X30" i="27" s="1"/>
  <c r="N30" i="27"/>
  <c r="L30" i="27"/>
  <c r="D30" i="27"/>
  <c r="B30" i="27"/>
  <c r="Z29" i="27"/>
  <c r="X29" i="27"/>
  <c r="P29" i="27"/>
  <c r="N29" i="27"/>
  <c r="D29" i="27"/>
  <c r="L29" i="27" s="1"/>
  <c r="B29" i="27"/>
  <c r="Z28" i="27"/>
  <c r="X28" i="27"/>
  <c r="P28" i="27"/>
  <c r="N28" i="27"/>
  <c r="L28" i="27"/>
  <c r="D28" i="27"/>
  <c r="B28" i="27"/>
  <c r="Z27" i="27"/>
  <c r="X27" i="27"/>
  <c r="P27" i="27"/>
  <c r="N27" i="27"/>
  <c r="D27" i="27"/>
  <c r="L27" i="27" s="1"/>
  <c r="B27" i="27"/>
  <c r="Z26" i="27"/>
  <c r="P26" i="27"/>
  <c r="X26" i="27" s="1"/>
  <c r="N26" i="27"/>
  <c r="L26" i="27"/>
  <c r="D26" i="27"/>
  <c r="B26" i="27"/>
  <c r="Z25" i="27"/>
  <c r="X25" i="27"/>
  <c r="P25" i="27"/>
  <c r="N25" i="27"/>
  <c r="D25" i="27"/>
  <c r="L25" i="27" s="1"/>
  <c r="B25" i="27"/>
  <c r="Z24" i="27"/>
  <c r="P24" i="27"/>
  <c r="X24" i="27" s="1"/>
  <c r="N24" i="27"/>
  <c r="L24" i="27"/>
  <c r="D24" i="27"/>
  <c r="B24" i="27"/>
  <c r="Z23" i="27"/>
  <c r="P23" i="27"/>
  <c r="X23" i="27" s="1"/>
  <c r="N23" i="27"/>
  <c r="D23" i="27"/>
  <c r="L23" i="27" s="1"/>
  <c r="B23" i="27"/>
  <c r="Z22" i="27"/>
  <c r="P22" i="27"/>
  <c r="X22" i="27" s="1"/>
  <c r="N22" i="27"/>
  <c r="L22" i="27"/>
  <c r="D22" i="27"/>
  <c r="B22" i="27"/>
  <c r="Z21" i="27"/>
  <c r="X21" i="27"/>
  <c r="P21" i="27"/>
  <c r="D21" i="27"/>
  <c r="L21" i="27" s="1"/>
  <c r="N21" i="27" s="1"/>
  <c r="B21" i="27"/>
  <c r="Z20" i="27"/>
  <c r="P20" i="27"/>
  <c r="X20" i="27" s="1"/>
  <c r="N20" i="27"/>
  <c r="D20" i="27"/>
  <c r="L20" i="27" s="1"/>
  <c r="B20" i="27"/>
  <c r="Z19" i="27"/>
  <c r="X19" i="27"/>
  <c r="P19" i="27"/>
  <c r="N19" i="27"/>
  <c r="D19" i="27"/>
  <c r="L19" i="27" s="1"/>
  <c r="B19" i="27"/>
  <c r="Z18" i="27"/>
  <c r="P18" i="27"/>
  <c r="X18" i="27" s="1"/>
  <c r="N18" i="27"/>
  <c r="L18" i="27"/>
  <c r="D18" i="27"/>
  <c r="B18" i="27"/>
  <c r="Z17" i="27"/>
  <c r="X17" i="27"/>
  <c r="P17" i="27"/>
  <c r="N17" i="27"/>
  <c r="D17" i="27"/>
  <c r="L17" i="27" s="1"/>
  <c r="B17" i="27"/>
  <c r="Z16" i="27"/>
  <c r="P16" i="27"/>
  <c r="X16" i="27" s="1"/>
  <c r="N16" i="27"/>
  <c r="L16" i="27"/>
  <c r="D16" i="27"/>
  <c r="B16" i="27"/>
  <c r="Z15" i="27"/>
  <c r="X15" i="27"/>
  <c r="P15" i="27"/>
  <c r="N15" i="27"/>
  <c r="L15" i="27"/>
  <c r="D15" i="27"/>
  <c r="B15" i="27"/>
  <c r="Z14" i="27"/>
  <c r="P14" i="27"/>
  <c r="N14" i="27"/>
  <c r="L14" i="27"/>
  <c r="D14" i="27"/>
  <c r="B14" i="27"/>
  <c r="Z13" i="27"/>
  <c r="X13" i="27"/>
  <c r="P13" i="27"/>
  <c r="N13" i="27"/>
  <c r="D13" i="27"/>
  <c r="B13" i="27"/>
  <c r="T12" i="27"/>
  <c r="V122" i="27" s="1"/>
  <c r="H12" i="27"/>
  <c r="J106" i="27" s="1"/>
  <c r="D4" i="27"/>
  <c r="X145" i="24"/>
  <c r="Z145" i="24" s="1"/>
  <c r="L145" i="24"/>
  <c r="N145" i="24" s="1"/>
  <c r="Z141" i="24"/>
  <c r="X141" i="24"/>
  <c r="V141" i="24"/>
  <c r="P141" i="24"/>
  <c r="N141" i="24"/>
  <c r="D141" i="24"/>
  <c r="L141" i="24" s="1"/>
  <c r="B141" i="24"/>
  <c r="T140" i="24"/>
  <c r="P140" i="24"/>
  <c r="N140" i="24"/>
  <c r="H140" i="24"/>
  <c r="Z138" i="24"/>
  <c r="X138" i="24"/>
  <c r="N138" i="24"/>
  <c r="L138" i="24"/>
  <c r="B138" i="24"/>
  <c r="T137" i="24"/>
  <c r="Z137" i="24" s="1"/>
  <c r="P137" i="24"/>
  <c r="N137" i="24"/>
  <c r="L137" i="24"/>
  <c r="H137" i="24"/>
  <c r="D137" i="24"/>
  <c r="B137" i="24"/>
  <c r="Z136" i="24"/>
  <c r="X136" i="24"/>
  <c r="V136" i="24"/>
  <c r="L136" i="24"/>
  <c r="N136" i="24" s="1"/>
  <c r="J136" i="24"/>
  <c r="B136" i="24"/>
  <c r="T135" i="24"/>
  <c r="P135" i="24"/>
  <c r="X135" i="24" s="1"/>
  <c r="J135" i="24"/>
  <c r="H135" i="24"/>
  <c r="D135" i="24"/>
  <c r="B135" i="24"/>
  <c r="Z134" i="24"/>
  <c r="X134" i="24"/>
  <c r="N134" i="24"/>
  <c r="L134" i="24"/>
  <c r="B134" i="24"/>
  <c r="T133" i="24"/>
  <c r="P133" i="24"/>
  <c r="X133" i="24" s="1"/>
  <c r="H133" i="24"/>
  <c r="N133" i="24" s="1"/>
  <c r="D133" i="24"/>
  <c r="L133" i="24" s="1"/>
  <c r="B133" i="24"/>
  <c r="Z132" i="24"/>
  <c r="X132" i="24"/>
  <c r="N132" i="24"/>
  <c r="L132" i="24"/>
  <c r="J132" i="24"/>
  <c r="B132" i="24"/>
  <c r="Z131" i="24"/>
  <c r="X131" i="24"/>
  <c r="N131" i="24"/>
  <c r="L131" i="24"/>
  <c r="B131" i="24"/>
  <c r="Z130" i="24"/>
  <c r="X130" i="24"/>
  <c r="N130" i="24"/>
  <c r="L130" i="24"/>
  <c r="B130" i="24"/>
  <c r="T129" i="24"/>
  <c r="P129" i="24"/>
  <c r="N129" i="24"/>
  <c r="L129" i="24"/>
  <c r="H129" i="24"/>
  <c r="D129" i="24"/>
  <c r="B129" i="24"/>
  <c r="Z128" i="24"/>
  <c r="X128" i="24"/>
  <c r="V128" i="24"/>
  <c r="N128" i="24"/>
  <c r="L128" i="24"/>
  <c r="J128" i="24"/>
  <c r="B128" i="24"/>
  <c r="T127" i="24"/>
  <c r="Z127" i="24" s="1"/>
  <c r="P127" i="24"/>
  <c r="X127" i="24" s="1"/>
  <c r="J127" i="24"/>
  <c r="H127" i="24"/>
  <c r="N127" i="24" s="1"/>
  <c r="D127" i="24"/>
  <c r="B127" i="24"/>
  <c r="Z126" i="24"/>
  <c r="X126" i="24"/>
  <c r="N126" i="24"/>
  <c r="L126" i="24"/>
  <c r="B126" i="24"/>
  <c r="X125" i="24"/>
  <c r="Z125" i="24" s="1"/>
  <c r="L125" i="24"/>
  <c r="N125" i="24" s="1"/>
  <c r="B125" i="24"/>
  <c r="X124" i="24"/>
  <c r="Z124" i="24" s="1"/>
  <c r="V124" i="24"/>
  <c r="T124" i="24"/>
  <c r="P124" i="24"/>
  <c r="N124" i="24"/>
  <c r="L124" i="24"/>
  <c r="H124" i="24"/>
  <c r="D124" i="24"/>
  <c r="B124" i="24"/>
  <c r="Z123" i="24"/>
  <c r="X123" i="24"/>
  <c r="L123" i="24"/>
  <c r="N123" i="24" s="1"/>
  <c r="B123" i="24"/>
  <c r="Z122" i="24"/>
  <c r="X122" i="24"/>
  <c r="N122" i="24"/>
  <c r="L122" i="24"/>
  <c r="B122" i="24"/>
  <c r="T121" i="24"/>
  <c r="P121" i="24"/>
  <c r="L121" i="24"/>
  <c r="N121" i="24" s="1"/>
  <c r="H121" i="24"/>
  <c r="D121" i="24"/>
  <c r="B121" i="24"/>
  <c r="Z120" i="24"/>
  <c r="X120" i="24"/>
  <c r="V120" i="24"/>
  <c r="L120" i="24"/>
  <c r="N120" i="24" s="1"/>
  <c r="J120" i="24"/>
  <c r="B120" i="24"/>
  <c r="T119" i="24"/>
  <c r="P119" i="24"/>
  <c r="X119" i="24" s="1"/>
  <c r="J119" i="24"/>
  <c r="H119" i="24"/>
  <c r="D119" i="24"/>
  <c r="B119" i="24"/>
  <c r="Z118" i="24"/>
  <c r="X118" i="24"/>
  <c r="N118" i="24"/>
  <c r="L118" i="24"/>
  <c r="B118" i="24"/>
  <c r="T117" i="24"/>
  <c r="P117" i="24"/>
  <c r="X117" i="24" s="1"/>
  <c r="H117" i="24"/>
  <c r="N117" i="24" s="1"/>
  <c r="D117" i="24"/>
  <c r="L117" i="24" s="1"/>
  <c r="B117" i="24"/>
  <c r="Z116" i="24"/>
  <c r="X116" i="24"/>
  <c r="N116" i="24"/>
  <c r="L116" i="24"/>
  <c r="J116" i="24"/>
  <c r="B116" i="24"/>
  <c r="Z115" i="24"/>
  <c r="X115" i="24"/>
  <c r="T115" i="24"/>
  <c r="P115" i="24"/>
  <c r="H115" i="24"/>
  <c r="N115" i="24" s="1"/>
  <c r="D115" i="24"/>
  <c r="B115" i="24"/>
  <c r="Z114" i="24"/>
  <c r="X114" i="24"/>
  <c r="N114" i="24"/>
  <c r="L114" i="24"/>
  <c r="B114" i="24"/>
  <c r="T113" i="24"/>
  <c r="P113" i="24"/>
  <c r="H113" i="24"/>
  <c r="N113" i="24" s="1"/>
  <c r="D113" i="24"/>
  <c r="L113" i="24" s="1"/>
  <c r="B113" i="24"/>
  <c r="Z112" i="24"/>
  <c r="X112" i="24"/>
  <c r="V112" i="24"/>
  <c r="N112" i="24"/>
  <c r="L112" i="24"/>
  <c r="B112" i="24"/>
  <c r="X111" i="24"/>
  <c r="Z111" i="24" s="1"/>
  <c r="N111" i="24"/>
  <c r="L111" i="24"/>
  <c r="B111" i="24"/>
  <c r="Z110" i="24"/>
  <c r="X110" i="24"/>
  <c r="T110" i="24"/>
  <c r="P110" i="24"/>
  <c r="L110" i="24"/>
  <c r="N110" i="24" s="1"/>
  <c r="J110" i="24"/>
  <c r="H110" i="24"/>
  <c r="D110" i="24"/>
  <c r="B110" i="24"/>
  <c r="Z109" i="24"/>
  <c r="X109" i="24"/>
  <c r="N109" i="24"/>
  <c r="L109" i="24"/>
  <c r="J109" i="24"/>
  <c r="B109" i="24"/>
  <c r="T108" i="24"/>
  <c r="Z108" i="24" s="1"/>
  <c r="P108" i="24"/>
  <c r="H108" i="24"/>
  <c r="D108" i="24"/>
  <c r="B108" i="24"/>
  <c r="X107" i="24"/>
  <c r="Z107" i="24" s="1"/>
  <c r="L107" i="24"/>
  <c r="N107" i="24" s="1"/>
  <c r="B107" i="24"/>
  <c r="T106" i="24"/>
  <c r="P106" i="24"/>
  <c r="X106" i="24" s="1"/>
  <c r="Z106" i="24" s="1"/>
  <c r="J106" i="24"/>
  <c r="H106" i="24"/>
  <c r="D106" i="24"/>
  <c r="L106" i="24" s="1"/>
  <c r="N106" i="24" s="1"/>
  <c r="B106" i="24"/>
  <c r="Z105" i="24"/>
  <c r="X105" i="24"/>
  <c r="N105" i="24"/>
  <c r="L105" i="24"/>
  <c r="B105" i="24"/>
  <c r="Z104" i="24"/>
  <c r="X104" i="24"/>
  <c r="V104" i="24"/>
  <c r="N104" i="24"/>
  <c r="L104" i="24"/>
  <c r="B104" i="24"/>
  <c r="X103" i="24"/>
  <c r="Z103" i="24" s="1"/>
  <c r="L103" i="24"/>
  <c r="N103" i="24" s="1"/>
  <c r="B103" i="24"/>
  <c r="Z102" i="24"/>
  <c r="X102" i="24"/>
  <c r="N102" i="24"/>
  <c r="L102" i="24"/>
  <c r="B102" i="24"/>
  <c r="Z101" i="24"/>
  <c r="X101" i="24"/>
  <c r="N101" i="24"/>
  <c r="L101" i="24"/>
  <c r="B101" i="24"/>
  <c r="Z100" i="24"/>
  <c r="X100" i="24"/>
  <c r="V100" i="24"/>
  <c r="N100" i="24"/>
  <c r="L100" i="24"/>
  <c r="B100" i="24"/>
  <c r="Z99" i="24"/>
  <c r="X99" i="24"/>
  <c r="N99" i="24"/>
  <c r="L99" i="24"/>
  <c r="B99" i="24"/>
  <c r="Z98" i="24"/>
  <c r="X98" i="24"/>
  <c r="N98" i="24"/>
  <c r="L98" i="24"/>
  <c r="B98" i="24"/>
  <c r="Z97" i="24"/>
  <c r="X97" i="24"/>
  <c r="N97" i="24"/>
  <c r="L97" i="24"/>
  <c r="B97" i="24"/>
  <c r="X96" i="24"/>
  <c r="Z96" i="24" s="1"/>
  <c r="V96" i="24"/>
  <c r="N96" i="24"/>
  <c r="L96" i="24"/>
  <c r="B96" i="24"/>
  <c r="T95" i="24"/>
  <c r="P95" i="24"/>
  <c r="X95" i="24" s="1"/>
  <c r="H95" i="24"/>
  <c r="D95" i="24"/>
  <c r="L95" i="24" s="1"/>
  <c r="B95" i="24"/>
  <c r="Z94" i="24"/>
  <c r="X94" i="24"/>
  <c r="N94" i="24"/>
  <c r="L94" i="24"/>
  <c r="B94" i="24"/>
  <c r="X93" i="24"/>
  <c r="Z93" i="24" s="1"/>
  <c r="N93" i="24"/>
  <c r="L93" i="24"/>
  <c r="J93" i="24"/>
  <c r="B93" i="24"/>
  <c r="Z92" i="24"/>
  <c r="X92" i="24"/>
  <c r="N92" i="24"/>
  <c r="L92" i="24"/>
  <c r="J92" i="24"/>
  <c r="B92" i="24"/>
  <c r="Z91" i="24"/>
  <c r="X91" i="24"/>
  <c r="N91" i="24"/>
  <c r="L91" i="24"/>
  <c r="B91" i="24"/>
  <c r="Z90" i="24"/>
  <c r="X90" i="24"/>
  <c r="N90" i="24"/>
  <c r="L90" i="24"/>
  <c r="B90" i="24"/>
  <c r="X89" i="24"/>
  <c r="Z89" i="24" s="1"/>
  <c r="N89" i="24"/>
  <c r="L89" i="24"/>
  <c r="J89" i="24"/>
  <c r="B89" i="24"/>
  <c r="Z88" i="24"/>
  <c r="X88" i="24"/>
  <c r="N88" i="24"/>
  <c r="L88" i="24"/>
  <c r="J88" i="24"/>
  <c r="B88" i="24"/>
  <c r="Z87" i="24"/>
  <c r="X87" i="24"/>
  <c r="L87" i="24"/>
  <c r="N87" i="24" s="1"/>
  <c r="B87" i="24"/>
  <c r="Z86" i="24"/>
  <c r="X86" i="24"/>
  <c r="N86" i="24"/>
  <c r="L86" i="24"/>
  <c r="B86" i="24"/>
  <c r="T85" i="24"/>
  <c r="P85" i="24"/>
  <c r="N85" i="24"/>
  <c r="L85" i="24"/>
  <c r="H85" i="24"/>
  <c r="D85" i="24"/>
  <c r="B85" i="24"/>
  <c r="T84" i="24"/>
  <c r="V84" i="24" s="1"/>
  <c r="P84" i="24"/>
  <c r="H84" i="24"/>
  <c r="D84" i="24"/>
  <c r="L84" i="24" s="1"/>
  <c r="N84" i="24" s="1"/>
  <c r="Z80" i="24"/>
  <c r="X80" i="24"/>
  <c r="V80" i="24"/>
  <c r="N80" i="24"/>
  <c r="L80" i="24"/>
  <c r="J80" i="24"/>
  <c r="B80" i="24"/>
  <c r="Z79" i="24"/>
  <c r="X79" i="24"/>
  <c r="N79" i="24"/>
  <c r="L79" i="24"/>
  <c r="B79" i="24"/>
  <c r="Z78" i="24"/>
  <c r="X78" i="24"/>
  <c r="N78" i="24"/>
  <c r="L78" i="24"/>
  <c r="B78" i="24"/>
  <c r="Z77" i="24"/>
  <c r="X77" i="24"/>
  <c r="V77" i="24"/>
  <c r="N77" i="24"/>
  <c r="L77" i="24"/>
  <c r="B77" i="24"/>
  <c r="Z76" i="24"/>
  <c r="X76" i="24"/>
  <c r="V76" i="24"/>
  <c r="N76" i="24"/>
  <c r="L76" i="24"/>
  <c r="J76" i="24"/>
  <c r="B76" i="24"/>
  <c r="Z75" i="24"/>
  <c r="X75" i="24"/>
  <c r="N75" i="24"/>
  <c r="L75" i="24"/>
  <c r="B75" i="24"/>
  <c r="Z74" i="24"/>
  <c r="X74" i="24"/>
  <c r="N74" i="24"/>
  <c r="L74" i="24"/>
  <c r="B74" i="24"/>
  <c r="Z73" i="24"/>
  <c r="X73" i="24"/>
  <c r="V73" i="24"/>
  <c r="N73" i="24"/>
  <c r="L73" i="24"/>
  <c r="B73" i="24"/>
  <c r="Z72" i="24"/>
  <c r="X72" i="24"/>
  <c r="V72" i="24"/>
  <c r="N72" i="24"/>
  <c r="L72" i="24"/>
  <c r="J72" i="24"/>
  <c r="B72" i="24"/>
  <c r="Z71" i="24"/>
  <c r="X71" i="24"/>
  <c r="N71" i="24"/>
  <c r="L71" i="24"/>
  <c r="B71" i="24"/>
  <c r="Z70" i="24"/>
  <c r="X70" i="24"/>
  <c r="N70" i="24"/>
  <c r="L70" i="24"/>
  <c r="B70" i="24"/>
  <c r="Z69" i="24"/>
  <c r="X69" i="24"/>
  <c r="V69" i="24"/>
  <c r="N69" i="24"/>
  <c r="L69" i="24"/>
  <c r="B69" i="24"/>
  <c r="Z68" i="24"/>
  <c r="X68" i="24"/>
  <c r="V68" i="24"/>
  <c r="N68" i="24"/>
  <c r="L68" i="24"/>
  <c r="J68" i="24"/>
  <c r="B68" i="24"/>
  <c r="Z67" i="24"/>
  <c r="X67" i="24"/>
  <c r="N67" i="24"/>
  <c r="L67" i="24"/>
  <c r="B67" i="24"/>
  <c r="Z66" i="24"/>
  <c r="X66" i="24"/>
  <c r="N66" i="24"/>
  <c r="L66" i="24"/>
  <c r="B66" i="24"/>
  <c r="Z65" i="24"/>
  <c r="X65" i="24"/>
  <c r="V65" i="24"/>
  <c r="N65" i="24"/>
  <c r="L65" i="24"/>
  <c r="B65" i="24"/>
  <c r="Z64" i="24"/>
  <c r="X64" i="24"/>
  <c r="V64" i="24"/>
  <c r="N64" i="24"/>
  <c r="L64" i="24"/>
  <c r="J64" i="24"/>
  <c r="B64" i="24"/>
  <c r="Z63" i="24"/>
  <c r="X63" i="24"/>
  <c r="N63" i="24"/>
  <c r="L63" i="24"/>
  <c r="B63" i="24"/>
  <c r="Z62" i="24"/>
  <c r="X62" i="24"/>
  <c r="N62" i="24"/>
  <c r="L62" i="24"/>
  <c r="B62" i="24"/>
  <c r="Z61" i="24"/>
  <c r="X61" i="24"/>
  <c r="V61" i="24"/>
  <c r="N61" i="24"/>
  <c r="L61" i="24"/>
  <c r="B61" i="24"/>
  <c r="Z60" i="24"/>
  <c r="X60" i="24"/>
  <c r="V60" i="24"/>
  <c r="N60" i="24"/>
  <c r="L60" i="24"/>
  <c r="J60" i="24"/>
  <c r="B60" i="24"/>
  <c r="Z59" i="24"/>
  <c r="X59" i="24"/>
  <c r="N59" i="24"/>
  <c r="L59" i="24"/>
  <c r="B59" i="24"/>
  <c r="Z58" i="24"/>
  <c r="X58" i="24"/>
  <c r="N58" i="24"/>
  <c r="L58" i="24"/>
  <c r="B58" i="24"/>
  <c r="Z57" i="24"/>
  <c r="X57" i="24"/>
  <c r="V57" i="24"/>
  <c r="L57" i="24"/>
  <c r="N57" i="24" s="1"/>
  <c r="B57" i="24"/>
  <c r="V56" i="24"/>
  <c r="T56" i="24"/>
  <c r="P56" i="24"/>
  <c r="X56" i="24" s="1"/>
  <c r="Z56" i="24" s="1"/>
  <c r="H56" i="24"/>
  <c r="D56" i="24"/>
  <c r="L56" i="24" s="1"/>
  <c r="N56" i="24" s="1"/>
  <c r="Z54" i="24"/>
  <c r="P54" i="24"/>
  <c r="X54" i="24" s="1"/>
  <c r="N54" i="24"/>
  <c r="D54" i="24"/>
  <c r="L54" i="24" s="1"/>
  <c r="B54" i="24"/>
  <c r="Z53" i="24"/>
  <c r="X53" i="24"/>
  <c r="P53" i="24"/>
  <c r="N53" i="24"/>
  <c r="L53" i="24"/>
  <c r="D53" i="24"/>
  <c r="B53" i="24"/>
  <c r="Z52" i="24"/>
  <c r="X52" i="24"/>
  <c r="P52" i="24"/>
  <c r="N52" i="24"/>
  <c r="L52" i="24"/>
  <c r="D52" i="24"/>
  <c r="B52" i="24"/>
  <c r="Z51" i="24"/>
  <c r="X51" i="24"/>
  <c r="P51" i="24"/>
  <c r="N51" i="24"/>
  <c r="D51" i="24"/>
  <c r="L51" i="24" s="1"/>
  <c r="B51" i="24"/>
  <c r="Z50" i="24"/>
  <c r="P50" i="24"/>
  <c r="X50" i="24" s="1"/>
  <c r="N50" i="24"/>
  <c r="L50" i="24"/>
  <c r="D50" i="24"/>
  <c r="B50" i="24"/>
  <c r="Z49" i="24"/>
  <c r="X49" i="24"/>
  <c r="P49" i="24"/>
  <c r="N49" i="24"/>
  <c r="L49" i="24"/>
  <c r="D49" i="24"/>
  <c r="B49" i="24"/>
  <c r="Z48" i="24"/>
  <c r="P48" i="24"/>
  <c r="X48" i="24" s="1"/>
  <c r="N48" i="24"/>
  <c r="L48" i="24"/>
  <c r="D48" i="24"/>
  <c r="B48" i="24"/>
  <c r="Z47" i="24"/>
  <c r="X47" i="24"/>
  <c r="P47" i="24"/>
  <c r="N47" i="24"/>
  <c r="L47" i="24"/>
  <c r="D47" i="24"/>
  <c r="B47" i="24"/>
  <c r="Z46" i="24"/>
  <c r="P46" i="24"/>
  <c r="X46" i="24" s="1"/>
  <c r="N46" i="24"/>
  <c r="L46" i="24"/>
  <c r="D46" i="24"/>
  <c r="B46" i="24"/>
  <c r="Z45" i="24"/>
  <c r="P45" i="24"/>
  <c r="X45" i="24" s="1"/>
  <c r="N45" i="24"/>
  <c r="D45" i="24"/>
  <c r="L45" i="24" s="1"/>
  <c r="B45" i="24"/>
  <c r="Z44" i="24"/>
  <c r="X44" i="24"/>
  <c r="P44" i="24"/>
  <c r="N44" i="24"/>
  <c r="L44" i="24"/>
  <c r="D44" i="24"/>
  <c r="B44" i="24"/>
  <c r="Z43" i="24"/>
  <c r="X43" i="24"/>
  <c r="P43" i="24"/>
  <c r="N43" i="24"/>
  <c r="D43" i="24"/>
  <c r="L43" i="24" s="1"/>
  <c r="B43" i="24"/>
  <c r="Z42" i="24"/>
  <c r="P42" i="24"/>
  <c r="X42" i="24" s="1"/>
  <c r="N42" i="24"/>
  <c r="D42" i="24"/>
  <c r="L42" i="24" s="1"/>
  <c r="B42" i="24"/>
  <c r="Z41" i="24"/>
  <c r="X41" i="24"/>
  <c r="P41" i="24"/>
  <c r="N41" i="24"/>
  <c r="L41" i="24"/>
  <c r="D41" i="24"/>
  <c r="B41" i="24"/>
  <c r="Z40" i="24"/>
  <c r="X40" i="24"/>
  <c r="P40" i="24"/>
  <c r="N40" i="24"/>
  <c r="L40" i="24"/>
  <c r="D40" i="24"/>
  <c r="B40" i="24"/>
  <c r="Z39" i="24"/>
  <c r="X39" i="24"/>
  <c r="P39" i="24"/>
  <c r="N39" i="24"/>
  <c r="D39" i="24"/>
  <c r="L39" i="24" s="1"/>
  <c r="B39" i="24"/>
  <c r="Z38" i="24"/>
  <c r="X38" i="24"/>
  <c r="P38" i="24"/>
  <c r="N38" i="24"/>
  <c r="L38" i="24"/>
  <c r="D38" i="24"/>
  <c r="B38" i="24"/>
  <c r="Z37" i="24"/>
  <c r="X37" i="24"/>
  <c r="P37" i="24"/>
  <c r="N37" i="24"/>
  <c r="L37" i="24"/>
  <c r="D37" i="24"/>
  <c r="B37" i="24"/>
  <c r="Z36" i="24"/>
  <c r="P36" i="24"/>
  <c r="X36" i="24" s="1"/>
  <c r="N36" i="24"/>
  <c r="L36" i="24"/>
  <c r="D36" i="24"/>
  <c r="B36" i="24"/>
  <c r="Z35" i="24"/>
  <c r="X35" i="24"/>
  <c r="P35" i="24"/>
  <c r="N35" i="24"/>
  <c r="D35" i="24"/>
  <c r="L35" i="24" s="1"/>
  <c r="B35" i="24"/>
  <c r="Z34" i="24"/>
  <c r="P34" i="24"/>
  <c r="X34" i="24" s="1"/>
  <c r="N34" i="24"/>
  <c r="L34" i="24"/>
  <c r="D34" i="24"/>
  <c r="B34" i="24"/>
  <c r="P33" i="24"/>
  <c r="X33" i="24" s="1"/>
  <c r="Z33" i="24" s="1"/>
  <c r="D33" i="24"/>
  <c r="L33" i="24" s="1"/>
  <c r="N33" i="24" s="1"/>
  <c r="B33" i="24"/>
  <c r="Z32" i="24"/>
  <c r="X32" i="24"/>
  <c r="P32" i="24"/>
  <c r="N32" i="24"/>
  <c r="L32" i="24"/>
  <c r="D32" i="24"/>
  <c r="B32" i="24"/>
  <c r="Z31" i="24"/>
  <c r="X31" i="24"/>
  <c r="P31" i="24"/>
  <c r="N31" i="24"/>
  <c r="D31" i="24"/>
  <c r="L31" i="24" s="1"/>
  <c r="B31" i="24"/>
  <c r="Z30" i="24"/>
  <c r="P30" i="24"/>
  <c r="X30" i="24" s="1"/>
  <c r="N30" i="24"/>
  <c r="D30" i="24"/>
  <c r="L30" i="24" s="1"/>
  <c r="B30" i="24"/>
  <c r="Z29" i="24"/>
  <c r="X29" i="24"/>
  <c r="P29" i="24"/>
  <c r="N29" i="24"/>
  <c r="L29" i="24"/>
  <c r="D29" i="24"/>
  <c r="B29" i="24"/>
  <c r="Z28" i="24"/>
  <c r="X28" i="24"/>
  <c r="P28" i="24"/>
  <c r="N28" i="24"/>
  <c r="L28" i="24"/>
  <c r="D28" i="24"/>
  <c r="B28" i="24"/>
  <c r="Z27" i="24"/>
  <c r="X27" i="24"/>
  <c r="P27" i="24"/>
  <c r="N27" i="24"/>
  <c r="D27" i="24"/>
  <c r="L27" i="24" s="1"/>
  <c r="B27" i="24"/>
  <c r="Z26" i="24"/>
  <c r="X26" i="24"/>
  <c r="P26" i="24"/>
  <c r="N26" i="24"/>
  <c r="L26" i="24"/>
  <c r="D26" i="24"/>
  <c r="B26" i="24"/>
  <c r="Z25" i="24"/>
  <c r="X25" i="24"/>
  <c r="P25" i="24"/>
  <c r="N25" i="24"/>
  <c r="L25" i="24"/>
  <c r="D25" i="24"/>
  <c r="B25" i="24"/>
  <c r="Z24" i="24"/>
  <c r="P24" i="24"/>
  <c r="X24" i="24" s="1"/>
  <c r="N24" i="24"/>
  <c r="L24" i="24"/>
  <c r="D24" i="24"/>
  <c r="B24" i="24"/>
  <c r="Z23" i="24"/>
  <c r="X23" i="24"/>
  <c r="P23" i="24"/>
  <c r="N23" i="24"/>
  <c r="L23" i="24"/>
  <c r="D23" i="24"/>
  <c r="B23" i="24"/>
  <c r="Z22" i="24"/>
  <c r="P22" i="24"/>
  <c r="X22" i="24" s="1"/>
  <c r="N22" i="24"/>
  <c r="L22" i="24"/>
  <c r="D22" i="24"/>
  <c r="B22" i="24"/>
  <c r="Z21" i="24"/>
  <c r="P21" i="24"/>
  <c r="X21" i="24" s="1"/>
  <c r="N21" i="24"/>
  <c r="D21" i="24"/>
  <c r="L21" i="24" s="1"/>
  <c r="B21" i="24"/>
  <c r="Z20" i="24"/>
  <c r="X20" i="24"/>
  <c r="P20" i="24"/>
  <c r="N20" i="24"/>
  <c r="L20" i="24"/>
  <c r="D20" i="24"/>
  <c r="B20" i="24"/>
  <c r="Z19" i="24"/>
  <c r="X19" i="24"/>
  <c r="P19" i="24"/>
  <c r="N19" i="24"/>
  <c r="D19" i="24"/>
  <c r="L19" i="24" s="1"/>
  <c r="B19" i="24"/>
  <c r="Z18" i="24"/>
  <c r="P18" i="24"/>
  <c r="X18" i="24" s="1"/>
  <c r="N18" i="24"/>
  <c r="D18" i="24"/>
  <c r="L18" i="24" s="1"/>
  <c r="B18" i="24"/>
  <c r="Z17" i="24"/>
  <c r="X17" i="24"/>
  <c r="P17" i="24"/>
  <c r="N17" i="24"/>
  <c r="L17" i="24"/>
  <c r="D17" i="24"/>
  <c r="B17" i="24"/>
  <c r="Z16" i="24"/>
  <c r="X16" i="24"/>
  <c r="P16" i="24"/>
  <c r="N16" i="24"/>
  <c r="L16" i="24"/>
  <c r="D16" i="24"/>
  <c r="B16" i="24"/>
  <c r="Z15" i="24"/>
  <c r="X15" i="24"/>
  <c r="P15" i="24"/>
  <c r="N15" i="24"/>
  <c r="D15" i="24"/>
  <c r="L15" i="24" s="1"/>
  <c r="B15" i="24"/>
  <c r="Z14" i="24"/>
  <c r="P14" i="24"/>
  <c r="N14" i="24"/>
  <c r="L14" i="24"/>
  <c r="D14" i="24"/>
  <c r="B14" i="24"/>
  <c r="Z13" i="24"/>
  <c r="X13" i="24"/>
  <c r="P13" i="24"/>
  <c r="N13" i="24"/>
  <c r="L13" i="24"/>
  <c r="D13" i="24"/>
  <c r="B13" i="24"/>
  <c r="T12" i="24"/>
  <c r="V114" i="24" s="1"/>
  <c r="H12" i="24"/>
  <c r="J138" i="24" s="1"/>
  <c r="D4" i="24"/>
  <c r="Z120" i="21"/>
  <c r="X120" i="21"/>
  <c r="L120" i="21"/>
  <c r="N120" i="21" s="1"/>
  <c r="X116" i="21"/>
  <c r="T116" i="21"/>
  <c r="Z116" i="21" s="1"/>
  <c r="P116" i="21"/>
  <c r="H116" i="21"/>
  <c r="N116" i="21" s="1"/>
  <c r="D116" i="21"/>
  <c r="L116" i="21" s="1"/>
  <c r="X114" i="21"/>
  <c r="Z114" i="21" s="1"/>
  <c r="N114" i="21"/>
  <c r="L114" i="21"/>
  <c r="B114" i="21"/>
  <c r="Z113" i="21"/>
  <c r="X113" i="21"/>
  <c r="T113" i="21"/>
  <c r="P113" i="21"/>
  <c r="L113" i="21"/>
  <c r="N113" i="21" s="1"/>
  <c r="J113" i="21"/>
  <c r="H113" i="21"/>
  <c r="D113" i="21"/>
  <c r="B113" i="21"/>
  <c r="Z112" i="21"/>
  <c r="X112" i="21"/>
  <c r="N112" i="21"/>
  <c r="L112" i="21"/>
  <c r="J112" i="21"/>
  <c r="B112" i="21"/>
  <c r="T111" i="21"/>
  <c r="P111" i="21"/>
  <c r="N111" i="21"/>
  <c r="H111" i="21"/>
  <c r="L111" i="21" s="1"/>
  <c r="D111" i="21"/>
  <c r="B111" i="21"/>
  <c r="X110" i="21"/>
  <c r="Z110" i="21" s="1"/>
  <c r="N110" i="21"/>
  <c r="L110" i="21"/>
  <c r="B110" i="21"/>
  <c r="Z109" i="21"/>
  <c r="T109" i="21"/>
  <c r="P109" i="21"/>
  <c r="X109" i="21" s="1"/>
  <c r="N109" i="21"/>
  <c r="J109" i="21"/>
  <c r="H109" i="21"/>
  <c r="D109" i="21"/>
  <c r="L109" i="21" s="1"/>
  <c r="B109" i="21"/>
  <c r="X108" i="21"/>
  <c r="Z108" i="21" s="1"/>
  <c r="N108" i="21"/>
  <c r="L108" i="21"/>
  <c r="B108" i="21"/>
  <c r="X107" i="21"/>
  <c r="Z107" i="21" s="1"/>
  <c r="T107" i="21"/>
  <c r="P107" i="21"/>
  <c r="N107" i="21"/>
  <c r="L107" i="21"/>
  <c r="H107" i="21"/>
  <c r="D107" i="21"/>
  <c r="B107" i="21"/>
  <c r="Z106" i="21"/>
  <c r="X106" i="21"/>
  <c r="N106" i="21"/>
  <c r="L106" i="21"/>
  <c r="B106" i="21"/>
  <c r="Z105" i="21"/>
  <c r="X105" i="21"/>
  <c r="N105" i="21"/>
  <c r="L105" i="21"/>
  <c r="B105" i="21"/>
  <c r="Z104" i="21"/>
  <c r="X104" i="21"/>
  <c r="N104" i="21"/>
  <c r="L104" i="21"/>
  <c r="J104" i="21"/>
  <c r="B104" i="21"/>
  <c r="X103" i="21"/>
  <c r="Z103" i="21" s="1"/>
  <c r="N103" i="21"/>
  <c r="L103" i="21"/>
  <c r="J103" i="21"/>
  <c r="B103" i="21"/>
  <c r="Z102" i="21"/>
  <c r="X102" i="21"/>
  <c r="N102" i="21"/>
  <c r="L102" i="21"/>
  <c r="B102" i="21"/>
  <c r="Z101" i="21"/>
  <c r="X101" i="21"/>
  <c r="N101" i="21"/>
  <c r="L101" i="21"/>
  <c r="B101" i="21"/>
  <c r="Z100" i="21"/>
  <c r="X100" i="21"/>
  <c r="N100" i="21"/>
  <c r="L100" i="21"/>
  <c r="J100" i="21"/>
  <c r="B100" i="21"/>
  <c r="X99" i="21"/>
  <c r="Z99" i="21" s="1"/>
  <c r="N99" i="21"/>
  <c r="L99" i="21"/>
  <c r="J99" i="21"/>
  <c r="B99" i="21"/>
  <c r="Z98" i="21"/>
  <c r="X98" i="21"/>
  <c r="N98" i="21"/>
  <c r="L98" i="21"/>
  <c r="B98" i="21"/>
  <c r="Z97" i="21"/>
  <c r="T97" i="21"/>
  <c r="X97" i="21" s="1"/>
  <c r="P97" i="21"/>
  <c r="H97" i="21"/>
  <c r="D97" i="21"/>
  <c r="B97" i="21"/>
  <c r="Z96" i="21"/>
  <c r="X96" i="21"/>
  <c r="L96" i="21"/>
  <c r="N96" i="21" s="1"/>
  <c r="B96" i="21"/>
  <c r="T95" i="21"/>
  <c r="P95" i="21"/>
  <c r="X95" i="21" s="1"/>
  <c r="Z95" i="21" s="1"/>
  <c r="N95" i="21"/>
  <c r="H95" i="21"/>
  <c r="D95" i="21"/>
  <c r="L95" i="21" s="1"/>
  <c r="B95" i="21"/>
  <c r="X94" i="21"/>
  <c r="Z94" i="21" s="1"/>
  <c r="L94" i="21"/>
  <c r="N94" i="21" s="1"/>
  <c r="B94" i="21"/>
  <c r="Z93" i="21"/>
  <c r="X93" i="21"/>
  <c r="N93" i="21"/>
  <c r="L93" i="21"/>
  <c r="B93" i="21"/>
  <c r="X92" i="21"/>
  <c r="Z92" i="21" s="1"/>
  <c r="L92" i="21"/>
  <c r="N92" i="21" s="1"/>
  <c r="B92" i="21"/>
  <c r="X91" i="21"/>
  <c r="Z91" i="21" s="1"/>
  <c r="V91" i="21"/>
  <c r="L91" i="21"/>
  <c r="N91" i="21" s="1"/>
  <c r="B91" i="21"/>
  <c r="Z90" i="21"/>
  <c r="X90" i="21"/>
  <c r="N90" i="21"/>
  <c r="L90" i="21"/>
  <c r="B90" i="21"/>
  <c r="Z89" i="21"/>
  <c r="X89" i="21"/>
  <c r="T89" i="21"/>
  <c r="P89" i="21"/>
  <c r="L89" i="21"/>
  <c r="N89" i="21" s="1"/>
  <c r="J89" i="21"/>
  <c r="H89" i="21"/>
  <c r="D89" i="21"/>
  <c r="B89" i="21"/>
  <c r="X88" i="21"/>
  <c r="Z88" i="21" s="1"/>
  <c r="N88" i="21"/>
  <c r="L88" i="21"/>
  <c r="J88" i="21"/>
  <c r="B88" i="21"/>
  <c r="Z87" i="21"/>
  <c r="X87" i="21"/>
  <c r="N87" i="21"/>
  <c r="L87" i="21"/>
  <c r="J87" i="21"/>
  <c r="B87" i="21"/>
  <c r="X86" i="21"/>
  <c r="Z86" i="21" s="1"/>
  <c r="T86" i="21"/>
  <c r="P86" i="21"/>
  <c r="H86" i="21"/>
  <c r="D86" i="21"/>
  <c r="B86" i="21"/>
  <c r="Z85" i="21"/>
  <c r="X85" i="21"/>
  <c r="N85" i="21"/>
  <c r="L85" i="21"/>
  <c r="B85" i="21"/>
  <c r="Z84" i="21"/>
  <c r="X84" i="21"/>
  <c r="N84" i="21"/>
  <c r="L84" i="21"/>
  <c r="B84" i="21"/>
  <c r="Z83" i="21"/>
  <c r="X83" i="21"/>
  <c r="V83" i="21"/>
  <c r="N83" i="21"/>
  <c r="L83" i="21"/>
  <c r="J83" i="21"/>
  <c r="B83" i="21"/>
  <c r="T82" i="21"/>
  <c r="Z82" i="21" s="1"/>
  <c r="P82" i="21"/>
  <c r="X82" i="21" s="1"/>
  <c r="H82" i="21"/>
  <c r="D82" i="21"/>
  <c r="B82" i="21"/>
  <c r="Z81" i="21"/>
  <c r="X81" i="21"/>
  <c r="N81" i="21"/>
  <c r="L81" i="21"/>
  <c r="B81" i="21"/>
  <c r="T80" i="21"/>
  <c r="Z80" i="21" s="1"/>
  <c r="P80" i="21"/>
  <c r="X80" i="21" s="1"/>
  <c r="H80" i="21"/>
  <c r="D80" i="21"/>
  <c r="L80" i="21" s="1"/>
  <c r="B80" i="21"/>
  <c r="Z79" i="21"/>
  <c r="X79" i="21"/>
  <c r="N79" i="21"/>
  <c r="L79" i="21"/>
  <c r="J79" i="21"/>
  <c r="B79" i="21"/>
  <c r="Z78" i="21"/>
  <c r="X78" i="21"/>
  <c r="T78" i="21"/>
  <c r="P78" i="21"/>
  <c r="H78" i="21"/>
  <c r="D78" i="21"/>
  <c r="B78" i="21"/>
  <c r="Z77" i="21"/>
  <c r="X77" i="21"/>
  <c r="N77" i="21"/>
  <c r="L77" i="21"/>
  <c r="B77" i="21"/>
  <c r="T76" i="21"/>
  <c r="P76" i="21"/>
  <c r="X76" i="21" s="1"/>
  <c r="H76" i="21"/>
  <c r="N76" i="21" s="1"/>
  <c r="D76" i="21"/>
  <c r="L76" i="21" s="1"/>
  <c r="B76" i="21"/>
  <c r="X75" i="21"/>
  <c r="Z75" i="21" s="1"/>
  <c r="L75" i="21"/>
  <c r="N75" i="21" s="1"/>
  <c r="B75" i="21"/>
  <c r="X74" i="21"/>
  <c r="T74" i="21"/>
  <c r="P74" i="21"/>
  <c r="H74" i="21"/>
  <c r="N74" i="21" s="1"/>
  <c r="D74" i="21"/>
  <c r="L74" i="21" s="1"/>
  <c r="B74" i="21"/>
  <c r="Z73" i="21"/>
  <c r="X73" i="21"/>
  <c r="N73" i="21"/>
  <c r="L73" i="21"/>
  <c r="B73" i="21"/>
  <c r="T72" i="21"/>
  <c r="P72" i="21"/>
  <c r="L72" i="21"/>
  <c r="N72" i="21" s="1"/>
  <c r="H72" i="21"/>
  <c r="D72" i="21"/>
  <c r="B72" i="21"/>
  <c r="Z71" i="21"/>
  <c r="X71" i="21"/>
  <c r="N71" i="21"/>
  <c r="L71" i="21"/>
  <c r="J71" i="21"/>
  <c r="B71" i="21"/>
  <c r="T70" i="21"/>
  <c r="Z70" i="21" s="1"/>
  <c r="P70" i="21"/>
  <c r="X70" i="21" s="1"/>
  <c r="J70" i="21"/>
  <c r="H70" i="21"/>
  <c r="N70" i="21" s="1"/>
  <c r="D70" i="21"/>
  <c r="L70" i="21" s="1"/>
  <c r="B70" i="21"/>
  <c r="Z69" i="21"/>
  <c r="X69" i="21"/>
  <c r="N69" i="21"/>
  <c r="L69" i="21"/>
  <c r="B69" i="21"/>
  <c r="T68" i="21"/>
  <c r="P68" i="21"/>
  <c r="X68" i="21" s="1"/>
  <c r="H68" i="21"/>
  <c r="D68" i="21"/>
  <c r="L68" i="21" s="1"/>
  <c r="B68" i="21"/>
  <c r="X67" i="21"/>
  <c r="Z67" i="21" s="1"/>
  <c r="N67" i="21"/>
  <c r="L67" i="21"/>
  <c r="J67" i="21"/>
  <c r="B67" i="21"/>
  <c r="X66" i="21"/>
  <c r="Z66" i="21" s="1"/>
  <c r="T66" i="21"/>
  <c r="P66" i="21"/>
  <c r="H66" i="21"/>
  <c r="D66" i="21"/>
  <c r="B66" i="21"/>
  <c r="Z65" i="21"/>
  <c r="X65" i="21"/>
  <c r="N65" i="21"/>
  <c r="L65" i="21"/>
  <c r="B65" i="21"/>
  <c r="T64" i="21"/>
  <c r="Z64" i="21" s="1"/>
  <c r="P64" i="21"/>
  <c r="H64" i="21"/>
  <c r="N64" i="21" s="1"/>
  <c r="D64" i="21"/>
  <c r="L64" i="21" s="1"/>
  <c r="B64" i="21"/>
  <c r="X63" i="21"/>
  <c r="Z63" i="21" s="1"/>
  <c r="L63" i="21"/>
  <c r="N63" i="21" s="1"/>
  <c r="B63" i="21"/>
  <c r="X62" i="21"/>
  <c r="Z62" i="21" s="1"/>
  <c r="L62" i="21"/>
  <c r="N62" i="21" s="1"/>
  <c r="B62" i="21"/>
  <c r="Z61" i="21"/>
  <c r="X61" i="21"/>
  <c r="N61" i="21"/>
  <c r="L61" i="21"/>
  <c r="B61" i="21"/>
  <c r="T60" i="21"/>
  <c r="P60" i="21"/>
  <c r="X60" i="21" s="1"/>
  <c r="H60" i="21"/>
  <c r="D60" i="21"/>
  <c r="L60" i="21" s="1"/>
  <c r="B60" i="21"/>
  <c r="X59" i="21"/>
  <c r="Z59" i="21" s="1"/>
  <c r="N59" i="21"/>
  <c r="L59" i="21"/>
  <c r="J59" i="21"/>
  <c r="B59" i="21"/>
  <c r="X58" i="21"/>
  <c r="Z58" i="21" s="1"/>
  <c r="T58" i="21"/>
  <c r="P58" i="21"/>
  <c r="H58" i="21"/>
  <c r="D58" i="21"/>
  <c r="B58" i="21"/>
  <c r="Z57" i="21"/>
  <c r="X57" i="21"/>
  <c r="N57" i="21"/>
  <c r="L57" i="21"/>
  <c r="B57" i="21"/>
  <c r="T56" i="21"/>
  <c r="P56" i="21"/>
  <c r="H56" i="21"/>
  <c r="D56" i="21"/>
  <c r="L56" i="21" s="1"/>
  <c r="B56" i="21"/>
  <c r="X55" i="21"/>
  <c r="Z55" i="21" s="1"/>
  <c r="L55" i="21"/>
  <c r="N55" i="21" s="1"/>
  <c r="B55" i="21"/>
  <c r="T54" i="21"/>
  <c r="P54" i="21"/>
  <c r="X54" i="21" s="1"/>
  <c r="H54" i="21"/>
  <c r="N54" i="21" s="1"/>
  <c r="D54" i="21"/>
  <c r="L54" i="21" s="1"/>
  <c r="B54" i="21"/>
  <c r="Z53" i="21"/>
  <c r="X53" i="21"/>
  <c r="N53" i="21"/>
  <c r="L53" i="21"/>
  <c r="B53" i="21"/>
  <c r="Z52" i="21"/>
  <c r="X52" i="21"/>
  <c r="N52" i="21"/>
  <c r="L52" i="21"/>
  <c r="J52" i="21"/>
  <c r="B52" i="21"/>
  <c r="X51" i="21"/>
  <c r="Z51" i="21" s="1"/>
  <c r="N51" i="21"/>
  <c r="L51" i="21"/>
  <c r="J51" i="21"/>
  <c r="B51" i="21"/>
  <c r="X50" i="21"/>
  <c r="Z50" i="21" s="1"/>
  <c r="N50" i="21"/>
  <c r="L50" i="21"/>
  <c r="B50" i="21"/>
  <c r="Z49" i="21"/>
  <c r="X49" i="21"/>
  <c r="N49" i="21"/>
  <c r="L49" i="21"/>
  <c r="B49" i="21"/>
  <c r="X48" i="21"/>
  <c r="Z48" i="21" s="1"/>
  <c r="L48" i="21"/>
  <c r="N48" i="21" s="1"/>
  <c r="J48" i="21"/>
  <c r="B48" i="21"/>
  <c r="X47" i="21"/>
  <c r="Z47" i="21" s="1"/>
  <c r="N47" i="21"/>
  <c r="L47" i="21"/>
  <c r="J47" i="21"/>
  <c r="B47" i="21"/>
  <c r="Z46" i="21"/>
  <c r="X46" i="21"/>
  <c r="N46" i="21"/>
  <c r="L46" i="21"/>
  <c r="B46" i="21"/>
  <c r="Z45" i="21"/>
  <c r="X45" i="21"/>
  <c r="N45" i="21"/>
  <c r="L45" i="21"/>
  <c r="B45" i="21"/>
  <c r="X44" i="21"/>
  <c r="Z44" i="21" s="1"/>
  <c r="L44" i="21"/>
  <c r="N44" i="21" s="1"/>
  <c r="J44" i="21"/>
  <c r="B44" i="21"/>
  <c r="X43" i="21"/>
  <c r="T43" i="21"/>
  <c r="Z43" i="21" s="1"/>
  <c r="P43" i="21"/>
  <c r="H43" i="21"/>
  <c r="L43" i="21" s="1"/>
  <c r="F43" i="21"/>
  <c r="D43" i="21"/>
  <c r="B43" i="21"/>
  <c r="X42" i="21"/>
  <c r="Z42" i="21" s="1"/>
  <c r="N42" i="21"/>
  <c r="L42" i="21"/>
  <c r="B42" i="21"/>
  <c r="Z41" i="21"/>
  <c r="X41" i="21"/>
  <c r="N41" i="21"/>
  <c r="L41" i="21"/>
  <c r="J41" i="21"/>
  <c r="B41" i="21"/>
  <c r="X40" i="21"/>
  <c r="Z40" i="21" s="1"/>
  <c r="L40" i="21"/>
  <c r="N40" i="21" s="1"/>
  <c r="B40" i="21"/>
  <c r="Z39" i="21"/>
  <c r="X39" i="21"/>
  <c r="N39" i="21"/>
  <c r="L39" i="21"/>
  <c r="J39" i="21"/>
  <c r="B39" i="21"/>
  <c r="X38" i="21"/>
  <c r="Z38" i="21" s="1"/>
  <c r="L38" i="21"/>
  <c r="N38" i="21" s="1"/>
  <c r="B38" i="21"/>
  <c r="Z37" i="21"/>
  <c r="X37" i="21"/>
  <c r="N37" i="21"/>
  <c r="L37" i="21"/>
  <c r="J37" i="21"/>
  <c r="B37" i="21"/>
  <c r="X36" i="21"/>
  <c r="Z36" i="21" s="1"/>
  <c r="L36" i="21"/>
  <c r="N36" i="21" s="1"/>
  <c r="B36" i="21"/>
  <c r="Z35" i="21"/>
  <c r="X35" i="21"/>
  <c r="V35" i="21"/>
  <c r="L35" i="21"/>
  <c r="N35" i="21" s="1"/>
  <c r="J35" i="21"/>
  <c r="B35" i="21"/>
  <c r="X34" i="21"/>
  <c r="Z34" i="21" s="1"/>
  <c r="L34" i="21"/>
  <c r="N34" i="21" s="1"/>
  <c r="B34" i="21"/>
  <c r="Z33" i="21"/>
  <c r="T33" i="21"/>
  <c r="P33" i="21"/>
  <c r="X33" i="21" s="1"/>
  <c r="J33" i="21"/>
  <c r="H33" i="21"/>
  <c r="D33" i="21"/>
  <c r="L33" i="21" s="1"/>
  <c r="N33" i="21" s="1"/>
  <c r="B33" i="21"/>
  <c r="T32" i="21"/>
  <c r="P32" i="21"/>
  <c r="X32" i="21" s="1"/>
  <c r="H32" i="21"/>
  <c r="D32" i="21"/>
  <c r="L32" i="21" s="1"/>
  <c r="Z28" i="21"/>
  <c r="X28" i="21"/>
  <c r="N28" i="21"/>
  <c r="L28" i="21"/>
  <c r="B28" i="21"/>
  <c r="Z27" i="21"/>
  <c r="X27" i="21"/>
  <c r="V27" i="21"/>
  <c r="N27" i="21"/>
  <c r="L27" i="21"/>
  <c r="J27" i="21"/>
  <c r="B27" i="21"/>
  <c r="X26" i="21"/>
  <c r="Z26" i="21" s="1"/>
  <c r="N26" i="21"/>
  <c r="L26" i="21"/>
  <c r="B26" i="21"/>
  <c r="Z25" i="21"/>
  <c r="X25" i="21"/>
  <c r="T25" i="21"/>
  <c r="P25" i="21"/>
  <c r="L25" i="21"/>
  <c r="N25" i="21" s="1"/>
  <c r="J25" i="21"/>
  <c r="H25" i="21"/>
  <c r="D25" i="21"/>
  <c r="Z23" i="21"/>
  <c r="P23" i="21"/>
  <c r="X23" i="21" s="1"/>
  <c r="N23" i="21"/>
  <c r="L23" i="21"/>
  <c r="D23" i="21"/>
  <c r="B23" i="21"/>
  <c r="Z22" i="21"/>
  <c r="X22" i="21"/>
  <c r="P22" i="21"/>
  <c r="N22" i="21"/>
  <c r="D22" i="21"/>
  <c r="L22" i="21" s="1"/>
  <c r="B22" i="21"/>
  <c r="Z21" i="21"/>
  <c r="P21" i="21"/>
  <c r="X21" i="21" s="1"/>
  <c r="N21" i="21"/>
  <c r="D21" i="21"/>
  <c r="L21" i="21" s="1"/>
  <c r="B21" i="21"/>
  <c r="Z20" i="21"/>
  <c r="P20" i="21"/>
  <c r="X20" i="21" s="1"/>
  <c r="N20" i="21"/>
  <c r="D20" i="21"/>
  <c r="L20" i="21" s="1"/>
  <c r="B20" i="21"/>
  <c r="Z19" i="21"/>
  <c r="P19" i="21"/>
  <c r="X19" i="21" s="1"/>
  <c r="N19" i="21"/>
  <c r="L19" i="21"/>
  <c r="D19" i="21"/>
  <c r="B19" i="21"/>
  <c r="Z18" i="21"/>
  <c r="X18" i="21"/>
  <c r="P18" i="21"/>
  <c r="N18" i="21"/>
  <c r="D18" i="21"/>
  <c r="L18" i="21" s="1"/>
  <c r="B18" i="21"/>
  <c r="P17" i="21"/>
  <c r="X17" i="21" s="1"/>
  <c r="Z17" i="21" s="1"/>
  <c r="D17" i="21"/>
  <c r="L17" i="21" s="1"/>
  <c r="N17" i="21" s="1"/>
  <c r="B17" i="21"/>
  <c r="Z16" i="21"/>
  <c r="X16" i="21"/>
  <c r="P16" i="21"/>
  <c r="N16" i="21"/>
  <c r="D16" i="21"/>
  <c r="L16" i="21" s="1"/>
  <c r="B16" i="21"/>
  <c r="Z15" i="21"/>
  <c r="P15" i="21"/>
  <c r="X15" i="21" s="1"/>
  <c r="N15" i="21"/>
  <c r="L15" i="21"/>
  <c r="D15" i="21"/>
  <c r="B15" i="21"/>
  <c r="Z14" i="21"/>
  <c r="X14" i="21"/>
  <c r="P14" i="21"/>
  <c r="N14" i="21"/>
  <c r="D14" i="21"/>
  <c r="D12" i="21" s="1"/>
  <c r="B14" i="21"/>
  <c r="P13" i="21"/>
  <c r="X13" i="21" s="1"/>
  <c r="Z13" i="21" s="1"/>
  <c r="L13" i="21"/>
  <c r="N13" i="21" s="1"/>
  <c r="D13" i="21"/>
  <c r="B13" i="21"/>
  <c r="T12" i="21"/>
  <c r="V107" i="21" s="1"/>
  <c r="H12" i="21"/>
  <c r="J105" i="21" s="1"/>
  <c r="D4" i="21"/>
  <c r="Z302" i="18"/>
  <c r="X302" i="18"/>
  <c r="N302" i="18"/>
  <c r="L302" i="18"/>
  <c r="Z298" i="18"/>
  <c r="P298" i="18"/>
  <c r="X298" i="18" s="1"/>
  <c r="N298" i="18"/>
  <c r="L298" i="18"/>
  <c r="D298" i="18"/>
  <c r="B298" i="18"/>
  <c r="X297" i="18"/>
  <c r="Z297" i="18" s="1"/>
  <c r="P297" i="18"/>
  <c r="D297" i="18"/>
  <c r="L297" i="18" s="1"/>
  <c r="N297" i="18" s="1"/>
  <c r="B297" i="18"/>
  <c r="Z296" i="18"/>
  <c r="P296" i="18"/>
  <c r="X296" i="18" s="1"/>
  <c r="N296" i="18"/>
  <c r="L296" i="18"/>
  <c r="D296" i="18"/>
  <c r="B296" i="18"/>
  <c r="Z295" i="18"/>
  <c r="P295" i="18"/>
  <c r="X295" i="18" s="1"/>
  <c r="N295" i="18"/>
  <c r="J295" i="18"/>
  <c r="D295" i="18"/>
  <c r="L295" i="18" s="1"/>
  <c r="B295" i="18"/>
  <c r="Z294" i="18"/>
  <c r="P294" i="18"/>
  <c r="X294" i="18" s="1"/>
  <c r="L294" i="18"/>
  <c r="N294" i="18" s="1"/>
  <c r="D294" i="18"/>
  <c r="B294" i="18"/>
  <c r="Z293" i="18"/>
  <c r="X293" i="18"/>
  <c r="P293" i="18"/>
  <c r="D293" i="18"/>
  <c r="L293" i="18" s="1"/>
  <c r="N293" i="18" s="1"/>
  <c r="B293" i="18"/>
  <c r="Z292" i="18"/>
  <c r="X292" i="18"/>
  <c r="P292" i="18"/>
  <c r="N292" i="18"/>
  <c r="L292" i="18"/>
  <c r="D292" i="18"/>
  <c r="B292" i="18"/>
  <c r="Z291" i="18"/>
  <c r="X291" i="18"/>
  <c r="V291" i="18"/>
  <c r="P291" i="18"/>
  <c r="N291" i="18"/>
  <c r="D291" i="18"/>
  <c r="L291" i="18" s="1"/>
  <c r="B291" i="18"/>
  <c r="Z290" i="18"/>
  <c r="P290" i="18"/>
  <c r="X290" i="18" s="1"/>
  <c r="N290" i="18"/>
  <c r="D290" i="18"/>
  <c r="L290" i="18" s="1"/>
  <c r="B290" i="18"/>
  <c r="Z289" i="18"/>
  <c r="X289" i="18"/>
  <c r="P289" i="18"/>
  <c r="N289" i="18"/>
  <c r="D289" i="18"/>
  <c r="B289" i="18"/>
  <c r="Z288" i="18"/>
  <c r="P288" i="18"/>
  <c r="X288" i="18" s="1"/>
  <c r="N288" i="18"/>
  <c r="L288" i="18"/>
  <c r="D288" i="18"/>
  <c r="B288" i="18"/>
  <c r="Z287" i="18"/>
  <c r="X287" i="18"/>
  <c r="P287" i="18"/>
  <c r="N287" i="18"/>
  <c r="L287" i="18"/>
  <c r="D287" i="18"/>
  <c r="B287" i="18"/>
  <c r="T286" i="18"/>
  <c r="J286" i="18"/>
  <c r="H286" i="18"/>
  <c r="Z284" i="18"/>
  <c r="X284" i="18"/>
  <c r="N284" i="18"/>
  <c r="L284" i="18"/>
  <c r="B284" i="18"/>
  <c r="T283" i="18"/>
  <c r="Z283" i="18" s="1"/>
  <c r="P283" i="18"/>
  <c r="X283" i="18" s="1"/>
  <c r="H283" i="18"/>
  <c r="D283" i="18"/>
  <c r="L283" i="18" s="1"/>
  <c r="B283" i="18"/>
  <c r="X282" i="18"/>
  <c r="Z282" i="18" s="1"/>
  <c r="N282" i="18"/>
  <c r="L282" i="18"/>
  <c r="B282" i="18"/>
  <c r="Z281" i="18"/>
  <c r="X281" i="18"/>
  <c r="L281" i="18"/>
  <c r="N281" i="18" s="1"/>
  <c r="B281" i="18"/>
  <c r="Z280" i="18"/>
  <c r="X280" i="18"/>
  <c r="N280" i="18"/>
  <c r="L280" i="18"/>
  <c r="B280" i="18"/>
  <c r="T279" i="18"/>
  <c r="P279" i="18"/>
  <c r="H279" i="18"/>
  <c r="D279" i="18"/>
  <c r="L279" i="18" s="1"/>
  <c r="N279" i="18" s="1"/>
  <c r="B279" i="18"/>
  <c r="Z278" i="18"/>
  <c r="X278" i="18"/>
  <c r="L278" i="18"/>
  <c r="N278" i="18" s="1"/>
  <c r="B278" i="18"/>
  <c r="X277" i="18"/>
  <c r="T277" i="18"/>
  <c r="Z277" i="18" s="1"/>
  <c r="P277" i="18"/>
  <c r="H277" i="18"/>
  <c r="D277" i="18"/>
  <c r="L277" i="18" s="1"/>
  <c r="B277" i="18"/>
  <c r="Z276" i="18"/>
  <c r="X276" i="18"/>
  <c r="N276" i="18"/>
  <c r="L276" i="18"/>
  <c r="B276" i="18"/>
  <c r="X275" i="18"/>
  <c r="Z275" i="18" s="1"/>
  <c r="L275" i="18"/>
  <c r="N275" i="18" s="1"/>
  <c r="B275" i="18"/>
  <c r="X274" i="18"/>
  <c r="Z274" i="18" s="1"/>
  <c r="T274" i="18"/>
  <c r="P274" i="18"/>
  <c r="N274" i="18"/>
  <c r="L274" i="18"/>
  <c r="H274" i="18"/>
  <c r="D274" i="18"/>
  <c r="B274" i="18"/>
  <c r="X273" i="18"/>
  <c r="Z273" i="18" s="1"/>
  <c r="L273" i="18"/>
  <c r="N273" i="18" s="1"/>
  <c r="B273" i="18"/>
  <c r="Z272" i="18"/>
  <c r="X272" i="18"/>
  <c r="N272" i="18"/>
  <c r="L272" i="18"/>
  <c r="B272" i="18"/>
  <c r="X271" i="18"/>
  <c r="Z271" i="18" s="1"/>
  <c r="L271" i="18"/>
  <c r="N271" i="18" s="1"/>
  <c r="B271" i="18"/>
  <c r="X270" i="18"/>
  <c r="Z270" i="18" s="1"/>
  <c r="N270" i="18"/>
  <c r="L270" i="18"/>
  <c r="B270" i="18"/>
  <c r="Z269" i="18"/>
  <c r="X269" i="18"/>
  <c r="L269" i="18"/>
  <c r="N269" i="18" s="1"/>
  <c r="B269" i="18"/>
  <c r="Z268" i="18"/>
  <c r="X268" i="18"/>
  <c r="N268" i="18"/>
  <c r="L268" i="18"/>
  <c r="B268" i="18"/>
  <c r="X267" i="18"/>
  <c r="Z267" i="18" s="1"/>
  <c r="L267" i="18"/>
  <c r="N267" i="18" s="1"/>
  <c r="B267" i="18"/>
  <c r="X266" i="18"/>
  <c r="T266" i="18"/>
  <c r="Z266" i="18" s="1"/>
  <c r="P266" i="18"/>
  <c r="H266" i="18"/>
  <c r="D266" i="18"/>
  <c r="B266" i="18"/>
  <c r="X265" i="18"/>
  <c r="Z265" i="18" s="1"/>
  <c r="L265" i="18"/>
  <c r="N265" i="18" s="1"/>
  <c r="B265" i="18"/>
  <c r="Z264" i="18"/>
  <c r="X264" i="18"/>
  <c r="N264" i="18"/>
  <c r="L264" i="18"/>
  <c r="J264" i="18"/>
  <c r="B264" i="18"/>
  <c r="T263" i="18"/>
  <c r="P263" i="18"/>
  <c r="L263" i="18"/>
  <c r="H263" i="18"/>
  <c r="D263" i="18"/>
  <c r="B263" i="18"/>
  <c r="X262" i="18"/>
  <c r="Z262" i="18" s="1"/>
  <c r="L262" i="18"/>
  <c r="N262" i="18" s="1"/>
  <c r="J262" i="18"/>
  <c r="B262" i="18"/>
  <c r="X261" i="18"/>
  <c r="Z261" i="18" s="1"/>
  <c r="N261" i="18"/>
  <c r="L261" i="18"/>
  <c r="B261" i="18"/>
  <c r="Z260" i="18"/>
  <c r="X260" i="18"/>
  <c r="N260" i="18"/>
  <c r="L260" i="18"/>
  <c r="B260" i="18"/>
  <c r="X259" i="18"/>
  <c r="Z259" i="18" s="1"/>
  <c r="L259" i="18"/>
  <c r="N259" i="18" s="1"/>
  <c r="B259" i="18"/>
  <c r="X258" i="18"/>
  <c r="Z258" i="18" s="1"/>
  <c r="T258" i="18"/>
  <c r="P258" i="18"/>
  <c r="N258" i="18"/>
  <c r="L258" i="18"/>
  <c r="J258" i="18"/>
  <c r="H258" i="18"/>
  <c r="D258" i="18"/>
  <c r="B258" i="18"/>
  <c r="Z257" i="18"/>
  <c r="X257" i="18"/>
  <c r="N257" i="18"/>
  <c r="L257" i="18"/>
  <c r="B257" i="18"/>
  <c r="Z256" i="18"/>
  <c r="X256" i="18"/>
  <c r="N256" i="18"/>
  <c r="L256" i="18"/>
  <c r="B256" i="18"/>
  <c r="X255" i="18"/>
  <c r="Z255" i="18" s="1"/>
  <c r="L255" i="18"/>
  <c r="N255" i="18" s="1"/>
  <c r="B255" i="18"/>
  <c r="X254" i="18"/>
  <c r="Z254" i="18" s="1"/>
  <c r="V254" i="18"/>
  <c r="N254" i="18"/>
  <c r="L254" i="18"/>
  <c r="B254" i="18"/>
  <c r="Z253" i="18"/>
  <c r="X253" i="18"/>
  <c r="T253" i="18"/>
  <c r="P253" i="18"/>
  <c r="L253" i="18"/>
  <c r="H253" i="18"/>
  <c r="D253" i="18"/>
  <c r="B253" i="18"/>
  <c r="Z252" i="18"/>
  <c r="X252" i="18"/>
  <c r="N252" i="18"/>
  <c r="L252" i="18"/>
  <c r="B252" i="18"/>
  <c r="X251" i="18"/>
  <c r="Z251" i="18" s="1"/>
  <c r="L251" i="18"/>
  <c r="N251" i="18" s="1"/>
  <c r="B251" i="18"/>
  <c r="Z250" i="18"/>
  <c r="X250" i="18"/>
  <c r="N250" i="18"/>
  <c r="L250" i="18"/>
  <c r="B250" i="18"/>
  <c r="X249" i="18"/>
  <c r="Z249" i="18" s="1"/>
  <c r="N249" i="18"/>
  <c r="L249" i="18"/>
  <c r="B249" i="18"/>
  <c r="Z248" i="18"/>
  <c r="T248" i="18"/>
  <c r="P248" i="18"/>
  <c r="X248" i="18" s="1"/>
  <c r="N248" i="18"/>
  <c r="H248" i="18"/>
  <c r="D248" i="18"/>
  <c r="L248" i="18" s="1"/>
  <c r="B248" i="18"/>
  <c r="X247" i="18"/>
  <c r="Z247" i="18" s="1"/>
  <c r="L247" i="18"/>
  <c r="N247" i="18" s="1"/>
  <c r="B247" i="18"/>
  <c r="X246" i="18"/>
  <c r="Z246" i="18" s="1"/>
  <c r="T246" i="18"/>
  <c r="P246" i="18"/>
  <c r="N246" i="18"/>
  <c r="L246" i="18"/>
  <c r="H246" i="18"/>
  <c r="D246" i="18"/>
  <c r="B246" i="18"/>
  <c r="X245" i="18"/>
  <c r="Z245" i="18" s="1"/>
  <c r="L245" i="18"/>
  <c r="N245" i="18" s="1"/>
  <c r="B245" i="18"/>
  <c r="T244" i="18"/>
  <c r="X244" i="18" s="1"/>
  <c r="P244" i="18"/>
  <c r="L244" i="18"/>
  <c r="J244" i="18"/>
  <c r="H244" i="18"/>
  <c r="N244" i="18" s="1"/>
  <c r="D244" i="18"/>
  <c r="B244" i="18"/>
  <c r="X243" i="18"/>
  <c r="Z243" i="18" s="1"/>
  <c r="L243" i="18"/>
  <c r="N243" i="18" s="1"/>
  <c r="B243" i="18"/>
  <c r="V242" i="18"/>
  <c r="T242" i="18"/>
  <c r="P242" i="18"/>
  <c r="X242" i="18" s="1"/>
  <c r="Z242" i="18" s="1"/>
  <c r="H242" i="18"/>
  <c r="D242" i="18"/>
  <c r="L242" i="18" s="1"/>
  <c r="N242" i="18" s="1"/>
  <c r="B242" i="18"/>
  <c r="X241" i="18"/>
  <c r="Z241" i="18" s="1"/>
  <c r="N241" i="18"/>
  <c r="L241" i="18"/>
  <c r="B241" i="18"/>
  <c r="Z240" i="18"/>
  <c r="X240" i="18"/>
  <c r="T240" i="18"/>
  <c r="P240" i="18"/>
  <c r="L240" i="18"/>
  <c r="N240" i="18" s="1"/>
  <c r="H240" i="18"/>
  <c r="D240" i="18"/>
  <c r="B240" i="18"/>
  <c r="X239" i="18"/>
  <c r="Z239" i="18" s="1"/>
  <c r="L239" i="18"/>
  <c r="N239" i="18" s="1"/>
  <c r="B239" i="18"/>
  <c r="X238" i="18"/>
  <c r="T238" i="18"/>
  <c r="Z238" i="18" s="1"/>
  <c r="P238" i="18"/>
  <c r="H238" i="18"/>
  <c r="L238" i="18" s="1"/>
  <c r="N238" i="18" s="1"/>
  <c r="D238" i="18"/>
  <c r="B238" i="18"/>
  <c r="X237" i="18"/>
  <c r="Z237" i="18" s="1"/>
  <c r="L237" i="18"/>
  <c r="N237" i="18" s="1"/>
  <c r="B237" i="18"/>
  <c r="Z236" i="18"/>
  <c r="X236" i="18"/>
  <c r="N236" i="18"/>
  <c r="L236" i="18"/>
  <c r="B236" i="18"/>
  <c r="V235" i="18"/>
  <c r="T235" i="18"/>
  <c r="P235" i="18"/>
  <c r="X235" i="18" s="1"/>
  <c r="H235" i="18"/>
  <c r="D235" i="18"/>
  <c r="L235" i="18" s="1"/>
  <c r="B235" i="18"/>
  <c r="X234" i="18"/>
  <c r="Z234" i="18" s="1"/>
  <c r="L234" i="18"/>
  <c r="N234" i="18" s="1"/>
  <c r="B234" i="18"/>
  <c r="X233" i="18"/>
  <c r="T233" i="18"/>
  <c r="P233" i="18"/>
  <c r="H233" i="18"/>
  <c r="D233" i="18"/>
  <c r="B233" i="18"/>
  <c r="Z232" i="18"/>
  <c r="X232" i="18"/>
  <c r="N232" i="18"/>
  <c r="L232" i="18"/>
  <c r="B232" i="18"/>
  <c r="T231" i="18"/>
  <c r="X231" i="18" s="1"/>
  <c r="P231" i="18"/>
  <c r="N231" i="18"/>
  <c r="L231" i="18"/>
  <c r="H231" i="18"/>
  <c r="D231" i="18"/>
  <c r="B231" i="18"/>
  <c r="Z230" i="18"/>
  <c r="X230" i="18"/>
  <c r="V230" i="18"/>
  <c r="N230" i="18"/>
  <c r="L230" i="18"/>
  <c r="B230" i="18"/>
  <c r="X229" i="18"/>
  <c r="Z229" i="18" s="1"/>
  <c r="L229" i="18"/>
  <c r="N229" i="18" s="1"/>
  <c r="B229" i="18"/>
  <c r="T228" i="18"/>
  <c r="P228" i="18"/>
  <c r="X228" i="18" s="1"/>
  <c r="Z228" i="18" s="1"/>
  <c r="N228" i="18"/>
  <c r="H228" i="18"/>
  <c r="D228" i="18"/>
  <c r="L228" i="18" s="1"/>
  <c r="B228" i="18"/>
  <c r="Z227" i="18"/>
  <c r="X227" i="18"/>
  <c r="N227" i="18"/>
  <c r="L227" i="18"/>
  <c r="B227" i="18"/>
  <c r="X226" i="18"/>
  <c r="Z226" i="18" s="1"/>
  <c r="L226" i="18"/>
  <c r="N226" i="18" s="1"/>
  <c r="B226" i="18"/>
  <c r="T225" i="18"/>
  <c r="P225" i="18"/>
  <c r="X225" i="18" s="1"/>
  <c r="Z225" i="18" s="1"/>
  <c r="H225" i="18"/>
  <c r="D225" i="18"/>
  <c r="L225" i="18" s="1"/>
  <c r="B225" i="18"/>
  <c r="Z224" i="18"/>
  <c r="X224" i="18"/>
  <c r="N224" i="18"/>
  <c r="L224" i="18"/>
  <c r="B224" i="18"/>
  <c r="X223" i="18"/>
  <c r="Z223" i="18" s="1"/>
  <c r="L223" i="18"/>
  <c r="N223" i="18" s="1"/>
  <c r="B223" i="18"/>
  <c r="X222" i="18"/>
  <c r="Z222" i="18" s="1"/>
  <c r="N222" i="18"/>
  <c r="L222" i="18"/>
  <c r="B222" i="18"/>
  <c r="X221" i="18"/>
  <c r="Z221" i="18" s="1"/>
  <c r="L221" i="18"/>
  <c r="N221" i="18" s="1"/>
  <c r="B221" i="18"/>
  <c r="T220" i="18"/>
  <c r="P220" i="18"/>
  <c r="H220" i="18"/>
  <c r="N220" i="18" s="1"/>
  <c r="D220" i="18"/>
  <c r="L220" i="18" s="1"/>
  <c r="B220" i="18"/>
  <c r="X219" i="18"/>
  <c r="Z219" i="18" s="1"/>
  <c r="L219" i="18"/>
  <c r="N219" i="18" s="1"/>
  <c r="B219" i="18"/>
  <c r="T218" i="18"/>
  <c r="P218" i="18"/>
  <c r="X218" i="18" s="1"/>
  <c r="Z218" i="18" s="1"/>
  <c r="N218" i="18"/>
  <c r="H218" i="18"/>
  <c r="D218" i="18"/>
  <c r="L218" i="18" s="1"/>
  <c r="B218" i="18"/>
  <c r="X217" i="18"/>
  <c r="Z217" i="18" s="1"/>
  <c r="N217" i="18"/>
  <c r="L217" i="18"/>
  <c r="B217" i="18"/>
  <c r="Z216" i="18"/>
  <c r="X216" i="18"/>
  <c r="N216" i="18"/>
  <c r="L216" i="18"/>
  <c r="B216" i="18"/>
  <c r="T215" i="18"/>
  <c r="P215" i="18"/>
  <c r="H215" i="18"/>
  <c r="D215" i="18"/>
  <c r="L215" i="18" s="1"/>
  <c r="N215" i="18" s="1"/>
  <c r="B215" i="18"/>
  <c r="X214" i="18"/>
  <c r="Z214" i="18" s="1"/>
  <c r="N214" i="18"/>
  <c r="L214" i="18"/>
  <c r="B214" i="18"/>
  <c r="Z213" i="18"/>
  <c r="T213" i="18"/>
  <c r="P213" i="18"/>
  <c r="X213" i="18" s="1"/>
  <c r="L213" i="18"/>
  <c r="H213" i="18"/>
  <c r="D213" i="18"/>
  <c r="B213" i="18"/>
  <c r="Z212" i="18"/>
  <c r="X212" i="18"/>
  <c r="N212" i="18"/>
  <c r="L212" i="18"/>
  <c r="B212" i="18"/>
  <c r="Z211" i="18"/>
  <c r="X211" i="18"/>
  <c r="N211" i="18"/>
  <c r="L211" i="18"/>
  <c r="B211" i="18"/>
  <c r="Z210" i="18"/>
  <c r="X210" i="18"/>
  <c r="L210" i="18"/>
  <c r="N210" i="18" s="1"/>
  <c r="B210" i="18"/>
  <c r="X209" i="18"/>
  <c r="Z209" i="18" s="1"/>
  <c r="L209" i="18"/>
  <c r="N209" i="18" s="1"/>
  <c r="B209" i="18"/>
  <c r="Z208" i="18"/>
  <c r="X208" i="18"/>
  <c r="N208" i="18"/>
  <c r="L208" i="18"/>
  <c r="B208" i="18"/>
  <c r="X207" i="18"/>
  <c r="Z207" i="18" s="1"/>
  <c r="L207" i="18"/>
  <c r="N207" i="18" s="1"/>
  <c r="B207" i="18"/>
  <c r="Z206" i="18"/>
  <c r="X206" i="18"/>
  <c r="L206" i="18"/>
  <c r="N206" i="18" s="1"/>
  <c r="B206" i="18"/>
  <c r="Z205" i="18"/>
  <c r="X205" i="18"/>
  <c r="N205" i="18"/>
  <c r="L205" i="18"/>
  <c r="B205" i="18"/>
  <c r="Z204" i="18"/>
  <c r="X204" i="18"/>
  <c r="L204" i="18"/>
  <c r="N204" i="18" s="1"/>
  <c r="B204" i="18"/>
  <c r="X203" i="18"/>
  <c r="Z203" i="18" s="1"/>
  <c r="L203" i="18"/>
  <c r="N203" i="18" s="1"/>
  <c r="B203" i="18"/>
  <c r="X202" i="18"/>
  <c r="Z202" i="18" s="1"/>
  <c r="T202" i="18"/>
  <c r="P202" i="18"/>
  <c r="H202" i="18"/>
  <c r="D202" i="18"/>
  <c r="B202" i="18"/>
  <c r="X201" i="18"/>
  <c r="Z201" i="18" s="1"/>
  <c r="N201" i="18"/>
  <c r="L201" i="18"/>
  <c r="B201" i="18"/>
  <c r="X200" i="18"/>
  <c r="Z200" i="18" s="1"/>
  <c r="N200" i="18"/>
  <c r="L200" i="18"/>
  <c r="J200" i="18"/>
  <c r="B200" i="18"/>
  <c r="X199" i="18"/>
  <c r="Z199" i="18" s="1"/>
  <c r="L199" i="18"/>
  <c r="N199" i="18" s="1"/>
  <c r="J199" i="18"/>
  <c r="B199" i="18"/>
  <c r="Z198" i="18"/>
  <c r="X198" i="18"/>
  <c r="N198" i="18"/>
  <c r="L198" i="18"/>
  <c r="B198" i="18"/>
  <c r="Z197" i="18"/>
  <c r="X197" i="18"/>
  <c r="N197" i="18"/>
  <c r="L197" i="18"/>
  <c r="B197" i="18"/>
  <c r="Z196" i="18"/>
  <c r="X196" i="18"/>
  <c r="N196" i="18"/>
  <c r="L196" i="18"/>
  <c r="J196" i="18"/>
  <c r="B196" i="18"/>
  <c r="X195" i="18"/>
  <c r="Z195" i="18" s="1"/>
  <c r="L195" i="18"/>
  <c r="N195" i="18" s="1"/>
  <c r="B195" i="18"/>
  <c r="Z194" i="18"/>
  <c r="X194" i="18"/>
  <c r="N194" i="18"/>
  <c r="L194" i="18"/>
  <c r="B194" i="18"/>
  <c r="Z193" i="18"/>
  <c r="X193" i="18"/>
  <c r="L193" i="18"/>
  <c r="N193" i="18" s="1"/>
  <c r="J193" i="18"/>
  <c r="B193" i="18"/>
  <c r="Z192" i="18"/>
  <c r="X192" i="18"/>
  <c r="N192" i="18"/>
  <c r="L192" i="18"/>
  <c r="J192" i="18"/>
  <c r="B192" i="18"/>
  <c r="X191" i="18"/>
  <c r="Z191" i="18" s="1"/>
  <c r="T191" i="18"/>
  <c r="P191" i="18"/>
  <c r="H191" i="18"/>
  <c r="N191" i="18" s="1"/>
  <c r="D191" i="18"/>
  <c r="L191" i="18" s="1"/>
  <c r="B191" i="18"/>
  <c r="T190" i="18"/>
  <c r="P190" i="18"/>
  <c r="X190" i="18" s="1"/>
  <c r="Z190" i="18" s="1"/>
  <c r="H190" i="18"/>
  <c r="D190" i="18"/>
  <c r="L190" i="18" s="1"/>
  <c r="Z186" i="18"/>
  <c r="X186" i="18"/>
  <c r="N186" i="18"/>
  <c r="L186" i="18"/>
  <c r="B186" i="18"/>
  <c r="Z185" i="18"/>
  <c r="X185" i="18"/>
  <c r="V185" i="18"/>
  <c r="N185" i="18"/>
  <c r="L185" i="18"/>
  <c r="B185" i="18"/>
  <c r="Z184" i="18"/>
  <c r="X184" i="18"/>
  <c r="N184" i="18"/>
  <c r="L184" i="18"/>
  <c r="J184" i="18"/>
  <c r="B184" i="18"/>
  <c r="Z183" i="18"/>
  <c r="X183" i="18"/>
  <c r="N183" i="18"/>
  <c r="L183" i="18"/>
  <c r="B183" i="18"/>
  <c r="Z182" i="18"/>
  <c r="X182" i="18"/>
  <c r="N182" i="18"/>
  <c r="L182" i="18"/>
  <c r="B182" i="18"/>
  <c r="Z181" i="18"/>
  <c r="X181" i="18"/>
  <c r="V181" i="18"/>
  <c r="N181" i="18"/>
  <c r="L181" i="18"/>
  <c r="B181" i="18"/>
  <c r="Z180" i="18"/>
  <c r="X180" i="18"/>
  <c r="N180" i="18"/>
  <c r="L180" i="18"/>
  <c r="J180" i="18"/>
  <c r="B180" i="18"/>
  <c r="Z179" i="18"/>
  <c r="X179" i="18"/>
  <c r="N179" i="18"/>
  <c r="L179" i="18"/>
  <c r="B179" i="18"/>
  <c r="Z178" i="18"/>
  <c r="X178" i="18"/>
  <c r="N178" i="18"/>
  <c r="L178" i="18"/>
  <c r="B178" i="18"/>
  <c r="Z177" i="18"/>
  <c r="X177" i="18"/>
  <c r="V177" i="18"/>
  <c r="N177" i="18"/>
  <c r="L177" i="18"/>
  <c r="B177" i="18"/>
  <c r="Z176" i="18"/>
  <c r="X176" i="18"/>
  <c r="V176" i="18"/>
  <c r="N176" i="18"/>
  <c r="L176" i="18"/>
  <c r="J176" i="18"/>
  <c r="B176" i="18"/>
  <c r="Z175" i="18"/>
  <c r="X175" i="18"/>
  <c r="N175" i="18"/>
  <c r="L175" i="18"/>
  <c r="B175" i="18"/>
  <c r="Z174" i="18"/>
  <c r="X174" i="18"/>
  <c r="N174" i="18"/>
  <c r="L174" i="18"/>
  <c r="B174" i="18"/>
  <c r="Z173" i="18"/>
  <c r="X173" i="18"/>
  <c r="V173" i="18"/>
  <c r="N173" i="18"/>
  <c r="L173" i="18"/>
  <c r="B173" i="18"/>
  <c r="Z172" i="18"/>
  <c r="X172" i="18"/>
  <c r="V172" i="18"/>
  <c r="N172" i="18"/>
  <c r="L172" i="18"/>
  <c r="J172" i="18"/>
  <c r="B172" i="18"/>
  <c r="Z171" i="18"/>
  <c r="X171" i="18"/>
  <c r="N171" i="18"/>
  <c r="L171" i="18"/>
  <c r="B171" i="18"/>
  <c r="Z170" i="18"/>
  <c r="X170" i="18"/>
  <c r="N170" i="18"/>
  <c r="L170" i="18"/>
  <c r="B170" i="18"/>
  <c r="Z169" i="18"/>
  <c r="X169" i="18"/>
  <c r="V169" i="18"/>
  <c r="N169" i="18"/>
  <c r="L169" i="18"/>
  <c r="B169" i="18"/>
  <c r="Z168" i="18"/>
  <c r="X168" i="18"/>
  <c r="V168" i="18"/>
  <c r="N168" i="18"/>
  <c r="L168" i="18"/>
  <c r="J168" i="18"/>
  <c r="B168" i="18"/>
  <c r="Z167" i="18"/>
  <c r="X167" i="18"/>
  <c r="N167" i="18"/>
  <c r="L167" i="18"/>
  <c r="B167" i="18"/>
  <c r="Z166" i="18"/>
  <c r="X166" i="18"/>
  <c r="N166" i="18"/>
  <c r="L166" i="18"/>
  <c r="B166" i="18"/>
  <c r="Z165" i="18"/>
  <c r="X165" i="18"/>
  <c r="V165" i="18"/>
  <c r="N165" i="18"/>
  <c r="L165" i="18"/>
  <c r="B165" i="18"/>
  <c r="Z164" i="18"/>
  <c r="X164" i="18"/>
  <c r="V164" i="18"/>
  <c r="N164" i="18"/>
  <c r="L164" i="18"/>
  <c r="J164" i="18"/>
  <c r="B164" i="18"/>
  <c r="Z163" i="18"/>
  <c r="X163" i="18"/>
  <c r="N163" i="18"/>
  <c r="L163" i="18"/>
  <c r="B163" i="18"/>
  <c r="Z162" i="18"/>
  <c r="X162" i="18"/>
  <c r="N162" i="18"/>
  <c r="L162" i="18"/>
  <c r="B162" i="18"/>
  <c r="Z161" i="18"/>
  <c r="X161" i="18"/>
  <c r="V161" i="18"/>
  <c r="N161" i="18"/>
  <c r="L161" i="18"/>
  <c r="B161" i="18"/>
  <c r="Z160" i="18"/>
  <c r="X160" i="18"/>
  <c r="V160" i="18"/>
  <c r="N160" i="18"/>
  <c r="L160" i="18"/>
  <c r="J160" i="18"/>
  <c r="B160" i="18"/>
  <c r="Z159" i="18"/>
  <c r="X159" i="18"/>
  <c r="N159" i="18"/>
  <c r="L159" i="18"/>
  <c r="B159" i="18"/>
  <c r="Z158" i="18"/>
  <c r="X158" i="18"/>
  <c r="N158" i="18"/>
  <c r="L158" i="18"/>
  <c r="B158" i="18"/>
  <c r="Z157" i="18"/>
  <c r="X157" i="18"/>
  <c r="V157" i="18"/>
  <c r="N157" i="18"/>
  <c r="L157" i="18"/>
  <c r="B157" i="18"/>
  <c r="Z156" i="18"/>
  <c r="X156" i="18"/>
  <c r="V156" i="18"/>
  <c r="N156" i="18"/>
  <c r="L156" i="18"/>
  <c r="J156" i="18"/>
  <c r="B156" i="18"/>
  <c r="Z155" i="18"/>
  <c r="X155" i="18"/>
  <c r="N155" i="18"/>
  <c r="L155" i="18"/>
  <c r="B155" i="18"/>
  <c r="Z154" i="18"/>
  <c r="X154" i="18"/>
  <c r="N154" i="18"/>
  <c r="L154" i="18"/>
  <c r="B154" i="18"/>
  <c r="Z153" i="18"/>
  <c r="X153" i="18"/>
  <c r="V153" i="18"/>
  <c r="N153" i="18"/>
  <c r="L153" i="18"/>
  <c r="B153" i="18"/>
  <c r="Z152" i="18"/>
  <c r="X152" i="18"/>
  <c r="V152" i="18"/>
  <c r="N152" i="18"/>
  <c r="L152" i="18"/>
  <c r="J152" i="18"/>
  <c r="B152" i="18"/>
  <c r="Z151" i="18"/>
  <c r="X151" i="18"/>
  <c r="N151" i="18"/>
  <c r="L151" i="18"/>
  <c r="B151" i="18"/>
  <c r="Z150" i="18"/>
  <c r="X150" i="18"/>
  <c r="N150" i="18"/>
  <c r="L150" i="18"/>
  <c r="B150" i="18"/>
  <c r="Z149" i="18"/>
  <c r="X149" i="18"/>
  <c r="V149" i="18"/>
  <c r="N149" i="18"/>
  <c r="L149" i="18"/>
  <c r="B149" i="18"/>
  <c r="Z148" i="18"/>
  <c r="X148" i="18"/>
  <c r="V148" i="18"/>
  <c r="N148" i="18"/>
  <c r="L148" i="18"/>
  <c r="J148" i="18"/>
  <c r="B148" i="18"/>
  <c r="Z147" i="18"/>
  <c r="X147" i="18"/>
  <c r="N147" i="18"/>
  <c r="L147" i="18"/>
  <c r="B147" i="18"/>
  <c r="Z146" i="18"/>
  <c r="X146" i="18"/>
  <c r="N146" i="18"/>
  <c r="L146" i="18"/>
  <c r="B146" i="18"/>
  <c r="Z145" i="18"/>
  <c r="X145" i="18"/>
  <c r="V145" i="18"/>
  <c r="N145" i="18"/>
  <c r="L145" i="18"/>
  <c r="B145" i="18"/>
  <c r="Z144" i="18"/>
  <c r="X144" i="18"/>
  <c r="V144" i="18"/>
  <c r="N144" i="18"/>
  <c r="L144" i="18"/>
  <c r="J144" i="18"/>
  <c r="B144" i="18"/>
  <c r="Z143" i="18"/>
  <c r="X143" i="18"/>
  <c r="N143" i="18"/>
  <c r="L143" i="18"/>
  <c r="B143" i="18"/>
  <c r="Z142" i="18"/>
  <c r="X142" i="18"/>
  <c r="N142" i="18"/>
  <c r="L142" i="18"/>
  <c r="B142" i="18"/>
  <c r="Z141" i="18"/>
  <c r="X141" i="18"/>
  <c r="V141" i="18"/>
  <c r="N141" i="18"/>
  <c r="L141" i="18"/>
  <c r="B141" i="18"/>
  <c r="Z140" i="18"/>
  <c r="X140" i="18"/>
  <c r="V140" i="18"/>
  <c r="N140" i="18"/>
  <c r="L140" i="18"/>
  <c r="J140" i="18"/>
  <c r="B140" i="18"/>
  <c r="Z139" i="18"/>
  <c r="X139" i="18"/>
  <c r="N139" i="18"/>
  <c r="L139" i="18"/>
  <c r="B139" i="18"/>
  <c r="Z138" i="18"/>
  <c r="X138" i="18"/>
  <c r="N138" i="18"/>
  <c r="L138" i="18"/>
  <c r="B138" i="18"/>
  <c r="Z137" i="18"/>
  <c r="X137" i="18"/>
  <c r="V137" i="18"/>
  <c r="N137" i="18"/>
  <c r="L137" i="18"/>
  <c r="B137" i="18"/>
  <c r="Z136" i="18"/>
  <c r="X136" i="18"/>
  <c r="V136" i="18"/>
  <c r="N136" i="18"/>
  <c r="L136" i="18"/>
  <c r="J136" i="18"/>
  <c r="B136" i="18"/>
  <c r="Z135" i="18"/>
  <c r="X135" i="18"/>
  <c r="N135" i="18"/>
  <c r="L135" i="18"/>
  <c r="B135" i="18"/>
  <c r="Z134" i="18"/>
  <c r="X134" i="18"/>
  <c r="N134" i="18"/>
  <c r="L134" i="18"/>
  <c r="B134" i="18"/>
  <c r="Z133" i="18"/>
  <c r="X133" i="18"/>
  <c r="V133" i="18"/>
  <c r="N133" i="18"/>
  <c r="L133" i="18"/>
  <c r="B133" i="18"/>
  <c r="Z132" i="18"/>
  <c r="X132" i="18"/>
  <c r="V132" i="18"/>
  <c r="N132" i="18"/>
  <c r="L132" i="18"/>
  <c r="J132" i="18"/>
  <c r="B132" i="18"/>
  <c r="Z131" i="18"/>
  <c r="X131" i="18"/>
  <c r="N131" i="18"/>
  <c r="L131" i="18"/>
  <c r="B131" i="18"/>
  <c r="Z130" i="18"/>
  <c r="X130" i="18"/>
  <c r="N130" i="18"/>
  <c r="L130" i="18"/>
  <c r="B130" i="18"/>
  <c r="X129" i="18"/>
  <c r="Z129" i="18" s="1"/>
  <c r="V129" i="18"/>
  <c r="L129" i="18"/>
  <c r="N129" i="18" s="1"/>
  <c r="B129" i="18"/>
  <c r="V128" i="18"/>
  <c r="T128" i="18"/>
  <c r="P128" i="18"/>
  <c r="X128" i="18" s="1"/>
  <c r="H128" i="18"/>
  <c r="D128" i="18"/>
  <c r="L128" i="18" s="1"/>
  <c r="N128" i="18" s="1"/>
  <c r="Z126" i="18"/>
  <c r="P126" i="18"/>
  <c r="X126" i="18" s="1"/>
  <c r="N126" i="18"/>
  <c r="D126" i="18"/>
  <c r="L126" i="18" s="1"/>
  <c r="B126" i="18"/>
  <c r="Z125" i="18"/>
  <c r="X125" i="18"/>
  <c r="P125" i="18"/>
  <c r="N125" i="18"/>
  <c r="L125" i="18"/>
  <c r="D125" i="18"/>
  <c r="B125" i="18"/>
  <c r="Z124" i="18"/>
  <c r="P124" i="18"/>
  <c r="X124" i="18" s="1"/>
  <c r="N124" i="18"/>
  <c r="L124" i="18"/>
  <c r="D124" i="18"/>
  <c r="B124" i="18"/>
  <c r="Z123" i="18"/>
  <c r="P123" i="18"/>
  <c r="X123" i="18" s="1"/>
  <c r="N123" i="18"/>
  <c r="D123" i="18"/>
  <c r="L123" i="18" s="1"/>
  <c r="B123" i="18"/>
  <c r="Z122" i="18"/>
  <c r="X122" i="18"/>
  <c r="P122" i="18"/>
  <c r="N122" i="18"/>
  <c r="L122" i="18"/>
  <c r="D122" i="18"/>
  <c r="B122" i="18"/>
  <c r="Z121" i="18"/>
  <c r="P121" i="18"/>
  <c r="X121" i="18" s="1"/>
  <c r="N121" i="18"/>
  <c r="L121" i="18"/>
  <c r="D121" i="18"/>
  <c r="B121" i="18"/>
  <c r="Z120" i="18"/>
  <c r="P120" i="18"/>
  <c r="X120" i="18" s="1"/>
  <c r="N120" i="18"/>
  <c r="D120" i="18"/>
  <c r="L120" i="18" s="1"/>
  <c r="B120" i="18"/>
  <c r="Z119" i="18"/>
  <c r="X119" i="18"/>
  <c r="P119" i="18"/>
  <c r="N119" i="18"/>
  <c r="L119" i="18"/>
  <c r="D119" i="18"/>
  <c r="B119" i="18"/>
  <c r="Z118" i="18"/>
  <c r="P118" i="18"/>
  <c r="X118" i="18" s="1"/>
  <c r="N118" i="18"/>
  <c r="D118" i="18"/>
  <c r="L118" i="18" s="1"/>
  <c r="B118" i="18"/>
  <c r="Z117" i="18"/>
  <c r="P117" i="18"/>
  <c r="X117" i="18" s="1"/>
  <c r="N117" i="18"/>
  <c r="D117" i="18"/>
  <c r="L117" i="18" s="1"/>
  <c r="B117" i="18"/>
  <c r="Z116" i="18"/>
  <c r="X116" i="18"/>
  <c r="P116" i="18"/>
  <c r="N116" i="18"/>
  <c r="L116" i="18"/>
  <c r="D116" i="18"/>
  <c r="B116" i="18"/>
  <c r="Z115" i="18"/>
  <c r="X115" i="18"/>
  <c r="P115" i="18"/>
  <c r="N115" i="18"/>
  <c r="D115" i="18"/>
  <c r="L115" i="18" s="1"/>
  <c r="B115" i="18"/>
  <c r="Z114" i="18"/>
  <c r="P114" i="18"/>
  <c r="X114" i="18" s="1"/>
  <c r="N114" i="18"/>
  <c r="D114" i="18"/>
  <c r="L114" i="18" s="1"/>
  <c r="B114" i="18"/>
  <c r="Z113" i="18"/>
  <c r="X113" i="18"/>
  <c r="P113" i="18"/>
  <c r="N113" i="18"/>
  <c r="L113" i="18"/>
  <c r="D113" i="18"/>
  <c r="B113" i="18"/>
  <c r="Z112" i="18"/>
  <c r="P112" i="18"/>
  <c r="X112" i="18" s="1"/>
  <c r="N112" i="18"/>
  <c r="L112" i="18"/>
  <c r="D112" i="18"/>
  <c r="B112" i="18"/>
  <c r="Z111" i="18"/>
  <c r="P111" i="18"/>
  <c r="X111" i="18" s="1"/>
  <c r="N111" i="18"/>
  <c r="D111" i="18"/>
  <c r="L111" i="18" s="1"/>
  <c r="B111" i="18"/>
  <c r="Z110" i="18"/>
  <c r="P110" i="18"/>
  <c r="X110" i="18" s="1"/>
  <c r="N110" i="18"/>
  <c r="L110" i="18"/>
  <c r="D110" i="18"/>
  <c r="B110" i="18"/>
  <c r="Z109" i="18"/>
  <c r="P109" i="18"/>
  <c r="X109" i="18" s="1"/>
  <c r="N109" i="18"/>
  <c r="L109" i="18"/>
  <c r="D109" i="18"/>
  <c r="B109" i="18"/>
  <c r="Z108" i="18"/>
  <c r="P108" i="18"/>
  <c r="X108" i="18" s="1"/>
  <c r="N108" i="18"/>
  <c r="D108" i="18"/>
  <c r="L108" i="18" s="1"/>
  <c r="B108" i="18"/>
  <c r="Z107" i="18"/>
  <c r="X107" i="18"/>
  <c r="P107" i="18"/>
  <c r="N107" i="18"/>
  <c r="L107" i="18"/>
  <c r="D107" i="18"/>
  <c r="B107" i="18"/>
  <c r="Z106" i="18"/>
  <c r="P106" i="18"/>
  <c r="X106" i="18" s="1"/>
  <c r="N106" i="18"/>
  <c r="L106" i="18"/>
  <c r="D106" i="18"/>
  <c r="B106" i="18"/>
  <c r="Z105" i="18"/>
  <c r="P105" i="18"/>
  <c r="X105" i="18" s="1"/>
  <c r="N105" i="18"/>
  <c r="D105" i="18"/>
  <c r="L105" i="18" s="1"/>
  <c r="B105" i="18"/>
  <c r="Z104" i="18"/>
  <c r="X104" i="18"/>
  <c r="P104" i="18"/>
  <c r="N104" i="18"/>
  <c r="L104" i="18"/>
  <c r="D104" i="18"/>
  <c r="B104" i="18"/>
  <c r="Z103" i="18"/>
  <c r="X103" i="18"/>
  <c r="P103" i="18"/>
  <c r="N103" i="18"/>
  <c r="D103" i="18"/>
  <c r="L103" i="18" s="1"/>
  <c r="B103" i="18"/>
  <c r="Z102" i="18"/>
  <c r="P102" i="18"/>
  <c r="X102" i="18" s="1"/>
  <c r="N102" i="18"/>
  <c r="D102" i="18"/>
  <c r="L102" i="18" s="1"/>
  <c r="B102" i="18"/>
  <c r="Z101" i="18"/>
  <c r="X101" i="18"/>
  <c r="P101" i="18"/>
  <c r="N101" i="18"/>
  <c r="L101" i="18"/>
  <c r="D101" i="18"/>
  <c r="B101" i="18"/>
  <c r="Z100" i="18"/>
  <c r="X100" i="18"/>
  <c r="P100" i="18"/>
  <c r="N100" i="18"/>
  <c r="L100" i="18"/>
  <c r="D100" i="18"/>
  <c r="B100" i="18"/>
  <c r="Z99" i="18"/>
  <c r="P99" i="18"/>
  <c r="X99" i="18" s="1"/>
  <c r="N99" i="18"/>
  <c r="D99" i="18"/>
  <c r="L99" i="18" s="1"/>
  <c r="B99" i="18"/>
  <c r="Z98" i="18"/>
  <c r="X98" i="18"/>
  <c r="P98" i="18"/>
  <c r="N98" i="18"/>
  <c r="L98" i="18"/>
  <c r="D98" i="18"/>
  <c r="B98" i="18"/>
  <c r="Z97" i="18"/>
  <c r="P97" i="18"/>
  <c r="X97" i="18" s="1"/>
  <c r="N97" i="18"/>
  <c r="L97" i="18"/>
  <c r="D97" i="18"/>
  <c r="B97" i="18"/>
  <c r="Z96" i="18"/>
  <c r="P96" i="18"/>
  <c r="X96" i="18" s="1"/>
  <c r="N96" i="18"/>
  <c r="D96" i="18"/>
  <c r="L96" i="18" s="1"/>
  <c r="B96" i="18"/>
  <c r="Z95" i="18"/>
  <c r="X95" i="18"/>
  <c r="P95" i="18"/>
  <c r="N95" i="18"/>
  <c r="L95" i="18"/>
  <c r="D95" i="18"/>
  <c r="B95" i="18"/>
  <c r="Z94" i="18"/>
  <c r="P94" i="18"/>
  <c r="X94" i="18" s="1"/>
  <c r="N94" i="18"/>
  <c r="L94" i="18"/>
  <c r="D94" i="18"/>
  <c r="B94" i="18"/>
  <c r="Z93" i="18"/>
  <c r="P93" i="18"/>
  <c r="X93" i="18" s="1"/>
  <c r="N93" i="18"/>
  <c r="D93" i="18"/>
  <c r="L93" i="18" s="1"/>
  <c r="B93" i="18"/>
  <c r="Z92" i="18"/>
  <c r="X92" i="18"/>
  <c r="P92" i="18"/>
  <c r="N92" i="18"/>
  <c r="L92" i="18"/>
  <c r="D92" i="18"/>
  <c r="B92" i="18"/>
  <c r="Z91" i="18"/>
  <c r="X91" i="18"/>
  <c r="P91" i="18"/>
  <c r="N91" i="18"/>
  <c r="D91" i="18"/>
  <c r="L91" i="18" s="1"/>
  <c r="B91" i="18"/>
  <c r="Z90" i="18"/>
  <c r="P90" i="18"/>
  <c r="X90" i="18" s="1"/>
  <c r="N90" i="18"/>
  <c r="D90" i="18"/>
  <c r="L90" i="18" s="1"/>
  <c r="B90" i="18"/>
  <c r="Z89" i="18"/>
  <c r="X89" i="18"/>
  <c r="P89" i="18"/>
  <c r="N89" i="18"/>
  <c r="L89" i="18"/>
  <c r="D89" i="18"/>
  <c r="B89" i="18"/>
  <c r="Z88" i="18"/>
  <c r="X88" i="18"/>
  <c r="P88" i="18"/>
  <c r="N88" i="18"/>
  <c r="L88" i="18"/>
  <c r="D88" i="18"/>
  <c r="B88" i="18"/>
  <c r="Z87" i="18"/>
  <c r="P87" i="18"/>
  <c r="X87" i="18" s="1"/>
  <c r="N87" i="18"/>
  <c r="D87" i="18"/>
  <c r="L87" i="18" s="1"/>
  <c r="B87" i="18"/>
  <c r="Z86" i="18"/>
  <c r="X86" i="18"/>
  <c r="P86" i="18"/>
  <c r="N86" i="18"/>
  <c r="L86" i="18"/>
  <c r="D86" i="18"/>
  <c r="B86" i="18"/>
  <c r="Z85" i="18"/>
  <c r="X85" i="18"/>
  <c r="P85" i="18"/>
  <c r="N85" i="18"/>
  <c r="L85" i="18"/>
  <c r="D85" i="18"/>
  <c r="B85" i="18"/>
  <c r="Z84" i="18"/>
  <c r="P84" i="18"/>
  <c r="X84" i="18" s="1"/>
  <c r="N84" i="18"/>
  <c r="D84" i="18"/>
  <c r="L84" i="18" s="1"/>
  <c r="B84" i="18"/>
  <c r="Z83" i="18"/>
  <c r="X83" i="18"/>
  <c r="P83" i="18"/>
  <c r="N83" i="18"/>
  <c r="D83" i="18"/>
  <c r="L83" i="18" s="1"/>
  <c r="B83" i="18"/>
  <c r="Z82" i="18"/>
  <c r="P82" i="18"/>
  <c r="X82" i="18" s="1"/>
  <c r="N82" i="18"/>
  <c r="L82" i="18"/>
  <c r="D82" i="18"/>
  <c r="B82" i="18"/>
  <c r="Z81" i="18"/>
  <c r="P81" i="18"/>
  <c r="X81" i="18" s="1"/>
  <c r="N81" i="18"/>
  <c r="D81" i="18"/>
  <c r="L81" i="18" s="1"/>
  <c r="B81" i="18"/>
  <c r="Z80" i="18"/>
  <c r="X80" i="18"/>
  <c r="P80" i="18"/>
  <c r="N80" i="18"/>
  <c r="L80" i="18"/>
  <c r="D80" i="18"/>
  <c r="B80" i="18"/>
  <c r="Z79" i="18"/>
  <c r="X79" i="18"/>
  <c r="P79" i="18"/>
  <c r="N79" i="18"/>
  <c r="D79" i="18"/>
  <c r="L79" i="18" s="1"/>
  <c r="B79" i="18"/>
  <c r="Z78" i="18"/>
  <c r="P78" i="18"/>
  <c r="X78" i="18" s="1"/>
  <c r="N78" i="18"/>
  <c r="D78" i="18"/>
  <c r="L78" i="18" s="1"/>
  <c r="B78" i="18"/>
  <c r="Z77" i="18"/>
  <c r="X77" i="18"/>
  <c r="P77" i="18"/>
  <c r="N77" i="18"/>
  <c r="L77" i="18"/>
  <c r="D77" i="18"/>
  <c r="B77" i="18"/>
  <c r="Z76" i="18"/>
  <c r="X76" i="18"/>
  <c r="P76" i="18"/>
  <c r="N76" i="18"/>
  <c r="L76" i="18"/>
  <c r="D76" i="18"/>
  <c r="B76" i="18"/>
  <c r="Z75" i="18"/>
  <c r="P75" i="18"/>
  <c r="X75" i="18" s="1"/>
  <c r="N75" i="18"/>
  <c r="D75" i="18"/>
  <c r="L75" i="18" s="1"/>
  <c r="B75" i="18"/>
  <c r="Z74" i="18"/>
  <c r="P74" i="18"/>
  <c r="X74" i="18" s="1"/>
  <c r="N74" i="18"/>
  <c r="L74" i="18"/>
  <c r="D74" i="18"/>
  <c r="B74" i="18"/>
  <c r="Z73" i="18"/>
  <c r="X73" i="18"/>
  <c r="P73" i="18"/>
  <c r="N73" i="18"/>
  <c r="L73" i="18"/>
  <c r="D73" i="18"/>
  <c r="B73" i="18"/>
  <c r="Z72" i="18"/>
  <c r="P72" i="18"/>
  <c r="X72" i="18" s="1"/>
  <c r="N72" i="18"/>
  <c r="D72" i="18"/>
  <c r="L72" i="18" s="1"/>
  <c r="B72" i="18"/>
  <c r="Z71" i="18"/>
  <c r="X71" i="18"/>
  <c r="P71" i="18"/>
  <c r="N71" i="18"/>
  <c r="L71" i="18"/>
  <c r="D71" i="18"/>
  <c r="B71" i="18"/>
  <c r="Z70" i="18"/>
  <c r="P70" i="18"/>
  <c r="X70" i="18" s="1"/>
  <c r="N70" i="18"/>
  <c r="L70" i="18"/>
  <c r="D70" i="18"/>
  <c r="B70" i="18"/>
  <c r="Z69" i="18"/>
  <c r="P69" i="18"/>
  <c r="X69" i="18" s="1"/>
  <c r="N69" i="18"/>
  <c r="D69" i="18"/>
  <c r="L69" i="18" s="1"/>
  <c r="B69" i="18"/>
  <c r="Z68" i="18"/>
  <c r="X68" i="18"/>
  <c r="P68" i="18"/>
  <c r="N68" i="18"/>
  <c r="L68" i="18"/>
  <c r="D68" i="18"/>
  <c r="B68" i="18"/>
  <c r="Z67" i="18"/>
  <c r="X67" i="18"/>
  <c r="P67" i="18"/>
  <c r="N67" i="18"/>
  <c r="D67" i="18"/>
  <c r="L67" i="18" s="1"/>
  <c r="B67" i="18"/>
  <c r="Z66" i="18"/>
  <c r="P66" i="18"/>
  <c r="X66" i="18" s="1"/>
  <c r="N66" i="18"/>
  <c r="D66" i="18"/>
  <c r="L66" i="18" s="1"/>
  <c r="B66" i="18"/>
  <c r="Z65" i="18"/>
  <c r="X65" i="18"/>
  <c r="P65" i="18"/>
  <c r="N65" i="18"/>
  <c r="L65" i="18"/>
  <c r="D65" i="18"/>
  <c r="B65" i="18"/>
  <c r="Z64" i="18"/>
  <c r="X64" i="18"/>
  <c r="P64" i="18"/>
  <c r="N64" i="18"/>
  <c r="L64" i="18"/>
  <c r="D64" i="18"/>
  <c r="B64" i="18"/>
  <c r="Z63" i="18"/>
  <c r="P63" i="18"/>
  <c r="X63" i="18" s="1"/>
  <c r="N63" i="18"/>
  <c r="D63" i="18"/>
  <c r="L63" i="18" s="1"/>
  <c r="B63" i="18"/>
  <c r="Z62" i="18"/>
  <c r="P62" i="18"/>
  <c r="X62" i="18" s="1"/>
  <c r="N62" i="18"/>
  <c r="L62" i="18"/>
  <c r="D62" i="18"/>
  <c r="B62" i="18"/>
  <c r="Z61" i="18"/>
  <c r="X61" i="18"/>
  <c r="P61" i="18"/>
  <c r="N61" i="18"/>
  <c r="L61" i="18"/>
  <c r="D61" i="18"/>
  <c r="B61" i="18"/>
  <c r="Z60" i="18"/>
  <c r="P60" i="18"/>
  <c r="X60" i="18" s="1"/>
  <c r="N60" i="18"/>
  <c r="D60" i="18"/>
  <c r="L60" i="18" s="1"/>
  <c r="B60" i="18"/>
  <c r="Z59" i="18"/>
  <c r="X59" i="18"/>
  <c r="P59" i="18"/>
  <c r="N59" i="18"/>
  <c r="D59" i="18"/>
  <c r="L59" i="18" s="1"/>
  <c r="B59" i="18"/>
  <c r="Z58" i="18"/>
  <c r="P58" i="18"/>
  <c r="X58" i="18" s="1"/>
  <c r="N58" i="18"/>
  <c r="L58" i="18"/>
  <c r="D58" i="18"/>
  <c r="B58" i="18"/>
  <c r="Z57" i="18"/>
  <c r="P57" i="18"/>
  <c r="X57" i="18" s="1"/>
  <c r="N57" i="18"/>
  <c r="D57" i="18"/>
  <c r="L57" i="18" s="1"/>
  <c r="B57" i="18"/>
  <c r="Z56" i="18"/>
  <c r="X56" i="18"/>
  <c r="P56" i="18"/>
  <c r="N56" i="18"/>
  <c r="L56" i="18"/>
  <c r="D56" i="18"/>
  <c r="B56" i="18"/>
  <c r="Z55" i="18"/>
  <c r="X55" i="18"/>
  <c r="P55" i="18"/>
  <c r="N55" i="18"/>
  <c r="D55" i="18"/>
  <c r="L55" i="18" s="1"/>
  <c r="B55" i="18"/>
  <c r="Z54" i="18"/>
  <c r="P54" i="18"/>
  <c r="X54" i="18" s="1"/>
  <c r="N54" i="18"/>
  <c r="D54" i="18"/>
  <c r="L54" i="18" s="1"/>
  <c r="B54" i="18"/>
  <c r="Z53" i="18"/>
  <c r="X53" i="18"/>
  <c r="P53" i="18"/>
  <c r="N53" i="18"/>
  <c r="L53" i="18"/>
  <c r="D53" i="18"/>
  <c r="B53" i="18"/>
  <c r="Z52" i="18"/>
  <c r="X52" i="18"/>
  <c r="P52" i="18"/>
  <c r="N52" i="18"/>
  <c r="L52" i="18"/>
  <c r="D52" i="18"/>
  <c r="B52" i="18"/>
  <c r="Z51" i="18"/>
  <c r="P51" i="18"/>
  <c r="X51" i="18" s="1"/>
  <c r="N51" i="18"/>
  <c r="D51" i="18"/>
  <c r="L51" i="18" s="1"/>
  <c r="B51" i="18"/>
  <c r="P50" i="18"/>
  <c r="X50" i="18" s="1"/>
  <c r="Z50" i="18" s="1"/>
  <c r="L50" i="18"/>
  <c r="N50" i="18" s="1"/>
  <c r="D50" i="18"/>
  <c r="B50" i="18"/>
  <c r="Z49" i="18"/>
  <c r="P49" i="18"/>
  <c r="X49" i="18" s="1"/>
  <c r="N49" i="18"/>
  <c r="L49" i="18"/>
  <c r="D49" i="18"/>
  <c r="B49" i="18"/>
  <c r="Z48" i="18"/>
  <c r="P48" i="18"/>
  <c r="X48" i="18" s="1"/>
  <c r="N48" i="18"/>
  <c r="D48" i="18"/>
  <c r="L48" i="18" s="1"/>
  <c r="B48" i="18"/>
  <c r="Z47" i="18"/>
  <c r="X47" i="18"/>
  <c r="P47" i="18"/>
  <c r="N47" i="18"/>
  <c r="D47" i="18"/>
  <c r="L47" i="18" s="1"/>
  <c r="B47" i="18"/>
  <c r="Z46" i="18"/>
  <c r="P46" i="18"/>
  <c r="X46" i="18" s="1"/>
  <c r="N46" i="18"/>
  <c r="L46" i="18"/>
  <c r="D46" i="18"/>
  <c r="B46" i="18"/>
  <c r="Z45" i="18"/>
  <c r="P45" i="18"/>
  <c r="X45" i="18" s="1"/>
  <c r="N45" i="18"/>
  <c r="D45" i="18"/>
  <c r="L45" i="18" s="1"/>
  <c r="B45" i="18"/>
  <c r="Z44" i="18"/>
  <c r="X44" i="18"/>
  <c r="P44" i="18"/>
  <c r="N44" i="18"/>
  <c r="L44" i="18"/>
  <c r="D44" i="18"/>
  <c r="B44" i="18"/>
  <c r="Z43" i="18"/>
  <c r="X43" i="18"/>
  <c r="P43" i="18"/>
  <c r="N43" i="18"/>
  <c r="D43" i="18"/>
  <c r="L43" i="18" s="1"/>
  <c r="B43" i="18"/>
  <c r="Z42" i="18"/>
  <c r="P42" i="18"/>
  <c r="X42" i="18" s="1"/>
  <c r="N42" i="18"/>
  <c r="D42" i="18"/>
  <c r="L42" i="18" s="1"/>
  <c r="B42" i="18"/>
  <c r="Z41" i="18"/>
  <c r="X41" i="18"/>
  <c r="P41" i="18"/>
  <c r="N41" i="18"/>
  <c r="L41" i="18"/>
  <c r="D41" i="18"/>
  <c r="B41" i="18"/>
  <c r="Z40" i="18"/>
  <c r="X40" i="18"/>
  <c r="P40" i="18"/>
  <c r="N40" i="18"/>
  <c r="L40" i="18"/>
  <c r="D40" i="18"/>
  <c r="B40" i="18"/>
  <c r="Z39" i="18"/>
  <c r="P39" i="18"/>
  <c r="X39" i="18" s="1"/>
  <c r="N39" i="18"/>
  <c r="D39" i="18"/>
  <c r="L39" i="18" s="1"/>
  <c r="B39" i="18"/>
  <c r="Z38" i="18"/>
  <c r="P38" i="18"/>
  <c r="X38" i="18" s="1"/>
  <c r="N38" i="18"/>
  <c r="L38" i="18"/>
  <c r="D38" i="18"/>
  <c r="B38" i="18"/>
  <c r="Z37" i="18"/>
  <c r="P37" i="18"/>
  <c r="X37" i="18" s="1"/>
  <c r="N37" i="18"/>
  <c r="L37" i="18"/>
  <c r="D37" i="18"/>
  <c r="B37" i="18"/>
  <c r="Z36" i="18"/>
  <c r="P36" i="18"/>
  <c r="X36" i="18" s="1"/>
  <c r="N36" i="18"/>
  <c r="D36" i="18"/>
  <c r="L36" i="18" s="1"/>
  <c r="B36" i="18"/>
  <c r="Z35" i="18"/>
  <c r="X35" i="18"/>
  <c r="P35" i="18"/>
  <c r="N35" i="18"/>
  <c r="D35" i="18"/>
  <c r="L35" i="18" s="1"/>
  <c r="B35" i="18"/>
  <c r="Z34" i="18"/>
  <c r="P34" i="18"/>
  <c r="X34" i="18" s="1"/>
  <c r="N34" i="18"/>
  <c r="D34" i="18"/>
  <c r="L34" i="18" s="1"/>
  <c r="B34" i="18"/>
  <c r="Z33" i="18"/>
  <c r="P33" i="18"/>
  <c r="X33" i="18" s="1"/>
  <c r="N33" i="18"/>
  <c r="D33" i="18"/>
  <c r="L33" i="18" s="1"/>
  <c r="B33" i="18"/>
  <c r="Z32" i="18"/>
  <c r="X32" i="18"/>
  <c r="P32" i="18"/>
  <c r="N32" i="18"/>
  <c r="L32" i="18"/>
  <c r="D32" i="18"/>
  <c r="B32" i="18"/>
  <c r="Z31" i="18"/>
  <c r="X31" i="18"/>
  <c r="P31" i="18"/>
  <c r="N31" i="18"/>
  <c r="D31" i="18"/>
  <c r="L31" i="18" s="1"/>
  <c r="B31" i="18"/>
  <c r="Z30" i="18"/>
  <c r="P30" i="18"/>
  <c r="X30" i="18" s="1"/>
  <c r="N30" i="18"/>
  <c r="D30" i="18"/>
  <c r="L30" i="18" s="1"/>
  <c r="B30" i="18"/>
  <c r="Z29" i="18"/>
  <c r="X29" i="18"/>
  <c r="P29" i="18"/>
  <c r="N29" i="18"/>
  <c r="L29" i="18"/>
  <c r="D29" i="18"/>
  <c r="B29" i="18"/>
  <c r="Z28" i="18"/>
  <c r="X28" i="18"/>
  <c r="P28" i="18"/>
  <c r="N28" i="18"/>
  <c r="L28" i="18"/>
  <c r="D28" i="18"/>
  <c r="B28" i="18"/>
  <c r="Z27" i="18"/>
  <c r="P27" i="18"/>
  <c r="X27" i="18" s="1"/>
  <c r="N27" i="18"/>
  <c r="D27" i="18"/>
  <c r="L27" i="18" s="1"/>
  <c r="B27" i="18"/>
  <c r="Z26" i="18"/>
  <c r="P26" i="18"/>
  <c r="X26" i="18" s="1"/>
  <c r="N26" i="18"/>
  <c r="L26" i="18"/>
  <c r="D26" i="18"/>
  <c r="B26" i="18"/>
  <c r="Z25" i="18"/>
  <c r="P25" i="18"/>
  <c r="X25" i="18" s="1"/>
  <c r="N25" i="18"/>
  <c r="L25" i="18"/>
  <c r="D25" i="18"/>
  <c r="B25" i="18"/>
  <c r="Z24" i="18"/>
  <c r="P24" i="18"/>
  <c r="X24" i="18" s="1"/>
  <c r="N24" i="18"/>
  <c r="D24" i="18"/>
  <c r="L24" i="18" s="1"/>
  <c r="B24" i="18"/>
  <c r="Z23" i="18"/>
  <c r="X23" i="18"/>
  <c r="P23" i="18"/>
  <c r="N23" i="18"/>
  <c r="D23" i="18"/>
  <c r="L23" i="18" s="1"/>
  <c r="B23" i="18"/>
  <c r="Z22" i="18"/>
  <c r="P22" i="18"/>
  <c r="X22" i="18" s="1"/>
  <c r="N22" i="18"/>
  <c r="D22" i="18"/>
  <c r="L22" i="18" s="1"/>
  <c r="B22" i="18"/>
  <c r="Z21" i="18"/>
  <c r="P21" i="18"/>
  <c r="X21" i="18" s="1"/>
  <c r="N21" i="18"/>
  <c r="D21" i="18"/>
  <c r="L21" i="18" s="1"/>
  <c r="B21" i="18"/>
  <c r="Z20" i="18"/>
  <c r="X20" i="18"/>
  <c r="P20" i="18"/>
  <c r="N20" i="18"/>
  <c r="L20" i="18"/>
  <c r="D20" i="18"/>
  <c r="B20" i="18"/>
  <c r="Z19" i="18"/>
  <c r="X19" i="18"/>
  <c r="P19" i="18"/>
  <c r="N19" i="18"/>
  <c r="D19" i="18"/>
  <c r="L19" i="18" s="1"/>
  <c r="B19" i="18"/>
  <c r="Z18" i="18"/>
  <c r="P18" i="18"/>
  <c r="X18" i="18" s="1"/>
  <c r="N18" i="18"/>
  <c r="D18" i="18"/>
  <c r="L18" i="18" s="1"/>
  <c r="B18" i="18"/>
  <c r="Z17" i="18"/>
  <c r="X17" i="18"/>
  <c r="P17" i="18"/>
  <c r="N17" i="18"/>
  <c r="L17" i="18"/>
  <c r="D17" i="18"/>
  <c r="B17" i="18"/>
  <c r="Z16" i="18"/>
  <c r="X16" i="18"/>
  <c r="P16" i="18"/>
  <c r="N16" i="18"/>
  <c r="L16" i="18"/>
  <c r="D16" i="18"/>
  <c r="B16" i="18"/>
  <c r="Z15" i="18"/>
  <c r="P15" i="18"/>
  <c r="X15" i="18" s="1"/>
  <c r="N15" i="18"/>
  <c r="D15" i="18"/>
  <c r="L15" i="18" s="1"/>
  <c r="B15" i="18"/>
  <c r="Z14" i="18"/>
  <c r="P14" i="18"/>
  <c r="X14" i="18" s="1"/>
  <c r="N14" i="18"/>
  <c r="L14" i="18"/>
  <c r="D14" i="18"/>
  <c r="B14" i="18"/>
  <c r="P13" i="18"/>
  <c r="N13" i="18"/>
  <c r="L13" i="18"/>
  <c r="D13" i="18"/>
  <c r="B13" i="18"/>
  <c r="T12" i="18"/>
  <c r="V292" i="18" s="1"/>
  <c r="H12" i="18"/>
  <c r="J255" i="18" s="1"/>
  <c r="D4" i="18"/>
  <c r="X274" i="15"/>
  <c r="Z274" i="15" s="1"/>
  <c r="L274" i="15"/>
  <c r="N274" i="15" s="1"/>
  <c r="Z270" i="15"/>
  <c r="P270" i="15"/>
  <c r="X270" i="15" s="1"/>
  <c r="N270" i="15"/>
  <c r="D270" i="15"/>
  <c r="L270" i="15" s="1"/>
  <c r="B270" i="15"/>
  <c r="V269" i="15"/>
  <c r="P269" i="15"/>
  <c r="X269" i="15" s="1"/>
  <c r="Z269" i="15" s="1"/>
  <c r="L269" i="15"/>
  <c r="N269" i="15" s="1"/>
  <c r="D269" i="15"/>
  <c r="B269" i="15"/>
  <c r="Z268" i="15"/>
  <c r="P268" i="15"/>
  <c r="X268" i="15" s="1"/>
  <c r="N268" i="15"/>
  <c r="L268" i="15"/>
  <c r="J268" i="15"/>
  <c r="D268" i="15"/>
  <c r="B268" i="15"/>
  <c r="Z267" i="15"/>
  <c r="P267" i="15"/>
  <c r="X267" i="15" s="1"/>
  <c r="N267" i="15"/>
  <c r="L267" i="15"/>
  <c r="J267" i="15"/>
  <c r="D267" i="15"/>
  <c r="B267" i="15"/>
  <c r="X266" i="15"/>
  <c r="Z266" i="15" s="1"/>
  <c r="P266" i="15"/>
  <c r="D266" i="15"/>
  <c r="L266" i="15" s="1"/>
  <c r="N266" i="15" s="1"/>
  <c r="B266" i="15"/>
  <c r="Z265" i="15"/>
  <c r="X265" i="15"/>
  <c r="P265" i="15"/>
  <c r="D265" i="15"/>
  <c r="L265" i="15" s="1"/>
  <c r="N265" i="15" s="1"/>
  <c r="B265" i="15"/>
  <c r="Z264" i="15"/>
  <c r="P264" i="15"/>
  <c r="X264" i="15" s="1"/>
  <c r="N264" i="15"/>
  <c r="J264" i="15"/>
  <c r="D264" i="15"/>
  <c r="L264" i="15" s="1"/>
  <c r="B264" i="15"/>
  <c r="Z263" i="15"/>
  <c r="P263" i="15"/>
  <c r="N263" i="15"/>
  <c r="D263" i="15"/>
  <c r="L263" i="15" s="1"/>
  <c r="B263" i="15"/>
  <c r="Z262" i="15"/>
  <c r="X262" i="15"/>
  <c r="P262" i="15"/>
  <c r="N262" i="15"/>
  <c r="D262" i="15"/>
  <c r="L262" i="15" s="1"/>
  <c r="B262" i="15"/>
  <c r="V261" i="15"/>
  <c r="T261" i="15"/>
  <c r="H261" i="15"/>
  <c r="X259" i="15"/>
  <c r="Z259" i="15" s="1"/>
  <c r="V259" i="15"/>
  <c r="N259" i="15"/>
  <c r="L259" i="15"/>
  <c r="B259" i="15"/>
  <c r="T258" i="15"/>
  <c r="Z258" i="15" s="1"/>
  <c r="P258" i="15"/>
  <c r="X258" i="15" s="1"/>
  <c r="L258" i="15"/>
  <c r="H258" i="15"/>
  <c r="N258" i="15" s="1"/>
  <c r="D258" i="15"/>
  <c r="B258" i="15"/>
  <c r="Z257" i="15"/>
  <c r="X257" i="15"/>
  <c r="N257" i="15"/>
  <c r="L257" i="15"/>
  <c r="B257" i="15"/>
  <c r="Z256" i="15"/>
  <c r="X256" i="15"/>
  <c r="N256" i="15"/>
  <c r="L256" i="15"/>
  <c r="J256" i="15"/>
  <c r="B256" i="15"/>
  <c r="Z255" i="15"/>
  <c r="X255" i="15"/>
  <c r="N255" i="15"/>
  <c r="L255" i="15"/>
  <c r="J255" i="15"/>
  <c r="B255" i="15"/>
  <c r="X254" i="15"/>
  <c r="Z254" i="15" s="1"/>
  <c r="T254" i="15"/>
  <c r="P254" i="15"/>
  <c r="H254" i="15"/>
  <c r="D254" i="15"/>
  <c r="L254" i="15" s="1"/>
  <c r="B254" i="15"/>
  <c r="Z253" i="15"/>
  <c r="X253" i="15"/>
  <c r="L253" i="15"/>
  <c r="N253" i="15" s="1"/>
  <c r="B253" i="15"/>
  <c r="V252" i="15"/>
  <c r="T252" i="15"/>
  <c r="P252" i="15"/>
  <c r="X252" i="15" s="1"/>
  <c r="H252" i="15"/>
  <c r="N252" i="15" s="1"/>
  <c r="D252" i="15"/>
  <c r="L252" i="15" s="1"/>
  <c r="B252" i="15"/>
  <c r="X251" i="15"/>
  <c r="Z251" i="15" s="1"/>
  <c r="V251" i="15"/>
  <c r="N251" i="15"/>
  <c r="L251" i="15"/>
  <c r="B251" i="15"/>
  <c r="X250" i="15"/>
  <c r="Z250" i="15" s="1"/>
  <c r="N250" i="15"/>
  <c r="L250" i="15"/>
  <c r="B250" i="15"/>
  <c r="X249" i="15"/>
  <c r="Z249" i="15" s="1"/>
  <c r="T249" i="15"/>
  <c r="P249" i="15"/>
  <c r="L249" i="15"/>
  <c r="N249" i="15" s="1"/>
  <c r="J249" i="15"/>
  <c r="H249" i="15"/>
  <c r="D249" i="15"/>
  <c r="B249" i="15"/>
  <c r="Z248" i="15"/>
  <c r="X248" i="15"/>
  <c r="L248" i="15"/>
  <c r="N248" i="15" s="1"/>
  <c r="J248" i="15"/>
  <c r="B248" i="15"/>
  <c r="Z247" i="15"/>
  <c r="X247" i="15"/>
  <c r="N247" i="15"/>
  <c r="L247" i="15"/>
  <c r="J247" i="15"/>
  <c r="B247" i="15"/>
  <c r="Z246" i="15"/>
  <c r="X246" i="15"/>
  <c r="L246" i="15"/>
  <c r="N246" i="15" s="1"/>
  <c r="B246" i="15"/>
  <c r="Z245" i="15"/>
  <c r="X245" i="15"/>
  <c r="N245" i="15"/>
  <c r="L245" i="15"/>
  <c r="B245" i="15"/>
  <c r="Z244" i="15"/>
  <c r="X244" i="15"/>
  <c r="L244" i="15"/>
  <c r="N244" i="15" s="1"/>
  <c r="J244" i="15"/>
  <c r="B244" i="15"/>
  <c r="Z243" i="15"/>
  <c r="X243" i="15"/>
  <c r="N243" i="15"/>
  <c r="L243" i="15"/>
  <c r="J243" i="15"/>
  <c r="B243" i="15"/>
  <c r="X242" i="15"/>
  <c r="Z242" i="15" s="1"/>
  <c r="L242" i="15"/>
  <c r="N242" i="15" s="1"/>
  <c r="B242" i="15"/>
  <c r="T241" i="15"/>
  <c r="P241" i="15"/>
  <c r="X241" i="15" s="1"/>
  <c r="H241" i="15"/>
  <c r="D241" i="15"/>
  <c r="L241" i="15" s="1"/>
  <c r="B241" i="15"/>
  <c r="X240" i="15"/>
  <c r="Z240" i="15" s="1"/>
  <c r="V240" i="15"/>
  <c r="L240" i="15"/>
  <c r="N240" i="15" s="1"/>
  <c r="B240" i="15"/>
  <c r="X239" i="15"/>
  <c r="Z239" i="15" s="1"/>
  <c r="V239" i="15"/>
  <c r="L239" i="15"/>
  <c r="N239" i="15" s="1"/>
  <c r="J239" i="15"/>
  <c r="B239" i="15"/>
  <c r="T238" i="15"/>
  <c r="P238" i="15"/>
  <c r="X238" i="15" s="1"/>
  <c r="J238" i="15"/>
  <c r="H238" i="15"/>
  <c r="D238" i="15"/>
  <c r="B238" i="15"/>
  <c r="X237" i="15"/>
  <c r="Z237" i="15" s="1"/>
  <c r="N237" i="15"/>
  <c r="L237" i="15"/>
  <c r="B237" i="15"/>
  <c r="X236" i="15"/>
  <c r="Z236" i="15" s="1"/>
  <c r="N236" i="15"/>
  <c r="L236" i="15"/>
  <c r="B236" i="15"/>
  <c r="X235" i="15"/>
  <c r="Z235" i="15" s="1"/>
  <c r="V235" i="15"/>
  <c r="L235" i="15"/>
  <c r="N235" i="15" s="1"/>
  <c r="B235" i="15"/>
  <c r="X234" i="15"/>
  <c r="Z234" i="15" s="1"/>
  <c r="L234" i="15"/>
  <c r="N234" i="15" s="1"/>
  <c r="B234" i="15"/>
  <c r="X233" i="15"/>
  <c r="Z233" i="15" s="1"/>
  <c r="T233" i="15"/>
  <c r="P233" i="15"/>
  <c r="L233" i="15"/>
  <c r="J233" i="15"/>
  <c r="H233" i="15"/>
  <c r="D233" i="15"/>
  <c r="B233" i="15"/>
  <c r="Z232" i="15"/>
  <c r="X232" i="15"/>
  <c r="N232" i="15"/>
  <c r="L232" i="15"/>
  <c r="J232" i="15"/>
  <c r="B232" i="15"/>
  <c r="X231" i="15"/>
  <c r="Z231" i="15" s="1"/>
  <c r="N231" i="15"/>
  <c r="L231" i="15"/>
  <c r="J231" i="15"/>
  <c r="B231" i="15"/>
  <c r="Z230" i="15"/>
  <c r="X230" i="15"/>
  <c r="N230" i="15"/>
  <c r="L230" i="15"/>
  <c r="B230" i="15"/>
  <c r="Z229" i="15"/>
  <c r="X229" i="15"/>
  <c r="N229" i="15"/>
  <c r="L229" i="15"/>
  <c r="B229" i="15"/>
  <c r="T228" i="15"/>
  <c r="Z228" i="15" s="1"/>
  <c r="P228" i="15"/>
  <c r="X228" i="15" s="1"/>
  <c r="L228" i="15"/>
  <c r="N228" i="15" s="1"/>
  <c r="H228" i="15"/>
  <c r="D228" i="15"/>
  <c r="B228" i="15"/>
  <c r="Z227" i="15"/>
  <c r="X227" i="15"/>
  <c r="V227" i="15"/>
  <c r="L227" i="15"/>
  <c r="N227" i="15" s="1"/>
  <c r="J227" i="15"/>
  <c r="B227" i="15"/>
  <c r="Z226" i="15"/>
  <c r="X226" i="15"/>
  <c r="L226" i="15"/>
  <c r="N226" i="15" s="1"/>
  <c r="B226" i="15"/>
  <c r="Z225" i="15"/>
  <c r="X225" i="15"/>
  <c r="N225" i="15"/>
  <c r="L225" i="15"/>
  <c r="B225" i="15"/>
  <c r="X224" i="15"/>
  <c r="Z224" i="15" s="1"/>
  <c r="V224" i="15"/>
  <c r="N224" i="15"/>
  <c r="L224" i="15"/>
  <c r="B224" i="15"/>
  <c r="V223" i="15"/>
  <c r="T223" i="15"/>
  <c r="P223" i="15"/>
  <c r="X223" i="15" s="1"/>
  <c r="Z223" i="15" s="1"/>
  <c r="N223" i="15"/>
  <c r="H223" i="15"/>
  <c r="D223" i="15"/>
  <c r="L223" i="15" s="1"/>
  <c r="B223" i="15"/>
  <c r="X222" i="15"/>
  <c r="Z222" i="15" s="1"/>
  <c r="N222" i="15"/>
  <c r="L222" i="15"/>
  <c r="B222" i="15"/>
  <c r="X221" i="15"/>
  <c r="Z221" i="15" s="1"/>
  <c r="T221" i="15"/>
  <c r="P221" i="15"/>
  <c r="L221" i="15"/>
  <c r="N221" i="15" s="1"/>
  <c r="J221" i="15"/>
  <c r="H221" i="15"/>
  <c r="D221" i="15"/>
  <c r="B221" i="15"/>
  <c r="Z220" i="15"/>
  <c r="X220" i="15"/>
  <c r="L220" i="15"/>
  <c r="N220" i="15" s="1"/>
  <c r="J220" i="15"/>
  <c r="B220" i="15"/>
  <c r="T219" i="15"/>
  <c r="P219" i="15"/>
  <c r="H219" i="15"/>
  <c r="D219" i="15"/>
  <c r="B219" i="15"/>
  <c r="Z218" i="15"/>
  <c r="X218" i="15"/>
  <c r="L218" i="15"/>
  <c r="N218" i="15" s="1"/>
  <c r="B218" i="15"/>
  <c r="Z217" i="15"/>
  <c r="T217" i="15"/>
  <c r="P217" i="15"/>
  <c r="X217" i="15" s="1"/>
  <c r="J217" i="15"/>
  <c r="H217" i="15"/>
  <c r="D217" i="15"/>
  <c r="L217" i="15" s="1"/>
  <c r="N217" i="15" s="1"/>
  <c r="B217" i="15"/>
  <c r="X216" i="15"/>
  <c r="Z216" i="15" s="1"/>
  <c r="N216" i="15"/>
  <c r="L216" i="15"/>
  <c r="B216" i="15"/>
  <c r="X215" i="15"/>
  <c r="Z215" i="15" s="1"/>
  <c r="V215" i="15"/>
  <c r="T215" i="15"/>
  <c r="P215" i="15"/>
  <c r="L215" i="15"/>
  <c r="N215" i="15" s="1"/>
  <c r="H215" i="15"/>
  <c r="D215" i="15"/>
  <c r="B215" i="15"/>
  <c r="X214" i="15"/>
  <c r="Z214" i="15" s="1"/>
  <c r="N214" i="15"/>
  <c r="L214" i="15"/>
  <c r="B214" i="15"/>
  <c r="T213" i="15"/>
  <c r="P213" i="15"/>
  <c r="H213" i="15"/>
  <c r="D213" i="15"/>
  <c r="B213" i="15"/>
  <c r="X212" i="15"/>
  <c r="Z212" i="15" s="1"/>
  <c r="V212" i="15"/>
  <c r="L212" i="15"/>
  <c r="N212" i="15" s="1"/>
  <c r="B212" i="15"/>
  <c r="X211" i="15"/>
  <c r="Z211" i="15" s="1"/>
  <c r="V211" i="15"/>
  <c r="L211" i="15"/>
  <c r="N211" i="15" s="1"/>
  <c r="J211" i="15"/>
  <c r="B211" i="15"/>
  <c r="T210" i="15"/>
  <c r="P210" i="15"/>
  <c r="X210" i="15" s="1"/>
  <c r="Z210" i="15" s="1"/>
  <c r="J210" i="15"/>
  <c r="H210" i="15"/>
  <c r="D210" i="15"/>
  <c r="L210" i="15" s="1"/>
  <c r="B210" i="15"/>
  <c r="X209" i="15"/>
  <c r="Z209" i="15" s="1"/>
  <c r="N209" i="15"/>
  <c r="L209" i="15"/>
  <c r="B209" i="15"/>
  <c r="T208" i="15"/>
  <c r="X208" i="15" s="1"/>
  <c r="P208" i="15"/>
  <c r="H208" i="15"/>
  <c r="N208" i="15" s="1"/>
  <c r="D208" i="15"/>
  <c r="L208" i="15" s="1"/>
  <c r="B208" i="15"/>
  <c r="X207" i="15"/>
  <c r="Z207" i="15" s="1"/>
  <c r="N207" i="15"/>
  <c r="L207" i="15"/>
  <c r="J207" i="15"/>
  <c r="B207" i="15"/>
  <c r="X206" i="15"/>
  <c r="Z206" i="15" s="1"/>
  <c r="T206" i="15"/>
  <c r="P206" i="15"/>
  <c r="H206" i="15"/>
  <c r="N206" i="15" s="1"/>
  <c r="D206" i="15"/>
  <c r="L206" i="15" s="1"/>
  <c r="B206" i="15"/>
  <c r="Z205" i="15"/>
  <c r="X205" i="15"/>
  <c r="N205" i="15"/>
  <c r="L205" i="15"/>
  <c r="B205" i="15"/>
  <c r="X204" i="15"/>
  <c r="Z204" i="15" s="1"/>
  <c r="V204" i="15"/>
  <c r="L204" i="15"/>
  <c r="N204" i="15" s="1"/>
  <c r="B204" i="15"/>
  <c r="V203" i="15"/>
  <c r="T203" i="15"/>
  <c r="P203" i="15"/>
  <c r="X203" i="15" s="1"/>
  <c r="H203" i="15"/>
  <c r="D203" i="15"/>
  <c r="L203" i="15" s="1"/>
  <c r="N203" i="15" s="1"/>
  <c r="B203" i="15"/>
  <c r="Z202" i="15"/>
  <c r="X202" i="15"/>
  <c r="N202" i="15"/>
  <c r="L202" i="15"/>
  <c r="B202" i="15"/>
  <c r="X201" i="15"/>
  <c r="Z201" i="15" s="1"/>
  <c r="N201" i="15"/>
  <c r="L201" i="15"/>
  <c r="B201" i="15"/>
  <c r="T200" i="15"/>
  <c r="X200" i="15" s="1"/>
  <c r="P200" i="15"/>
  <c r="H200" i="15"/>
  <c r="D200" i="15"/>
  <c r="L200" i="15" s="1"/>
  <c r="B200" i="15"/>
  <c r="X199" i="15"/>
  <c r="Z199" i="15" s="1"/>
  <c r="N199" i="15"/>
  <c r="L199" i="15"/>
  <c r="J199" i="15"/>
  <c r="B199" i="15"/>
  <c r="X198" i="15"/>
  <c r="Z198" i="15" s="1"/>
  <c r="N198" i="15"/>
  <c r="L198" i="15"/>
  <c r="B198" i="15"/>
  <c r="Z197" i="15"/>
  <c r="X197" i="15"/>
  <c r="N197" i="15"/>
  <c r="L197" i="15"/>
  <c r="B197" i="15"/>
  <c r="Z196" i="15"/>
  <c r="X196" i="15"/>
  <c r="L196" i="15"/>
  <c r="N196" i="15" s="1"/>
  <c r="J196" i="15"/>
  <c r="B196" i="15"/>
  <c r="T195" i="15"/>
  <c r="P195" i="15"/>
  <c r="H195" i="15"/>
  <c r="D195" i="15"/>
  <c r="B195" i="15"/>
  <c r="X194" i="15"/>
  <c r="Z194" i="15" s="1"/>
  <c r="L194" i="15"/>
  <c r="N194" i="15" s="1"/>
  <c r="B194" i="15"/>
  <c r="T193" i="15"/>
  <c r="P193" i="15"/>
  <c r="X193" i="15" s="1"/>
  <c r="Z193" i="15" s="1"/>
  <c r="J193" i="15"/>
  <c r="H193" i="15"/>
  <c r="D193" i="15"/>
  <c r="L193" i="15" s="1"/>
  <c r="N193" i="15" s="1"/>
  <c r="B193" i="15"/>
  <c r="X192" i="15"/>
  <c r="Z192" i="15" s="1"/>
  <c r="N192" i="15"/>
  <c r="L192" i="15"/>
  <c r="B192" i="15"/>
  <c r="X191" i="15"/>
  <c r="Z191" i="15" s="1"/>
  <c r="V191" i="15"/>
  <c r="L191" i="15"/>
  <c r="N191" i="15" s="1"/>
  <c r="B191" i="15"/>
  <c r="T190" i="15"/>
  <c r="P190" i="15"/>
  <c r="X190" i="15" s="1"/>
  <c r="H190" i="15"/>
  <c r="L190" i="15" s="1"/>
  <c r="D190" i="15"/>
  <c r="B190" i="15"/>
  <c r="Z189" i="15"/>
  <c r="X189" i="15"/>
  <c r="N189" i="15"/>
  <c r="L189" i="15"/>
  <c r="B189" i="15"/>
  <c r="T188" i="15"/>
  <c r="P188" i="15"/>
  <c r="X188" i="15" s="1"/>
  <c r="N188" i="15"/>
  <c r="L188" i="15"/>
  <c r="H188" i="15"/>
  <c r="D188" i="15"/>
  <c r="B188" i="15"/>
  <c r="Z187" i="15"/>
  <c r="X187" i="15"/>
  <c r="V187" i="15"/>
  <c r="N187" i="15"/>
  <c r="L187" i="15"/>
  <c r="J187" i="15"/>
  <c r="B187" i="15"/>
  <c r="Z186" i="15"/>
  <c r="X186" i="15"/>
  <c r="N186" i="15"/>
  <c r="L186" i="15"/>
  <c r="B186" i="15"/>
  <c r="Z185" i="15"/>
  <c r="X185" i="15"/>
  <c r="L185" i="15"/>
  <c r="N185" i="15" s="1"/>
  <c r="B185" i="15"/>
  <c r="X184" i="15"/>
  <c r="Z184" i="15" s="1"/>
  <c r="V184" i="15"/>
  <c r="L184" i="15"/>
  <c r="N184" i="15" s="1"/>
  <c r="B184" i="15"/>
  <c r="Z183" i="15"/>
  <c r="X183" i="15"/>
  <c r="V183" i="15"/>
  <c r="N183" i="15"/>
  <c r="L183" i="15"/>
  <c r="J183" i="15"/>
  <c r="B183" i="15"/>
  <c r="X182" i="15"/>
  <c r="Z182" i="15" s="1"/>
  <c r="L182" i="15"/>
  <c r="N182" i="15" s="1"/>
  <c r="B182" i="15"/>
  <c r="Z181" i="15"/>
  <c r="X181" i="15"/>
  <c r="L181" i="15"/>
  <c r="N181" i="15" s="1"/>
  <c r="B181" i="15"/>
  <c r="Z180" i="15"/>
  <c r="X180" i="15"/>
  <c r="V180" i="15"/>
  <c r="N180" i="15"/>
  <c r="L180" i="15"/>
  <c r="B180" i="15"/>
  <c r="Z179" i="15"/>
  <c r="X179" i="15"/>
  <c r="V179" i="15"/>
  <c r="L179" i="15"/>
  <c r="N179" i="15" s="1"/>
  <c r="J179" i="15"/>
  <c r="B179" i="15"/>
  <c r="X178" i="15"/>
  <c r="Z178" i="15" s="1"/>
  <c r="L178" i="15"/>
  <c r="N178" i="15" s="1"/>
  <c r="B178" i="15"/>
  <c r="T177" i="15"/>
  <c r="P177" i="15"/>
  <c r="X177" i="15" s="1"/>
  <c r="Z177" i="15" s="1"/>
  <c r="J177" i="15"/>
  <c r="H177" i="15"/>
  <c r="D177" i="15"/>
  <c r="L177" i="15" s="1"/>
  <c r="N177" i="15" s="1"/>
  <c r="B177" i="15"/>
  <c r="X176" i="15"/>
  <c r="Z176" i="15" s="1"/>
  <c r="N176" i="15"/>
  <c r="L176" i="15"/>
  <c r="B176" i="15"/>
  <c r="X175" i="15"/>
  <c r="Z175" i="15" s="1"/>
  <c r="V175" i="15"/>
  <c r="N175" i="15"/>
  <c r="L175" i="15"/>
  <c r="B175" i="15"/>
  <c r="X174" i="15"/>
  <c r="Z174" i="15" s="1"/>
  <c r="L174" i="15"/>
  <c r="N174" i="15" s="1"/>
  <c r="B174" i="15"/>
  <c r="Z173" i="15"/>
  <c r="X173" i="15"/>
  <c r="N173" i="15"/>
  <c r="L173" i="15"/>
  <c r="B173" i="15"/>
  <c r="Z172" i="15"/>
  <c r="X172" i="15"/>
  <c r="N172" i="15"/>
  <c r="L172" i="15"/>
  <c r="B172" i="15"/>
  <c r="X171" i="15"/>
  <c r="Z171" i="15" s="1"/>
  <c r="V171" i="15"/>
  <c r="N171" i="15"/>
  <c r="L171" i="15"/>
  <c r="B171" i="15"/>
  <c r="X170" i="15"/>
  <c r="Z170" i="15" s="1"/>
  <c r="N170" i="15"/>
  <c r="L170" i="15"/>
  <c r="B170" i="15"/>
  <c r="X169" i="15"/>
  <c r="Z169" i="15" s="1"/>
  <c r="N169" i="15"/>
  <c r="L169" i="15"/>
  <c r="B169" i="15"/>
  <c r="X168" i="15"/>
  <c r="Z168" i="15" s="1"/>
  <c r="N168" i="15"/>
  <c r="L168" i="15"/>
  <c r="B168" i="15"/>
  <c r="X167" i="15"/>
  <c r="Z167" i="15" s="1"/>
  <c r="V167" i="15"/>
  <c r="L167" i="15"/>
  <c r="N167" i="15" s="1"/>
  <c r="B167" i="15"/>
  <c r="T166" i="15"/>
  <c r="P166" i="15"/>
  <c r="X166" i="15" s="1"/>
  <c r="H166" i="15"/>
  <c r="L166" i="15" s="1"/>
  <c r="D166" i="15"/>
  <c r="B166" i="15"/>
  <c r="T165" i="15"/>
  <c r="P165" i="15"/>
  <c r="H165" i="15"/>
  <c r="D165" i="15"/>
  <c r="T163" i="15"/>
  <c r="Z161" i="15"/>
  <c r="X161" i="15"/>
  <c r="N161" i="15"/>
  <c r="L161" i="15"/>
  <c r="B161" i="15"/>
  <c r="Z160" i="15"/>
  <c r="X160" i="15"/>
  <c r="N160" i="15"/>
  <c r="L160" i="15"/>
  <c r="J160" i="15"/>
  <c r="B160" i="15"/>
  <c r="Z159" i="15"/>
  <c r="X159" i="15"/>
  <c r="N159" i="15"/>
  <c r="L159" i="15"/>
  <c r="J159" i="15"/>
  <c r="B159" i="15"/>
  <c r="Z158" i="15"/>
  <c r="X158" i="15"/>
  <c r="N158" i="15"/>
  <c r="L158" i="15"/>
  <c r="B158" i="15"/>
  <c r="Z157" i="15"/>
  <c r="X157" i="15"/>
  <c r="N157" i="15"/>
  <c r="L157" i="15"/>
  <c r="B157" i="15"/>
  <c r="Z156" i="15"/>
  <c r="X156" i="15"/>
  <c r="N156" i="15"/>
  <c r="L156" i="15"/>
  <c r="J156" i="15"/>
  <c r="B156" i="15"/>
  <c r="Z155" i="15"/>
  <c r="X155" i="15"/>
  <c r="N155" i="15"/>
  <c r="L155" i="15"/>
  <c r="J155" i="15"/>
  <c r="B155" i="15"/>
  <c r="Z154" i="15"/>
  <c r="X154" i="15"/>
  <c r="N154" i="15"/>
  <c r="L154" i="15"/>
  <c r="B154" i="15"/>
  <c r="Z153" i="15"/>
  <c r="X153" i="15"/>
  <c r="N153" i="15"/>
  <c r="L153" i="15"/>
  <c r="B153" i="15"/>
  <c r="Z152" i="15"/>
  <c r="X152" i="15"/>
  <c r="N152" i="15"/>
  <c r="L152" i="15"/>
  <c r="J152" i="15"/>
  <c r="B152" i="15"/>
  <c r="Z151" i="15"/>
  <c r="X151" i="15"/>
  <c r="N151" i="15"/>
  <c r="L151" i="15"/>
  <c r="J151" i="15"/>
  <c r="B151" i="15"/>
  <c r="Z150" i="15"/>
  <c r="X150" i="15"/>
  <c r="N150" i="15"/>
  <c r="L150" i="15"/>
  <c r="B150" i="15"/>
  <c r="Z149" i="15"/>
  <c r="X149" i="15"/>
  <c r="N149" i="15"/>
  <c r="L149" i="15"/>
  <c r="B149" i="15"/>
  <c r="Z148" i="15"/>
  <c r="X148" i="15"/>
  <c r="N148" i="15"/>
  <c r="L148" i="15"/>
  <c r="J148" i="15"/>
  <c r="B148" i="15"/>
  <c r="Z147" i="15"/>
  <c r="X147" i="15"/>
  <c r="N147" i="15"/>
  <c r="L147" i="15"/>
  <c r="J147" i="15"/>
  <c r="B147" i="15"/>
  <c r="Z146" i="15"/>
  <c r="X146" i="15"/>
  <c r="N146" i="15"/>
  <c r="L146" i="15"/>
  <c r="B146" i="15"/>
  <c r="Z145" i="15"/>
  <c r="X145" i="15"/>
  <c r="N145" i="15"/>
  <c r="L145" i="15"/>
  <c r="B145" i="15"/>
  <c r="Z144" i="15"/>
  <c r="X144" i="15"/>
  <c r="N144" i="15"/>
  <c r="L144" i="15"/>
  <c r="J144" i="15"/>
  <c r="B144" i="15"/>
  <c r="Z143" i="15"/>
  <c r="X143" i="15"/>
  <c r="N143" i="15"/>
  <c r="L143" i="15"/>
  <c r="J143" i="15"/>
  <c r="B143" i="15"/>
  <c r="Z142" i="15"/>
  <c r="X142" i="15"/>
  <c r="N142" i="15"/>
  <c r="L142" i="15"/>
  <c r="B142" i="15"/>
  <c r="Z141" i="15"/>
  <c r="X141" i="15"/>
  <c r="N141" i="15"/>
  <c r="L141" i="15"/>
  <c r="B141" i="15"/>
  <c r="Z140" i="15"/>
  <c r="X140" i="15"/>
  <c r="N140" i="15"/>
  <c r="L140" i="15"/>
  <c r="J140" i="15"/>
  <c r="B140" i="15"/>
  <c r="Z139" i="15"/>
  <c r="X139" i="15"/>
  <c r="N139" i="15"/>
  <c r="L139" i="15"/>
  <c r="J139" i="15"/>
  <c r="B139" i="15"/>
  <c r="Z138" i="15"/>
  <c r="X138" i="15"/>
  <c r="N138" i="15"/>
  <c r="L138" i="15"/>
  <c r="B138" i="15"/>
  <c r="Z137" i="15"/>
  <c r="X137" i="15"/>
  <c r="N137" i="15"/>
  <c r="L137" i="15"/>
  <c r="B137" i="15"/>
  <c r="Z136" i="15"/>
  <c r="X136" i="15"/>
  <c r="N136" i="15"/>
  <c r="L136" i="15"/>
  <c r="J136" i="15"/>
  <c r="B136" i="15"/>
  <c r="Z135" i="15"/>
  <c r="X135" i="15"/>
  <c r="N135" i="15"/>
  <c r="L135" i="15"/>
  <c r="J135" i="15"/>
  <c r="B135" i="15"/>
  <c r="Z134" i="15"/>
  <c r="X134" i="15"/>
  <c r="N134" i="15"/>
  <c r="L134" i="15"/>
  <c r="B134" i="15"/>
  <c r="Z133" i="15"/>
  <c r="X133" i="15"/>
  <c r="N133" i="15"/>
  <c r="L133" i="15"/>
  <c r="B133" i="15"/>
  <c r="Z132" i="15"/>
  <c r="X132" i="15"/>
  <c r="N132" i="15"/>
  <c r="L132" i="15"/>
  <c r="J132" i="15"/>
  <c r="B132" i="15"/>
  <c r="Z131" i="15"/>
  <c r="X131" i="15"/>
  <c r="N131" i="15"/>
  <c r="L131" i="15"/>
  <c r="J131" i="15"/>
  <c r="B131" i="15"/>
  <c r="Z130" i="15"/>
  <c r="X130" i="15"/>
  <c r="N130" i="15"/>
  <c r="L130" i="15"/>
  <c r="B130" i="15"/>
  <c r="Z129" i="15"/>
  <c r="X129" i="15"/>
  <c r="N129" i="15"/>
  <c r="L129" i="15"/>
  <c r="B129" i="15"/>
  <c r="Z128" i="15"/>
  <c r="X128" i="15"/>
  <c r="N128" i="15"/>
  <c r="L128" i="15"/>
  <c r="J128" i="15"/>
  <c r="B128" i="15"/>
  <c r="Z127" i="15"/>
  <c r="X127" i="15"/>
  <c r="N127" i="15"/>
  <c r="L127" i="15"/>
  <c r="J127" i="15"/>
  <c r="B127" i="15"/>
  <c r="Z126" i="15"/>
  <c r="X126" i="15"/>
  <c r="N126" i="15"/>
  <c r="L126" i="15"/>
  <c r="B126" i="15"/>
  <c r="Z125" i="15"/>
  <c r="X125" i="15"/>
  <c r="N125" i="15"/>
  <c r="L125" i="15"/>
  <c r="B125" i="15"/>
  <c r="Z124" i="15"/>
  <c r="X124" i="15"/>
  <c r="N124" i="15"/>
  <c r="L124" i="15"/>
  <c r="J124" i="15"/>
  <c r="B124" i="15"/>
  <c r="Z123" i="15"/>
  <c r="X123" i="15"/>
  <c r="N123" i="15"/>
  <c r="L123" i="15"/>
  <c r="J123" i="15"/>
  <c r="B123" i="15"/>
  <c r="Z122" i="15"/>
  <c r="X122" i="15"/>
  <c r="N122" i="15"/>
  <c r="L122" i="15"/>
  <c r="B122" i="15"/>
  <c r="Z121" i="15"/>
  <c r="X121" i="15"/>
  <c r="N121" i="15"/>
  <c r="L121" i="15"/>
  <c r="B121" i="15"/>
  <c r="Z120" i="15"/>
  <c r="X120" i="15"/>
  <c r="N120" i="15"/>
  <c r="L120" i="15"/>
  <c r="J120" i="15"/>
  <c r="B120" i="15"/>
  <c r="Z119" i="15"/>
  <c r="X119" i="15"/>
  <c r="N119" i="15"/>
  <c r="L119" i="15"/>
  <c r="J119" i="15"/>
  <c r="B119" i="15"/>
  <c r="Z118" i="15"/>
  <c r="X118" i="15"/>
  <c r="N118" i="15"/>
  <c r="L118" i="15"/>
  <c r="B118" i="15"/>
  <c r="Z117" i="15"/>
  <c r="X117" i="15"/>
  <c r="N117" i="15"/>
  <c r="L117" i="15"/>
  <c r="B117" i="15"/>
  <c r="Z116" i="15"/>
  <c r="X116" i="15"/>
  <c r="N116" i="15"/>
  <c r="L116" i="15"/>
  <c r="J116" i="15"/>
  <c r="B116" i="15"/>
  <c r="Z115" i="15"/>
  <c r="X115" i="15"/>
  <c r="N115" i="15"/>
  <c r="L115" i="15"/>
  <c r="J115" i="15"/>
  <c r="B115" i="15"/>
  <c r="Z114" i="15"/>
  <c r="X114" i="15"/>
  <c r="N114" i="15"/>
  <c r="L114" i="15"/>
  <c r="B114" i="15"/>
  <c r="Z113" i="15"/>
  <c r="X113" i="15"/>
  <c r="N113" i="15"/>
  <c r="L113" i="15"/>
  <c r="B113" i="15"/>
  <c r="Z112" i="15"/>
  <c r="X112" i="15"/>
  <c r="N112" i="15"/>
  <c r="L112" i="15"/>
  <c r="J112" i="15"/>
  <c r="B112" i="15"/>
  <c r="X111" i="15"/>
  <c r="Z111" i="15" s="1"/>
  <c r="L111" i="15"/>
  <c r="N111" i="15" s="1"/>
  <c r="J111" i="15"/>
  <c r="B111" i="15"/>
  <c r="X110" i="15"/>
  <c r="Z110" i="15" s="1"/>
  <c r="T110" i="15"/>
  <c r="P110" i="15"/>
  <c r="H110" i="15"/>
  <c r="D110" i="15"/>
  <c r="L110" i="15" s="1"/>
  <c r="Z108" i="15"/>
  <c r="X108" i="15"/>
  <c r="P108" i="15"/>
  <c r="N108" i="15"/>
  <c r="D108" i="15"/>
  <c r="L108" i="15" s="1"/>
  <c r="B108" i="15"/>
  <c r="Z107" i="15"/>
  <c r="P107" i="15"/>
  <c r="X107" i="15" s="1"/>
  <c r="N107" i="15"/>
  <c r="D107" i="15"/>
  <c r="L107" i="15" s="1"/>
  <c r="B107" i="15"/>
  <c r="Z106" i="15"/>
  <c r="X106" i="15"/>
  <c r="P106" i="15"/>
  <c r="N106" i="15"/>
  <c r="L106" i="15"/>
  <c r="D106" i="15"/>
  <c r="B106" i="15"/>
  <c r="Z105" i="15"/>
  <c r="P105" i="15"/>
  <c r="X105" i="15" s="1"/>
  <c r="N105" i="15"/>
  <c r="L105" i="15"/>
  <c r="D105" i="15"/>
  <c r="B105" i="15"/>
  <c r="Z104" i="15"/>
  <c r="P104" i="15"/>
  <c r="X104" i="15" s="1"/>
  <c r="N104" i="15"/>
  <c r="D104" i="15"/>
  <c r="L104" i="15" s="1"/>
  <c r="B104" i="15"/>
  <c r="Z103" i="15"/>
  <c r="P103" i="15"/>
  <c r="X103" i="15" s="1"/>
  <c r="N103" i="15"/>
  <c r="L103" i="15"/>
  <c r="D103" i="15"/>
  <c r="B103" i="15"/>
  <c r="Z102" i="15"/>
  <c r="P102" i="15"/>
  <c r="X102" i="15" s="1"/>
  <c r="N102" i="15"/>
  <c r="D102" i="15"/>
  <c r="L102" i="15" s="1"/>
  <c r="B102" i="15"/>
  <c r="Z101" i="15"/>
  <c r="X101" i="15"/>
  <c r="P101" i="15"/>
  <c r="N101" i="15"/>
  <c r="D101" i="15"/>
  <c r="L101" i="15" s="1"/>
  <c r="B101" i="15"/>
  <c r="Z100" i="15"/>
  <c r="X100" i="15"/>
  <c r="P100" i="15"/>
  <c r="N100" i="15"/>
  <c r="L100" i="15"/>
  <c r="D100" i="15"/>
  <c r="B100" i="15"/>
  <c r="Z99" i="15"/>
  <c r="P99" i="15"/>
  <c r="X99" i="15" s="1"/>
  <c r="N99" i="15"/>
  <c r="D99" i="15"/>
  <c r="L99" i="15" s="1"/>
  <c r="B99" i="15"/>
  <c r="Z98" i="15"/>
  <c r="P98" i="15"/>
  <c r="X98" i="15" s="1"/>
  <c r="N98" i="15"/>
  <c r="L98" i="15"/>
  <c r="D98" i="15"/>
  <c r="B98" i="15"/>
  <c r="Z97" i="15"/>
  <c r="X97" i="15"/>
  <c r="P97" i="15"/>
  <c r="N97" i="15"/>
  <c r="L97" i="15"/>
  <c r="D97" i="15"/>
  <c r="B97" i="15"/>
  <c r="Z96" i="15"/>
  <c r="X96" i="15"/>
  <c r="P96" i="15"/>
  <c r="N96" i="15"/>
  <c r="D96" i="15"/>
  <c r="L96" i="15" s="1"/>
  <c r="B96" i="15"/>
  <c r="Z95" i="15"/>
  <c r="P95" i="15"/>
  <c r="X95" i="15" s="1"/>
  <c r="N95" i="15"/>
  <c r="D95" i="15"/>
  <c r="L95" i="15" s="1"/>
  <c r="B95" i="15"/>
  <c r="Z94" i="15"/>
  <c r="X94" i="15"/>
  <c r="P94" i="15"/>
  <c r="N94" i="15"/>
  <c r="L94" i="15"/>
  <c r="D94" i="15"/>
  <c r="B94" i="15"/>
  <c r="Z93" i="15"/>
  <c r="P93" i="15"/>
  <c r="X93" i="15" s="1"/>
  <c r="N93" i="15"/>
  <c r="L93" i="15"/>
  <c r="D93" i="15"/>
  <c r="B93" i="15"/>
  <c r="Z92" i="15"/>
  <c r="P92" i="15"/>
  <c r="X92" i="15" s="1"/>
  <c r="N92" i="15"/>
  <c r="D92" i="15"/>
  <c r="L92" i="15" s="1"/>
  <c r="B92" i="15"/>
  <c r="Z91" i="15"/>
  <c r="P91" i="15"/>
  <c r="X91" i="15" s="1"/>
  <c r="N91" i="15"/>
  <c r="L91" i="15"/>
  <c r="D91" i="15"/>
  <c r="B91" i="15"/>
  <c r="Z90" i="15"/>
  <c r="P90" i="15"/>
  <c r="X90" i="15" s="1"/>
  <c r="N90" i="15"/>
  <c r="D90" i="15"/>
  <c r="L90" i="15" s="1"/>
  <c r="B90" i="15"/>
  <c r="Z89" i="15"/>
  <c r="X89" i="15"/>
  <c r="P89" i="15"/>
  <c r="N89" i="15"/>
  <c r="D89" i="15"/>
  <c r="L89" i="15" s="1"/>
  <c r="B89" i="15"/>
  <c r="Z88" i="15"/>
  <c r="X88" i="15"/>
  <c r="P88" i="15"/>
  <c r="N88" i="15"/>
  <c r="L88" i="15"/>
  <c r="D88" i="15"/>
  <c r="B88" i="15"/>
  <c r="Z87" i="15"/>
  <c r="P87" i="15"/>
  <c r="X87" i="15" s="1"/>
  <c r="N87" i="15"/>
  <c r="D87" i="15"/>
  <c r="L87" i="15" s="1"/>
  <c r="B87" i="15"/>
  <c r="Z86" i="15"/>
  <c r="P86" i="15"/>
  <c r="X86" i="15" s="1"/>
  <c r="N86" i="15"/>
  <c r="L86" i="15"/>
  <c r="D86" i="15"/>
  <c r="B86" i="15"/>
  <c r="Z85" i="15"/>
  <c r="X85" i="15"/>
  <c r="P85" i="15"/>
  <c r="N85" i="15"/>
  <c r="L85" i="15"/>
  <c r="D85" i="15"/>
  <c r="B85" i="15"/>
  <c r="Z84" i="15"/>
  <c r="X84" i="15"/>
  <c r="P84" i="15"/>
  <c r="N84" i="15"/>
  <c r="D84" i="15"/>
  <c r="L84" i="15" s="1"/>
  <c r="B84" i="15"/>
  <c r="Z83" i="15"/>
  <c r="P83" i="15"/>
  <c r="X83" i="15" s="1"/>
  <c r="N83" i="15"/>
  <c r="D83" i="15"/>
  <c r="L83" i="15" s="1"/>
  <c r="B83" i="15"/>
  <c r="Z82" i="15"/>
  <c r="X82" i="15"/>
  <c r="P82" i="15"/>
  <c r="N82" i="15"/>
  <c r="L82" i="15"/>
  <c r="D82" i="15"/>
  <c r="B82" i="15"/>
  <c r="Z81" i="15"/>
  <c r="P81" i="15"/>
  <c r="X81" i="15" s="1"/>
  <c r="N81" i="15"/>
  <c r="L81" i="15"/>
  <c r="D81" i="15"/>
  <c r="B81" i="15"/>
  <c r="Z80" i="15"/>
  <c r="P80" i="15"/>
  <c r="X80" i="15" s="1"/>
  <c r="N80" i="15"/>
  <c r="D80" i="15"/>
  <c r="L80" i="15" s="1"/>
  <c r="B80" i="15"/>
  <c r="Z79" i="15"/>
  <c r="P79" i="15"/>
  <c r="X79" i="15" s="1"/>
  <c r="N79" i="15"/>
  <c r="L79" i="15"/>
  <c r="D79" i="15"/>
  <c r="B79" i="15"/>
  <c r="Z78" i="15"/>
  <c r="P78" i="15"/>
  <c r="X78" i="15" s="1"/>
  <c r="N78" i="15"/>
  <c r="D78" i="15"/>
  <c r="L78" i="15" s="1"/>
  <c r="B78" i="15"/>
  <c r="Z77" i="15"/>
  <c r="X77" i="15"/>
  <c r="P77" i="15"/>
  <c r="N77" i="15"/>
  <c r="D77" i="15"/>
  <c r="L77" i="15" s="1"/>
  <c r="B77" i="15"/>
  <c r="Z76" i="15"/>
  <c r="X76" i="15"/>
  <c r="P76" i="15"/>
  <c r="N76" i="15"/>
  <c r="L76" i="15"/>
  <c r="D76" i="15"/>
  <c r="B76" i="15"/>
  <c r="Z75" i="15"/>
  <c r="P75" i="15"/>
  <c r="X75" i="15" s="1"/>
  <c r="N75" i="15"/>
  <c r="D75" i="15"/>
  <c r="L75" i="15" s="1"/>
  <c r="B75" i="15"/>
  <c r="Z74" i="15"/>
  <c r="P74" i="15"/>
  <c r="X74" i="15" s="1"/>
  <c r="N74" i="15"/>
  <c r="L74" i="15"/>
  <c r="D74" i="15"/>
  <c r="B74" i="15"/>
  <c r="Z73" i="15"/>
  <c r="X73" i="15"/>
  <c r="P73" i="15"/>
  <c r="N73" i="15"/>
  <c r="L73" i="15"/>
  <c r="D73" i="15"/>
  <c r="B73" i="15"/>
  <c r="Z72" i="15"/>
  <c r="X72" i="15"/>
  <c r="P72" i="15"/>
  <c r="N72" i="15"/>
  <c r="D72" i="15"/>
  <c r="L72" i="15" s="1"/>
  <c r="B72" i="15"/>
  <c r="Z71" i="15"/>
  <c r="P71" i="15"/>
  <c r="X71" i="15" s="1"/>
  <c r="N71" i="15"/>
  <c r="D71" i="15"/>
  <c r="L71" i="15" s="1"/>
  <c r="B71" i="15"/>
  <c r="Z70" i="15"/>
  <c r="X70" i="15"/>
  <c r="P70" i="15"/>
  <c r="N70" i="15"/>
  <c r="L70" i="15"/>
  <c r="D70" i="15"/>
  <c r="B70" i="15"/>
  <c r="Z69" i="15"/>
  <c r="P69" i="15"/>
  <c r="X69" i="15" s="1"/>
  <c r="N69" i="15"/>
  <c r="L69" i="15"/>
  <c r="D69" i="15"/>
  <c r="B69" i="15"/>
  <c r="Z68" i="15"/>
  <c r="P68" i="15"/>
  <c r="X68" i="15" s="1"/>
  <c r="N68" i="15"/>
  <c r="D68" i="15"/>
  <c r="L68" i="15" s="1"/>
  <c r="B68" i="15"/>
  <c r="Z67" i="15"/>
  <c r="P67" i="15"/>
  <c r="X67" i="15" s="1"/>
  <c r="N67" i="15"/>
  <c r="L67" i="15"/>
  <c r="D67" i="15"/>
  <c r="B67" i="15"/>
  <c r="Z66" i="15"/>
  <c r="P66" i="15"/>
  <c r="X66" i="15" s="1"/>
  <c r="N66" i="15"/>
  <c r="D66" i="15"/>
  <c r="L66" i="15" s="1"/>
  <c r="B66" i="15"/>
  <c r="Z65" i="15"/>
  <c r="X65" i="15"/>
  <c r="P65" i="15"/>
  <c r="N65" i="15"/>
  <c r="D65" i="15"/>
  <c r="L65" i="15" s="1"/>
  <c r="B65" i="15"/>
  <c r="Z64" i="15"/>
  <c r="X64" i="15"/>
  <c r="P64" i="15"/>
  <c r="N64" i="15"/>
  <c r="L64" i="15"/>
  <c r="D64" i="15"/>
  <c r="B64" i="15"/>
  <c r="Z63" i="15"/>
  <c r="P63" i="15"/>
  <c r="X63" i="15" s="1"/>
  <c r="N63" i="15"/>
  <c r="D63" i="15"/>
  <c r="L63" i="15" s="1"/>
  <c r="B63" i="15"/>
  <c r="Z62" i="15"/>
  <c r="P62" i="15"/>
  <c r="X62" i="15" s="1"/>
  <c r="N62" i="15"/>
  <c r="L62" i="15"/>
  <c r="D62" i="15"/>
  <c r="B62" i="15"/>
  <c r="Z61" i="15"/>
  <c r="X61" i="15"/>
  <c r="P61" i="15"/>
  <c r="N61" i="15"/>
  <c r="L61" i="15"/>
  <c r="D61" i="15"/>
  <c r="B61" i="15"/>
  <c r="Z60" i="15"/>
  <c r="X60" i="15"/>
  <c r="P60" i="15"/>
  <c r="N60" i="15"/>
  <c r="D60" i="15"/>
  <c r="L60" i="15" s="1"/>
  <c r="B60" i="15"/>
  <c r="Z59" i="15"/>
  <c r="P59" i="15"/>
  <c r="X59" i="15" s="1"/>
  <c r="N59" i="15"/>
  <c r="D59" i="15"/>
  <c r="L59" i="15" s="1"/>
  <c r="B59" i="15"/>
  <c r="Z58" i="15"/>
  <c r="X58" i="15"/>
  <c r="P58" i="15"/>
  <c r="N58" i="15"/>
  <c r="L58" i="15"/>
  <c r="D58" i="15"/>
  <c r="B58" i="15"/>
  <c r="Z57" i="15"/>
  <c r="P57" i="15"/>
  <c r="X57" i="15" s="1"/>
  <c r="N57" i="15"/>
  <c r="L57" i="15"/>
  <c r="D57" i="15"/>
  <c r="B57" i="15"/>
  <c r="Z56" i="15"/>
  <c r="P56" i="15"/>
  <c r="X56" i="15" s="1"/>
  <c r="N56" i="15"/>
  <c r="D56" i="15"/>
  <c r="L56" i="15" s="1"/>
  <c r="B56" i="15"/>
  <c r="Z55" i="15"/>
  <c r="P55" i="15"/>
  <c r="X55" i="15" s="1"/>
  <c r="N55" i="15"/>
  <c r="L55" i="15"/>
  <c r="D55" i="15"/>
  <c r="B55" i="15"/>
  <c r="Z54" i="15"/>
  <c r="P54" i="15"/>
  <c r="X54" i="15" s="1"/>
  <c r="N54" i="15"/>
  <c r="D54" i="15"/>
  <c r="L54" i="15" s="1"/>
  <c r="B54" i="15"/>
  <c r="Z53" i="15"/>
  <c r="X53" i="15"/>
  <c r="P53" i="15"/>
  <c r="N53" i="15"/>
  <c r="D53" i="15"/>
  <c r="L53" i="15" s="1"/>
  <c r="B53" i="15"/>
  <c r="Z52" i="15"/>
  <c r="X52" i="15"/>
  <c r="P52" i="15"/>
  <c r="N52" i="15"/>
  <c r="L52" i="15"/>
  <c r="D52" i="15"/>
  <c r="B52" i="15"/>
  <c r="Z51" i="15"/>
  <c r="P51" i="15"/>
  <c r="X51" i="15" s="1"/>
  <c r="N51" i="15"/>
  <c r="D51" i="15"/>
  <c r="L51" i="15" s="1"/>
  <c r="B51" i="15"/>
  <c r="Z50" i="15"/>
  <c r="P50" i="15"/>
  <c r="X50" i="15" s="1"/>
  <c r="N50" i="15"/>
  <c r="L50" i="15"/>
  <c r="D50" i="15"/>
  <c r="B50" i="15"/>
  <c r="Z49" i="15"/>
  <c r="X49" i="15"/>
  <c r="P49" i="15"/>
  <c r="N49" i="15"/>
  <c r="L49" i="15"/>
  <c r="D49" i="15"/>
  <c r="B49" i="15"/>
  <c r="Z48" i="15"/>
  <c r="X48" i="15"/>
  <c r="P48" i="15"/>
  <c r="N48" i="15"/>
  <c r="D48" i="15"/>
  <c r="L48" i="15" s="1"/>
  <c r="B48" i="15"/>
  <c r="P47" i="15"/>
  <c r="X47" i="15" s="1"/>
  <c r="Z47" i="15" s="1"/>
  <c r="D47" i="15"/>
  <c r="L47" i="15" s="1"/>
  <c r="N47" i="15" s="1"/>
  <c r="B47" i="15"/>
  <c r="Z46" i="15"/>
  <c r="X46" i="15"/>
  <c r="P46" i="15"/>
  <c r="N46" i="15"/>
  <c r="L46" i="15"/>
  <c r="D46" i="15"/>
  <c r="B46" i="15"/>
  <c r="Z45" i="15"/>
  <c r="P45" i="15"/>
  <c r="X45" i="15" s="1"/>
  <c r="N45" i="15"/>
  <c r="L45" i="15"/>
  <c r="D45" i="15"/>
  <c r="B45" i="15"/>
  <c r="Z44" i="15"/>
  <c r="P44" i="15"/>
  <c r="X44" i="15" s="1"/>
  <c r="N44" i="15"/>
  <c r="D44" i="15"/>
  <c r="L44" i="15" s="1"/>
  <c r="B44" i="15"/>
  <c r="Z43" i="15"/>
  <c r="X43" i="15"/>
  <c r="P43" i="15"/>
  <c r="N43" i="15"/>
  <c r="L43" i="15"/>
  <c r="D43" i="15"/>
  <c r="B43" i="15"/>
  <c r="Z42" i="15"/>
  <c r="P42" i="15"/>
  <c r="X42" i="15" s="1"/>
  <c r="N42" i="15"/>
  <c r="D42" i="15"/>
  <c r="L42" i="15" s="1"/>
  <c r="B42" i="15"/>
  <c r="Z41" i="15"/>
  <c r="X41" i="15"/>
  <c r="P41" i="15"/>
  <c r="N41" i="15"/>
  <c r="D41" i="15"/>
  <c r="L41" i="15" s="1"/>
  <c r="B41" i="15"/>
  <c r="Z40" i="15"/>
  <c r="X40" i="15"/>
  <c r="P40" i="15"/>
  <c r="N40" i="15"/>
  <c r="D40" i="15"/>
  <c r="L40" i="15" s="1"/>
  <c r="B40" i="15"/>
  <c r="Z39" i="15"/>
  <c r="P39" i="15"/>
  <c r="X39" i="15" s="1"/>
  <c r="N39" i="15"/>
  <c r="D39" i="15"/>
  <c r="L39" i="15" s="1"/>
  <c r="B39" i="15"/>
  <c r="Z38" i="15"/>
  <c r="P38" i="15"/>
  <c r="X38" i="15" s="1"/>
  <c r="N38" i="15"/>
  <c r="L38" i="15"/>
  <c r="D38" i="15"/>
  <c r="B38" i="15"/>
  <c r="Z37" i="15"/>
  <c r="X37" i="15"/>
  <c r="P37" i="15"/>
  <c r="N37" i="15"/>
  <c r="L37" i="15"/>
  <c r="D37" i="15"/>
  <c r="B37" i="15"/>
  <c r="Z36" i="15"/>
  <c r="X36" i="15"/>
  <c r="P36" i="15"/>
  <c r="N36" i="15"/>
  <c r="D36" i="15"/>
  <c r="L36" i="15" s="1"/>
  <c r="B36" i="15"/>
  <c r="Z35" i="15"/>
  <c r="P35" i="15"/>
  <c r="X35" i="15" s="1"/>
  <c r="N35" i="15"/>
  <c r="D35" i="15"/>
  <c r="L35" i="15" s="1"/>
  <c r="B35" i="15"/>
  <c r="Z34" i="15"/>
  <c r="X34" i="15"/>
  <c r="P34" i="15"/>
  <c r="N34" i="15"/>
  <c r="L34" i="15"/>
  <c r="D34" i="15"/>
  <c r="B34" i="15"/>
  <c r="Z33" i="15"/>
  <c r="P33" i="15"/>
  <c r="X33" i="15" s="1"/>
  <c r="N33" i="15"/>
  <c r="L33" i="15"/>
  <c r="D33" i="15"/>
  <c r="B33" i="15"/>
  <c r="Z32" i="15"/>
  <c r="P32" i="15"/>
  <c r="X32" i="15" s="1"/>
  <c r="N32" i="15"/>
  <c r="D32" i="15"/>
  <c r="L32" i="15" s="1"/>
  <c r="B32" i="15"/>
  <c r="Z31" i="15"/>
  <c r="X31" i="15"/>
  <c r="P31" i="15"/>
  <c r="N31" i="15"/>
  <c r="L31" i="15"/>
  <c r="D31" i="15"/>
  <c r="B31" i="15"/>
  <c r="Z30" i="15"/>
  <c r="P30" i="15"/>
  <c r="X30" i="15" s="1"/>
  <c r="N30" i="15"/>
  <c r="D30" i="15"/>
  <c r="L30" i="15" s="1"/>
  <c r="B30" i="15"/>
  <c r="Z29" i="15"/>
  <c r="X29" i="15"/>
  <c r="P29" i="15"/>
  <c r="N29" i="15"/>
  <c r="D29" i="15"/>
  <c r="L29" i="15" s="1"/>
  <c r="B29" i="15"/>
  <c r="Z28" i="15"/>
  <c r="X28" i="15"/>
  <c r="P28" i="15"/>
  <c r="N28" i="15"/>
  <c r="D28" i="15"/>
  <c r="L28" i="15" s="1"/>
  <c r="B28" i="15"/>
  <c r="Z27" i="15"/>
  <c r="P27" i="15"/>
  <c r="X27" i="15" s="1"/>
  <c r="N27" i="15"/>
  <c r="D27" i="15"/>
  <c r="L27" i="15" s="1"/>
  <c r="B27" i="15"/>
  <c r="Z26" i="15"/>
  <c r="P26" i="15"/>
  <c r="X26" i="15" s="1"/>
  <c r="N26" i="15"/>
  <c r="L26" i="15"/>
  <c r="D26" i="15"/>
  <c r="B26" i="15"/>
  <c r="Z25" i="15"/>
  <c r="X25" i="15"/>
  <c r="P25" i="15"/>
  <c r="N25" i="15"/>
  <c r="L25" i="15"/>
  <c r="D25" i="15"/>
  <c r="B25" i="15"/>
  <c r="Z24" i="15"/>
  <c r="X24" i="15"/>
  <c r="P24" i="15"/>
  <c r="N24" i="15"/>
  <c r="D24" i="15"/>
  <c r="L24" i="15" s="1"/>
  <c r="B24" i="15"/>
  <c r="Z23" i="15"/>
  <c r="P23" i="15"/>
  <c r="X23" i="15" s="1"/>
  <c r="N23" i="15"/>
  <c r="D23" i="15"/>
  <c r="L23" i="15" s="1"/>
  <c r="B23" i="15"/>
  <c r="Z22" i="15"/>
  <c r="X22" i="15"/>
  <c r="P22" i="15"/>
  <c r="N22" i="15"/>
  <c r="L22" i="15"/>
  <c r="D22" i="15"/>
  <c r="B22" i="15"/>
  <c r="Z21" i="15"/>
  <c r="P21" i="15"/>
  <c r="X21" i="15" s="1"/>
  <c r="N21" i="15"/>
  <c r="L21" i="15"/>
  <c r="D21" i="15"/>
  <c r="B21" i="15"/>
  <c r="Z20" i="15"/>
  <c r="P20" i="15"/>
  <c r="X20" i="15" s="1"/>
  <c r="N20" i="15"/>
  <c r="D20" i="15"/>
  <c r="L20" i="15" s="1"/>
  <c r="B20" i="15"/>
  <c r="Z19" i="15"/>
  <c r="X19" i="15"/>
  <c r="P19" i="15"/>
  <c r="N19" i="15"/>
  <c r="L19" i="15"/>
  <c r="D19" i="15"/>
  <c r="B19" i="15"/>
  <c r="Z18" i="15"/>
  <c r="P18" i="15"/>
  <c r="X18" i="15" s="1"/>
  <c r="N18" i="15"/>
  <c r="D18" i="15"/>
  <c r="L18" i="15" s="1"/>
  <c r="B18" i="15"/>
  <c r="Z17" i="15"/>
  <c r="X17" i="15"/>
  <c r="P17" i="15"/>
  <c r="N17" i="15"/>
  <c r="D17" i="15"/>
  <c r="L17" i="15" s="1"/>
  <c r="B17" i="15"/>
  <c r="Z16" i="15"/>
  <c r="X16" i="15"/>
  <c r="P16" i="15"/>
  <c r="N16" i="15"/>
  <c r="D16" i="15"/>
  <c r="L16" i="15" s="1"/>
  <c r="B16" i="15"/>
  <c r="Z15" i="15"/>
  <c r="P15" i="15"/>
  <c r="X15" i="15" s="1"/>
  <c r="N15" i="15"/>
  <c r="D15" i="15"/>
  <c r="L15" i="15" s="1"/>
  <c r="B15" i="15"/>
  <c r="Z14" i="15"/>
  <c r="P14" i="15"/>
  <c r="N14" i="15"/>
  <c r="L14" i="15"/>
  <c r="D14" i="15"/>
  <c r="B14" i="15"/>
  <c r="X13" i="15"/>
  <c r="Z13" i="15" s="1"/>
  <c r="P13" i="15"/>
  <c r="L13" i="15"/>
  <c r="N13" i="15" s="1"/>
  <c r="D13" i="15"/>
  <c r="B13" i="15"/>
  <c r="T12" i="15"/>
  <c r="V263" i="15" s="1"/>
  <c r="H12" i="15"/>
  <c r="J270" i="15" s="1"/>
  <c r="D4" i="15"/>
  <c r="X287" i="12"/>
  <c r="Z287" i="12" s="1"/>
  <c r="N287" i="12"/>
  <c r="L287" i="12"/>
  <c r="Z283" i="12"/>
  <c r="X283" i="12"/>
  <c r="P283" i="12"/>
  <c r="N283" i="12"/>
  <c r="L283" i="12"/>
  <c r="D283" i="12"/>
  <c r="B283" i="12"/>
  <c r="P282" i="12"/>
  <c r="X282" i="12" s="1"/>
  <c r="Z282" i="12" s="1"/>
  <c r="L282" i="12"/>
  <c r="N282" i="12" s="1"/>
  <c r="J282" i="12"/>
  <c r="D282" i="12"/>
  <c r="B282" i="12"/>
  <c r="Z281" i="12"/>
  <c r="P281" i="12"/>
  <c r="X281" i="12" s="1"/>
  <c r="N281" i="12"/>
  <c r="D281" i="12"/>
  <c r="L281" i="12" s="1"/>
  <c r="B281" i="12"/>
  <c r="Z280" i="12"/>
  <c r="P280" i="12"/>
  <c r="X280" i="12" s="1"/>
  <c r="N280" i="12"/>
  <c r="D280" i="12"/>
  <c r="L280" i="12" s="1"/>
  <c r="B280" i="12"/>
  <c r="Z279" i="12"/>
  <c r="X279" i="12"/>
  <c r="P279" i="12"/>
  <c r="D279" i="12"/>
  <c r="D274" i="12" s="1"/>
  <c r="L274" i="12" s="1"/>
  <c r="N274" i="12" s="1"/>
  <c r="B279" i="12"/>
  <c r="P278" i="12"/>
  <c r="X278" i="12" s="1"/>
  <c r="Z278" i="12" s="1"/>
  <c r="L278" i="12"/>
  <c r="N278" i="12" s="1"/>
  <c r="J278" i="12"/>
  <c r="D278" i="12"/>
  <c r="B278" i="12"/>
  <c r="Z277" i="12"/>
  <c r="X277" i="12"/>
  <c r="P277" i="12"/>
  <c r="P274" i="12" s="1"/>
  <c r="N277" i="12"/>
  <c r="L277" i="12"/>
  <c r="D277" i="12"/>
  <c r="B277" i="12"/>
  <c r="Z276" i="12"/>
  <c r="X276" i="12"/>
  <c r="P276" i="12"/>
  <c r="N276" i="12"/>
  <c r="D276" i="12"/>
  <c r="L276" i="12" s="1"/>
  <c r="B276" i="12"/>
  <c r="Z275" i="12"/>
  <c r="X275" i="12"/>
  <c r="P275" i="12"/>
  <c r="N275" i="12"/>
  <c r="D275" i="12"/>
  <c r="L275" i="12" s="1"/>
  <c r="B275" i="12"/>
  <c r="T274" i="12"/>
  <c r="H274" i="12"/>
  <c r="X272" i="12"/>
  <c r="Z272" i="12" s="1"/>
  <c r="N272" i="12"/>
  <c r="L272" i="12"/>
  <c r="B272" i="12"/>
  <c r="T271" i="12"/>
  <c r="P271" i="12"/>
  <c r="X271" i="12" s="1"/>
  <c r="N271" i="12"/>
  <c r="H271" i="12"/>
  <c r="D271" i="12"/>
  <c r="L271" i="12" s="1"/>
  <c r="B271" i="12"/>
  <c r="X270" i="12"/>
  <c r="Z270" i="12" s="1"/>
  <c r="N270" i="12"/>
  <c r="L270" i="12"/>
  <c r="B270" i="12"/>
  <c r="X269" i="12"/>
  <c r="Z269" i="12" s="1"/>
  <c r="N269" i="12"/>
  <c r="L269" i="12"/>
  <c r="B269" i="12"/>
  <c r="Z268" i="12"/>
  <c r="X268" i="12"/>
  <c r="N268" i="12"/>
  <c r="L268" i="12"/>
  <c r="B268" i="12"/>
  <c r="X267" i="12"/>
  <c r="V267" i="12"/>
  <c r="T267" i="12"/>
  <c r="P267" i="12"/>
  <c r="L267" i="12"/>
  <c r="H267" i="12"/>
  <c r="N267" i="12" s="1"/>
  <c r="D267" i="12"/>
  <c r="B267" i="12"/>
  <c r="Z266" i="12"/>
  <c r="X266" i="12"/>
  <c r="L266" i="12"/>
  <c r="N266" i="12" s="1"/>
  <c r="B266" i="12"/>
  <c r="T265" i="12"/>
  <c r="P265" i="12"/>
  <c r="X265" i="12" s="1"/>
  <c r="Z265" i="12" s="1"/>
  <c r="H265" i="12"/>
  <c r="N265" i="12" s="1"/>
  <c r="D265" i="12"/>
  <c r="L265" i="12" s="1"/>
  <c r="B265" i="12"/>
  <c r="Z264" i="12"/>
  <c r="X264" i="12"/>
  <c r="N264" i="12"/>
  <c r="L264" i="12"/>
  <c r="B264" i="12"/>
  <c r="X263" i="12"/>
  <c r="Z263" i="12" s="1"/>
  <c r="V263" i="12"/>
  <c r="L263" i="12"/>
  <c r="N263" i="12" s="1"/>
  <c r="B263" i="12"/>
  <c r="T262" i="12"/>
  <c r="P262" i="12"/>
  <c r="X262" i="12" s="1"/>
  <c r="Z262" i="12" s="1"/>
  <c r="H262" i="12"/>
  <c r="D262" i="12"/>
  <c r="L262" i="12" s="1"/>
  <c r="B262" i="12"/>
  <c r="X261" i="12"/>
  <c r="Z261" i="12" s="1"/>
  <c r="N261" i="12"/>
  <c r="L261" i="12"/>
  <c r="B261" i="12"/>
  <c r="Z260" i="12"/>
  <c r="X260" i="12"/>
  <c r="N260" i="12"/>
  <c r="L260" i="12"/>
  <c r="B260" i="12"/>
  <c r="X259" i="12"/>
  <c r="Z259" i="12" s="1"/>
  <c r="N259" i="12"/>
  <c r="L259" i="12"/>
  <c r="B259" i="12"/>
  <c r="X258" i="12"/>
  <c r="Z258" i="12" s="1"/>
  <c r="N258" i="12"/>
  <c r="L258" i="12"/>
  <c r="B258" i="12"/>
  <c r="X257" i="12"/>
  <c r="Z257" i="12" s="1"/>
  <c r="N257" i="12"/>
  <c r="L257" i="12"/>
  <c r="B257" i="12"/>
  <c r="Z256" i="12"/>
  <c r="X256" i="12"/>
  <c r="N256" i="12"/>
  <c r="L256" i="12"/>
  <c r="B256" i="12"/>
  <c r="Z255" i="12"/>
  <c r="X255" i="12"/>
  <c r="N255" i="12"/>
  <c r="L255" i="12"/>
  <c r="B255" i="12"/>
  <c r="X254" i="12"/>
  <c r="Z254" i="12" s="1"/>
  <c r="L254" i="12"/>
  <c r="N254" i="12" s="1"/>
  <c r="B254" i="12"/>
  <c r="X253" i="12"/>
  <c r="Z253" i="12" s="1"/>
  <c r="N253" i="12"/>
  <c r="L253" i="12"/>
  <c r="B253" i="12"/>
  <c r="Z252" i="12"/>
  <c r="X252" i="12"/>
  <c r="T252" i="12"/>
  <c r="P252" i="12"/>
  <c r="L252" i="12"/>
  <c r="N252" i="12" s="1"/>
  <c r="H252" i="12"/>
  <c r="D252" i="12"/>
  <c r="B252" i="12"/>
  <c r="X251" i="12"/>
  <c r="Z251" i="12" s="1"/>
  <c r="L251" i="12"/>
  <c r="N251" i="12" s="1"/>
  <c r="B251" i="12"/>
  <c r="Z250" i="12"/>
  <c r="X250" i="12"/>
  <c r="N250" i="12"/>
  <c r="L250" i="12"/>
  <c r="B250" i="12"/>
  <c r="Z249" i="12"/>
  <c r="T249" i="12"/>
  <c r="P249" i="12"/>
  <c r="X249" i="12" s="1"/>
  <c r="H249" i="12"/>
  <c r="D249" i="12"/>
  <c r="L249" i="12" s="1"/>
  <c r="B249" i="12"/>
  <c r="Z248" i="12"/>
  <c r="X248" i="12"/>
  <c r="N248" i="12"/>
  <c r="L248" i="12"/>
  <c r="B248" i="12"/>
  <c r="X247" i="12"/>
  <c r="Z247" i="12" s="1"/>
  <c r="L247" i="12"/>
  <c r="N247" i="12" s="1"/>
  <c r="B247" i="12"/>
  <c r="Z246" i="12"/>
  <c r="X246" i="12"/>
  <c r="L246" i="12"/>
  <c r="N246" i="12" s="1"/>
  <c r="B246" i="12"/>
  <c r="Z245" i="12"/>
  <c r="X245" i="12"/>
  <c r="L245" i="12"/>
  <c r="N245" i="12" s="1"/>
  <c r="B245" i="12"/>
  <c r="Z244" i="12"/>
  <c r="X244" i="12"/>
  <c r="N244" i="12"/>
  <c r="L244" i="12"/>
  <c r="B244" i="12"/>
  <c r="Z243" i="12"/>
  <c r="X243" i="12"/>
  <c r="N243" i="12"/>
  <c r="L243" i="12"/>
  <c r="B243" i="12"/>
  <c r="T242" i="12"/>
  <c r="P242" i="12"/>
  <c r="X242" i="12" s="1"/>
  <c r="J242" i="12"/>
  <c r="H242" i="12"/>
  <c r="D242" i="12"/>
  <c r="B242" i="12"/>
  <c r="X241" i="12"/>
  <c r="Z241" i="12" s="1"/>
  <c r="N241" i="12"/>
  <c r="L241" i="12"/>
  <c r="B241" i="12"/>
  <c r="Z240" i="12"/>
  <c r="X240" i="12"/>
  <c r="N240" i="12"/>
  <c r="L240" i="12"/>
  <c r="B240" i="12"/>
  <c r="X239" i="12"/>
  <c r="Z239" i="12" s="1"/>
  <c r="V239" i="12"/>
  <c r="N239" i="12"/>
  <c r="L239" i="12"/>
  <c r="B239" i="12"/>
  <c r="X238" i="12"/>
  <c r="Z238" i="12" s="1"/>
  <c r="L238" i="12"/>
  <c r="N238" i="12" s="1"/>
  <c r="B238" i="12"/>
  <c r="X237" i="12"/>
  <c r="T237" i="12"/>
  <c r="Z237" i="12" s="1"/>
  <c r="P237" i="12"/>
  <c r="L237" i="12"/>
  <c r="H237" i="12"/>
  <c r="D237" i="12"/>
  <c r="B237" i="12"/>
  <c r="Z236" i="12"/>
  <c r="X236" i="12"/>
  <c r="N236" i="12"/>
  <c r="L236" i="12"/>
  <c r="B236" i="12"/>
  <c r="Z235" i="12"/>
  <c r="X235" i="12"/>
  <c r="L235" i="12"/>
  <c r="N235" i="12" s="1"/>
  <c r="B235" i="12"/>
  <c r="X234" i="12"/>
  <c r="Z234" i="12" s="1"/>
  <c r="N234" i="12"/>
  <c r="L234" i="12"/>
  <c r="B234" i="12"/>
  <c r="Z233" i="12"/>
  <c r="X233" i="12"/>
  <c r="N233" i="12"/>
  <c r="L233" i="12"/>
  <c r="B233" i="12"/>
  <c r="T232" i="12"/>
  <c r="P232" i="12"/>
  <c r="L232" i="12"/>
  <c r="N232" i="12" s="1"/>
  <c r="H232" i="12"/>
  <c r="D232" i="12"/>
  <c r="B232" i="12"/>
  <c r="X231" i="12"/>
  <c r="Z231" i="12" s="1"/>
  <c r="L231" i="12"/>
  <c r="N231" i="12" s="1"/>
  <c r="B231" i="12"/>
  <c r="T230" i="12"/>
  <c r="P230" i="12"/>
  <c r="X230" i="12" s="1"/>
  <c r="Z230" i="12" s="1"/>
  <c r="H230" i="12"/>
  <c r="D230" i="12"/>
  <c r="B230" i="12"/>
  <c r="Z229" i="12"/>
  <c r="X229" i="12"/>
  <c r="N229" i="12"/>
  <c r="L229" i="12"/>
  <c r="B229" i="12"/>
  <c r="Z228" i="12"/>
  <c r="X228" i="12"/>
  <c r="T228" i="12"/>
  <c r="P228" i="12"/>
  <c r="N228" i="12"/>
  <c r="H228" i="12"/>
  <c r="D228" i="12"/>
  <c r="L228" i="12" s="1"/>
  <c r="B228" i="12"/>
  <c r="Z227" i="12"/>
  <c r="X227" i="12"/>
  <c r="L227" i="12"/>
  <c r="N227" i="12" s="1"/>
  <c r="B227" i="12"/>
  <c r="Z226" i="12"/>
  <c r="X226" i="12"/>
  <c r="T226" i="12"/>
  <c r="P226" i="12"/>
  <c r="H226" i="12"/>
  <c r="D226" i="12"/>
  <c r="B226" i="12"/>
  <c r="Z225" i="12"/>
  <c r="X225" i="12"/>
  <c r="L225" i="12"/>
  <c r="N225" i="12" s="1"/>
  <c r="B225" i="12"/>
  <c r="T224" i="12"/>
  <c r="P224" i="12"/>
  <c r="H224" i="12"/>
  <c r="D224" i="12"/>
  <c r="L224" i="12" s="1"/>
  <c r="B224" i="12"/>
  <c r="X223" i="12"/>
  <c r="Z223" i="12" s="1"/>
  <c r="N223" i="12"/>
  <c r="L223" i="12"/>
  <c r="B223" i="12"/>
  <c r="X222" i="12"/>
  <c r="Z222" i="12" s="1"/>
  <c r="T222" i="12"/>
  <c r="P222" i="12"/>
  <c r="N222" i="12"/>
  <c r="L222" i="12"/>
  <c r="H222" i="12"/>
  <c r="D222" i="12"/>
  <c r="B222" i="12"/>
  <c r="Z221" i="12"/>
  <c r="X221" i="12"/>
  <c r="N221" i="12"/>
  <c r="L221" i="12"/>
  <c r="B221" i="12"/>
  <c r="T220" i="12"/>
  <c r="P220" i="12"/>
  <c r="L220" i="12"/>
  <c r="N220" i="12" s="1"/>
  <c r="H220" i="12"/>
  <c r="D220" i="12"/>
  <c r="B220" i="12"/>
  <c r="X219" i="12"/>
  <c r="Z219" i="12" s="1"/>
  <c r="L219" i="12"/>
  <c r="N219" i="12" s="1"/>
  <c r="B219" i="12"/>
  <c r="T218" i="12"/>
  <c r="Z218" i="12" s="1"/>
  <c r="P218" i="12"/>
  <c r="X218" i="12" s="1"/>
  <c r="J218" i="12"/>
  <c r="H218" i="12"/>
  <c r="D218" i="12"/>
  <c r="B218" i="12"/>
  <c r="X217" i="12"/>
  <c r="Z217" i="12" s="1"/>
  <c r="N217" i="12"/>
  <c r="L217" i="12"/>
  <c r="B217" i="12"/>
  <c r="Z216" i="12"/>
  <c r="X216" i="12"/>
  <c r="N216" i="12"/>
  <c r="L216" i="12"/>
  <c r="B216" i="12"/>
  <c r="X215" i="12"/>
  <c r="T215" i="12"/>
  <c r="Z215" i="12" s="1"/>
  <c r="P215" i="12"/>
  <c r="L215" i="12"/>
  <c r="H215" i="12"/>
  <c r="N215" i="12" s="1"/>
  <c r="D215" i="12"/>
  <c r="B215" i="12"/>
  <c r="X214" i="12"/>
  <c r="Z214" i="12" s="1"/>
  <c r="L214" i="12"/>
  <c r="N214" i="12" s="1"/>
  <c r="B214" i="12"/>
  <c r="T213" i="12"/>
  <c r="P213" i="12"/>
  <c r="H213" i="12"/>
  <c r="D213" i="12"/>
  <c r="L213" i="12" s="1"/>
  <c r="B213" i="12"/>
  <c r="Z212" i="12"/>
  <c r="X212" i="12"/>
  <c r="V212" i="12"/>
  <c r="N212" i="12"/>
  <c r="L212" i="12"/>
  <c r="B212" i="12"/>
  <c r="T211" i="12"/>
  <c r="P211" i="12"/>
  <c r="X211" i="12" s="1"/>
  <c r="Z211" i="12" s="1"/>
  <c r="N211" i="12"/>
  <c r="H211" i="12"/>
  <c r="D211" i="12"/>
  <c r="L211" i="12" s="1"/>
  <c r="B211" i="12"/>
  <c r="Z210" i="12"/>
  <c r="X210" i="12"/>
  <c r="N210" i="12"/>
  <c r="L210" i="12"/>
  <c r="B210" i="12"/>
  <c r="X209" i="12"/>
  <c r="Z209" i="12" s="1"/>
  <c r="N209" i="12"/>
  <c r="L209" i="12"/>
  <c r="B209" i="12"/>
  <c r="Z208" i="12"/>
  <c r="X208" i="12"/>
  <c r="T208" i="12"/>
  <c r="P208" i="12"/>
  <c r="H208" i="12"/>
  <c r="D208" i="12"/>
  <c r="L208" i="12" s="1"/>
  <c r="N208" i="12" s="1"/>
  <c r="B208" i="12"/>
  <c r="Z207" i="12"/>
  <c r="X207" i="12"/>
  <c r="N207" i="12"/>
  <c r="L207" i="12"/>
  <c r="J207" i="12"/>
  <c r="B207" i="12"/>
  <c r="Z206" i="12"/>
  <c r="X206" i="12"/>
  <c r="N206" i="12"/>
  <c r="L206" i="12"/>
  <c r="B206" i="12"/>
  <c r="T205" i="12"/>
  <c r="P205" i="12"/>
  <c r="H205" i="12"/>
  <c r="D205" i="12"/>
  <c r="L205" i="12" s="1"/>
  <c r="B205" i="12"/>
  <c r="X204" i="12"/>
  <c r="Z204" i="12" s="1"/>
  <c r="N204" i="12"/>
  <c r="L204" i="12"/>
  <c r="B204" i="12"/>
  <c r="X203" i="12"/>
  <c r="Z203" i="12" s="1"/>
  <c r="V203" i="12"/>
  <c r="L203" i="12"/>
  <c r="N203" i="12" s="1"/>
  <c r="B203" i="12"/>
  <c r="Z202" i="12"/>
  <c r="X202" i="12"/>
  <c r="L202" i="12"/>
  <c r="N202" i="12" s="1"/>
  <c r="B202" i="12"/>
  <c r="Z201" i="12"/>
  <c r="X201" i="12"/>
  <c r="L201" i="12"/>
  <c r="N201" i="12" s="1"/>
  <c r="B201" i="12"/>
  <c r="V200" i="12"/>
  <c r="T200" i="12"/>
  <c r="P200" i="12"/>
  <c r="H200" i="12"/>
  <c r="D200" i="12"/>
  <c r="L200" i="12" s="1"/>
  <c r="B200" i="12"/>
  <c r="X199" i="12"/>
  <c r="Z199" i="12" s="1"/>
  <c r="N199" i="12"/>
  <c r="L199" i="12"/>
  <c r="B199" i="12"/>
  <c r="X198" i="12"/>
  <c r="Z198" i="12" s="1"/>
  <c r="T198" i="12"/>
  <c r="P198" i="12"/>
  <c r="N198" i="12"/>
  <c r="L198" i="12"/>
  <c r="H198" i="12"/>
  <c r="D198" i="12"/>
  <c r="B198" i="12"/>
  <c r="Z197" i="12"/>
  <c r="X197" i="12"/>
  <c r="N197" i="12"/>
  <c r="L197" i="12"/>
  <c r="B197" i="12"/>
  <c r="Z196" i="12"/>
  <c r="X196" i="12"/>
  <c r="L196" i="12"/>
  <c r="N196" i="12" s="1"/>
  <c r="B196" i="12"/>
  <c r="T195" i="12"/>
  <c r="P195" i="12"/>
  <c r="X195" i="12" s="1"/>
  <c r="H195" i="12"/>
  <c r="D195" i="12"/>
  <c r="B195" i="12"/>
  <c r="X194" i="12"/>
  <c r="Z194" i="12" s="1"/>
  <c r="L194" i="12"/>
  <c r="N194" i="12" s="1"/>
  <c r="B194" i="12"/>
  <c r="Z193" i="12"/>
  <c r="T193" i="12"/>
  <c r="P193" i="12"/>
  <c r="X193" i="12" s="1"/>
  <c r="H193" i="12"/>
  <c r="D193" i="12"/>
  <c r="L193" i="12" s="1"/>
  <c r="N193" i="12" s="1"/>
  <c r="B193" i="12"/>
  <c r="Z192" i="12"/>
  <c r="X192" i="12"/>
  <c r="N192" i="12"/>
  <c r="L192" i="12"/>
  <c r="B192" i="12"/>
  <c r="Z191" i="12"/>
  <c r="X191" i="12"/>
  <c r="N191" i="12"/>
  <c r="L191" i="12"/>
  <c r="B191" i="12"/>
  <c r="X190" i="12"/>
  <c r="Z190" i="12" s="1"/>
  <c r="L190" i="12"/>
  <c r="N190" i="12" s="1"/>
  <c r="B190" i="12"/>
  <c r="X189" i="12"/>
  <c r="Z189" i="12" s="1"/>
  <c r="N189" i="12"/>
  <c r="L189" i="12"/>
  <c r="B189" i="12"/>
  <c r="Z188" i="12"/>
  <c r="X188" i="12"/>
  <c r="N188" i="12"/>
  <c r="L188" i="12"/>
  <c r="B188" i="12"/>
  <c r="X187" i="12"/>
  <c r="Z187" i="12" s="1"/>
  <c r="N187" i="12"/>
  <c r="L187" i="12"/>
  <c r="B187" i="12"/>
  <c r="X186" i="12"/>
  <c r="Z186" i="12" s="1"/>
  <c r="L186" i="12"/>
  <c r="N186" i="12" s="1"/>
  <c r="B186" i="12"/>
  <c r="Z185" i="12"/>
  <c r="X185" i="12"/>
  <c r="N185" i="12"/>
  <c r="L185" i="12"/>
  <c r="B185" i="12"/>
  <c r="Z184" i="12"/>
  <c r="X184" i="12"/>
  <c r="N184" i="12"/>
  <c r="L184" i="12"/>
  <c r="B184" i="12"/>
  <c r="X183" i="12"/>
  <c r="Z183" i="12" s="1"/>
  <c r="V183" i="12"/>
  <c r="N183" i="12"/>
  <c r="L183" i="12"/>
  <c r="B183" i="12"/>
  <c r="T182" i="12"/>
  <c r="P182" i="12"/>
  <c r="X182" i="12" s="1"/>
  <c r="Z182" i="12" s="1"/>
  <c r="H182" i="12"/>
  <c r="D182" i="12"/>
  <c r="L182" i="12" s="1"/>
  <c r="N182" i="12" s="1"/>
  <c r="B182" i="12"/>
  <c r="Z181" i="12"/>
  <c r="X181" i="12"/>
  <c r="N181" i="12"/>
  <c r="L181" i="12"/>
  <c r="B181" i="12"/>
  <c r="Z180" i="12"/>
  <c r="X180" i="12"/>
  <c r="N180" i="12"/>
  <c r="L180" i="12"/>
  <c r="B180" i="12"/>
  <c r="Z179" i="12"/>
  <c r="X179" i="12"/>
  <c r="N179" i="12"/>
  <c r="L179" i="12"/>
  <c r="B179" i="12"/>
  <c r="Z178" i="12"/>
  <c r="X178" i="12"/>
  <c r="N178" i="12"/>
  <c r="L178" i="12"/>
  <c r="B178" i="12"/>
  <c r="Z177" i="12"/>
  <c r="X177" i="12"/>
  <c r="N177" i="12"/>
  <c r="L177" i="12"/>
  <c r="B177" i="12"/>
  <c r="Z176" i="12"/>
  <c r="X176" i="12"/>
  <c r="N176" i="12"/>
  <c r="L176" i="12"/>
  <c r="B176" i="12"/>
  <c r="Z175" i="12"/>
  <c r="X175" i="12"/>
  <c r="N175" i="12"/>
  <c r="L175" i="12"/>
  <c r="B175" i="12"/>
  <c r="X174" i="12"/>
  <c r="Z174" i="12" s="1"/>
  <c r="L174" i="12"/>
  <c r="N174" i="12" s="1"/>
  <c r="B174" i="12"/>
  <c r="Z173" i="12"/>
  <c r="X173" i="12"/>
  <c r="N173" i="12"/>
  <c r="L173" i="12"/>
  <c r="B173" i="12"/>
  <c r="Z172" i="12"/>
  <c r="X172" i="12"/>
  <c r="N172" i="12"/>
  <c r="L172" i="12"/>
  <c r="B172" i="12"/>
  <c r="T171" i="12"/>
  <c r="Z171" i="12" s="1"/>
  <c r="P171" i="12"/>
  <c r="X171" i="12" s="1"/>
  <c r="H171" i="12"/>
  <c r="D171" i="12"/>
  <c r="B171" i="12"/>
  <c r="T170" i="12"/>
  <c r="V170" i="12" s="1"/>
  <c r="P170" i="12"/>
  <c r="X170" i="12" s="1"/>
  <c r="H170" i="12"/>
  <c r="D170" i="12"/>
  <c r="Z166" i="12"/>
  <c r="X166" i="12"/>
  <c r="N166" i="12"/>
  <c r="L166" i="12"/>
  <c r="B166" i="12"/>
  <c r="Z165" i="12"/>
  <c r="X165" i="12"/>
  <c r="N165" i="12"/>
  <c r="L165" i="12"/>
  <c r="J165" i="12"/>
  <c r="B165" i="12"/>
  <c r="Z164" i="12"/>
  <c r="X164" i="12"/>
  <c r="V164" i="12"/>
  <c r="N164" i="12"/>
  <c r="L164" i="12"/>
  <c r="B164" i="12"/>
  <c r="Z163" i="12"/>
  <c r="X163" i="12"/>
  <c r="N163" i="12"/>
  <c r="L163" i="12"/>
  <c r="B163" i="12"/>
  <c r="Z162" i="12"/>
  <c r="X162" i="12"/>
  <c r="N162" i="12"/>
  <c r="L162" i="12"/>
  <c r="B162" i="12"/>
  <c r="Z161" i="12"/>
  <c r="X161" i="12"/>
  <c r="N161" i="12"/>
  <c r="L161" i="12"/>
  <c r="J161" i="12"/>
  <c r="B161" i="12"/>
  <c r="Z160" i="12"/>
  <c r="X160" i="12"/>
  <c r="N160" i="12"/>
  <c r="L160" i="12"/>
  <c r="B160" i="12"/>
  <c r="Z159" i="12"/>
  <c r="X159" i="12"/>
  <c r="V159" i="12"/>
  <c r="N159" i="12"/>
  <c r="L159" i="12"/>
  <c r="B159" i="12"/>
  <c r="Z158" i="12"/>
  <c r="X158" i="12"/>
  <c r="N158" i="12"/>
  <c r="L158" i="12"/>
  <c r="B158" i="12"/>
  <c r="Z157" i="12"/>
  <c r="X157" i="12"/>
  <c r="N157" i="12"/>
  <c r="L157" i="12"/>
  <c r="B157" i="12"/>
  <c r="Z156" i="12"/>
  <c r="X156" i="12"/>
  <c r="N156" i="12"/>
  <c r="L156" i="12"/>
  <c r="B156" i="12"/>
  <c r="Z155" i="12"/>
  <c r="X155" i="12"/>
  <c r="N155" i="12"/>
  <c r="L155" i="12"/>
  <c r="B155" i="12"/>
  <c r="Z154" i="12"/>
  <c r="X154" i="12"/>
  <c r="V154" i="12"/>
  <c r="N154" i="12"/>
  <c r="L154" i="12"/>
  <c r="B154" i="12"/>
  <c r="Z153" i="12"/>
  <c r="X153" i="12"/>
  <c r="N153" i="12"/>
  <c r="L153" i="12"/>
  <c r="B153" i="12"/>
  <c r="Z152" i="12"/>
  <c r="X152" i="12"/>
  <c r="N152" i="12"/>
  <c r="L152" i="12"/>
  <c r="B152" i="12"/>
  <c r="Z151" i="12"/>
  <c r="X151" i="12"/>
  <c r="N151" i="12"/>
  <c r="L151" i="12"/>
  <c r="B151" i="12"/>
  <c r="Z150" i="12"/>
  <c r="X150" i="12"/>
  <c r="N150" i="12"/>
  <c r="L150" i="12"/>
  <c r="B150" i="12"/>
  <c r="Z149" i="12"/>
  <c r="X149" i="12"/>
  <c r="N149" i="12"/>
  <c r="L149" i="12"/>
  <c r="B149" i="12"/>
  <c r="Z148" i="12"/>
  <c r="X148" i="12"/>
  <c r="N148" i="12"/>
  <c r="L148" i="12"/>
  <c r="B148" i="12"/>
  <c r="Z147" i="12"/>
  <c r="X147" i="12"/>
  <c r="N147" i="12"/>
  <c r="L147" i="12"/>
  <c r="B147" i="12"/>
  <c r="Z146" i="12"/>
  <c r="X146" i="12"/>
  <c r="V146" i="12"/>
  <c r="N146" i="12"/>
  <c r="L146" i="12"/>
  <c r="B146" i="12"/>
  <c r="Z145" i="12"/>
  <c r="X145" i="12"/>
  <c r="N145" i="12"/>
  <c r="L145" i="12"/>
  <c r="B145" i="12"/>
  <c r="Z144" i="12"/>
  <c r="X144" i="12"/>
  <c r="N144" i="12"/>
  <c r="L144" i="12"/>
  <c r="B144" i="12"/>
  <c r="Z143" i="12"/>
  <c r="X143" i="12"/>
  <c r="N143" i="12"/>
  <c r="L143" i="12"/>
  <c r="B143" i="12"/>
  <c r="Z142" i="12"/>
  <c r="X142" i="12"/>
  <c r="N142" i="12"/>
  <c r="L142" i="12"/>
  <c r="B142" i="12"/>
  <c r="Z141" i="12"/>
  <c r="X141" i="12"/>
  <c r="N141" i="12"/>
  <c r="L141" i="12"/>
  <c r="B141" i="12"/>
  <c r="Z140" i="12"/>
  <c r="X140" i="12"/>
  <c r="N140" i="12"/>
  <c r="L140" i="12"/>
  <c r="B140" i="12"/>
  <c r="Z139" i="12"/>
  <c r="X139" i="12"/>
  <c r="N139" i="12"/>
  <c r="L139" i="12"/>
  <c r="J139" i="12"/>
  <c r="B139" i="12"/>
  <c r="Z138" i="12"/>
  <c r="X138" i="12"/>
  <c r="N138" i="12"/>
  <c r="L138" i="12"/>
  <c r="B138" i="12"/>
  <c r="Z137" i="12"/>
  <c r="X137" i="12"/>
  <c r="V137" i="12"/>
  <c r="N137" i="12"/>
  <c r="L137" i="12"/>
  <c r="J137" i="12"/>
  <c r="B137" i="12"/>
  <c r="Z136" i="12"/>
  <c r="X136" i="12"/>
  <c r="N136" i="12"/>
  <c r="L136" i="12"/>
  <c r="B136" i="12"/>
  <c r="Z135" i="12"/>
  <c r="X135" i="12"/>
  <c r="V135" i="12"/>
  <c r="N135" i="12"/>
  <c r="L135" i="12"/>
  <c r="B135" i="12"/>
  <c r="Z134" i="12"/>
  <c r="X134" i="12"/>
  <c r="V134" i="12"/>
  <c r="N134" i="12"/>
  <c r="L134" i="12"/>
  <c r="B134" i="12"/>
  <c r="Z133" i="12"/>
  <c r="X133" i="12"/>
  <c r="N133" i="12"/>
  <c r="L133" i="12"/>
  <c r="B133" i="12"/>
  <c r="Z132" i="12"/>
  <c r="X132" i="12"/>
  <c r="V132" i="12"/>
  <c r="N132" i="12"/>
  <c r="L132" i="12"/>
  <c r="B132" i="12"/>
  <c r="Z131" i="12"/>
  <c r="X131" i="12"/>
  <c r="N131" i="12"/>
  <c r="L131" i="12"/>
  <c r="J131" i="12"/>
  <c r="B131" i="12"/>
  <c r="Z130" i="12"/>
  <c r="X130" i="12"/>
  <c r="N130" i="12"/>
  <c r="L130" i="12"/>
  <c r="B130" i="12"/>
  <c r="Z129" i="12"/>
  <c r="X129" i="12"/>
  <c r="N129" i="12"/>
  <c r="L129" i="12"/>
  <c r="B129" i="12"/>
  <c r="Z128" i="12"/>
  <c r="X128" i="12"/>
  <c r="N128" i="12"/>
  <c r="L128" i="12"/>
  <c r="B128" i="12"/>
  <c r="Z127" i="12"/>
  <c r="X127" i="12"/>
  <c r="N127" i="12"/>
  <c r="L127" i="12"/>
  <c r="J127" i="12"/>
  <c r="B127" i="12"/>
  <c r="Z126" i="12"/>
  <c r="X126" i="12"/>
  <c r="N126" i="12"/>
  <c r="L126" i="12"/>
  <c r="J126" i="12"/>
  <c r="B126" i="12"/>
  <c r="Z125" i="12"/>
  <c r="X125" i="12"/>
  <c r="N125" i="12"/>
  <c r="L125" i="12"/>
  <c r="B125" i="12"/>
  <c r="Z124" i="12"/>
  <c r="X124" i="12"/>
  <c r="N124" i="12"/>
  <c r="L124" i="12"/>
  <c r="B124" i="12"/>
  <c r="Z123" i="12"/>
  <c r="X123" i="12"/>
  <c r="N123" i="12"/>
  <c r="L123" i="12"/>
  <c r="J123" i="12"/>
  <c r="B123" i="12"/>
  <c r="Z122" i="12"/>
  <c r="X122" i="12"/>
  <c r="N122" i="12"/>
  <c r="L122" i="12"/>
  <c r="J122" i="12"/>
  <c r="B122" i="12"/>
  <c r="Z121" i="12"/>
  <c r="X121" i="12"/>
  <c r="N121" i="12"/>
  <c r="L121" i="12"/>
  <c r="B121" i="12"/>
  <c r="Z120" i="12"/>
  <c r="X120" i="12"/>
  <c r="N120" i="12"/>
  <c r="L120" i="12"/>
  <c r="B120" i="12"/>
  <c r="Z119" i="12"/>
  <c r="X119" i="12"/>
  <c r="N119" i="12"/>
  <c r="L119" i="12"/>
  <c r="J119" i="12"/>
  <c r="B119" i="12"/>
  <c r="Z118" i="12"/>
  <c r="X118" i="12"/>
  <c r="N118" i="12"/>
  <c r="L118" i="12"/>
  <c r="J118" i="12"/>
  <c r="B118" i="12"/>
  <c r="Z117" i="12"/>
  <c r="X117" i="12"/>
  <c r="N117" i="12"/>
  <c r="L117" i="12"/>
  <c r="B117" i="12"/>
  <c r="Z116" i="12"/>
  <c r="X116" i="12"/>
  <c r="N116" i="12"/>
  <c r="L116" i="12"/>
  <c r="B116" i="12"/>
  <c r="Z115" i="12"/>
  <c r="X115" i="12"/>
  <c r="N115" i="12"/>
  <c r="L115" i="12"/>
  <c r="J115" i="12"/>
  <c r="B115" i="12"/>
  <c r="X114" i="12"/>
  <c r="Z114" i="12" s="1"/>
  <c r="L114" i="12"/>
  <c r="N114" i="12" s="1"/>
  <c r="J114" i="12"/>
  <c r="B114" i="12"/>
  <c r="X113" i="12"/>
  <c r="Z113" i="12" s="1"/>
  <c r="T113" i="12"/>
  <c r="P113" i="12"/>
  <c r="H113" i="12"/>
  <c r="D113" i="12"/>
  <c r="Z111" i="12"/>
  <c r="X111" i="12"/>
  <c r="P111" i="12"/>
  <c r="N111" i="12"/>
  <c r="D111" i="12"/>
  <c r="L111" i="12" s="1"/>
  <c r="B111" i="12"/>
  <c r="Z110" i="12"/>
  <c r="P110" i="12"/>
  <c r="X110" i="12" s="1"/>
  <c r="N110" i="12"/>
  <c r="D110" i="12"/>
  <c r="L110" i="12" s="1"/>
  <c r="B110" i="12"/>
  <c r="Z109" i="12"/>
  <c r="P109" i="12"/>
  <c r="X109" i="12" s="1"/>
  <c r="N109" i="12"/>
  <c r="D109" i="12"/>
  <c r="L109" i="12" s="1"/>
  <c r="B109" i="12"/>
  <c r="Z108" i="12"/>
  <c r="P108" i="12"/>
  <c r="X108" i="12" s="1"/>
  <c r="N108" i="12"/>
  <c r="L108" i="12"/>
  <c r="D108" i="12"/>
  <c r="B108" i="12"/>
  <c r="Z107" i="12"/>
  <c r="X107" i="12"/>
  <c r="P107" i="12"/>
  <c r="N107" i="12"/>
  <c r="D107" i="12"/>
  <c r="L107" i="12" s="1"/>
  <c r="B107" i="12"/>
  <c r="Z106" i="12"/>
  <c r="X106" i="12"/>
  <c r="P106" i="12"/>
  <c r="N106" i="12"/>
  <c r="D106" i="12"/>
  <c r="L106" i="12" s="1"/>
  <c r="B106" i="12"/>
  <c r="Z105" i="12"/>
  <c r="P105" i="12"/>
  <c r="X105" i="12" s="1"/>
  <c r="N105" i="12"/>
  <c r="D105" i="12"/>
  <c r="L105" i="12" s="1"/>
  <c r="B105" i="12"/>
  <c r="Z104" i="12"/>
  <c r="X104" i="12"/>
  <c r="P104" i="12"/>
  <c r="N104" i="12"/>
  <c r="L104" i="12"/>
  <c r="D104" i="12"/>
  <c r="B104" i="12"/>
  <c r="Z103" i="12"/>
  <c r="X103" i="12"/>
  <c r="P103" i="12"/>
  <c r="N103" i="12"/>
  <c r="D103" i="12"/>
  <c r="L103" i="12" s="1"/>
  <c r="B103" i="12"/>
  <c r="Z102" i="12"/>
  <c r="P102" i="12"/>
  <c r="X102" i="12" s="1"/>
  <c r="N102" i="12"/>
  <c r="D102" i="12"/>
  <c r="L102" i="12" s="1"/>
  <c r="B102" i="12"/>
  <c r="Z101" i="12"/>
  <c r="P101" i="12"/>
  <c r="X101" i="12" s="1"/>
  <c r="N101" i="12"/>
  <c r="L101" i="12"/>
  <c r="D101" i="12"/>
  <c r="B101" i="12"/>
  <c r="Z100" i="12"/>
  <c r="P100" i="12"/>
  <c r="X100" i="12" s="1"/>
  <c r="N100" i="12"/>
  <c r="L100" i="12"/>
  <c r="D100" i="12"/>
  <c r="B100" i="12"/>
  <c r="Z99" i="12"/>
  <c r="X99" i="12"/>
  <c r="P99" i="12"/>
  <c r="N99" i="12"/>
  <c r="D99" i="12"/>
  <c r="L99" i="12" s="1"/>
  <c r="B99" i="12"/>
  <c r="Z98" i="12"/>
  <c r="P98" i="12"/>
  <c r="X98" i="12" s="1"/>
  <c r="N98" i="12"/>
  <c r="D98" i="12"/>
  <c r="L98" i="12" s="1"/>
  <c r="B98" i="12"/>
  <c r="Z97" i="12"/>
  <c r="P97" i="12"/>
  <c r="X97" i="12" s="1"/>
  <c r="N97" i="12"/>
  <c r="D97" i="12"/>
  <c r="L97" i="12" s="1"/>
  <c r="B97" i="12"/>
  <c r="Z96" i="12"/>
  <c r="P96" i="12"/>
  <c r="X96" i="12" s="1"/>
  <c r="N96" i="12"/>
  <c r="L96" i="12"/>
  <c r="D96" i="12"/>
  <c r="B96" i="12"/>
  <c r="Z95" i="12"/>
  <c r="X95" i="12"/>
  <c r="P95" i="12"/>
  <c r="N95" i="12"/>
  <c r="D95" i="12"/>
  <c r="L95" i="12" s="1"/>
  <c r="B95" i="12"/>
  <c r="Z94" i="12"/>
  <c r="P94" i="12"/>
  <c r="X94" i="12" s="1"/>
  <c r="N94" i="12"/>
  <c r="D94" i="12"/>
  <c r="L94" i="12" s="1"/>
  <c r="B94" i="12"/>
  <c r="Z93" i="12"/>
  <c r="P93" i="12"/>
  <c r="X93" i="12" s="1"/>
  <c r="N93" i="12"/>
  <c r="D93" i="12"/>
  <c r="L93" i="12" s="1"/>
  <c r="B93" i="12"/>
  <c r="Z92" i="12"/>
  <c r="X92" i="12"/>
  <c r="P92" i="12"/>
  <c r="N92" i="12"/>
  <c r="L92" i="12"/>
  <c r="D92" i="12"/>
  <c r="B92" i="12"/>
  <c r="Z91" i="12"/>
  <c r="X91" i="12"/>
  <c r="P91" i="12"/>
  <c r="N91" i="12"/>
  <c r="L91" i="12"/>
  <c r="D91" i="12"/>
  <c r="B91" i="12"/>
  <c r="Z90" i="12"/>
  <c r="P90" i="12"/>
  <c r="X90" i="12" s="1"/>
  <c r="N90" i="12"/>
  <c r="D90" i="12"/>
  <c r="L90" i="12" s="1"/>
  <c r="B90" i="12"/>
  <c r="Z89" i="12"/>
  <c r="P89" i="12"/>
  <c r="X89" i="12" s="1"/>
  <c r="N89" i="12"/>
  <c r="L89" i="12"/>
  <c r="D89" i="12"/>
  <c r="B89" i="12"/>
  <c r="Z88" i="12"/>
  <c r="P88" i="12"/>
  <c r="X88" i="12" s="1"/>
  <c r="N88" i="12"/>
  <c r="L88" i="12"/>
  <c r="D88" i="12"/>
  <c r="B88" i="12"/>
  <c r="Z87" i="12"/>
  <c r="X87" i="12"/>
  <c r="P87" i="12"/>
  <c r="N87" i="12"/>
  <c r="D87" i="12"/>
  <c r="L87" i="12" s="1"/>
  <c r="B87" i="12"/>
  <c r="Z86" i="12"/>
  <c r="P86" i="12"/>
  <c r="X86" i="12" s="1"/>
  <c r="N86" i="12"/>
  <c r="D86" i="12"/>
  <c r="L86" i="12" s="1"/>
  <c r="B86" i="12"/>
  <c r="Z85" i="12"/>
  <c r="P85" i="12"/>
  <c r="X85" i="12" s="1"/>
  <c r="N85" i="12"/>
  <c r="D85" i="12"/>
  <c r="L85" i="12" s="1"/>
  <c r="B85" i="12"/>
  <c r="Z84" i="12"/>
  <c r="P84" i="12"/>
  <c r="X84" i="12" s="1"/>
  <c r="N84" i="12"/>
  <c r="L84" i="12"/>
  <c r="D84" i="12"/>
  <c r="B84" i="12"/>
  <c r="Z83" i="12"/>
  <c r="X83" i="12"/>
  <c r="P83" i="12"/>
  <c r="N83" i="12"/>
  <c r="D83" i="12"/>
  <c r="L83" i="12" s="1"/>
  <c r="B83" i="12"/>
  <c r="Z82" i="12"/>
  <c r="P82" i="12"/>
  <c r="X82" i="12" s="1"/>
  <c r="N82" i="12"/>
  <c r="D82" i="12"/>
  <c r="L82" i="12" s="1"/>
  <c r="B82" i="12"/>
  <c r="Z81" i="12"/>
  <c r="P81" i="12"/>
  <c r="X81" i="12" s="1"/>
  <c r="N81" i="12"/>
  <c r="D81" i="12"/>
  <c r="L81" i="12" s="1"/>
  <c r="B81" i="12"/>
  <c r="Z80" i="12"/>
  <c r="X80" i="12"/>
  <c r="P80" i="12"/>
  <c r="N80" i="12"/>
  <c r="L80" i="12"/>
  <c r="D80" i="12"/>
  <c r="B80" i="12"/>
  <c r="Z79" i="12"/>
  <c r="X79" i="12"/>
  <c r="P79" i="12"/>
  <c r="N79" i="12"/>
  <c r="L79" i="12"/>
  <c r="D79" i="12"/>
  <c r="B79" i="12"/>
  <c r="Z78" i="12"/>
  <c r="P78" i="12"/>
  <c r="X78" i="12" s="1"/>
  <c r="N78" i="12"/>
  <c r="D78" i="12"/>
  <c r="L78" i="12" s="1"/>
  <c r="B78" i="12"/>
  <c r="Z77" i="12"/>
  <c r="P77" i="12"/>
  <c r="X77" i="12" s="1"/>
  <c r="N77" i="12"/>
  <c r="L77" i="12"/>
  <c r="D77" i="12"/>
  <c r="B77" i="12"/>
  <c r="Z76" i="12"/>
  <c r="P76" i="12"/>
  <c r="X76" i="12" s="1"/>
  <c r="N76" i="12"/>
  <c r="L76" i="12"/>
  <c r="D76" i="12"/>
  <c r="B76" i="12"/>
  <c r="Z75" i="12"/>
  <c r="X75" i="12"/>
  <c r="P75" i="12"/>
  <c r="N75" i="12"/>
  <c r="D75" i="12"/>
  <c r="L75" i="12" s="1"/>
  <c r="B75" i="12"/>
  <c r="Z74" i="12"/>
  <c r="P74" i="12"/>
  <c r="X74" i="12" s="1"/>
  <c r="N74" i="12"/>
  <c r="D74" i="12"/>
  <c r="L74" i="12" s="1"/>
  <c r="B74" i="12"/>
  <c r="Z73" i="12"/>
  <c r="P73" i="12"/>
  <c r="X73" i="12" s="1"/>
  <c r="N73" i="12"/>
  <c r="D73" i="12"/>
  <c r="L73" i="12" s="1"/>
  <c r="B73" i="12"/>
  <c r="Z72" i="12"/>
  <c r="P72" i="12"/>
  <c r="X72" i="12" s="1"/>
  <c r="N72" i="12"/>
  <c r="L72" i="12"/>
  <c r="D72" i="12"/>
  <c r="B72" i="12"/>
  <c r="Z71" i="12"/>
  <c r="X71" i="12"/>
  <c r="P71" i="12"/>
  <c r="N71" i="12"/>
  <c r="D71" i="12"/>
  <c r="L71" i="12" s="1"/>
  <c r="B71" i="12"/>
  <c r="Z70" i="12"/>
  <c r="P70" i="12"/>
  <c r="X70" i="12" s="1"/>
  <c r="N70" i="12"/>
  <c r="D70" i="12"/>
  <c r="L70" i="12" s="1"/>
  <c r="B70" i="12"/>
  <c r="Z69" i="12"/>
  <c r="P69" i="12"/>
  <c r="X69" i="12" s="1"/>
  <c r="N69" i="12"/>
  <c r="D69" i="12"/>
  <c r="L69" i="12" s="1"/>
  <c r="B69" i="12"/>
  <c r="Z68" i="12"/>
  <c r="X68" i="12"/>
  <c r="P68" i="12"/>
  <c r="N68" i="12"/>
  <c r="L68" i="12"/>
  <c r="D68" i="12"/>
  <c r="B68" i="12"/>
  <c r="Z67" i="12"/>
  <c r="X67" i="12"/>
  <c r="P67" i="12"/>
  <c r="N67" i="12"/>
  <c r="D67" i="12"/>
  <c r="L67" i="12" s="1"/>
  <c r="B67" i="12"/>
  <c r="Z66" i="12"/>
  <c r="P66" i="12"/>
  <c r="X66" i="12" s="1"/>
  <c r="N66" i="12"/>
  <c r="D66" i="12"/>
  <c r="L66" i="12" s="1"/>
  <c r="B66" i="12"/>
  <c r="Z65" i="12"/>
  <c r="P65" i="12"/>
  <c r="X65" i="12" s="1"/>
  <c r="N65" i="12"/>
  <c r="L65" i="12"/>
  <c r="D65" i="12"/>
  <c r="B65" i="12"/>
  <c r="Z64" i="12"/>
  <c r="P64" i="12"/>
  <c r="X64" i="12" s="1"/>
  <c r="N64" i="12"/>
  <c r="L64" i="12"/>
  <c r="D64" i="12"/>
  <c r="B64" i="12"/>
  <c r="Z63" i="12"/>
  <c r="X63" i="12"/>
  <c r="P63" i="12"/>
  <c r="N63" i="12"/>
  <c r="D63" i="12"/>
  <c r="L63" i="12" s="1"/>
  <c r="B63" i="12"/>
  <c r="Z62" i="12"/>
  <c r="P62" i="12"/>
  <c r="X62" i="12" s="1"/>
  <c r="N62" i="12"/>
  <c r="D62" i="12"/>
  <c r="L62" i="12" s="1"/>
  <c r="B62" i="12"/>
  <c r="Z61" i="12"/>
  <c r="P61" i="12"/>
  <c r="X61" i="12" s="1"/>
  <c r="N61" i="12"/>
  <c r="D61" i="12"/>
  <c r="L61" i="12" s="1"/>
  <c r="B61" i="12"/>
  <c r="Z60" i="12"/>
  <c r="P60" i="12"/>
  <c r="X60" i="12" s="1"/>
  <c r="N60" i="12"/>
  <c r="L60" i="12"/>
  <c r="D60" i="12"/>
  <c r="B60" i="12"/>
  <c r="Z59" i="12"/>
  <c r="X59" i="12"/>
  <c r="P59" i="12"/>
  <c r="N59" i="12"/>
  <c r="D59" i="12"/>
  <c r="L59" i="12" s="1"/>
  <c r="B59" i="12"/>
  <c r="Z58" i="12"/>
  <c r="X58" i="12"/>
  <c r="P58" i="12"/>
  <c r="N58" i="12"/>
  <c r="D58" i="12"/>
  <c r="L58" i="12" s="1"/>
  <c r="B58" i="12"/>
  <c r="Z57" i="12"/>
  <c r="P57" i="12"/>
  <c r="X57" i="12" s="1"/>
  <c r="N57" i="12"/>
  <c r="D57" i="12"/>
  <c r="L57" i="12" s="1"/>
  <c r="B57" i="12"/>
  <c r="Z56" i="12"/>
  <c r="X56" i="12"/>
  <c r="P56" i="12"/>
  <c r="N56" i="12"/>
  <c r="L56" i="12"/>
  <c r="D56" i="12"/>
  <c r="B56" i="12"/>
  <c r="Z55" i="12"/>
  <c r="X55" i="12"/>
  <c r="P55" i="12"/>
  <c r="N55" i="12"/>
  <c r="D55" i="12"/>
  <c r="L55" i="12" s="1"/>
  <c r="B55" i="12"/>
  <c r="Z54" i="12"/>
  <c r="P54" i="12"/>
  <c r="X54" i="12" s="1"/>
  <c r="N54" i="12"/>
  <c r="D54" i="12"/>
  <c r="L54" i="12" s="1"/>
  <c r="B54" i="12"/>
  <c r="Z53" i="12"/>
  <c r="P53" i="12"/>
  <c r="X53" i="12" s="1"/>
  <c r="N53" i="12"/>
  <c r="L53" i="12"/>
  <c r="D53" i="12"/>
  <c r="B53" i="12"/>
  <c r="Z52" i="12"/>
  <c r="P52" i="12"/>
  <c r="X52" i="12" s="1"/>
  <c r="N52" i="12"/>
  <c r="L52" i="12"/>
  <c r="D52" i="12"/>
  <c r="B52" i="12"/>
  <c r="Z51" i="12"/>
  <c r="X51" i="12"/>
  <c r="P51" i="12"/>
  <c r="N51" i="12"/>
  <c r="D51" i="12"/>
  <c r="L51" i="12" s="1"/>
  <c r="B51" i="12"/>
  <c r="Z50" i="12"/>
  <c r="P50" i="12"/>
  <c r="X50" i="12" s="1"/>
  <c r="N50" i="12"/>
  <c r="D50" i="12"/>
  <c r="L50" i="12" s="1"/>
  <c r="B50" i="12"/>
  <c r="Z49" i="12"/>
  <c r="P49" i="12"/>
  <c r="X49" i="12" s="1"/>
  <c r="N49" i="12"/>
  <c r="D49" i="12"/>
  <c r="L49" i="12" s="1"/>
  <c r="B49" i="12"/>
  <c r="P48" i="12"/>
  <c r="X48" i="12" s="1"/>
  <c r="Z48" i="12" s="1"/>
  <c r="N48" i="12"/>
  <c r="L48" i="12"/>
  <c r="D48" i="12"/>
  <c r="B48" i="12"/>
  <c r="Z47" i="12"/>
  <c r="X47" i="12"/>
  <c r="P47" i="12"/>
  <c r="N47" i="12"/>
  <c r="D47" i="12"/>
  <c r="L47" i="12" s="1"/>
  <c r="B47" i="12"/>
  <c r="Z46" i="12"/>
  <c r="P46" i="12"/>
  <c r="X46" i="12" s="1"/>
  <c r="N46" i="12"/>
  <c r="D46" i="12"/>
  <c r="L46" i="12" s="1"/>
  <c r="B46" i="12"/>
  <c r="Z45" i="12"/>
  <c r="P45" i="12"/>
  <c r="X45" i="12" s="1"/>
  <c r="N45" i="12"/>
  <c r="D45" i="12"/>
  <c r="L45" i="12" s="1"/>
  <c r="B45" i="12"/>
  <c r="Z44" i="12"/>
  <c r="X44" i="12"/>
  <c r="P44" i="12"/>
  <c r="N44" i="12"/>
  <c r="L44" i="12"/>
  <c r="D44" i="12"/>
  <c r="B44" i="12"/>
  <c r="Z43" i="12"/>
  <c r="X43" i="12"/>
  <c r="P43" i="12"/>
  <c r="N43" i="12"/>
  <c r="D43" i="12"/>
  <c r="L43" i="12" s="1"/>
  <c r="B43" i="12"/>
  <c r="Z42" i="12"/>
  <c r="P42" i="12"/>
  <c r="X42" i="12" s="1"/>
  <c r="N42" i="12"/>
  <c r="D42" i="12"/>
  <c r="L42" i="12" s="1"/>
  <c r="B42" i="12"/>
  <c r="Z41" i="12"/>
  <c r="P41" i="12"/>
  <c r="X41" i="12" s="1"/>
  <c r="N41" i="12"/>
  <c r="L41" i="12"/>
  <c r="D41" i="12"/>
  <c r="B41" i="12"/>
  <c r="Z40" i="12"/>
  <c r="P40" i="12"/>
  <c r="X40" i="12" s="1"/>
  <c r="N40" i="12"/>
  <c r="L40" i="12"/>
  <c r="D40" i="12"/>
  <c r="B40" i="12"/>
  <c r="Z39" i="12"/>
  <c r="X39" i="12"/>
  <c r="P39" i="12"/>
  <c r="N39" i="12"/>
  <c r="D39" i="12"/>
  <c r="L39" i="12" s="1"/>
  <c r="B39" i="12"/>
  <c r="Z38" i="12"/>
  <c r="P38" i="12"/>
  <c r="X38" i="12" s="1"/>
  <c r="N38" i="12"/>
  <c r="D38" i="12"/>
  <c r="L38" i="12" s="1"/>
  <c r="B38" i="12"/>
  <c r="Z37" i="12"/>
  <c r="P37" i="12"/>
  <c r="X37" i="12" s="1"/>
  <c r="N37" i="12"/>
  <c r="D37" i="12"/>
  <c r="L37" i="12" s="1"/>
  <c r="B37" i="12"/>
  <c r="Z36" i="12"/>
  <c r="P36" i="12"/>
  <c r="X36" i="12" s="1"/>
  <c r="N36" i="12"/>
  <c r="L36" i="12"/>
  <c r="D36" i="12"/>
  <c r="B36" i="12"/>
  <c r="Z35" i="12"/>
  <c r="X35" i="12"/>
  <c r="P35" i="12"/>
  <c r="N35" i="12"/>
  <c r="D35" i="12"/>
  <c r="L35" i="12" s="1"/>
  <c r="B35" i="12"/>
  <c r="Z34" i="12"/>
  <c r="X34" i="12"/>
  <c r="P34" i="12"/>
  <c r="N34" i="12"/>
  <c r="D34" i="12"/>
  <c r="L34" i="12" s="1"/>
  <c r="B34" i="12"/>
  <c r="Z33" i="12"/>
  <c r="P33" i="12"/>
  <c r="X33" i="12" s="1"/>
  <c r="N33" i="12"/>
  <c r="D33" i="12"/>
  <c r="L33" i="12" s="1"/>
  <c r="B33" i="12"/>
  <c r="Z32" i="12"/>
  <c r="X32" i="12"/>
  <c r="P32" i="12"/>
  <c r="N32" i="12"/>
  <c r="L32" i="12"/>
  <c r="D32" i="12"/>
  <c r="B32" i="12"/>
  <c r="Z31" i="12"/>
  <c r="X31" i="12"/>
  <c r="P31" i="12"/>
  <c r="N31" i="12"/>
  <c r="D31" i="12"/>
  <c r="L31" i="12" s="1"/>
  <c r="B31" i="12"/>
  <c r="Z30" i="12"/>
  <c r="P30" i="12"/>
  <c r="X30" i="12" s="1"/>
  <c r="N30" i="12"/>
  <c r="D30" i="12"/>
  <c r="L30" i="12" s="1"/>
  <c r="B30" i="12"/>
  <c r="Z29" i="12"/>
  <c r="P29" i="12"/>
  <c r="X29" i="12" s="1"/>
  <c r="N29" i="12"/>
  <c r="L29" i="12"/>
  <c r="D29" i="12"/>
  <c r="B29" i="12"/>
  <c r="Z28" i="12"/>
  <c r="P28" i="12"/>
  <c r="X28" i="12" s="1"/>
  <c r="N28" i="12"/>
  <c r="L28" i="12"/>
  <c r="D28" i="12"/>
  <c r="B28" i="12"/>
  <c r="Z27" i="12"/>
  <c r="X27" i="12"/>
  <c r="P27" i="12"/>
  <c r="N27" i="12"/>
  <c r="D27" i="12"/>
  <c r="L27" i="12" s="1"/>
  <c r="B27" i="12"/>
  <c r="Z26" i="12"/>
  <c r="P26" i="12"/>
  <c r="X26" i="12" s="1"/>
  <c r="N26" i="12"/>
  <c r="D26" i="12"/>
  <c r="L26" i="12" s="1"/>
  <c r="B26" i="12"/>
  <c r="Z25" i="12"/>
  <c r="P25" i="12"/>
  <c r="X25" i="12" s="1"/>
  <c r="N25" i="12"/>
  <c r="D25" i="12"/>
  <c r="L25" i="12" s="1"/>
  <c r="B25" i="12"/>
  <c r="Z24" i="12"/>
  <c r="P24" i="12"/>
  <c r="X24" i="12" s="1"/>
  <c r="N24" i="12"/>
  <c r="L24" i="12"/>
  <c r="D24" i="12"/>
  <c r="B24" i="12"/>
  <c r="Z23" i="12"/>
  <c r="X23" i="12"/>
  <c r="P23" i="12"/>
  <c r="N23" i="12"/>
  <c r="D23" i="12"/>
  <c r="L23" i="12" s="1"/>
  <c r="B23" i="12"/>
  <c r="Z22" i="12"/>
  <c r="P22" i="12"/>
  <c r="P12" i="12" s="1"/>
  <c r="N22" i="12"/>
  <c r="D22" i="12"/>
  <c r="L22" i="12" s="1"/>
  <c r="B22" i="12"/>
  <c r="Z21" i="12"/>
  <c r="P21" i="12"/>
  <c r="X21" i="12" s="1"/>
  <c r="N21" i="12"/>
  <c r="D21" i="12"/>
  <c r="L21" i="12" s="1"/>
  <c r="B21" i="12"/>
  <c r="Z20" i="12"/>
  <c r="X20" i="12"/>
  <c r="P20" i="12"/>
  <c r="N20" i="12"/>
  <c r="L20" i="12"/>
  <c r="D20" i="12"/>
  <c r="B20" i="12"/>
  <c r="Z19" i="12"/>
  <c r="X19" i="12"/>
  <c r="P19" i="12"/>
  <c r="N19" i="12"/>
  <c r="D19" i="12"/>
  <c r="L19" i="12" s="1"/>
  <c r="B19" i="12"/>
  <c r="Z18" i="12"/>
  <c r="P18" i="12"/>
  <c r="X18" i="12" s="1"/>
  <c r="N18" i="12"/>
  <c r="D18" i="12"/>
  <c r="L18" i="12" s="1"/>
  <c r="B18" i="12"/>
  <c r="Z17" i="12"/>
  <c r="P17" i="12"/>
  <c r="X17" i="12" s="1"/>
  <c r="N17" i="12"/>
  <c r="L17" i="12"/>
  <c r="D17" i="12"/>
  <c r="B17" i="12"/>
  <c r="Z16" i="12"/>
  <c r="P16" i="12"/>
  <c r="X16" i="12" s="1"/>
  <c r="N16" i="12"/>
  <c r="L16" i="12"/>
  <c r="D16" i="12"/>
  <c r="B16" i="12"/>
  <c r="Z15" i="12"/>
  <c r="X15" i="12"/>
  <c r="P15" i="12"/>
  <c r="N15" i="12"/>
  <c r="D15" i="12"/>
  <c r="L15" i="12" s="1"/>
  <c r="B15" i="12"/>
  <c r="Z14" i="12"/>
  <c r="P14" i="12"/>
  <c r="X14" i="12" s="1"/>
  <c r="N14" i="12"/>
  <c r="D14" i="12"/>
  <c r="L14" i="12" s="1"/>
  <c r="B14" i="12"/>
  <c r="P13" i="12"/>
  <c r="X13" i="12" s="1"/>
  <c r="Z13" i="12" s="1"/>
  <c r="D13" i="12"/>
  <c r="B13" i="12"/>
  <c r="T12" i="12"/>
  <c r="V243" i="12" s="1"/>
  <c r="H12" i="12"/>
  <c r="J231" i="12" s="1"/>
  <c r="D4" i="12"/>
  <c r="Z104" i="9"/>
  <c r="X104" i="9"/>
  <c r="N104" i="9"/>
  <c r="L104" i="9"/>
  <c r="J102" i="9"/>
  <c r="T100" i="9"/>
  <c r="Z100" i="9" s="1"/>
  <c r="P100" i="9"/>
  <c r="X100" i="9" s="1"/>
  <c r="J100" i="9"/>
  <c r="H100" i="9"/>
  <c r="D100" i="9"/>
  <c r="X98" i="9"/>
  <c r="Z98" i="9" s="1"/>
  <c r="N98" i="9"/>
  <c r="L98" i="9"/>
  <c r="B98" i="9"/>
  <c r="Z97" i="9"/>
  <c r="X97" i="9"/>
  <c r="N97" i="9"/>
  <c r="L97" i="9"/>
  <c r="B97" i="9"/>
  <c r="T96" i="9"/>
  <c r="P96" i="9"/>
  <c r="H96" i="9"/>
  <c r="N96" i="9" s="1"/>
  <c r="D96" i="9"/>
  <c r="L96" i="9" s="1"/>
  <c r="B96" i="9"/>
  <c r="X95" i="9"/>
  <c r="Z95" i="9" s="1"/>
  <c r="V95" i="9"/>
  <c r="L95" i="9"/>
  <c r="N95" i="9" s="1"/>
  <c r="B95" i="9"/>
  <c r="T94" i="9"/>
  <c r="R94" i="9"/>
  <c r="P94" i="9"/>
  <c r="X94" i="9" s="1"/>
  <c r="Z94" i="9" s="1"/>
  <c r="H94" i="9"/>
  <c r="N94" i="9" s="1"/>
  <c r="D94" i="9"/>
  <c r="L94" i="9" s="1"/>
  <c r="B94" i="9"/>
  <c r="Z93" i="9"/>
  <c r="X93" i="9"/>
  <c r="N93" i="9"/>
  <c r="L93" i="9"/>
  <c r="B93" i="9"/>
  <c r="X92" i="9"/>
  <c r="Z92" i="9" s="1"/>
  <c r="N92" i="9"/>
  <c r="L92" i="9"/>
  <c r="J92" i="9"/>
  <c r="B92" i="9"/>
  <c r="T91" i="9"/>
  <c r="P91" i="9"/>
  <c r="X91" i="9" s="1"/>
  <c r="Z91" i="9" s="1"/>
  <c r="H91" i="9"/>
  <c r="D91" i="9"/>
  <c r="B91" i="9"/>
  <c r="X90" i="9"/>
  <c r="Z90" i="9" s="1"/>
  <c r="N90" i="9"/>
  <c r="L90" i="9"/>
  <c r="B90" i="9"/>
  <c r="Z89" i="9"/>
  <c r="X89" i="9"/>
  <c r="V89" i="9"/>
  <c r="N89" i="9"/>
  <c r="L89" i="9"/>
  <c r="B89" i="9"/>
  <c r="Z88" i="9"/>
  <c r="X88" i="9"/>
  <c r="V88" i="9"/>
  <c r="R88" i="9"/>
  <c r="L88" i="9"/>
  <c r="N88" i="9" s="1"/>
  <c r="B88" i="9"/>
  <c r="X87" i="9"/>
  <c r="Z87" i="9" s="1"/>
  <c r="V87" i="9"/>
  <c r="L87" i="9"/>
  <c r="N87" i="9" s="1"/>
  <c r="J87" i="9"/>
  <c r="B87" i="9"/>
  <c r="X86" i="9"/>
  <c r="Z86" i="9" s="1"/>
  <c r="L86" i="9"/>
  <c r="N86" i="9" s="1"/>
  <c r="B86" i="9"/>
  <c r="Z85" i="9"/>
  <c r="X85" i="9"/>
  <c r="V85" i="9"/>
  <c r="T85" i="9"/>
  <c r="P85" i="9"/>
  <c r="J85" i="9"/>
  <c r="H85" i="9"/>
  <c r="D85" i="9"/>
  <c r="L85" i="9" s="1"/>
  <c r="N85" i="9" s="1"/>
  <c r="B85" i="9"/>
  <c r="X84" i="9"/>
  <c r="Z84" i="9" s="1"/>
  <c r="L84" i="9"/>
  <c r="N84" i="9" s="1"/>
  <c r="B84" i="9"/>
  <c r="X83" i="9"/>
  <c r="Z83" i="9" s="1"/>
  <c r="V83" i="9"/>
  <c r="N83" i="9"/>
  <c r="L83" i="9"/>
  <c r="B83" i="9"/>
  <c r="T82" i="9"/>
  <c r="P82" i="9"/>
  <c r="X82" i="9" s="1"/>
  <c r="Z82" i="9" s="1"/>
  <c r="L82" i="9"/>
  <c r="H82" i="9"/>
  <c r="N82" i="9" s="1"/>
  <c r="D82" i="9"/>
  <c r="B82" i="9"/>
  <c r="Z81" i="9"/>
  <c r="X81" i="9"/>
  <c r="N81" i="9"/>
  <c r="L81" i="9"/>
  <c r="J81" i="9"/>
  <c r="B81" i="9"/>
  <c r="X80" i="9"/>
  <c r="Z80" i="9" s="1"/>
  <c r="N80" i="9"/>
  <c r="L80" i="9"/>
  <c r="J80" i="9"/>
  <c r="B80" i="9"/>
  <c r="T79" i="9"/>
  <c r="P79" i="9"/>
  <c r="X79" i="9" s="1"/>
  <c r="Z79" i="9" s="1"/>
  <c r="H79" i="9"/>
  <c r="D79" i="9"/>
  <c r="L79" i="9" s="1"/>
  <c r="B79" i="9"/>
  <c r="Z78" i="9"/>
  <c r="X78" i="9"/>
  <c r="N78" i="9"/>
  <c r="L78" i="9"/>
  <c r="B78" i="9"/>
  <c r="Z77" i="9"/>
  <c r="X77" i="9"/>
  <c r="V77" i="9"/>
  <c r="N77" i="9"/>
  <c r="L77" i="9"/>
  <c r="B77" i="9"/>
  <c r="X76" i="9"/>
  <c r="Z76" i="9" s="1"/>
  <c r="V76" i="9"/>
  <c r="L76" i="9"/>
  <c r="N76" i="9" s="1"/>
  <c r="B76" i="9"/>
  <c r="X75" i="9"/>
  <c r="Z75" i="9" s="1"/>
  <c r="V75" i="9"/>
  <c r="L75" i="9"/>
  <c r="N75" i="9" s="1"/>
  <c r="J75" i="9"/>
  <c r="B75" i="9"/>
  <c r="T74" i="9"/>
  <c r="P74" i="9"/>
  <c r="X74" i="9" s="1"/>
  <c r="J74" i="9"/>
  <c r="H74" i="9"/>
  <c r="D74" i="9"/>
  <c r="L74" i="9" s="1"/>
  <c r="B74" i="9"/>
  <c r="Z73" i="9"/>
  <c r="X73" i="9"/>
  <c r="N73" i="9"/>
  <c r="L73" i="9"/>
  <c r="B73" i="9"/>
  <c r="X72" i="9"/>
  <c r="Z72" i="9" s="1"/>
  <c r="L72" i="9"/>
  <c r="N72" i="9" s="1"/>
  <c r="B72" i="9"/>
  <c r="X71" i="9"/>
  <c r="Z71" i="9" s="1"/>
  <c r="V71" i="9"/>
  <c r="N71" i="9"/>
  <c r="L71" i="9"/>
  <c r="B71" i="9"/>
  <c r="X70" i="9"/>
  <c r="Z70" i="9" s="1"/>
  <c r="N70" i="9"/>
  <c r="L70" i="9"/>
  <c r="B70" i="9"/>
  <c r="T69" i="9"/>
  <c r="P69" i="9"/>
  <c r="X69" i="9" s="1"/>
  <c r="Z69" i="9" s="1"/>
  <c r="L69" i="9"/>
  <c r="J69" i="9"/>
  <c r="H69" i="9"/>
  <c r="D69" i="9"/>
  <c r="B69" i="9"/>
  <c r="Z68" i="9"/>
  <c r="X68" i="9"/>
  <c r="N68" i="9"/>
  <c r="L68" i="9"/>
  <c r="J68" i="9"/>
  <c r="B68" i="9"/>
  <c r="Z67" i="9"/>
  <c r="X67" i="9"/>
  <c r="N67" i="9"/>
  <c r="L67" i="9"/>
  <c r="J67" i="9"/>
  <c r="B67" i="9"/>
  <c r="Z66" i="9"/>
  <c r="X66" i="9"/>
  <c r="N66" i="9"/>
  <c r="L66" i="9"/>
  <c r="B66" i="9"/>
  <c r="T65" i="9"/>
  <c r="Z65" i="9" s="1"/>
  <c r="R65" i="9"/>
  <c r="P65" i="9"/>
  <c r="N65" i="9"/>
  <c r="H65" i="9"/>
  <c r="D65" i="9"/>
  <c r="L65" i="9" s="1"/>
  <c r="B65" i="9"/>
  <c r="X64" i="9"/>
  <c r="Z64" i="9" s="1"/>
  <c r="V64" i="9"/>
  <c r="L64" i="9"/>
  <c r="N64" i="9" s="1"/>
  <c r="B64" i="9"/>
  <c r="V63" i="9"/>
  <c r="T63" i="9"/>
  <c r="P63" i="9"/>
  <c r="X63" i="9" s="1"/>
  <c r="Z63" i="9" s="1"/>
  <c r="N63" i="9"/>
  <c r="L63" i="9"/>
  <c r="J63" i="9"/>
  <c r="H63" i="9"/>
  <c r="D63" i="9"/>
  <c r="B63" i="9"/>
  <c r="X62" i="9"/>
  <c r="Z62" i="9" s="1"/>
  <c r="N62" i="9"/>
  <c r="L62" i="9"/>
  <c r="B62" i="9"/>
  <c r="T61" i="9"/>
  <c r="X61" i="9" s="1"/>
  <c r="Z61" i="9" s="1"/>
  <c r="P61" i="9"/>
  <c r="L61" i="9"/>
  <c r="J61" i="9"/>
  <c r="H61" i="9"/>
  <c r="D61" i="9"/>
  <c r="B61" i="9"/>
  <c r="X60" i="9"/>
  <c r="Z60" i="9" s="1"/>
  <c r="N60" i="9"/>
  <c r="L60" i="9"/>
  <c r="J60" i="9"/>
  <c r="B60" i="9"/>
  <c r="T59" i="9"/>
  <c r="P59" i="9"/>
  <c r="X59" i="9" s="1"/>
  <c r="Z59" i="9" s="1"/>
  <c r="H59" i="9"/>
  <c r="D59" i="9"/>
  <c r="L59" i="9" s="1"/>
  <c r="B59" i="9"/>
  <c r="X58" i="9"/>
  <c r="Z58" i="9" s="1"/>
  <c r="L58" i="9"/>
  <c r="N58" i="9" s="1"/>
  <c r="B58" i="9"/>
  <c r="Z57" i="9"/>
  <c r="X57" i="9"/>
  <c r="V57" i="9"/>
  <c r="T57" i="9"/>
  <c r="P57" i="9"/>
  <c r="J57" i="9"/>
  <c r="H57" i="9"/>
  <c r="D57" i="9"/>
  <c r="L57" i="9" s="1"/>
  <c r="N57" i="9" s="1"/>
  <c r="B57" i="9"/>
  <c r="X56" i="9"/>
  <c r="Z56" i="9" s="1"/>
  <c r="L56" i="9"/>
  <c r="N56" i="9" s="1"/>
  <c r="B56" i="9"/>
  <c r="X55" i="9"/>
  <c r="V55" i="9"/>
  <c r="T55" i="9"/>
  <c r="Z55" i="9" s="1"/>
  <c r="P55" i="9"/>
  <c r="H55" i="9"/>
  <c r="L55" i="9" s="1"/>
  <c r="N55" i="9" s="1"/>
  <c r="D55" i="9"/>
  <c r="B55" i="9"/>
  <c r="X54" i="9"/>
  <c r="Z54" i="9" s="1"/>
  <c r="L54" i="9"/>
  <c r="N54" i="9" s="1"/>
  <c r="B54" i="9"/>
  <c r="Z53" i="9"/>
  <c r="X53" i="9"/>
  <c r="R53" i="9"/>
  <c r="N53" i="9"/>
  <c r="L53" i="9"/>
  <c r="J53" i="9"/>
  <c r="B53" i="9"/>
  <c r="T52" i="9"/>
  <c r="P52" i="9"/>
  <c r="N52" i="9"/>
  <c r="L52" i="9"/>
  <c r="H52" i="9"/>
  <c r="D52" i="9"/>
  <c r="B52" i="9"/>
  <c r="X51" i="9"/>
  <c r="Z51" i="9" s="1"/>
  <c r="V51" i="9"/>
  <c r="L51" i="9"/>
  <c r="N51" i="9" s="1"/>
  <c r="J51" i="9"/>
  <c r="B51" i="9"/>
  <c r="X50" i="9"/>
  <c r="Z50" i="9" s="1"/>
  <c r="L50" i="9"/>
  <c r="N50" i="9" s="1"/>
  <c r="B50" i="9"/>
  <c r="Z49" i="9"/>
  <c r="X49" i="9"/>
  <c r="V49" i="9"/>
  <c r="T49" i="9"/>
  <c r="P49" i="9"/>
  <c r="J49" i="9"/>
  <c r="H49" i="9"/>
  <c r="D49" i="9"/>
  <c r="L49" i="9" s="1"/>
  <c r="N49" i="9" s="1"/>
  <c r="B49" i="9"/>
  <c r="X48" i="9"/>
  <c r="Z48" i="9" s="1"/>
  <c r="L48" i="9"/>
  <c r="N48" i="9" s="1"/>
  <c r="B48" i="9"/>
  <c r="X47" i="9"/>
  <c r="V47" i="9"/>
  <c r="T47" i="9"/>
  <c r="P47" i="9"/>
  <c r="H47" i="9"/>
  <c r="L47" i="9" s="1"/>
  <c r="N47" i="9" s="1"/>
  <c r="D47" i="9"/>
  <c r="B47" i="9"/>
  <c r="Z46" i="9"/>
  <c r="X46" i="9"/>
  <c r="L46" i="9"/>
  <c r="N46" i="9" s="1"/>
  <c r="B46" i="9"/>
  <c r="T45" i="9"/>
  <c r="R45" i="9"/>
  <c r="P45" i="9"/>
  <c r="H45" i="9"/>
  <c r="D45" i="9"/>
  <c r="L45" i="9" s="1"/>
  <c r="N45" i="9" s="1"/>
  <c r="B45" i="9"/>
  <c r="Z44" i="9"/>
  <c r="X44" i="9"/>
  <c r="V44" i="9"/>
  <c r="L44" i="9"/>
  <c r="N44" i="9" s="1"/>
  <c r="B44" i="9"/>
  <c r="V43" i="9"/>
  <c r="T43" i="9"/>
  <c r="P43" i="9"/>
  <c r="X43" i="9" s="1"/>
  <c r="Z43" i="9" s="1"/>
  <c r="N43" i="9"/>
  <c r="L43" i="9"/>
  <c r="J43" i="9"/>
  <c r="H43" i="9"/>
  <c r="D43" i="9"/>
  <c r="B43" i="9"/>
  <c r="Z42" i="9"/>
  <c r="X42" i="9"/>
  <c r="N42" i="9"/>
  <c r="L42" i="9"/>
  <c r="B42" i="9"/>
  <c r="Z41" i="9"/>
  <c r="X41" i="9"/>
  <c r="N41" i="9"/>
  <c r="L41" i="9"/>
  <c r="B41" i="9"/>
  <c r="X40" i="9"/>
  <c r="Z40" i="9" s="1"/>
  <c r="L40" i="9"/>
  <c r="N40" i="9" s="1"/>
  <c r="B40" i="9"/>
  <c r="X39" i="9"/>
  <c r="Z39" i="9" s="1"/>
  <c r="V39" i="9"/>
  <c r="N39" i="9"/>
  <c r="L39" i="9"/>
  <c r="J39" i="9"/>
  <c r="B39" i="9"/>
  <c r="Z38" i="9"/>
  <c r="X38" i="9"/>
  <c r="N38" i="9"/>
  <c r="L38" i="9"/>
  <c r="B38" i="9"/>
  <c r="Z37" i="9"/>
  <c r="X37" i="9"/>
  <c r="N37" i="9"/>
  <c r="L37" i="9"/>
  <c r="B37" i="9"/>
  <c r="X36" i="9"/>
  <c r="Z36" i="9" s="1"/>
  <c r="L36" i="9"/>
  <c r="N36" i="9" s="1"/>
  <c r="B36" i="9"/>
  <c r="Z35" i="9"/>
  <c r="X35" i="9"/>
  <c r="V35" i="9"/>
  <c r="N35" i="9"/>
  <c r="L35" i="9"/>
  <c r="J35" i="9"/>
  <c r="B35" i="9"/>
  <c r="X34" i="9"/>
  <c r="Z34" i="9" s="1"/>
  <c r="N34" i="9"/>
  <c r="L34" i="9"/>
  <c r="B34" i="9"/>
  <c r="Z33" i="9"/>
  <c r="X33" i="9"/>
  <c r="N33" i="9"/>
  <c r="L33" i="9"/>
  <c r="B33" i="9"/>
  <c r="X32" i="9"/>
  <c r="T32" i="9"/>
  <c r="Z32" i="9" s="1"/>
  <c r="P32" i="9"/>
  <c r="H32" i="9"/>
  <c r="D32" i="9"/>
  <c r="L32" i="9" s="1"/>
  <c r="N32" i="9" s="1"/>
  <c r="B32" i="9"/>
  <c r="Z31" i="9"/>
  <c r="X31" i="9"/>
  <c r="V31" i="9"/>
  <c r="L31" i="9"/>
  <c r="N31" i="9" s="1"/>
  <c r="J31" i="9"/>
  <c r="B31" i="9"/>
  <c r="Z30" i="9"/>
  <c r="X30" i="9"/>
  <c r="L30" i="9"/>
  <c r="N30" i="9" s="1"/>
  <c r="B30" i="9"/>
  <c r="Z29" i="9"/>
  <c r="X29" i="9"/>
  <c r="R29" i="9"/>
  <c r="N29" i="9"/>
  <c r="L29" i="9"/>
  <c r="J29" i="9"/>
  <c r="B29" i="9"/>
  <c r="X28" i="9"/>
  <c r="Z28" i="9" s="1"/>
  <c r="N28" i="9"/>
  <c r="L28" i="9"/>
  <c r="J28" i="9"/>
  <c r="B28" i="9"/>
  <c r="Z27" i="9"/>
  <c r="X27" i="9"/>
  <c r="V27" i="9"/>
  <c r="N27" i="9"/>
  <c r="L27" i="9"/>
  <c r="J27" i="9"/>
  <c r="B27" i="9"/>
  <c r="Z26" i="9"/>
  <c r="X26" i="9"/>
  <c r="L26" i="9"/>
  <c r="N26" i="9" s="1"/>
  <c r="B26" i="9"/>
  <c r="Z25" i="9"/>
  <c r="X25" i="9"/>
  <c r="R25" i="9"/>
  <c r="N25" i="9"/>
  <c r="L25" i="9"/>
  <c r="J25" i="9"/>
  <c r="B25" i="9"/>
  <c r="X24" i="9"/>
  <c r="Z24" i="9" s="1"/>
  <c r="N24" i="9"/>
  <c r="L24" i="9"/>
  <c r="J24" i="9"/>
  <c r="B24" i="9"/>
  <c r="Z23" i="9"/>
  <c r="X23" i="9"/>
  <c r="V23" i="9"/>
  <c r="L23" i="9"/>
  <c r="N23" i="9" s="1"/>
  <c r="J23" i="9"/>
  <c r="B23" i="9"/>
  <c r="Z22" i="9"/>
  <c r="X22" i="9"/>
  <c r="V22" i="9"/>
  <c r="L22" i="9"/>
  <c r="N22" i="9" s="1"/>
  <c r="B22" i="9"/>
  <c r="Z21" i="9"/>
  <c r="X21" i="9"/>
  <c r="R21" i="9"/>
  <c r="N21" i="9"/>
  <c r="L21" i="9"/>
  <c r="J21" i="9"/>
  <c r="B21" i="9"/>
  <c r="T20" i="9"/>
  <c r="P20" i="9"/>
  <c r="L20" i="9"/>
  <c r="N20" i="9" s="1"/>
  <c r="J20" i="9"/>
  <c r="H20" i="9"/>
  <c r="D20" i="9"/>
  <c r="B20" i="9"/>
  <c r="V19" i="9"/>
  <c r="T19" i="9"/>
  <c r="P19" i="9"/>
  <c r="J19" i="9"/>
  <c r="H19" i="9"/>
  <c r="H102" i="9" s="1"/>
  <c r="D19" i="9"/>
  <c r="L19" i="9" s="1"/>
  <c r="N17" i="9"/>
  <c r="J17" i="9"/>
  <c r="Z15" i="9"/>
  <c r="V15" i="9"/>
  <c r="T15" i="9"/>
  <c r="P15" i="9"/>
  <c r="X15" i="9" s="1"/>
  <c r="N15" i="9"/>
  <c r="L15" i="9"/>
  <c r="J15" i="9"/>
  <c r="H15" i="9"/>
  <c r="H17" i="9" s="1"/>
  <c r="D15" i="9"/>
  <c r="P13" i="9"/>
  <c r="P12" i="9" s="1"/>
  <c r="R82" i="9" s="1"/>
  <c r="N13" i="9"/>
  <c r="D13" i="9"/>
  <c r="B13" i="9"/>
  <c r="T12" i="9"/>
  <c r="V97" i="9" s="1"/>
  <c r="N12" i="9"/>
  <c r="H12" i="9"/>
  <c r="J93" i="9" s="1"/>
  <c r="D4" i="9"/>
  <c r="V31" i="6"/>
  <c r="J31" i="6"/>
  <c r="Z29" i="6"/>
  <c r="X29" i="6"/>
  <c r="V29" i="6"/>
  <c r="T29" i="6"/>
  <c r="P29" i="6"/>
  <c r="J29" i="6"/>
  <c r="H29" i="6"/>
  <c r="D29" i="6"/>
  <c r="L29" i="6" s="1"/>
  <c r="N29" i="6" s="1"/>
  <c r="Z28" i="6"/>
  <c r="X28" i="6"/>
  <c r="V28" i="6"/>
  <c r="T28" i="6"/>
  <c r="P28" i="6"/>
  <c r="J28" i="6"/>
  <c r="H28" i="6"/>
  <c r="D28" i="6"/>
  <c r="L28" i="6" s="1"/>
  <c r="N28" i="6" s="1"/>
  <c r="V26" i="6"/>
  <c r="J26" i="6"/>
  <c r="Z24" i="6"/>
  <c r="X24" i="6"/>
  <c r="V24" i="6"/>
  <c r="N24" i="6"/>
  <c r="L24" i="6"/>
  <c r="R22" i="6"/>
  <c r="T20" i="6"/>
  <c r="Z20" i="6" s="1"/>
  <c r="R20" i="6"/>
  <c r="P20" i="6"/>
  <c r="N20" i="6"/>
  <c r="H20" i="6"/>
  <c r="L20" i="6" s="1"/>
  <c r="D20" i="6"/>
  <c r="T18" i="6"/>
  <c r="Z18" i="6" s="1"/>
  <c r="P18" i="6"/>
  <c r="X18" i="6" s="1"/>
  <c r="N18" i="6"/>
  <c r="H18" i="6"/>
  <c r="L18" i="6" s="1"/>
  <c r="D18" i="6"/>
  <c r="T16" i="6"/>
  <c r="Z16" i="6" s="1"/>
  <c r="R16" i="6"/>
  <c r="T14" i="6"/>
  <c r="Z14" i="6" s="1"/>
  <c r="P14" i="6"/>
  <c r="N14" i="6"/>
  <c r="H14" i="6"/>
  <c r="L14" i="6" s="1"/>
  <c r="D14" i="6"/>
  <c r="Z12" i="6"/>
  <c r="T12" i="6"/>
  <c r="V22" i="6" s="1"/>
  <c r="P12" i="6"/>
  <c r="N12" i="6"/>
  <c r="H12" i="6"/>
  <c r="J22" i="6" s="1"/>
  <c r="D12" i="6"/>
  <c r="F22" i="6" s="1"/>
  <c r="D4" i="6"/>
  <c r="T331" i="3"/>
  <c r="P331" i="3"/>
  <c r="X331" i="3" s="1"/>
  <c r="L331" i="3"/>
  <c r="H331" i="3"/>
  <c r="N331" i="3" s="1"/>
  <c r="D331" i="3"/>
  <c r="T330" i="3"/>
  <c r="P330" i="3"/>
  <c r="X330" i="3" s="1"/>
  <c r="L330" i="3"/>
  <c r="H330" i="3"/>
  <c r="N330" i="3" s="1"/>
  <c r="D330" i="3"/>
  <c r="X326" i="3"/>
  <c r="Z326" i="3" s="1"/>
  <c r="N326" i="3"/>
  <c r="L326" i="3"/>
  <c r="Z322" i="3"/>
  <c r="X322" i="3"/>
  <c r="P322" i="3"/>
  <c r="N322" i="3"/>
  <c r="D322" i="3"/>
  <c r="L322" i="3" s="1"/>
  <c r="B322" i="3"/>
  <c r="Z321" i="3"/>
  <c r="P321" i="3"/>
  <c r="X321" i="3" s="1"/>
  <c r="N321" i="3"/>
  <c r="D321" i="3"/>
  <c r="L321" i="3" s="1"/>
  <c r="B321" i="3"/>
  <c r="X320" i="3"/>
  <c r="Z320" i="3" s="1"/>
  <c r="P320" i="3"/>
  <c r="N320" i="3"/>
  <c r="L320" i="3"/>
  <c r="D320" i="3"/>
  <c r="B320" i="3"/>
  <c r="Z319" i="3"/>
  <c r="P319" i="3"/>
  <c r="X319" i="3" s="1"/>
  <c r="N319" i="3"/>
  <c r="L319" i="3"/>
  <c r="D319" i="3"/>
  <c r="B319" i="3"/>
  <c r="Z318" i="3"/>
  <c r="X318" i="3"/>
  <c r="P318" i="3"/>
  <c r="N318" i="3"/>
  <c r="D318" i="3"/>
  <c r="L318" i="3" s="1"/>
  <c r="B318" i="3"/>
  <c r="X317" i="3"/>
  <c r="Z317" i="3" s="1"/>
  <c r="V317" i="3"/>
  <c r="P317" i="3"/>
  <c r="L317" i="3"/>
  <c r="N317" i="3" s="1"/>
  <c r="D317" i="3"/>
  <c r="B317" i="3"/>
  <c r="V316" i="3"/>
  <c r="P316" i="3"/>
  <c r="X316" i="3" s="1"/>
  <c r="Z316" i="3" s="1"/>
  <c r="D316" i="3"/>
  <c r="L316" i="3" s="1"/>
  <c r="N316" i="3" s="1"/>
  <c r="B316" i="3"/>
  <c r="Z315" i="3"/>
  <c r="P315" i="3"/>
  <c r="X315" i="3" s="1"/>
  <c r="N315" i="3"/>
  <c r="L315" i="3"/>
  <c r="D315" i="3"/>
  <c r="B315" i="3"/>
  <c r="Z314" i="3"/>
  <c r="P314" i="3"/>
  <c r="X314" i="3" s="1"/>
  <c r="N314" i="3"/>
  <c r="D314" i="3"/>
  <c r="L314" i="3" s="1"/>
  <c r="B314" i="3"/>
  <c r="Z313" i="3"/>
  <c r="X313" i="3"/>
  <c r="P313" i="3"/>
  <c r="N313" i="3"/>
  <c r="L313" i="3"/>
  <c r="D313" i="3"/>
  <c r="B313" i="3"/>
  <c r="Z312" i="3"/>
  <c r="X312" i="3"/>
  <c r="P312" i="3"/>
  <c r="N312" i="3"/>
  <c r="L312" i="3"/>
  <c r="J312" i="3"/>
  <c r="D312" i="3"/>
  <c r="B312" i="3"/>
  <c r="Z311" i="3"/>
  <c r="P311" i="3"/>
  <c r="X311" i="3" s="1"/>
  <c r="N311" i="3"/>
  <c r="J311" i="3"/>
  <c r="D311" i="3"/>
  <c r="L311" i="3" s="1"/>
  <c r="B311" i="3"/>
  <c r="Z310" i="3"/>
  <c r="X310" i="3"/>
  <c r="P310" i="3"/>
  <c r="N310" i="3"/>
  <c r="D310" i="3"/>
  <c r="B310" i="3"/>
  <c r="T309" i="3"/>
  <c r="H309" i="3"/>
  <c r="Z307" i="3"/>
  <c r="X307" i="3"/>
  <c r="N307" i="3"/>
  <c r="L307" i="3"/>
  <c r="B307" i="3"/>
  <c r="X306" i="3"/>
  <c r="Z306" i="3" s="1"/>
  <c r="T306" i="3"/>
  <c r="P306" i="3"/>
  <c r="H306" i="3"/>
  <c r="D306" i="3"/>
  <c r="B306" i="3"/>
  <c r="Z305" i="3"/>
  <c r="X305" i="3"/>
  <c r="N305" i="3"/>
  <c r="L305" i="3"/>
  <c r="B305" i="3"/>
  <c r="X304" i="3"/>
  <c r="Z304" i="3" s="1"/>
  <c r="V304" i="3"/>
  <c r="L304" i="3"/>
  <c r="N304" i="3" s="1"/>
  <c r="B304" i="3"/>
  <c r="Z303" i="3"/>
  <c r="X303" i="3"/>
  <c r="L303" i="3"/>
  <c r="N303" i="3" s="1"/>
  <c r="J303" i="3"/>
  <c r="B303" i="3"/>
  <c r="T302" i="3"/>
  <c r="Z302" i="3" s="1"/>
  <c r="P302" i="3"/>
  <c r="X302" i="3" s="1"/>
  <c r="H302" i="3"/>
  <c r="J302" i="3" s="1"/>
  <c r="D302" i="3"/>
  <c r="L302" i="3" s="1"/>
  <c r="B302" i="3"/>
  <c r="Z301" i="3"/>
  <c r="X301" i="3"/>
  <c r="N301" i="3"/>
  <c r="L301" i="3"/>
  <c r="B301" i="3"/>
  <c r="X300" i="3"/>
  <c r="T300" i="3"/>
  <c r="Z300" i="3" s="1"/>
  <c r="P300" i="3"/>
  <c r="H300" i="3"/>
  <c r="N300" i="3" s="1"/>
  <c r="D300" i="3"/>
  <c r="L300" i="3" s="1"/>
  <c r="B300" i="3"/>
  <c r="Z299" i="3"/>
  <c r="X299" i="3"/>
  <c r="N299" i="3"/>
  <c r="L299" i="3"/>
  <c r="B299" i="3"/>
  <c r="Z298" i="3"/>
  <c r="X298" i="3"/>
  <c r="L298" i="3"/>
  <c r="N298" i="3" s="1"/>
  <c r="B298" i="3"/>
  <c r="T297" i="3"/>
  <c r="P297" i="3"/>
  <c r="H297" i="3"/>
  <c r="D297" i="3"/>
  <c r="L297" i="3" s="1"/>
  <c r="N297" i="3" s="1"/>
  <c r="B297" i="3"/>
  <c r="X296" i="3"/>
  <c r="Z296" i="3" s="1"/>
  <c r="V296" i="3"/>
  <c r="L296" i="3"/>
  <c r="N296" i="3" s="1"/>
  <c r="B296" i="3"/>
  <c r="X295" i="3"/>
  <c r="Z295" i="3" s="1"/>
  <c r="L295" i="3"/>
  <c r="N295" i="3" s="1"/>
  <c r="J295" i="3"/>
  <c r="B295" i="3"/>
  <c r="X294" i="3"/>
  <c r="Z294" i="3" s="1"/>
  <c r="L294" i="3"/>
  <c r="N294" i="3" s="1"/>
  <c r="B294" i="3"/>
  <c r="Z293" i="3"/>
  <c r="X293" i="3"/>
  <c r="L293" i="3"/>
  <c r="N293" i="3" s="1"/>
  <c r="B293" i="3"/>
  <c r="X292" i="3"/>
  <c r="Z292" i="3" s="1"/>
  <c r="V292" i="3"/>
  <c r="L292" i="3"/>
  <c r="N292" i="3" s="1"/>
  <c r="B292" i="3"/>
  <c r="X291" i="3"/>
  <c r="Z291" i="3" s="1"/>
  <c r="L291" i="3"/>
  <c r="N291" i="3" s="1"/>
  <c r="J291" i="3"/>
  <c r="B291" i="3"/>
  <c r="X290" i="3"/>
  <c r="Z290" i="3" s="1"/>
  <c r="L290" i="3"/>
  <c r="N290" i="3" s="1"/>
  <c r="B290" i="3"/>
  <c r="Z289" i="3"/>
  <c r="X289" i="3"/>
  <c r="L289" i="3"/>
  <c r="N289" i="3" s="1"/>
  <c r="B289" i="3"/>
  <c r="X288" i="3"/>
  <c r="Z288" i="3" s="1"/>
  <c r="V288" i="3"/>
  <c r="L288" i="3"/>
  <c r="N288" i="3" s="1"/>
  <c r="B288" i="3"/>
  <c r="X287" i="3"/>
  <c r="Z287" i="3" s="1"/>
  <c r="L287" i="3"/>
  <c r="N287" i="3" s="1"/>
  <c r="J287" i="3"/>
  <c r="B287" i="3"/>
  <c r="T286" i="3"/>
  <c r="P286" i="3"/>
  <c r="X286" i="3" s="1"/>
  <c r="J286" i="3"/>
  <c r="H286" i="3"/>
  <c r="D286" i="3"/>
  <c r="L286" i="3" s="1"/>
  <c r="B286" i="3"/>
  <c r="X285" i="3"/>
  <c r="Z285" i="3" s="1"/>
  <c r="N285" i="3"/>
  <c r="L285" i="3"/>
  <c r="B285" i="3"/>
  <c r="X284" i="3"/>
  <c r="Z284" i="3" s="1"/>
  <c r="N284" i="3"/>
  <c r="L284" i="3"/>
  <c r="B284" i="3"/>
  <c r="X283" i="3"/>
  <c r="V283" i="3"/>
  <c r="T283" i="3"/>
  <c r="P283" i="3"/>
  <c r="H283" i="3"/>
  <c r="D283" i="3"/>
  <c r="L283" i="3" s="1"/>
  <c r="N283" i="3" s="1"/>
  <c r="B283" i="3"/>
  <c r="X282" i="3"/>
  <c r="Z282" i="3" s="1"/>
  <c r="L282" i="3"/>
  <c r="N282" i="3" s="1"/>
  <c r="B282" i="3"/>
  <c r="Z281" i="3"/>
  <c r="X281" i="3"/>
  <c r="N281" i="3"/>
  <c r="L281" i="3"/>
  <c r="B281" i="3"/>
  <c r="Z280" i="3"/>
  <c r="X280" i="3"/>
  <c r="N280" i="3"/>
  <c r="L280" i="3"/>
  <c r="J280" i="3"/>
  <c r="B280" i="3"/>
  <c r="Z279" i="3"/>
  <c r="X279" i="3"/>
  <c r="L279" i="3"/>
  <c r="N279" i="3" s="1"/>
  <c r="B279" i="3"/>
  <c r="Z278" i="3"/>
  <c r="X278" i="3"/>
  <c r="L278" i="3"/>
  <c r="N278" i="3" s="1"/>
  <c r="B278" i="3"/>
  <c r="Z277" i="3"/>
  <c r="X277" i="3"/>
  <c r="N277" i="3"/>
  <c r="L277" i="3"/>
  <c r="B277" i="3"/>
  <c r="T276" i="3"/>
  <c r="P276" i="3"/>
  <c r="X276" i="3" s="1"/>
  <c r="N276" i="3"/>
  <c r="L276" i="3"/>
  <c r="H276" i="3"/>
  <c r="D276" i="3"/>
  <c r="B276" i="3"/>
  <c r="X275" i="3"/>
  <c r="Z275" i="3" s="1"/>
  <c r="L275" i="3"/>
  <c r="N275" i="3" s="1"/>
  <c r="J275" i="3"/>
  <c r="B275" i="3"/>
  <c r="X274" i="3"/>
  <c r="Z274" i="3" s="1"/>
  <c r="L274" i="3"/>
  <c r="N274" i="3" s="1"/>
  <c r="B274" i="3"/>
  <c r="Z273" i="3"/>
  <c r="X273" i="3"/>
  <c r="N273" i="3"/>
  <c r="L273" i="3"/>
  <c r="B273" i="3"/>
  <c r="Z272" i="3"/>
  <c r="X272" i="3"/>
  <c r="V272" i="3"/>
  <c r="L272" i="3"/>
  <c r="N272" i="3" s="1"/>
  <c r="B272" i="3"/>
  <c r="T271" i="3"/>
  <c r="Z271" i="3" s="1"/>
  <c r="P271" i="3"/>
  <c r="X271" i="3" s="1"/>
  <c r="N271" i="3"/>
  <c r="H271" i="3"/>
  <c r="D271" i="3"/>
  <c r="L271" i="3" s="1"/>
  <c r="B271" i="3"/>
  <c r="X270" i="3"/>
  <c r="Z270" i="3" s="1"/>
  <c r="N270" i="3"/>
  <c r="L270" i="3"/>
  <c r="B270" i="3"/>
  <c r="Z269" i="3"/>
  <c r="X269" i="3"/>
  <c r="N269" i="3"/>
  <c r="L269" i="3"/>
  <c r="B269" i="3"/>
  <c r="X268" i="3"/>
  <c r="Z268" i="3" s="1"/>
  <c r="N268" i="3"/>
  <c r="L268" i="3"/>
  <c r="B268" i="3"/>
  <c r="X267" i="3"/>
  <c r="Z267" i="3" s="1"/>
  <c r="V267" i="3"/>
  <c r="N267" i="3"/>
  <c r="L267" i="3"/>
  <c r="B267" i="3"/>
  <c r="T266" i="3"/>
  <c r="P266" i="3"/>
  <c r="X266" i="3" s="1"/>
  <c r="L266" i="3"/>
  <c r="H266" i="3"/>
  <c r="N266" i="3" s="1"/>
  <c r="D266" i="3"/>
  <c r="B266" i="3"/>
  <c r="Z265" i="3"/>
  <c r="X265" i="3"/>
  <c r="N265" i="3"/>
  <c r="L265" i="3"/>
  <c r="B265" i="3"/>
  <c r="T264" i="3"/>
  <c r="P264" i="3"/>
  <c r="X264" i="3" s="1"/>
  <c r="L264" i="3"/>
  <c r="N264" i="3" s="1"/>
  <c r="H264" i="3"/>
  <c r="D264" i="3"/>
  <c r="B264" i="3"/>
  <c r="Z263" i="3"/>
  <c r="X263" i="3"/>
  <c r="L263" i="3"/>
  <c r="N263" i="3" s="1"/>
  <c r="J263" i="3"/>
  <c r="B263" i="3"/>
  <c r="T262" i="3"/>
  <c r="P262" i="3"/>
  <c r="X262" i="3" s="1"/>
  <c r="H262" i="3"/>
  <c r="D262" i="3"/>
  <c r="L262" i="3" s="1"/>
  <c r="B262" i="3"/>
  <c r="Z261" i="3"/>
  <c r="X261" i="3"/>
  <c r="N261" i="3"/>
  <c r="L261" i="3"/>
  <c r="B261" i="3"/>
  <c r="X260" i="3"/>
  <c r="T260" i="3"/>
  <c r="Z260" i="3" s="1"/>
  <c r="P260" i="3"/>
  <c r="H260" i="3"/>
  <c r="D260" i="3"/>
  <c r="L260" i="3" s="1"/>
  <c r="B260" i="3"/>
  <c r="Z259" i="3"/>
  <c r="X259" i="3"/>
  <c r="N259" i="3"/>
  <c r="L259" i="3"/>
  <c r="B259" i="3"/>
  <c r="X258" i="3"/>
  <c r="Z258" i="3" s="1"/>
  <c r="T258" i="3"/>
  <c r="P258" i="3"/>
  <c r="H258" i="3"/>
  <c r="D258" i="3"/>
  <c r="L258" i="3" s="1"/>
  <c r="B258" i="3"/>
  <c r="Z257" i="3"/>
  <c r="X257" i="3"/>
  <c r="N257" i="3"/>
  <c r="L257" i="3"/>
  <c r="B257" i="3"/>
  <c r="T256" i="3"/>
  <c r="P256" i="3"/>
  <c r="H256" i="3"/>
  <c r="D256" i="3"/>
  <c r="L256" i="3" s="1"/>
  <c r="B256" i="3"/>
  <c r="X255" i="3"/>
  <c r="Z255" i="3" s="1"/>
  <c r="V255" i="3"/>
  <c r="N255" i="3"/>
  <c r="L255" i="3"/>
  <c r="B255" i="3"/>
  <c r="T254" i="3"/>
  <c r="P254" i="3"/>
  <c r="X254" i="3" s="1"/>
  <c r="L254" i="3"/>
  <c r="H254" i="3"/>
  <c r="N254" i="3" s="1"/>
  <c r="D254" i="3"/>
  <c r="B254" i="3"/>
  <c r="Z253" i="3"/>
  <c r="X253" i="3"/>
  <c r="N253" i="3"/>
  <c r="L253" i="3"/>
  <c r="B253" i="3"/>
  <c r="X252" i="3"/>
  <c r="Z252" i="3" s="1"/>
  <c r="N252" i="3"/>
  <c r="L252" i="3"/>
  <c r="J252" i="3"/>
  <c r="B252" i="3"/>
  <c r="T251" i="3"/>
  <c r="P251" i="3"/>
  <c r="X251" i="3" s="1"/>
  <c r="Z251" i="3" s="1"/>
  <c r="H251" i="3"/>
  <c r="D251" i="3"/>
  <c r="B251" i="3"/>
  <c r="X250" i="3"/>
  <c r="Z250" i="3" s="1"/>
  <c r="L250" i="3"/>
  <c r="N250" i="3" s="1"/>
  <c r="B250" i="3"/>
  <c r="Z249" i="3"/>
  <c r="X249" i="3"/>
  <c r="N249" i="3"/>
  <c r="L249" i="3"/>
  <c r="B249" i="3"/>
  <c r="V248" i="3"/>
  <c r="T248" i="3"/>
  <c r="P248" i="3"/>
  <c r="X248" i="3" s="1"/>
  <c r="H248" i="3"/>
  <c r="N248" i="3" s="1"/>
  <c r="D248" i="3"/>
  <c r="L248" i="3" s="1"/>
  <c r="B248" i="3"/>
  <c r="X247" i="3"/>
  <c r="Z247" i="3" s="1"/>
  <c r="V247" i="3"/>
  <c r="N247" i="3"/>
  <c r="L247" i="3"/>
  <c r="B247" i="3"/>
  <c r="T246" i="3"/>
  <c r="P246" i="3"/>
  <c r="X246" i="3" s="1"/>
  <c r="L246" i="3"/>
  <c r="H246" i="3"/>
  <c r="N246" i="3" s="1"/>
  <c r="D246" i="3"/>
  <c r="B246" i="3"/>
  <c r="Z245" i="3"/>
  <c r="X245" i="3"/>
  <c r="N245" i="3"/>
  <c r="L245" i="3"/>
  <c r="B245" i="3"/>
  <c r="T244" i="3"/>
  <c r="Z244" i="3" s="1"/>
  <c r="P244" i="3"/>
  <c r="X244" i="3" s="1"/>
  <c r="N244" i="3"/>
  <c r="L244" i="3"/>
  <c r="H244" i="3"/>
  <c r="D244" i="3"/>
  <c r="B244" i="3"/>
  <c r="Z243" i="3"/>
  <c r="X243" i="3"/>
  <c r="L243" i="3"/>
  <c r="N243" i="3" s="1"/>
  <c r="J243" i="3"/>
  <c r="B243" i="3"/>
  <c r="X242" i="3"/>
  <c r="Z242" i="3" s="1"/>
  <c r="L242" i="3"/>
  <c r="N242" i="3" s="1"/>
  <c r="B242" i="3"/>
  <c r="Z241" i="3"/>
  <c r="X241" i="3"/>
  <c r="N241" i="3"/>
  <c r="L241" i="3"/>
  <c r="B241" i="3"/>
  <c r="T240" i="3"/>
  <c r="P240" i="3"/>
  <c r="H240" i="3"/>
  <c r="D240" i="3"/>
  <c r="L240" i="3" s="1"/>
  <c r="B240" i="3"/>
  <c r="Z239" i="3"/>
  <c r="X239" i="3"/>
  <c r="V239" i="3"/>
  <c r="N239" i="3"/>
  <c r="L239" i="3"/>
  <c r="B239" i="3"/>
  <c r="X238" i="3"/>
  <c r="Z238" i="3" s="1"/>
  <c r="N238" i="3"/>
  <c r="L238" i="3"/>
  <c r="B238" i="3"/>
  <c r="Z237" i="3"/>
  <c r="X237" i="3"/>
  <c r="T237" i="3"/>
  <c r="P237" i="3"/>
  <c r="L237" i="3"/>
  <c r="J237" i="3"/>
  <c r="H237" i="3"/>
  <c r="D237" i="3"/>
  <c r="B237" i="3"/>
  <c r="Z236" i="3"/>
  <c r="X236" i="3"/>
  <c r="L236" i="3"/>
  <c r="N236" i="3" s="1"/>
  <c r="J236" i="3"/>
  <c r="B236" i="3"/>
  <c r="Z235" i="3"/>
  <c r="X235" i="3"/>
  <c r="N235" i="3"/>
  <c r="L235" i="3"/>
  <c r="B235" i="3"/>
  <c r="X234" i="3"/>
  <c r="Z234" i="3" s="1"/>
  <c r="L234" i="3"/>
  <c r="N234" i="3" s="1"/>
  <c r="B234" i="3"/>
  <c r="Z233" i="3"/>
  <c r="X233" i="3"/>
  <c r="N233" i="3"/>
  <c r="L233" i="3"/>
  <c r="B233" i="3"/>
  <c r="T232" i="3"/>
  <c r="P232" i="3"/>
  <c r="X232" i="3" s="1"/>
  <c r="L232" i="3"/>
  <c r="N232" i="3" s="1"/>
  <c r="H232" i="3"/>
  <c r="D232" i="3"/>
  <c r="B232" i="3"/>
  <c r="X231" i="3"/>
  <c r="Z231" i="3" s="1"/>
  <c r="L231" i="3"/>
  <c r="N231" i="3" s="1"/>
  <c r="J231" i="3"/>
  <c r="B231" i="3"/>
  <c r="T230" i="3"/>
  <c r="Z230" i="3" s="1"/>
  <c r="P230" i="3"/>
  <c r="X230" i="3" s="1"/>
  <c r="H230" i="3"/>
  <c r="J230" i="3" s="1"/>
  <c r="D230" i="3"/>
  <c r="L230" i="3" s="1"/>
  <c r="B230" i="3"/>
  <c r="Z229" i="3"/>
  <c r="X229" i="3"/>
  <c r="N229" i="3"/>
  <c r="L229" i="3"/>
  <c r="B229" i="3"/>
  <c r="X228" i="3"/>
  <c r="Z228" i="3" s="1"/>
  <c r="L228" i="3"/>
  <c r="N228" i="3" s="1"/>
  <c r="B228" i="3"/>
  <c r="X227" i="3"/>
  <c r="V227" i="3"/>
  <c r="T227" i="3"/>
  <c r="P227" i="3"/>
  <c r="N227" i="3"/>
  <c r="L227" i="3"/>
  <c r="H227" i="3"/>
  <c r="D227" i="3"/>
  <c r="B227" i="3"/>
  <c r="Z226" i="3"/>
  <c r="X226" i="3"/>
  <c r="L226" i="3"/>
  <c r="N226" i="3" s="1"/>
  <c r="B226" i="3"/>
  <c r="T225" i="3"/>
  <c r="P225" i="3"/>
  <c r="H225" i="3"/>
  <c r="D225" i="3"/>
  <c r="L225" i="3" s="1"/>
  <c r="N225" i="3" s="1"/>
  <c r="B225" i="3"/>
  <c r="Z224" i="3"/>
  <c r="X224" i="3"/>
  <c r="V224" i="3"/>
  <c r="N224" i="3"/>
  <c r="L224" i="3"/>
  <c r="B224" i="3"/>
  <c r="Z223" i="3"/>
  <c r="X223" i="3"/>
  <c r="N223" i="3"/>
  <c r="L223" i="3"/>
  <c r="J223" i="3"/>
  <c r="B223" i="3"/>
  <c r="X222" i="3"/>
  <c r="Z222" i="3" s="1"/>
  <c r="L222" i="3"/>
  <c r="N222" i="3" s="1"/>
  <c r="B222" i="3"/>
  <c r="Z221" i="3"/>
  <c r="X221" i="3"/>
  <c r="L221" i="3"/>
  <c r="N221" i="3" s="1"/>
  <c r="B221" i="3"/>
  <c r="Z220" i="3"/>
  <c r="X220" i="3"/>
  <c r="V220" i="3"/>
  <c r="N220" i="3"/>
  <c r="L220" i="3"/>
  <c r="B220" i="3"/>
  <c r="X219" i="3"/>
  <c r="Z219" i="3" s="1"/>
  <c r="L219" i="3"/>
  <c r="N219" i="3" s="1"/>
  <c r="J219" i="3"/>
  <c r="B219" i="3"/>
  <c r="X218" i="3"/>
  <c r="Z218" i="3" s="1"/>
  <c r="L218" i="3"/>
  <c r="N218" i="3" s="1"/>
  <c r="B218" i="3"/>
  <c r="Z217" i="3"/>
  <c r="X217" i="3"/>
  <c r="N217" i="3"/>
  <c r="L217" i="3"/>
  <c r="B217" i="3"/>
  <c r="X216" i="3"/>
  <c r="Z216" i="3" s="1"/>
  <c r="V216" i="3"/>
  <c r="L216" i="3"/>
  <c r="N216" i="3" s="1"/>
  <c r="B216" i="3"/>
  <c r="X215" i="3"/>
  <c r="Z215" i="3" s="1"/>
  <c r="L215" i="3"/>
  <c r="N215" i="3" s="1"/>
  <c r="J215" i="3"/>
  <c r="B215" i="3"/>
  <c r="T214" i="3"/>
  <c r="Z214" i="3" s="1"/>
  <c r="P214" i="3"/>
  <c r="X214" i="3" s="1"/>
  <c r="J214" i="3"/>
  <c r="H214" i="3"/>
  <c r="D214" i="3"/>
  <c r="L214" i="3" s="1"/>
  <c r="B214" i="3"/>
  <c r="X213" i="3"/>
  <c r="Z213" i="3" s="1"/>
  <c r="N213" i="3"/>
  <c r="L213" i="3"/>
  <c r="B213" i="3"/>
  <c r="X212" i="3"/>
  <c r="Z212" i="3" s="1"/>
  <c r="N212" i="3"/>
  <c r="L212" i="3"/>
  <c r="B212" i="3"/>
  <c r="X211" i="3"/>
  <c r="Z211" i="3" s="1"/>
  <c r="V211" i="3"/>
  <c r="N211" i="3"/>
  <c r="L211" i="3"/>
  <c r="B211" i="3"/>
  <c r="Z210" i="3"/>
  <c r="X210" i="3"/>
  <c r="N210" i="3"/>
  <c r="L210" i="3"/>
  <c r="B210" i="3"/>
  <c r="X209" i="3"/>
  <c r="Z209" i="3" s="1"/>
  <c r="N209" i="3"/>
  <c r="L209" i="3"/>
  <c r="B209" i="3"/>
  <c r="X208" i="3"/>
  <c r="Z208" i="3" s="1"/>
  <c r="N208" i="3"/>
  <c r="L208" i="3"/>
  <c r="B208" i="3"/>
  <c r="X207" i="3"/>
  <c r="Z207" i="3" s="1"/>
  <c r="V207" i="3"/>
  <c r="N207" i="3"/>
  <c r="L207" i="3"/>
  <c r="B207" i="3"/>
  <c r="X206" i="3"/>
  <c r="Z206" i="3" s="1"/>
  <c r="L206" i="3"/>
  <c r="N206" i="3" s="1"/>
  <c r="B206" i="3"/>
  <c r="X205" i="3"/>
  <c r="Z205" i="3" s="1"/>
  <c r="N205" i="3"/>
  <c r="L205" i="3"/>
  <c r="B205" i="3"/>
  <c r="X204" i="3"/>
  <c r="Z204" i="3" s="1"/>
  <c r="N204" i="3"/>
  <c r="L204" i="3"/>
  <c r="B204" i="3"/>
  <c r="X203" i="3"/>
  <c r="V203" i="3"/>
  <c r="T203" i="3"/>
  <c r="Z203" i="3" s="1"/>
  <c r="P203" i="3"/>
  <c r="H203" i="3"/>
  <c r="D203" i="3"/>
  <c r="L203" i="3" s="1"/>
  <c r="B203" i="3"/>
  <c r="T202" i="3"/>
  <c r="P202" i="3"/>
  <c r="X202" i="3" s="1"/>
  <c r="H202" i="3"/>
  <c r="D202" i="3"/>
  <c r="Z198" i="3"/>
  <c r="X198" i="3"/>
  <c r="N198" i="3"/>
  <c r="L198" i="3"/>
  <c r="B198" i="3"/>
  <c r="Z197" i="3"/>
  <c r="X197" i="3"/>
  <c r="N197" i="3"/>
  <c r="L197" i="3"/>
  <c r="B197" i="3"/>
  <c r="Z196" i="3"/>
  <c r="X196" i="3"/>
  <c r="N196" i="3"/>
  <c r="L196" i="3"/>
  <c r="J196" i="3"/>
  <c r="B196" i="3"/>
  <c r="Z195" i="3"/>
  <c r="X195" i="3"/>
  <c r="N195" i="3"/>
  <c r="L195" i="3"/>
  <c r="J195" i="3"/>
  <c r="B195" i="3"/>
  <c r="Z194" i="3"/>
  <c r="X194" i="3"/>
  <c r="N194" i="3"/>
  <c r="L194" i="3"/>
  <c r="B194" i="3"/>
  <c r="Z193" i="3"/>
  <c r="X193" i="3"/>
  <c r="N193" i="3"/>
  <c r="L193" i="3"/>
  <c r="B193" i="3"/>
  <c r="Z192" i="3"/>
  <c r="X192" i="3"/>
  <c r="N192" i="3"/>
  <c r="L192" i="3"/>
  <c r="J192" i="3"/>
  <c r="B192" i="3"/>
  <c r="Z191" i="3"/>
  <c r="X191" i="3"/>
  <c r="N191" i="3"/>
  <c r="L191" i="3"/>
  <c r="J191" i="3"/>
  <c r="B191" i="3"/>
  <c r="Z190" i="3"/>
  <c r="X190" i="3"/>
  <c r="N190" i="3"/>
  <c r="L190" i="3"/>
  <c r="B190" i="3"/>
  <c r="Z189" i="3"/>
  <c r="X189" i="3"/>
  <c r="N189" i="3"/>
  <c r="L189" i="3"/>
  <c r="B189" i="3"/>
  <c r="Z188" i="3"/>
  <c r="X188" i="3"/>
  <c r="N188" i="3"/>
  <c r="L188" i="3"/>
  <c r="J188" i="3"/>
  <c r="B188" i="3"/>
  <c r="Z187" i="3"/>
  <c r="X187" i="3"/>
  <c r="N187" i="3"/>
  <c r="L187" i="3"/>
  <c r="J187" i="3"/>
  <c r="B187" i="3"/>
  <c r="Z186" i="3"/>
  <c r="X186" i="3"/>
  <c r="N186" i="3"/>
  <c r="L186" i="3"/>
  <c r="B186" i="3"/>
  <c r="Z185" i="3"/>
  <c r="X185" i="3"/>
  <c r="N185" i="3"/>
  <c r="L185" i="3"/>
  <c r="B185" i="3"/>
  <c r="Z184" i="3"/>
  <c r="X184" i="3"/>
  <c r="N184" i="3"/>
  <c r="L184" i="3"/>
  <c r="J184" i="3"/>
  <c r="B184" i="3"/>
  <c r="Z183" i="3"/>
  <c r="X183" i="3"/>
  <c r="N183" i="3"/>
  <c r="L183" i="3"/>
  <c r="J183" i="3"/>
  <c r="B183" i="3"/>
  <c r="Z182" i="3"/>
  <c r="X182" i="3"/>
  <c r="N182" i="3"/>
  <c r="L182" i="3"/>
  <c r="B182" i="3"/>
  <c r="Z181" i="3"/>
  <c r="X181" i="3"/>
  <c r="N181" i="3"/>
  <c r="L181" i="3"/>
  <c r="B181" i="3"/>
  <c r="Z180" i="3"/>
  <c r="X180" i="3"/>
  <c r="N180" i="3"/>
  <c r="L180" i="3"/>
  <c r="J180" i="3"/>
  <c r="B180" i="3"/>
  <c r="Z179" i="3"/>
  <c r="X179" i="3"/>
  <c r="N179" i="3"/>
  <c r="L179" i="3"/>
  <c r="J179" i="3"/>
  <c r="B179" i="3"/>
  <c r="Z178" i="3"/>
  <c r="X178" i="3"/>
  <c r="N178" i="3"/>
  <c r="L178" i="3"/>
  <c r="B178" i="3"/>
  <c r="Z177" i="3"/>
  <c r="X177" i="3"/>
  <c r="N177" i="3"/>
  <c r="L177" i="3"/>
  <c r="B177" i="3"/>
  <c r="Z176" i="3"/>
  <c r="X176" i="3"/>
  <c r="N176" i="3"/>
  <c r="L176" i="3"/>
  <c r="J176" i="3"/>
  <c r="B176" i="3"/>
  <c r="Z175" i="3"/>
  <c r="X175" i="3"/>
  <c r="N175" i="3"/>
  <c r="L175" i="3"/>
  <c r="J175" i="3"/>
  <c r="B175" i="3"/>
  <c r="Z174" i="3"/>
  <c r="X174" i="3"/>
  <c r="N174" i="3"/>
  <c r="L174" i="3"/>
  <c r="B174" i="3"/>
  <c r="Z173" i="3"/>
  <c r="X173" i="3"/>
  <c r="N173" i="3"/>
  <c r="L173" i="3"/>
  <c r="B173" i="3"/>
  <c r="Z172" i="3"/>
  <c r="X172" i="3"/>
  <c r="N172" i="3"/>
  <c r="L172" i="3"/>
  <c r="J172" i="3"/>
  <c r="B172" i="3"/>
  <c r="Z171" i="3"/>
  <c r="X171" i="3"/>
  <c r="N171" i="3"/>
  <c r="L171" i="3"/>
  <c r="J171" i="3"/>
  <c r="B171" i="3"/>
  <c r="Z170" i="3"/>
  <c r="X170" i="3"/>
  <c r="N170" i="3"/>
  <c r="L170" i="3"/>
  <c r="B170" i="3"/>
  <c r="Z169" i="3"/>
  <c r="X169" i="3"/>
  <c r="N169" i="3"/>
  <c r="L169" i="3"/>
  <c r="B169" i="3"/>
  <c r="Z168" i="3"/>
  <c r="X168" i="3"/>
  <c r="N168" i="3"/>
  <c r="L168" i="3"/>
  <c r="J168" i="3"/>
  <c r="B168" i="3"/>
  <c r="Z167" i="3"/>
  <c r="X167" i="3"/>
  <c r="N167" i="3"/>
  <c r="L167" i="3"/>
  <c r="J167" i="3"/>
  <c r="B167" i="3"/>
  <c r="Z166" i="3"/>
  <c r="X166" i="3"/>
  <c r="N166" i="3"/>
  <c r="L166" i="3"/>
  <c r="B166" i="3"/>
  <c r="Z165" i="3"/>
  <c r="X165" i="3"/>
  <c r="N165" i="3"/>
  <c r="L165" i="3"/>
  <c r="B165" i="3"/>
  <c r="Z164" i="3"/>
  <c r="X164" i="3"/>
  <c r="N164" i="3"/>
  <c r="L164" i="3"/>
  <c r="J164" i="3"/>
  <c r="B164" i="3"/>
  <c r="Z163" i="3"/>
  <c r="X163" i="3"/>
  <c r="N163" i="3"/>
  <c r="L163" i="3"/>
  <c r="J163" i="3"/>
  <c r="B163" i="3"/>
  <c r="Z162" i="3"/>
  <c r="X162" i="3"/>
  <c r="N162" i="3"/>
  <c r="L162" i="3"/>
  <c r="B162" i="3"/>
  <c r="Z161" i="3"/>
  <c r="X161" i="3"/>
  <c r="N161" i="3"/>
  <c r="L161" i="3"/>
  <c r="B161" i="3"/>
  <c r="Z160" i="3"/>
  <c r="X160" i="3"/>
  <c r="N160" i="3"/>
  <c r="L160" i="3"/>
  <c r="J160" i="3"/>
  <c r="B160" i="3"/>
  <c r="Z159" i="3"/>
  <c r="X159" i="3"/>
  <c r="N159" i="3"/>
  <c r="L159" i="3"/>
  <c r="J159" i="3"/>
  <c r="B159" i="3"/>
  <c r="Z158" i="3"/>
  <c r="X158" i="3"/>
  <c r="N158" i="3"/>
  <c r="L158" i="3"/>
  <c r="B158" i="3"/>
  <c r="Z157" i="3"/>
  <c r="X157" i="3"/>
  <c r="N157" i="3"/>
  <c r="L157" i="3"/>
  <c r="B157" i="3"/>
  <c r="Z156" i="3"/>
  <c r="X156" i="3"/>
  <c r="N156" i="3"/>
  <c r="L156" i="3"/>
  <c r="J156" i="3"/>
  <c r="B156" i="3"/>
  <c r="Z155" i="3"/>
  <c r="X155" i="3"/>
  <c r="N155" i="3"/>
  <c r="L155" i="3"/>
  <c r="J155" i="3"/>
  <c r="B155" i="3"/>
  <c r="Z154" i="3"/>
  <c r="X154" i="3"/>
  <c r="N154" i="3"/>
  <c r="L154" i="3"/>
  <c r="B154" i="3"/>
  <c r="Z153" i="3"/>
  <c r="X153" i="3"/>
  <c r="N153" i="3"/>
  <c r="L153" i="3"/>
  <c r="B153" i="3"/>
  <c r="Z152" i="3"/>
  <c r="X152" i="3"/>
  <c r="N152" i="3"/>
  <c r="L152" i="3"/>
  <c r="J152" i="3"/>
  <c r="B152" i="3"/>
  <c r="Z151" i="3"/>
  <c r="X151" i="3"/>
  <c r="N151" i="3"/>
  <c r="L151" i="3"/>
  <c r="J151" i="3"/>
  <c r="B151" i="3"/>
  <c r="Z150" i="3"/>
  <c r="X150" i="3"/>
  <c r="N150" i="3"/>
  <c r="L150" i="3"/>
  <c r="B150" i="3"/>
  <c r="Z149" i="3"/>
  <c r="X149" i="3"/>
  <c r="N149" i="3"/>
  <c r="L149" i="3"/>
  <c r="B149" i="3"/>
  <c r="Z148" i="3"/>
  <c r="X148" i="3"/>
  <c r="N148" i="3"/>
  <c r="L148" i="3"/>
  <c r="J148" i="3"/>
  <c r="B148" i="3"/>
  <c r="Z147" i="3"/>
  <c r="X147" i="3"/>
  <c r="N147" i="3"/>
  <c r="L147" i="3"/>
  <c r="J147" i="3"/>
  <c r="B147" i="3"/>
  <c r="Z146" i="3"/>
  <c r="X146" i="3"/>
  <c r="N146" i="3"/>
  <c r="L146" i="3"/>
  <c r="B146" i="3"/>
  <c r="Z145" i="3"/>
  <c r="X145" i="3"/>
  <c r="N145" i="3"/>
  <c r="L145" i="3"/>
  <c r="B145" i="3"/>
  <c r="Z144" i="3"/>
  <c r="X144" i="3"/>
  <c r="N144" i="3"/>
  <c r="L144" i="3"/>
  <c r="J144" i="3"/>
  <c r="B144" i="3"/>
  <c r="Z143" i="3"/>
  <c r="X143" i="3"/>
  <c r="N143" i="3"/>
  <c r="L143" i="3"/>
  <c r="J143" i="3"/>
  <c r="B143" i="3"/>
  <c r="Z142" i="3"/>
  <c r="X142" i="3"/>
  <c r="N142" i="3"/>
  <c r="L142" i="3"/>
  <c r="B142" i="3"/>
  <c r="Z141" i="3"/>
  <c r="X141" i="3"/>
  <c r="N141" i="3"/>
  <c r="L141" i="3"/>
  <c r="B141" i="3"/>
  <c r="Z140" i="3"/>
  <c r="X140" i="3"/>
  <c r="N140" i="3"/>
  <c r="L140" i="3"/>
  <c r="J140" i="3"/>
  <c r="B140" i="3"/>
  <c r="Z139" i="3"/>
  <c r="X139" i="3"/>
  <c r="L139" i="3"/>
  <c r="N139" i="3" s="1"/>
  <c r="J139" i="3"/>
  <c r="B139" i="3"/>
  <c r="Z138" i="3"/>
  <c r="X138" i="3"/>
  <c r="T138" i="3"/>
  <c r="P138" i="3"/>
  <c r="H138" i="3"/>
  <c r="D138" i="3"/>
  <c r="L138" i="3" s="1"/>
  <c r="Z136" i="3"/>
  <c r="X136" i="3"/>
  <c r="P136" i="3"/>
  <c r="N136" i="3"/>
  <c r="D136" i="3"/>
  <c r="L136" i="3" s="1"/>
  <c r="B136" i="3"/>
  <c r="Z135" i="3"/>
  <c r="P135" i="3"/>
  <c r="X135" i="3" s="1"/>
  <c r="N135" i="3"/>
  <c r="D135" i="3"/>
  <c r="L135" i="3" s="1"/>
  <c r="B135" i="3"/>
  <c r="Z134" i="3"/>
  <c r="X134" i="3"/>
  <c r="P134" i="3"/>
  <c r="N134" i="3"/>
  <c r="D134" i="3"/>
  <c r="L134" i="3" s="1"/>
  <c r="B134" i="3"/>
  <c r="Z133" i="3"/>
  <c r="P133" i="3"/>
  <c r="X133" i="3" s="1"/>
  <c r="N133" i="3"/>
  <c r="L133" i="3"/>
  <c r="D133" i="3"/>
  <c r="B133" i="3"/>
  <c r="Z132" i="3"/>
  <c r="X132" i="3"/>
  <c r="P132" i="3"/>
  <c r="N132" i="3"/>
  <c r="D132" i="3"/>
  <c r="L132" i="3" s="1"/>
  <c r="B132" i="3"/>
  <c r="Z131" i="3"/>
  <c r="X131" i="3"/>
  <c r="P131" i="3"/>
  <c r="N131" i="3"/>
  <c r="L131" i="3"/>
  <c r="D131" i="3"/>
  <c r="B131" i="3"/>
  <c r="Z130" i="3"/>
  <c r="P130" i="3"/>
  <c r="X130" i="3" s="1"/>
  <c r="N130" i="3"/>
  <c r="D130" i="3"/>
  <c r="L130" i="3" s="1"/>
  <c r="B130" i="3"/>
  <c r="Z129" i="3"/>
  <c r="P129" i="3"/>
  <c r="X129" i="3" s="1"/>
  <c r="N129" i="3"/>
  <c r="L129" i="3"/>
  <c r="D129" i="3"/>
  <c r="B129" i="3"/>
  <c r="Z128" i="3"/>
  <c r="X128" i="3"/>
  <c r="P128" i="3"/>
  <c r="N128" i="3"/>
  <c r="D128" i="3"/>
  <c r="L128" i="3" s="1"/>
  <c r="B128" i="3"/>
  <c r="Z127" i="3"/>
  <c r="P127" i="3"/>
  <c r="X127" i="3" s="1"/>
  <c r="N127" i="3"/>
  <c r="D127" i="3"/>
  <c r="L127" i="3" s="1"/>
  <c r="B127" i="3"/>
  <c r="Z126" i="3"/>
  <c r="P126" i="3"/>
  <c r="X126" i="3" s="1"/>
  <c r="N126" i="3"/>
  <c r="D126" i="3"/>
  <c r="L126" i="3" s="1"/>
  <c r="B126" i="3"/>
  <c r="Z125" i="3"/>
  <c r="P125" i="3"/>
  <c r="X125" i="3" s="1"/>
  <c r="N125" i="3"/>
  <c r="L125" i="3"/>
  <c r="D125" i="3"/>
  <c r="B125" i="3"/>
  <c r="Z124" i="3"/>
  <c r="X124" i="3"/>
  <c r="P124" i="3"/>
  <c r="N124" i="3"/>
  <c r="D124" i="3"/>
  <c r="L124" i="3" s="1"/>
  <c r="B124" i="3"/>
  <c r="Z123" i="3"/>
  <c r="P123" i="3"/>
  <c r="X123" i="3" s="1"/>
  <c r="N123" i="3"/>
  <c r="D123" i="3"/>
  <c r="L123" i="3" s="1"/>
  <c r="B123" i="3"/>
  <c r="Z122" i="3"/>
  <c r="X122" i="3"/>
  <c r="P122" i="3"/>
  <c r="N122" i="3"/>
  <c r="D122" i="3"/>
  <c r="L122" i="3" s="1"/>
  <c r="B122" i="3"/>
  <c r="Z121" i="3"/>
  <c r="P121" i="3"/>
  <c r="X121" i="3" s="1"/>
  <c r="N121" i="3"/>
  <c r="L121" i="3"/>
  <c r="D121" i="3"/>
  <c r="B121" i="3"/>
  <c r="Z120" i="3"/>
  <c r="X120" i="3"/>
  <c r="P120" i="3"/>
  <c r="N120" i="3"/>
  <c r="D120" i="3"/>
  <c r="L120" i="3" s="1"/>
  <c r="B120" i="3"/>
  <c r="Z119" i="3"/>
  <c r="P119" i="3"/>
  <c r="X119" i="3" s="1"/>
  <c r="N119" i="3"/>
  <c r="L119" i="3"/>
  <c r="D119" i="3"/>
  <c r="B119" i="3"/>
  <c r="Z118" i="3"/>
  <c r="P118" i="3"/>
  <c r="X118" i="3" s="1"/>
  <c r="N118" i="3"/>
  <c r="D118" i="3"/>
  <c r="L118" i="3" s="1"/>
  <c r="B118" i="3"/>
  <c r="Z117" i="3"/>
  <c r="P117" i="3"/>
  <c r="X117" i="3" s="1"/>
  <c r="N117" i="3"/>
  <c r="L117" i="3"/>
  <c r="D117" i="3"/>
  <c r="B117" i="3"/>
  <c r="Z116" i="3"/>
  <c r="X116" i="3"/>
  <c r="P116" i="3"/>
  <c r="N116" i="3"/>
  <c r="D116" i="3"/>
  <c r="L116" i="3" s="1"/>
  <c r="B116" i="3"/>
  <c r="Z115" i="3"/>
  <c r="P115" i="3"/>
  <c r="X115" i="3" s="1"/>
  <c r="N115" i="3"/>
  <c r="D115" i="3"/>
  <c r="L115" i="3" s="1"/>
  <c r="B115" i="3"/>
  <c r="Z114" i="3"/>
  <c r="P114" i="3"/>
  <c r="X114" i="3" s="1"/>
  <c r="N114" i="3"/>
  <c r="D114" i="3"/>
  <c r="L114" i="3" s="1"/>
  <c r="B114" i="3"/>
  <c r="Z113" i="3"/>
  <c r="P113" i="3"/>
  <c r="X113" i="3" s="1"/>
  <c r="N113" i="3"/>
  <c r="L113" i="3"/>
  <c r="D113" i="3"/>
  <c r="B113" i="3"/>
  <c r="Z112" i="3"/>
  <c r="X112" i="3"/>
  <c r="P112" i="3"/>
  <c r="N112" i="3"/>
  <c r="D112" i="3"/>
  <c r="L112" i="3" s="1"/>
  <c r="B112" i="3"/>
  <c r="Z111" i="3"/>
  <c r="P111" i="3"/>
  <c r="X111" i="3" s="1"/>
  <c r="N111" i="3"/>
  <c r="D111" i="3"/>
  <c r="L111" i="3" s="1"/>
  <c r="B111" i="3"/>
  <c r="Z110" i="3"/>
  <c r="X110" i="3"/>
  <c r="P110" i="3"/>
  <c r="N110" i="3"/>
  <c r="D110" i="3"/>
  <c r="L110" i="3" s="1"/>
  <c r="B110" i="3"/>
  <c r="Z109" i="3"/>
  <c r="P109" i="3"/>
  <c r="X109" i="3" s="1"/>
  <c r="N109" i="3"/>
  <c r="L109" i="3"/>
  <c r="D109" i="3"/>
  <c r="B109" i="3"/>
  <c r="Z108" i="3"/>
  <c r="X108" i="3"/>
  <c r="P108" i="3"/>
  <c r="N108" i="3"/>
  <c r="D108" i="3"/>
  <c r="L108" i="3" s="1"/>
  <c r="B108" i="3"/>
  <c r="Z107" i="3"/>
  <c r="X107" i="3"/>
  <c r="P107" i="3"/>
  <c r="N107" i="3"/>
  <c r="L107" i="3"/>
  <c r="D107" i="3"/>
  <c r="B107" i="3"/>
  <c r="Z106" i="3"/>
  <c r="P106" i="3"/>
  <c r="X106" i="3" s="1"/>
  <c r="N106" i="3"/>
  <c r="D106" i="3"/>
  <c r="L106" i="3" s="1"/>
  <c r="B106" i="3"/>
  <c r="Z105" i="3"/>
  <c r="P105" i="3"/>
  <c r="X105" i="3" s="1"/>
  <c r="N105" i="3"/>
  <c r="L105" i="3"/>
  <c r="D105" i="3"/>
  <c r="B105" i="3"/>
  <c r="Z104" i="3"/>
  <c r="X104" i="3"/>
  <c r="P104" i="3"/>
  <c r="N104" i="3"/>
  <c r="L104" i="3"/>
  <c r="D104" i="3"/>
  <c r="B104" i="3"/>
  <c r="Z103" i="3"/>
  <c r="P103" i="3"/>
  <c r="X103" i="3" s="1"/>
  <c r="N103" i="3"/>
  <c r="D103" i="3"/>
  <c r="L103" i="3" s="1"/>
  <c r="B103" i="3"/>
  <c r="Z102" i="3"/>
  <c r="P102" i="3"/>
  <c r="X102" i="3" s="1"/>
  <c r="N102" i="3"/>
  <c r="D102" i="3"/>
  <c r="L102" i="3" s="1"/>
  <c r="B102" i="3"/>
  <c r="Z101" i="3"/>
  <c r="P101" i="3"/>
  <c r="X101" i="3" s="1"/>
  <c r="N101" i="3"/>
  <c r="L101" i="3"/>
  <c r="D101" i="3"/>
  <c r="B101" i="3"/>
  <c r="Z100" i="3"/>
  <c r="X100" i="3"/>
  <c r="P100" i="3"/>
  <c r="N100" i="3"/>
  <c r="D100" i="3"/>
  <c r="L100" i="3" s="1"/>
  <c r="B100" i="3"/>
  <c r="Z99" i="3"/>
  <c r="P99" i="3"/>
  <c r="X99" i="3" s="1"/>
  <c r="N99" i="3"/>
  <c r="D99" i="3"/>
  <c r="L99" i="3" s="1"/>
  <c r="B99" i="3"/>
  <c r="Z98" i="3"/>
  <c r="X98" i="3"/>
  <c r="P98" i="3"/>
  <c r="N98" i="3"/>
  <c r="L98" i="3"/>
  <c r="D98" i="3"/>
  <c r="B98" i="3"/>
  <c r="Z97" i="3"/>
  <c r="P97" i="3"/>
  <c r="X97" i="3" s="1"/>
  <c r="N97" i="3"/>
  <c r="L97" i="3"/>
  <c r="D97" i="3"/>
  <c r="B97" i="3"/>
  <c r="Z96" i="3"/>
  <c r="X96" i="3"/>
  <c r="P96" i="3"/>
  <c r="N96" i="3"/>
  <c r="D96" i="3"/>
  <c r="L96" i="3" s="1"/>
  <c r="B96" i="3"/>
  <c r="Z95" i="3"/>
  <c r="P95" i="3"/>
  <c r="X95" i="3" s="1"/>
  <c r="N95" i="3"/>
  <c r="L95" i="3"/>
  <c r="D95" i="3"/>
  <c r="B95" i="3"/>
  <c r="Z94" i="3"/>
  <c r="P94" i="3"/>
  <c r="X94" i="3" s="1"/>
  <c r="N94" i="3"/>
  <c r="D94" i="3"/>
  <c r="L94" i="3" s="1"/>
  <c r="B94" i="3"/>
  <c r="Z93" i="3"/>
  <c r="P93" i="3"/>
  <c r="X93" i="3" s="1"/>
  <c r="N93" i="3"/>
  <c r="L93" i="3"/>
  <c r="D93" i="3"/>
  <c r="B93" i="3"/>
  <c r="Z92" i="3"/>
  <c r="X92" i="3"/>
  <c r="P92" i="3"/>
  <c r="N92" i="3"/>
  <c r="D92" i="3"/>
  <c r="L92" i="3" s="1"/>
  <c r="B92" i="3"/>
  <c r="Z91" i="3"/>
  <c r="P91" i="3"/>
  <c r="X91" i="3" s="1"/>
  <c r="N91" i="3"/>
  <c r="D91" i="3"/>
  <c r="L91" i="3" s="1"/>
  <c r="B91" i="3"/>
  <c r="Z90" i="3"/>
  <c r="P90" i="3"/>
  <c r="X90" i="3" s="1"/>
  <c r="N90" i="3"/>
  <c r="D90" i="3"/>
  <c r="L90" i="3" s="1"/>
  <c r="B90" i="3"/>
  <c r="Z89" i="3"/>
  <c r="P89" i="3"/>
  <c r="X89" i="3" s="1"/>
  <c r="N89" i="3"/>
  <c r="L89" i="3"/>
  <c r="D89" i="3"/>
  <c r="B89" i="3"/>
  <c r="Z88" i="3"/>
  <c r="X88" i="3"/>
  <c r="P88" i="3"/>
  <c r="N88" i="3"/>
  <c r="D88" i="3"/>
  <c r="L88" i="3" s="1"/>
  <c r="B88" i="3"/>
  <c r="Z87" i="3"/>
  <c r="P87" i="3"/>
  <c r="X87" i="3" s="1"/>
  <c r="N87" i="3"/>
  <c r="D87" i="3"/>
  <c r="L87" i="3" s="1"/>
  <c r="B87" i="3"/>
  <c r="Z86" i="3"/>
  <c r="X86" i="3"/>
  <c r="P86" i="3"/>
  <c r="N86" i="3"/>
  <c r="D86" i="3"/>
  <c r="L86" i="3" s="1"/>
  <c r="B86" i="3"/>
  <c r="Z85" i="3"/>
  <c r="P85" i="3"/>
  <c r="X85" i="3" s="1"/>
  <c r="N85" i="3"/>
  <c r="L85" i="3"/>
  <c r="D85" i="3"/>
  <c r="B85" i="3"/>
  <c r="Z84" i="3"/>
  <c r="X84" i="3"/>
  <c r="P84" i="3"/>
  <c r="N84" i="3"/>
  <c r="D84" i="3"/>
  <c r="L84" i="3" s="1"/>
  <c r="B84" i="3"/>
  <c r="Z83" i="3"/>
  <c r="X83" i="3"/>
  <c r="P83" i="3"/>
  <c r="N83" i="3"/>
  <c r="L83" i="3"/>
  <c r="D83" i="3"/>
  <c r="B83" i="3"/>
  <c r="Z82" i="3"/>
  <c r="P82" i="3"/>
  <c r="X82" i="3" s="1"/>
  <c r="N82" i="3"/>
  <c r="D82" i="3"/>
  <c r="L82" i="3" s="1"/>
  <c r="B82" i="3"/>
  <c r="Z81" i="3"/>
  <c r="P81" i="3"/>
  <c r="X81" i="3" s="1"/>
  <c r="N81" i="3"/>
  <c r="L81" i="3"/>
  <c r="D81" i="3"/>
  <c r="B81" i="3"/>
  <c r="Z80" i="3"/>
  <c r="X80" i="3"/>
  <c r="P80" i="3"/>
  <c r="N80" i="3"/>
  <c r="D80" i="3"/>
  <c r="L80" i="3" s="1"/>
  <c r="B80" i="3"/>
  <c r="Z79" i="3"/>
  <c r="P79" i="3"/>
  <c r="X79" i="3" s="1"/>
  <c r="N79" i="3"/>
  <c r="L79" i="3"/>
  <c r="D79" i="3"/>
  <c r="B79" i="3"/>
  <c r="Z78" i="3"/>
  <c r="P78" i="3"/>
  <c r="X78" i="3" s="1"/>
  <c r="N78" i="3"/>
  <c r="D78" i="3"/>
  <c r="L78" i="3" s="1"/>
  <c r="B78" i="3"/>
  <c r="Z77" i="3"/>
  <c r="P77" i="3"/>
  <c r="X77" i="3" s="1"/>
  <c r="N77" i="3"/>
  <c r="L77" i="3"/>
  <c r="D77" i="3"/>
  <c r="B77" i="3"/>
  <c r="Z76" i="3"/>
  <c r="X76" i="3"/>
  <c r="P76" i="3"/>
  <c r="N76" i="3"/>
  <c r="D76" i="3"/>
  <c r="L76" i="3" s="1"/>
  <c r="B76" i="3"/>
  <c r="Z75" i="3"/>
  <c r="P75" i="3"/>
  <c r="X75" i="3" s="1"/>
  <c r="N75" i="3"/>
  <c r="D75" i="3"/>
  <c r="L75" i="3" s="1"/>
  <c r="B75" i="3"/>
  <c r="Z74" i="3"/>
  <c r="X74" i="3"/>
  <c r="P74" i="3"/>
  <c r="N74" i="3"/>
  <c r="L74" i="3"/>
  <c r="D74" i="3"/>
  <c r="B74" i="3"/>
  <c r="Z73" i="3"/>
  <c r="P73" i="3"/>
  <c r="X73" i="3" s="1"/>
  <c r="N73" i="3"/>
  <c r="L73" i="3"/>
  <c r="D73" i="3"/>
  <c r="B73" i="3"/>
  <c r="Z72" i="3"/>
  <c r="X72" i="3"/>
  <c r="P72" i="3"/>
  <c r="N72" i="3"/>
  <c r="D72" i="3"/>
  <c r="L72" i="3" s="1"/>
  <c r="B72" i="3"/>
  <c r="Z71" i="3"/>
  <c r="X71" i="3"/>
  <c r="P71" i="3"/>
  <c r="N71" i="3"/>
  <c r="L71" i="3"/>
  <c r="D71" i="3"/>
  <c r="B71" i="3"/>
  <c r="Z70" i="3"/>
  <c r="P70" i="3"/>
  <c r="X70" i="3" s="1"/>
  <c r="N70" i="3"/>
  <c r="D70" i="3"/>
  <c r="L70" i="3" s="1"/>
  <c r="B70" i="3"/>
  <c r="Z69" i="3"/>
  <c r="P69" i="3"/>
  <c r="X69" i="3" s="1"/>
  <c r="N69" i="3"/>
  <c r="L69" i="3"/>
  <c r="D69" i="3"/>
  <c r="B69" i="3"/>
  <c r="Z68" i="3"/>
  <c r="X68" i="3"/>
  <c r="P68" i="3"/>
  <c r="N68" i="3"/>
  <c r="D68" i="3"/>
  <c r="L68" i="3" s="1"/>
  <c r="B68" i="3"/>
  <c r="Z67" i="3"/>
  <c r="P67" i="3"/>
  <c r="X67" i="3" s="1"/>
  <c r="N67" i="3"/>
  <c r="L67" i="3"/>
  <c r="D67" i="3"/>
  <c r="B67" i="3"/>
  <c r="Z66" i="3"/>
  <c r="P66" i="3"/>
  <c r="X66" i="3" s="1"/>
  <c r="N66" i="3"/>
  <c r="D66" i="3"/>
  <c r="L66" i="3" s="1"/>
  <c r="B66" i="3"/>
  <c r="Z65" i="3"/>
  <c r="X65" i="3"/>
  <c r="P65" i="3"/>
  <c r="N65" i="3"/>
  <c r="L65" i="3"/>
  <c r="D65" i="3"/>
  <c r="B65" i="3"/>
  <c r="Z64" i="3"/>
  <c r="X64" i="3"/>
  <c r="P64" i="3"/>
  <c r="N64" i="3"/>
  <c r="D64" i="3"/>
  <c r="L64" i="3" s="1"/>
  <c r="B64" i="3"/>
  <c r="Z63" i="3"/>
  <c r="P63" i="3"/>
  <c r="X63" i="3" s="1"/>
  <c r="N63" i="3"/>
  <c r="D63" i="3"/>
  <c r="L63" i="3" s="1"/>
  <c r="B63" i="3"/>
  <c r="Z62" i="3"/>
  <c r="X62" i="3"/>
  <c r="P62" i="3"/>
  <c r="N62" i="3"/>
  <c r="L62" i="3"/>
  <c r="D62" i="3"/>
  <c r="B62" i="3"/>
  <c r="Z61" i="3"/>
  <c r="P61" i="3"/>
  <c r="X61" i="3" s="1"/>
  <c r="N61" i="3"/>
  <c r="L61" i="3"/>
  <c r="D61" i="3"/>
  <c r="B61" i="3"/>
  <c r="Z60" i="3"/>
  <c r="X60" i="3"/>
  <c r="P60" i="3"/>
  <c r="N60" i="3"/>
  <c r="D60" i="3"/>
  <c r="L60" i="3" s="1"/>
  <c r="B60" i="3"/>
  <c r="Z59" i="3"/>
  <c r="X59" i="3"/>
  <c r="P59" i="3"/>
  <c r="N59" i="3"/>
  <c r="L59" i="3"/>
  <c r="D59" i="3"/>
  <c r="B59" i="3"/>
  <c r="Z58" i="3"/>
  <c r="X58" i="3"/>
  <c r="P58" i="3"/>
  <c r="N58" i="3"/>
  <c r="D58" i="3"/>
  <c r="L58" i="3" s="1"/>
  <c r="B58" i="3"/>
  <c r="Z57" i="3"/>
  <c r="P57" i="3"/>
  <c r="X57" i="3" s="1"/>
  <c r="N57" i="3"/>
  <c r="L57" i="3"/>
  <c r="D57" i="3"/>
  <c r="B57" i="3"/>
  <c r="Z56" i="3"/>
  <c r="X56" i="3"/>
  <c r="P56" i="3"/>
  <c r="N56" i="3"/>
  <c r="D56" i="3"/>
  <c r="L56" i="3" s="1"/>
  <c r="B56" i="3"/>
  <c r="P55" i="3"/>
  <c r="X55" i="3" s="1"/>
  <c r="Z55" i="3" s="1"/>
  <c r="L55" i="3"/>
  <c r="N55" i="3" s="1"/>
  <c r="D55" i="3"/>
  <c r="B55" i="3"/>
  <c r="Z54" i="3"/>
  <c r="P54" i="3"/>
  <c r="X54" i="3" s="1"/>
  <c r="N54" i="3"/>
  <c r="D54" i="3"/>
  <c r="L54" i="3" s="1"/>
  <c r="B54" i="3"/>
  <c r="Z53" i="3"/>
  <c r="P53" i="3"/>
  <c r="X53" i="3" s="1"/>
  <c r="N53" i="3"/>
  <c r="L53" i="3"/>
  <c r="D53" i="3"/>
  <c r="B53" i="3"/>
  <c r="Z52" i="3"/>
  <c r="X52" i="3"/>
  <c r="P52" i="3"/>
  <c r="N52" i="3"/>
  <c r="D52" i="3"/>
  <c r="L52" i="3" s="1"/>
  <c r="B52" i="3"/>
  <c r="Z51" i="3"/>
  <c r="P51" i="3"/>
  <c r="X51" i="3" s="1"/>
  <c r="N51" i="3"/>
  <c r="D51" i="3"/>
  <c r="L51" i="3" s="1"/>
  <c r="B51" i="3"/>
  <c r="Z50" i="3"/>
  <c r="X50" i="3"/>
  <c r="P50" i="3"/>
  <c r="N50" i="3"/>
  <c r="D50" i="3"/>
  <c r="L50" i="3" s="1"/>
  <c r="B50" i="3"/>
  <c r="Z49" i="3"/>
  <c r="P49" i="3"/>
  <c r="X49" i="3" s="1"/>
  <c r="N49" i="3"/>
  <c r="L49" i="3"/>
  <c r="D49" i="3"/>
  <c r="B49" i="3"/>
  <c r="Z48" i="3"/>
  <c r="X48" i="3"/>
  <c r="P48" i="3"/>
  <c r="N48" i="3"/>
  <c r="D48" i="3"/>
  <c r="L48" i="3" s="1"/>
  <c r="B48" i="3"/>
  <c r="Z47" i="3"/>
  <c r="P47" i="3"/>
  <c r="X47" i="3" s="1"/>
  <c r="N47" i="3"/>
  <c r="L47" i="3"/>
  <c r="D47" i="3"/>
  <c r="B47" i="3"/>
  <c r="Z46" i="3"/>
  <c r="X46" i="3"/>
  <c r="P46" i="3"/>
  <c r="N46" i="3"/>
  <c r="D46" i="3"/>
  <c r="L46" i="3" s="1"/>
  <c r="B46" i="3"/>
  <c r="Z45" i="3"/>
  <c r="P45" i="3"/>
  <c r="X45" i="3" s="1"/>
  <c r="N45" i="3"/>
  <c r="L45" i="3"/>
  <c r="D45" i="3"/>
  <c r="B45" i="3"/>
  <c r="Z44" i="3"/>
  <c r="X44" i="3"/>
  <c r="P44" i="3"/>
  <c r="N44" i="3"/>
  <c r="D44" i="3"/>
  <c r="L44" i="3" s="1"/>
  <c r="B44" i="3"/>
  <c r="Z43" i="3"/>
  <c r="P43" i="3"/>
  <c r="X43" i="3" s="1"/>
  <c r="N43" i="3"/>
  <c r="L43" i="3"/>
  <c r="D43" i="3"/>
  <c r="B43" i="3"/>
  <c r="Z42" i="3"/>
  <c r="P42" i="3"/>
  <c r="X42" i="3" s="1"/>
  <c r="N42" i="3"/>
  <c r="D42" i="3"/>
  <c r="L42" i="3" s="1"/>
  <c r="B42" i="3"/>
  <c r="Z41" i="3"/>
  <c r="P41" i="3"/>
  <c r="X41" i="3" s="1"/>
  <c r="N41" i="3"/>
  <c r="L41" i="3"/>
  <c r="D41" i="3"/>
  <c r="B41" i="3"/>
  <c r="Z40" i="3"/>
  <c r="X40" i="3"/>
  <c r="P40" i="3"/>
  <c r="N40" i="3"/>
  <c r="D40" i="3"/>
  <c r="L40" i="3" s="1"/>
  <c r="B40" i="3"/>
  <c r="Z39" i="3"/>
  <c r="P39" i="3"/>
  <c r="X39" i="3" s="1"/>
  <c r="N39" i="3"/>
  <c r="D39" i="3"/>
  <c r="L39" i="3" s="1"/>
  <c r="B39" i="3"/>
  <c r="Z38" i="3"/>
  <c r="X38" i="3"/>
  <c r="P38" i="3"/>
  <c r="N38" i="3"/>
  <c r="D38" i="3"/>
  <c r="L38" i="3" s="1"/>
  <c r="B38" i="3"/>
  <c r="Z37" i="3"/>
  <c r="P37" i="3"/>
  <c r="X37" i="3" s="1"/>
  <c r="N37" i="3"/>
  <c r="L37" i="3"/>
  <c r="D37" i="3"/>
  <c r="B37" i="3"/>
  <c r="Z36" i="3"/>
  <c r="X36" i="3"/>
  <c r="P36" i="3"/>
  <c r="N36" i="3"/>
  <c r="D36" i="3"/>
  <c r="L36" i="3" s="1"/>
  <c r="B36" i="3"/>
  <c r="Z35" i="3"/>
  <c r="P35" i="3"/>
  <c r="X35" i="3" s="1"/>
  <c r="N35" i="3"/>
  <c r="L35" i="3"/>
  <c r="D35" i="3"/>
  <c r="B35" i="3"/>
  <c r="Z34" i="3"/>
  <c r="X34" i="3"/>
  <c r="P34" i="3"/>
  <c r="N34" i="3"/>
  <c r="D34" i="3"/>
  <c r="L34" i="3" s="1"/>
  <c r="B34" i="3"/>
  <c r="Z33" i="3"/>
  <c r="P33" i="3"/>
  <c r="X33" i="3" s="1"/>
  <c r="N33" i="3"/>
  <c r="L33" i="3"/>
  <c r="D33" i="3"/>
  <c r="B33" i="3"/>
  <c r="Z32" i="3"/>
  <c r="X32" i="3"/>
  <c r="P32" i="3"/>
  <c r="N32" i="3"/>
  <c r="D32" i="3"/>
  <c r="L32" i="3" s="1"/>
  <c r="B32" i="3"/>
  <c r="Z31" i="3"/>
  <c r="P31" i="3"/>
  <c r="X31" i="3" s="1"/>
  <c r="N31" i="3"/>
  <c r="D31" i="3"/>
  <c r="L31" i="3" s="1"/>
  <c r="B31" i="3"/>
  <c r="Z30" i="3"/>
  <c r="P30" i="3"/>
  <c r="X30" i="3" s="1"/>
  <c r="N30" i="3"/>
  <c r="D30" i="3"/>
  <c r="L30" i="3" s="1"/>
  <c r="B30" i="3"/>
  <c r="Z29" i="3"/>
  <c r="X29" i="3"/>
  <c r="P29" i="3"/>
  <c r="N29" i="3"/>
  <c r="L29" i="3"/>
  <c r="D29" i="3"/>
  <c r="B29" i="3"/>
  <c r="Z28" i="3"/>
  <c r="X28" i="3"/>
  <c r="P28" i="3"/>
  <c r="N28" i="3"/>
  <c r="D28" i="3"/>
  <c r="L28" i="3" s="1"/>
  <c r="B28" i="3"/>
  <c r="Z27" i="3"/>
  <c r="P27" i="3"/>
  <c r="X27" i="3" s="1"/>
  <c r="N27" i="3"/>
  <c r="D27" i="3"/>
  <c r="L27" i="3" s="1"/>
  <c r="B27" i="3"/>
  <c r="Z26" i="3"/>
  <c r="X26" i="3"/>
  <c r="P26" i="3"/>
  <c r="N26" i="3"/>
  <c r="L26" i="3"/>
  <c r="D26" i="3"/>
  <c r="B26" i="3"/>
  <c r="Z25" i="3"/>
  <c r="P25" i="3"/>
  <c r="X25" i="3" s="1"/>
  <c r="N25" i="3"/>
  <c r="L25" i="3"/>
  <c r="D25" i="3"/>
  <c r="B25" i="3"/>
  <c r="Z24" i="3"/>
  <c r="X24" i="3"/>
  <c r="P24" i="3"/>
  <c r="N24" i="3"/>
  <c r="D24" i="3"/>
  <c r="L24" i="3" s="1"/>
  <c r="B24" i="3"/>
  <c r="Z23" i="3"/>
  <c r="X23" i="3"/>
  <c r="P23" i="3"/>
  <c r="N23" i="3"/>
  <c r="L23" i="3"/>
  <c r="D23" i="3"/>
  <c r="B23" i="3"/>
  <c r="Z22" i="3"/>
  <c r="P22" i="3"/>
  <c r="X22" i="3" s="1"/>
  <c r="N22" i="3"/>
  <c r="D22" i="3"/>
  <c r="L22" i="3" s="1"/>
  <c r="B22" i="3"/>
  <c r="Z21" i="3"/>
  <c r="P21" i="3"/>
  <c r="X21" i="3" s="1"/>
  <c r="N21" i="3"/>
  <c r="L21" i="3"/>
  <c r="D21" i="3"/>
  <c r="B21" i="3"/>
  <c r="Z20" i="3"/>
  <c r="X20" i="3"/>
  <c r="P20" i="3"/>
  <c r="N20" i="3"/>
  <c r="D20" i="3"/>
  <c r="L20" i="3" s="1"/>
  <c r="B20" i="3"/>
  <c r="Z19" i="3"/>
  <c r="P19" i="3"/>
  <c r="X19" i="3" s="1"/>
  <c r="N19" i="3"/>
  <c r="D19" i="3"/>
  <c r="L19" i="3" s="1"/>
  <c r="B19" i="3"/>
  <c r="Z18" i="3"/>
  <c r="P18" i="3"/>
  <c r="X18" i="3" s="1"/>
  <c r="N18" i="3"/>
  <c r="L18" i="3"/>
  <c r="D18" i="3"/>
  <c r="B18" i="3"/>
  <c r="Z17" i="3"/>
  <c r="X17" i="3"/>
  <c r="P17" i="3"/>
  <c r="N17" i="3"/>
  <c r="L17" i="3"/>
  <c r="D17" i="3"/>
  <c r="B17" i="3"/>
  <c r="Z16" i="3"/>
  <c r="X16" i="3"/>
  <c r="P16" i="3"/>
  <c r="N16" i="3"/>
  <c r="D16" i="3"/>
  <c r="L16" i="3" s="1"/>
  <c r="B16" i="3"/>
  <c r="Z15" i="3"/>
  <c r="P15" i="3"/>
  <c r="X15" i="3" s="1"/>
  <c r="N15" i="3"/>
  <c r="D15" i="3"/>
  <c r="B15" i="3"/>
  <c r="Z14" i="3"/>
  <c r="X14" i="3"/>
  <c r="P14" i="3"/>
  <c r="N14" i="3"/>
  <c r="L14" i="3"/>
  <c r="D14" i="3"/>
  <c r="B14" i="3"/>
  <c r="P13" i="3"/>
  <c r="N13" i="3"/>
  <c r="L13" i="3"/>
  <c r="D13" i="3"/>
  <c r="B13" i="3"/>
  <c r="T12" i="3"/>
  <c r="V319" i="3" s="1"/>
  <c r="H12" i="3"/>
  <c r="J314" i="3" s="1"/>
  <c r="D4" i="3"/>
  <c r="P16" i="112"/>
  <c r="H21" i="113"/>
  <c r="H12" i="111"/>
  <c r="P20" i="111"/>
  <c r="D13" i="112"/>
  <c r="D24" i="112"/>
  <c r="T29" i="113"/>
  <c r="D25" i="111"/>
  <c r="D22" i="111"/>
  <c r="T25" i="112"/>
  <c r="P33" i="112"/>
  <c r="H33" i="113"/>
  <c r="P25" i="111"/>
  <c r="T13" i="113"/>
  <c r="B25" i="53"/>
  <c r="D13" i="52"/>
  <c r="D20" i="47"/>
  <c r="T24" i="50"/>
  <c r="D16" i="53"/>
  <c r="T34" i="53"/>
  <c r="T20" i="50"/>
  <c r="P12" i="53"/>
  <c r="P24" i="49"/>
  <c r="P29" i="46"/>
  <c r="D12" i="50"/>
  <c r="P22" i="53"/>
  <c r="H25" i="50"/>
  <c r="P13" i="53"/>
  <c r="H34" i="49"/>
  <c r="P20" i="52"/>
  <c r="D29" i="49"/>
  <c r="H25" i="52"/>
  <c r="B25" i="47"/>
  <c r="D29" i="53"/>
  <c r="B22" i="49"/>
  <c r="H13" i="47"/>
  <c r="P12" i="43"/>
  <c r="T13" i="44"/>
  <c r="T22" i="46"/>
  <c r="D12" i="53"/>
  <c r="T15" i="43"/>
  <c r="D21" i="46"/>
  <c r="D33" i="50"/>
  <c r="D4" i="44"/>
  <c r="H34" i="46"/>
  <c r="H24" i="43"/>
  <c r="D22" i="44"/>
  <c r="T29" i="47"/>
  <c r="D25" i="50"/>
  <c r="D16" i="44"/>
  <c r="B38" i="47"/>
  <c r="B16" i="44"/>
  <c r="D12" i="46"/>
  <c r="H22" i="41"/>
  <c r="P22" i="37"/>
  <c r="H25" i="40"/>
  <c r="P16" i="41"/>
  <c r="D29" i="40"/>
  <c r="H25" i="37"/>
  <c r="H16" i="40"/>
  <c r="H13" i="37"/>
  <c r="H16" i="38"/>
  <c r="T12" i="41"/>
  <c r="B13" i="37"/>
  <c r="B21" i="38"/>
  <c r="T34" i="38"/>
  <c r="T13" i="41"/>
  <c r="T25" i="37"/>
  <c r="P24" i="38"/>
  <c r="T15" i="35"/>
  <c r="P15" i="32"/>
  <c r="T15" i="34"/>
  <c r="P15" i="31"/>
  <c r="D5" i="28"/>
  <c r="D34" i="32"/>
  <c r="D34" i="29"/>
  <c r="H13" i="35"/>
  <c r="H16" i="32"/>
  <c r="H20" i="29"/>
  <c r="D34" i="35"/>
  <c r="D21" i="32"/>
  <c r="D24" i="35"/>
  <c r="B21" i="32"/>
  <c r="P24" i="40"/>
  <c r="T34" i="32"/>
  <c r="H15" i="34"/>
  <c r="T22" i="29"/>
  <c r="T33" i="35"/>
  <c r="P25" i="32"/>
  <c r="P12" i="28"/>
  <c r="P25" i="34"/>
  <c r="P21" i="28"/>
  <c r="D4" i="28"/>
  <c r="T29" i="23"/>
  <c r="T13" i="20"/>
  <c r="D5" i="29"/>
  <c r="T33" i="22"/>
  <c r="T20" i="19"/>
  <c r="T34" i="26"/>
  <c r="P29" i="23"/>
  <c r="H12" i="19"/>
  <c r="T22" i="26"/>
  <c r="T16" i="23"/>
  <c r="D5" i="20"/>
  <c r="P33" i="26"/>
  <c r="P22" i="22"/>
  <c r="H25" i="19"/>
  <c r="P24" i="26"/>
  <c r="D12" i="23"/>
  <c r="D12" i="112"/>
  <c r="D13" i="113"/>
  <c r="B25" i="113"/>
  <c r="P16" i="111"/>
  <c r="D4" i="112"/>
  <c r="D22" i="112"/>
  <c r="T25" i="113"/>
  <c r="H21" i="111"/>
  <c r="H20" i="111"/>
  <c r="B16" i="112"/>
  <c r="P29" i="112"/>
  <c r="H29" i="113"/>
  <c r="T21" i="111"/>
  <c r="T20" i="112"/>
  <c r="D24" i="53"/>
  <c r="T34" i="50"/>
  <c r="D16" i="47"/>
  <c r="T22" i="50"/>
  <c r="B22" i="52"/>
  <c r="T33" i="53"/>
  <c r="T16" i="50"/>
  <c r="T34" i="52"/>
  <c r="P22" i="49"/>
  <c r="P25" i="46"/>
  <c r="P21" i="49"/>
  <c r="T20" i="53"/>
  <c r="P15" i="50"/>
  <c r="H12" i="53"/>
  <c r="H33" i="49"/>
  <c r="P16" i="52"/>
  <c r="D25" i="49"/>
  <c r="P15" i="52"/>
  <c r="D24" i="47"/>
  <c r="D25" i="53"/>
  <c r="D21" i="49"/>
  <c r="H33" i="46"/>
  <c r="P21" i="52"/>
  <c r="P34" i="43"/>
  <c r="H21" i="46"/>
  <c r="H22" i="49"/>
  <c r="P13" i="43"/>
  <c r="H15" i="46"/>
  <c r="D13" i="50"/>
  <c r="H34" i="43"/>
  <c r="B16" i="46"/>
  <c r="H22" i="43"/>
  <c r="H20" i="44"/>
  <c r="T25" i="47"/>
  <c r="H13" i="49"/>
  <c r="B22" i="43"/>
  <c r="P29" i="47"/>
  <c r="D15" i="44"/>
  <c r="T24" i="44"/>
  <c r="D21" i="41"/>
  <c r="T20" i="37"/>
  <c r="P15" i="40"/>
  <c r="D13" i="41"/>
  <c r="D25" i="40"/>
  <c r="P15" i="37"/>
  <c r="B13" i="40"/>
  <c r="D4" i="37"/>
  <c r="B13" i="38"/>
  <c r="B21" i="40"/>
  <c r="T22" i="41"/>
  <c r="D20" i="38"/>
  <c r="T33" i="38"/>
  <c r="P34" i="40"/>
  <c r="B16" i="37"/>
  <c r="P22" i="38"/>
  <c r="P13" i="35"/>
  <c r="D5" i="32"/>
  <c r="P13" i="34"/>
  <c r="D5" i="31"/>
  <c r="P29" i="38"/>
  <c r="D33" i="32"/>
  <c r="D33" i="29"/>
  <c r="D4" i="35"/>
  <c r="B13" i="32"/>
  <c r="H16" i="29"/>
  <c r="D33" i="35"/>
  <c r="H15" i="32"/>
  <c r="D22" i="35"/>
  <c r="D20" i="32"/>
  <c r="P25" i="38"/>
  <c r="T33" i="32"/>
  <c r="T24" i="32"/>
  <c r="P12" i="29"/>
  <c r="T29" i="35"/>
  <c r="T21" i="32"/>
  <c r="T16" i="40"/>
  <c r="T21" i="34"/>
  <c r="T15" i="28"/>
  <c r="B22" i="26"/>
  <c r="T25" i="23"/>
  <c r="P34" i="19"/>
  <c r="D24" i="28"/>
  <c r="T29" i="22"/>
  <c r="T16" i="19"/>
  <c r="T33" i="26"/>
  <c r="P25" i="23"/>
  <c r="D12" i="37"/>
  <c r="P12" i="26"/>
  <c r="T13" i="23"/>
  <c r="P20" i="19"/>
  <c r="P29" i="26"/>
  <c r="T20" i="22"/>
  <c r="P15" i="19"/>
  <c r="P22" i="26"/>
  <c r="P21" i="22"/>
  <c r="P22" i="111"/>
  <c r="H34" i="112"/>
  <c r="D22" i="113"/>
  <c r="B22" i="113"/>
  <c r="H33" i="111"/>
  <c r="H16" i="112"/>
  <c r="D15" i="113"/>
  <c r="D4" i="111"/>
  <c r="B13" i="111"/>
  <c r="T12" i="112"/>
  <c r="T21" i="112"/>
  <c r="P15" i="113"/>
  <c r="T22" i="112"/>
  <c r="T24" i="111"/>
  <c r="H20" i="53"/>
  <c r="T29" i="50"/>
  <c r="B22" i="53"/>
  <c r="T34" i="49"/>
  <c r="H15" i="52"/>
  <c r="T25" i="53"/>
  <c r="P34" i="49"/>
  <c r="T29" i="52"/>
  <c r="T16" i="49"/>
  <c r="P33" i="53"/>
  <c r="P13" i="49"/>
  <c r="T13" i="53"/>
  <c r="P20" i="49"/>
  <c r="P22" i="52"/>
  <c r="H25" i="49"/>
  <c r="B25" i="50"/>
  <c r="D13" i="49"/>
  <c r="B22" i="50"/>
  <c r="H20" i="47"/>
  <c r="D13" i="53"/>
  <c r="B22" i="47"/>
  <c r="P15" i="46"/>
  <c r="D29" i="47"/>
  <c r="P29" i="43"/>
  <c r="P21" i="44"/>
  <c r="P12" i="47"/>
  <c r="P34" i="41"/>
  <c r="H33" i="44"/>
  <c r="D5" i="47"/>
  <c r="H29" i="43"/>
  <c r="T12" i="46"/>
  <c r="D4" i="43"/>
  <c r="B13" i="44"/>
  <c r="B22" i="44"/>
  <c r="T33" i="47"/>
  <c r="H15" i="43"/>
  <c r="H24" i="46"/>
  <c r="B21" i="43"/>
  <c r="P12" i="44"/>
  <c r="D5" i="41"/>
  <c r="T13" i="37"/>
  <c r="P20" i="38"/>
  <c r="H24" i="40"/>
  <c r="D13" i="40"/>
  <c r="T34" i="41"/>
  <c r="D34" i="38"/>
  <c r="T29" i="41"/>
  <c r="D34" i="37"/>
  <c r="D16" i="40"/>
  <c r="D16" i="41"/>
  <c r="B22" i="37"/>
  <c r="T25" i="38"/>
  <c r="P29" i="40"/>
  <c r="T12" i="37"/>
  <c r="T16" i="38"/>
  <c r="P24" i="34"/>
  <c r="P16" i="31"/>
  <c r="B39" i="32"/>
  <c r="H24" i="29"/>
  <c r="H33" i="35"/>
  <c r="D25" i="32"/>
  <c r="D25" i="29"/>
  <c r="H33" i="34"/>
  <c r="D34" i="31"/>
  <c r="B38" i="28"/>
  <c r="D25" i="35"/>
  <c r="D24" i="31"/>
  <c r="H16" i="35"/>
  <c r="B22" i="31"/>
  <c r="B22" i="35"/>
  <c r="T25" i="32"/>
  <c r="P12" i="32"/>
  <c r="T33" i="28"/>
  <c r="B16" i="35"/>
  <c r="T22" i="31"/>
  <c r="P20" i="37"/>
  <c r="P16" i="32"/>
  <c r="H12" i="28"/>
  <c r="H15" i="26"/>
  <c r="D15" i="23"/>
  <c r="P29" i="19"/>
  <c r="D20" i="26"/>
  <c r="B16" i="22"/>
  <c r="P33" i="35"/>
  <c r="T25" i="26"/>
  <c r="T24" i="22"/>
  <c r="P21" i="32"/>
  <c r="T33" i="25"/>
  <c r="P33" i="22"/>
  <c r="D12" i="19"/>
  <c r="T21" i="26"/>
  <c r="T13" i="22"/>
  <c r="H34" i="38"/>
  <c r="T16" i="26"/>
  <c r="P13" i="22"/>
  <c r="T20" i="111"/>
  <c r="H33" i="112"/>
  <c r="H20" i="113"/>
  <c r="D21" i="113"/>
  <c r="H29" i="111"/>
  <c r="B13" i="112"/>
  <c r="T12" i="113"/>
  <c r="T24" i="113"/>
  <c r="P34" i="113"/>
  <c r="B22" i="111"/>
  <c r="T34" i="111"/>
  <c r="D6" i="113"/>
  <c r="B21" i="111"/>
  <c r="T20" i="113"/>
  <c r="H16" i="53"/>
  <c r="T25" i="50"/>
  <c r="D21" i="53"/>
  <c r="T33" i="49"/>
  <c r="P34" i="50"/>
  <c r="B16" i="53"/>
  <c r="P33" i="49"/>
  <c r="T25" i="52"/>
  <c r="T13" i="49"/>
  <c r="P29" i="53"/>
  <c r="H12" i="49"/>
  <c r="P34" i="52"/>
  <c r="P16" i="49"/>
  <c r="T20" i="52"/>
  <c r="P15" i="49"/>
  <c r="D24" i="50"/>
  <c r="B39" i="53"/>
  <c r="D21" i="50"/>
  <c r="H16" i="47"/>
  <c r="B39" i="52"/>
  <c r="D21" i="47"/>
  <c r="D5" i="46"/>
  <c r="D25" i="47"/>
  <c r="P25" i="43"/>
  <c r="T15" i="44"/>
  <c r="T34" i="46"/>
  <c r="P33" i="41"/>
  <c r="H29" i="44"/>
  <c r="H22" i="46"/>
  <c r="H25" i="43"/>
  <c r="B38" i="44"/>
  <c r="H12" i="52"/>
  <c r="B38" i="43"/>
  <c r="D21" i="44"/>
  <c r="T22" i="47"/>
  <c r="B38" i="41"/>
  <c r="T21" i="46"/>
  <c r="D20" i="43"/>
  <c r="T34" i="43"/>
  <c r="P20" i="40"/>
  <c r="D22" i="41"/>
  <c r="P16" i="38"/>
  <c r="H22" i="40"/>
  <c r="B39" i="38"/>
  <c r="H33" i="41"/>
  <c r="D33" i="38"/>
  <c r="H16" i="41"/>
  <c r="D33" i="37"/>
  <c r="B22" i="38"/>
  <c r="P12" i="41"/>
  <c r="D21" i="37"/>
  <c r="B16" i="38"/>
  <c r="P25" i="40"/>
  <c r="T25" i="41"/>
  <c r="T13" i="38"/>
  <c r="P22" i="34"/>
  <c r="D12" i="31"/>
  <c r="H24" i="32"/>
  <c r="H22" i="29"/>
  <c r="H29" i="35"/>
  <c r="H21" i="32"/>
  <c r="H21" i="29"/>
  <c r="H29" i="34"/>
  <c r="D33" i="31"/>
  <c r="D34" i="28"/>
  <c r="H21" i="35"/>
  <c r="D22" i="31"/>
  <c r="B13" i="35"/>
  <c r="D21" i="31"/>
  <c r="D21" i="35"/>
  <c r="B16" i="32"/>
  <c r="T34" i="31"/>
  <c r="T29" i="28"/>
  <c r="D15" i="35"/>
  <c r="P12" i="31"/>
  <c r="P24" i="35"/>
  <c r="D12" i="32"/>
  <c r="P34" i="35"/>
  <c r="B25" i="25"/>
  <c r="T12" i="23"/>
  <c r="P25" i="19"/>
  <c r="D16" i="26"/>
  <c r="D15" i="22"/>
  <c r="P13" i="32"/>
  <c r="B16" i="26"/>
  <c r="T22" i="22"/>
  <c r="T12" i="32"/>
  <c r="T29" i="25"/>
  <c r="P29" i="22"/>
  <c r="T21" i="35"/>
  <c r="T24" i="25"/>
  <c r="B39" i="20"/>
  <c r="T25" i="34"/>
  <c r="T13" i="26"/>
  <c r="H12" i="22"/>
  <c r="T16" i="111"/>
  <c r="H29" i="112"/>
  <c r="H16" i="113"/>
  <c r="H15" i="113"/>
  <c r="H25" i="111"/>
  <c r="B39" i="111"/>
  <c r="B22" i="112"/>
  <c r="T22" i="113"/>
  <c r="P33" i="113"/>
  <c r="D21" i="111"/>
  <c r="T33" i="111"/>
  <c r="P21" i="112"/>
  <c r="P16" i="113"/>
  <c r="P20" i="113"/>
  <c r="B13" i="53"/>
  <c r="B16" i="50"/>
  <c r="H15" i="53"/>
  <c r="T29" i="49"/>
  <c r="P33" i="50"/>
  <c r="D15" i="53"/>
  <c r="P29" i="49"/>
  <c r="B16" i="52"/>
  <c r="P24" i="47"/>
  <c r="P25" i="53"/>
  <c r="P21" i="47"/>
  <c r="P33" i="52"/>
  <c r="D12" i="49"/>
  <c r="T16" i="52"/>
  <c r="D5" i="49"/>
  <c r="D22" i="50"/>
  <c r="H24" i="53"/>
  <c r="H15" i="50"/>
  <c r="B13" i="47"/>
  <c r="H24" i="52"/>
  <c r="H15" i="47"/>
  <c r="P34" i="44"/>
  <c r="D13" i="47"/>
  <c r="T21" i="43"/>
  <c r="P13" i="44"/>
  <c r="H20" i="46"/>
  <c r="P29" i="41"/>
  <c r="H25" i="44"/>
  <c r="B21" i="46"/>
  <c r="P15" i="43"/>
  <c r="D34" i="44"/>
  <c r="D29" i="50"/>
  <c r="D34" i="43"/>
  <c r="H15" i="44"/>
  <c r="T33" i="46"/>
  <c r="D34" i="41"/>
  <c r="T15" i="46"/>
  <c r="D16" i="43"/>
  <c r="T33" i="43"/>
  <c r="P16" i="40"/>
  <c r="B21" i="41"/>
  <c r="D12" i="38"/>
  <c r="H13" i="40"/>
  <c r="H24" i="38"/>
  <c r="H25" i="41"/>
  <c r="D29" i="38"/>
  <c r="B22" i="40"/>
  <c r="D29" i="37"/>
  <c r="D21" i="38"/>
  <c r="T34" i="40"/>
  <c r="H15" i="37"/>
  <c r="D15" i="38"/>
  <c r="T21" i="40"/>
  <c r="D20" i="41"/>
  <c r="P34" i="37"/>
  <c r="T20" i="34"/>
  <c r="H29" i="41"/>
  <c r="H22" i="32"/>
  <c r="H13" i="29"/>
  <c r="H25" i="35"/>
  <c r="D13" i="32"/>
  <c r="D13" i="29"/>
  <c r="H25" i="34"/>
  <c r="D29" i="31"/>
  <c r="D33" i="28"/>
  <c r="D13" i="35"/>
  <c r="H20" i="31"/>
  <c r="B38" i="34"/>
  <c r="H15" i="31"/>
  <c r="H15" i="35"/>
  <c r="P22" i="40"/>
  <c r="T33" i="31"/>
  <c r="T25" i="28"/>
  <c r="T12" i="35"/>
  <c r="P34" i="29"/>
  <c r="P22" i="35"/>
  <c r="P21" i="31"/>
  <c r="P12" i="34"/>
  <c r="D24" i="25"/>
  <c r="B21" i="22"/>
  <c r="T21" i="19"/>
  <c r="B22" i="25"/>
  <c r="T12" i="22"/>
  <c r="T20" i="31"/>
  <c r="D15" i="26"/>
  <c r="P12" i="22"/>
  <c r="D20" i="31"/>
  <c r="T25" i="25"/>
  <c r="P25" i="22"/>
  <c r="T20" i="32"/>
  <c r="T22" i="25"/>
  <c r="H24" i="20"/>
  <c r="H12" i="32"/>
  <c r="P34" i="25"/>
  <c r="B38" i="20"/>
  <c r="B39" i="113"/>
  <c r="T13" i="111"/>
  <c r="H25" i="112"/>
  <c r="B13" i="113"/>
  <c r="B38" i="112"/>
  <c r="P15" i="111"/>
  <c r="H24" i="111"/>
  <c r="D21" i="112"/>
  <c r="P12" i="113"/>
  <c r="P29" i="113"/>
  <c r="H15" i="111"/>
  <c r="T29" i="111"/>
  <c r="T15" i="112"/>
  <c r="P22" i="112"/>
  <c r="T16" i="112"/>
  <c r="B38" i="52"/>
  <c r="D15" i="50"/>
  <c r="B25" i="52"/>
  <c r="T25" i="49"/>
  <c r="P29" i="50"/>
  <c r="T12" i="53"/>
  <c r="P25" i="49"/>
  <c r="D15" i="52"/>
  <c r="P22" i="47"/>
  <c r="T21" i="53"/>
  <c r="T15" i="47"/>
  <c r="P29" i="52"/>
  <c r="P20" i="47"/>
  <c r="T13" i="52"/>
  <c r="H34" i="53"/>
  <c r="H20" i="50"/>
  <c r="H22" i="53"/>
  <c r="B25" i="49"/>
  <c r="B38" i="46"/>
  <c r="H22" i="52"/>
  <c r="B25" i="46"/>
  <c r="P33" i="44"/>
  <c r="H13" i="46"/>
  <c r="B38" i="50"/>
  <c r="H12" i="44"/>
  <c r="H16" i="46"/>
  <c r="P25" i="41"/>
  <c r="P15" i="44"/>
  <c r="D20" i="46"/>
  <c r="D5" i="43"/>
  <c r="D33" i="44"/>
  <c r="H21" i="47"/>
  <c r="D33" i="43"/>
  <c r="B25" i="43"/>
  <c r="T29" i="46"/>
  <c r="D33" i="41"/>
  <c r="P13" i="46"/>
  <c r="H33" i="47"/>
  <c r="T29" i="43"/>
  <c r="D12" i="40"/>
  <c r="P15" i="41"/>
  <c r="P21" i="37"/>
  <c r="D4" i="40"/>
  <c r="H22" i="38"/>
  <c r="T20" i="41"/>
  <c r="D25" i="38"/>
  <c r="D21" i="40"/>
  <c r="D25" i="37"/>
  <c r="H15" i="38"/>
  <c r="T33" i="40"/>
  <c r="H34" i="41"/>
  <c r="T12" i="38"/>
  <c r="T24" i="38"/>
  <c r="T15" i="41"/>
  <c r="P33" i="37"/>
  <c r="T16" i="34"/>
  <c r="T13" i="40"/>
  <c r="H13" i="32"/>
  <c r="D4" i="29"/>
  <c r="P15" i="35"/>
  <c r="B39" i="31"/>
  <c r="P24" i="41"/>
  <c r="P15" i="34"/>
  <c r="D25" i="31"/>
  <c r="D29" i="28"/>
  <c r="B39" i="34"/>
  <c r="H16" i="31"/>
  <c r="D34" i="34"/>
  <c r="B21" i="29"/>
  <c r="B25" i="34"/>
  <c r="H25" i="38"/>
  <c r="T29" i="31"/>
  <c r="B16" i="28"/>
  <c r="B21" i="34"/>
  <c r="P33" i="29"/>
  <c r="T20" i="35"/>
  <c r="T15" i="31"/>
  <c r="P22" i="32"/>
  <c r="D22" i="25"/>
  <c r="D20" i="22"/>
  <c r="T22" i="35"/>
  <c r="D21" i="25"/>
  <c r="P21" i="20"/>
  <c r="T13" i="31"/>
  <c r="T12" i="26"/>
  <c r="P20" i="20"/>
  <c r="P24" i="29"/>
  <c r="B16" i="25"/>
  <c r="T21" i="22"/>
  <c r="T15" i="29"/>
  <c r="P12" i="25"/>
  <c r="H22" i="20"/>
  <c r="P24" i="31"/>
  <c r="P33" i="25"/>
  <c r="D34" i="20"/>
  <c r="H24" i="113"/>
  <c r="B38" i="113"/>
  <c r="P15" i="112"/>
  <c r="B39" i="112"/>
  <c r="D34" i="112"/>
  <c r="D6" i="111"/>
  <c r="H22" i="111"/>
  <c r="H15" i="112"/>
  <c r="B21" i="112"/>
  <c r="P25" i="113"/>
  <c r="P21" i="113"/>
  <c r="T25" i="111"/>
  <c r="P13" i="112"/>
  <c r="T13" i="112"/>
  <c r="T22" i="111"/>
  <c r="D34" i="52"/>
  <c r="T12" i="50"/>
  <c r="D24" i="52"/>
  <c r="B16" i="49"/>
  <c r="P25" i="50"/>
  <c r="B21" i="52"/>
  <c r="T21" i="49"/>
  <c r="T12" i="52"/>
  <c r="T20" i="47"/>
  <c r="T24" i="52"/>
  <c r="P13" i="47"/>
  <c r="P25" i="52"/>
  <c r="P16" i="47"/>
  <c r="B39" i="50"/>
  <c r="H33" i="53"/>
  <c r="H16" i="50"/>
  <c r="H13" i="53"/>
  <c r="D24" i="49"/>
  <c r="D34" i="46"/>
  <c r="H13" i="52"/>
  <c r="D24" i="46"/>
  <c r="P29" i="44"/>
  <c r="D4" i="46"/>
  <c r="H24" i="49"/>
  <c r="P24" i="43"/>
  <c r="B13" i="46"/>
  <c r="T21" i="41"/>
  <c r="D5" i="44"/>
  <c r="D16" i="46"/>
  <c r="P13" i="52"/>
  <c r="D29" i="44"/>
  <c r="B39" i="46"/>
  <c r="D29" i="43"/>
  <c r="D24" i="43"/>
  <c r="T20" i="46"/>
  <c r="D29" i="41"/>
  <c r="H12" i="46"/>
  <c r="H29" i="47"/>
  <c r="T25" i="43"/>
  <c r="P21" i="38"/>
  <c r="H13" i="41"/>
  <c r="T15" i="37"/>
  <c r="D24" i="41"/>
  <c r="H13" i="38"/>
  <c r="H15" i="41"/>
  <c r="H21" i="38"/>
  <c r="H15" i="40"/>
  <c r="H21" i="37"/>
  <c r="B25" i="37"/>
  <c r="T29" i="40"/>
  <c r="P22" i="41"/>
  <c r="B21" i="37"/>
  <c r="T22" i="38"/>
  <c r="D12" i="41"/>
  <c r="P29" i="37"/>
  <c r="T13" i="34"/>
  <c r="D5" i="38"/>
  <c r="D4" i="32"/>
  <c r="H34" i="28"/>
  <c r="D5" i="35"/>
  <c r="H24" i="31"/>
  <c r="H29" i="38"/>
  <c r="D5" i="34"/>
  <c r="H21" i="31"/>
  <c r="D25" i="28"/>
  <c r="H24" i="34"/>
  <c r="B13" i="31"/>
  <c r="D33" i="34"/>
  <c r="D20" i="29"/>
  <c r="D24" i="34"/>
  <c r="B21" i="35"/>
  <c r="T25" i="31"/>
  <c r="D15" i="28"/>
  <c r="D20" i="34"/>
  <c r="P29" i="29"/>
  <c r="T16" i="35"/>
  <c r="P13" i="31"/>
  <c r="D15" i="32"/>
  <c r="H20" i="25"/>
  <c r="D16" i="22"/>
  <c r="T29" i="34"/>
  <c r="H15" i="25"/>
  <c r="T15" i="20"/>
  <c r="T34" i="29"/>
  <c r="B21" i="25"/>
  <c r="P16" i="20"/>
  <c r="T20" i="29"/>
  <c r="D15" i="25"/>
  <c r="H34" i="20"/>
  <c r="P22" i="28"/>
  <c r="P21" i="23"/>
  <c r="H13" i="20"/>
  <c r="H34" i="29"/>
  <c r="P29" i="25"/>
  <c r="H22" i="113"/>
  <c r="D34" i="113"/>
  <c r="D6" i="112"/>
  <c r="H24" i="112"/>
  <c r="D33" i="112"/>
  <c r="B21" i="113"/>
  <c r="H13" i="111"/>
  <c r="B38" i="111"/>
  <c r="D20" i="112"/>
  <c r="T21" i="113"/>
  <c r="T15" i="113"/>
  <c r="B16" i="111"/>
  <c r="H12" i="112"/>
  <c r="P24" i="113"/>
  <c r="T24" i="112"/>
  <c r="D33" i="52"/>
  <c r="B21" i="49"/>
  <c r="D22" i="52"/>
  <c r="D15" i="49"/>
  <c r="T21" i="50"/>
  <c r="D20" i="52"/>
  <c r="P34" i="47"/>
  <c r="P21" i="50"/>
  <c r="T16" i="47"/>
  <c r="T22" i="52"/>
  <c r="H12" i="47"/>
  <c r="T21" i="52"/>
  <c r="D12" i="47"/>
  <c r="H24" i="50"/>
  <c r="H29" i="53"/>
  <c r="B13" i="50"/>
  <c r="D4" i="53"/>
  <c r="D22" i="49"/>
  <c r="D33" i="46"/>
  <c r="D4" i="52"/>
  <c r="D22" i="46"/>
  <c r="P25" i="44"/>
  <c r="P24" i="44"/>
  <c r="B16" i="47"/>
  <c r="P22" i="43"/>
  <c r="P20" i="44"/>
  <c r="D34" i="50"/>
  <c r="P20" i="43"/>
  <c r="B39" i="44"/>
  <c r="B39" i="49"/>
  <c r="D25" i="44"/>
  <c r="T24" i="46"/>
  <c r="D25" i="43"/>
  <c r="D22" i="43"/>
  <c r="T16" i="46"/>
  <c r="D25" i="41"/>
  <c r="T34" i="44"/>
  <c r="H25" i="47"/>
  <c r="B16" i="43"/>
  <c r="T15" i="38"/>
  <c r="D4" i="41"/>
  <c r="P13" i="37"/>
  <c r="B13" i="41"/>
  <c r="D4" i="38"/>
  <c r="B25" i="40"/>
  <c r="D13" i="38"/>
  <c r="B25" i="38"/>
  <c r="D13" i="37"/>
  <c r="D24" i="37"/>
  <c r="T25" i="40"/>
  <c r="B16" i="41"/>
  <c r="D20" i="37"/>
  <c r="P12" i="38"/>
  <c r="P21" i="40"/>
  <c r="P25" i="37"/>
  <c r="H34" i="32"/>
  <c r="P20" i="35"/>
  <c r="H34" i="31"/>
  <c r="H33" i="28"/>
  <c r="P20" i="34"/>
  <c r="H22" i="31"/>
  <c r="P16" i="37"/>
  <c r="B25" i="32"/>
  <c r="D13" i="31"/>
  <c r="H21" i="28"/>
  <c r="H22" i="34"/>
  <c r="B22" i="29"/>
  <c r="D29" i="34"/>
  <c r="D16" i="29"/>
  <c r="D22" i="34"/>
  <c r="D20" i="35"/>
  <c r="B16" i="31"/>
  <c r="T12" i="28"/>
  <c r="D16" i="34"/>
  <c r="P25" i="29"/>
  <c r="T13" i="35"/>
  <c r="H12" i="31"/>
  <c r="B21" i="31"/>
  <c r="H16" i="25"/>
  <c r="P24" i="20"/>
  <c r="T13" i="32"/>
  <c r="T24" i="23"/>
  <c r="P13" i="20"/>
  <c r="T29" i="29"/>
  <c r="D20" i="25"/>
  <c r="D12" i="20"/>
  <c r="P33" i="28"/>
  <c r="T12" i="25"/>
  <c r="H33" i="20"/>
  <c r="T20" i="28"/>
  <c r="T15" i="23"/>
  <c r="D4" i="20"/>
  <c r="H29" i="29"/>
  <c r="P25" i="25"/>
  <c r="D29" i="20"/>
  <c r="T15" i="111"/>
  <c r="D16" i="113"/>
  <c r="B25" i="111"/>
  <c r="T12" i="111"/>
  <c r="D16" i="111"/>
  <c r="H16" i="52"/>
  <c r="P24" i="50"/>
  <c r="P34" i="46"/>
  <c r="H33" i="50"/>
  <c r="P15" i="53"/>
  <c r="H16" i="49"/>
  <c r="H21" i="50"/>
  <c r="D29" i="46"/>
  <c r="T21" i="47"/>
  <c r="H24" i="47"/>
  <c r="D13" i="43"/>
  <c r="P20" i="53"/>
  <c r="T12" i="43"/>
  <c r="H24" i="41"/>
  <c r="D22" i="40"/>
  <c r="P20" i="41"/>
  <c r="T22" i="40"/>
  <c r="P13" i="40"/>
  <c r="D12" i="35"/>
  <c r="D12" i="34"/>
  <c r="D22" i="32"/>
  <c r="D4" i="34"/>
  <c r="D21" i="28"/>
  <c r="T12" i="31"/>
  <c r="T24" i="28"/>
  <c r="H12" i="29"/>
  <c r="P25" i="31"/>
  <c r="B39" i="28"/>
  <c r="P25" i="28"/>
  <c r="T13" i="28"/>
  <c r="P20" i="28"/>
  <c r="H24" i="19"/>
  <c r="P13" i="26"/>
  <c r="B25" i="28"/>
  <c r="B39" i="23"/>
  <c r="D21" i="20"/>
  <c r="P13" i="29"/>
  <c r="B38" i="23"/>
  <c r="B21" i="20"/>
  <c r="B25" i="26"/>
  <c r="D13" i="25"/>
  <c r="T24" i="19"/>
  <c r="T25" i="17"/>
  <c r="T29" i="13"/>
  <c r="T22" i="17"/>
  <c r="P25" i="14"/>
  <c r="D34" i="19"/>
  <c r="T20" i="14"/>
  <c r="H16" i="23"/>
  <c r="P33" i="16"/>
  <c r="T13" i="13"/>
  <c r="T15" i="17"/>
  <c r="T15" i="13"/>
  <c r="D25" i="19"/>
  <c r="H25" i="14"/>
  <c r="H34" i="17"/>
  <c r="H15" i="23"/>
  <c r="H25" i="16"/>
  <c r="H22" i="13"/>
  <c r="B38" i="17"/>
  <c r="B25" i="14"/>
  <c r="D13" i="13"/>
  <c r="D20" i="17"/>
  <c r="B21" i="13"/>
  <c r="H12" i="11"/>
  <c r="P21" i="5"/>
  <c r="D29" i="16"/>
  <c r="T29" i="8"/>
  <c r="T15" i="4"/>
  <c r="D5" i="11"/>
  <c r="D15" i="7"/>
  <c r="H20" i="22"/>
  <c r="H29" i="10"/>
  <c r="B39" i="5"/>
  <c r="D13" i="22"/>
  <c r="B39" i="10"/>
  <c r="P29" i="7"/>
  <c r="H22" i="4"/>
  <c r="D22" i="11"/>
  <c r="T15" i="8"/>
  <c r="H16" i="5"/>
  <c r="H16" i="16"/>
  <c r="B13" i="10"/>
  <c r="D24" i="4"/>
  <c r="D21" i="10"/>
  <c r="D20" i="5"/>
  <c r="D5" i="13"/>
  <c r="H24" i="8"/>
  <c r="T29" i="5"/>
  <c r="H29" i="13"/>
  <c r="D21" i="8"/>
  <c r="T13" i="5"/>
  <c r="T24" i="4"/>
  <c r="D34" i="8"/>
  <c r="D22" i="16"/>
  <c r="B13" i="8"/>
  <c r="T24" i="10"/>
  <c r="P12" i="10"/>
  <c r="D20" i="7"/>
  <c r="H15" i="11"/>
  <c r="P34" i="28"/>
  <c r="D16" i="7"/>
  <c r="H29" i="4"/>
  <c r="H12" i="7"/>
  <c r="P33" i="10"/>
  <c r="T24" i="5"/>
  <c r="H21" i="112"/>
  <c r="D4" i="50"/>
  <c r="H29" i="40"/>
  <c r="P15" i="28"/>
  <c r="P13" i="19"/>
  <c r="P15" i="22"/>
  <c r="P12" i="14"/>
  <c r="P22" i="13"/>
  <c r="D13" i="14"/>
  <c r="B25" i="22"/>
  <c r="P15" i="4"/>
  <c r="D21" i="5"/>
  <c r="P22" i="5"/>
  <c r="P13" i="111"/>
  <c r="B25" i="112"/>
  <c r="D24" i="111"/>
  <c r="H34" i="113"/>
  <c r="P12" i="111"/>
  <c r="B13" i="52"/>
  <c r="P22" i="50"/>
  <c r="P33" i="46"/>
  <c r="H29" i="50"/>
  <c r="D5" i="53"/>
  <c r="B13" i="49"/>
  <c r="H22" i="47"/>
  <c r="H25" i="46"/>
  <c r="D25" i="46"/>
  <c r="D4" i="47"/>
  <c r="D34" i="47"/>
  <c r="D4" i="49"/>
  <c r="T33" i="41"/>
  <c r="B22" i="41"/>
  <c r="H20" i="40"/>
  <c r="D15" i="41"/>
  <c r="P12" i="40"/>
  <c r="H12" i="40"/>
  <c r="P21" i="34"/>
  <c r="B38" i="32"/>
  <c r="H20" i="32"/>
  <c r="B22" i="32"/>
  <c r="H15" i="28"/>
  <c r="T24" i="29"/>
  <c r="T22" i="28"/>
  <c r="H24" i="28"/>
  <c r="H25" i="29"/>
  <c r="B21" i="28"/>
  <c r="T24" i="26"/>
  <c r="P34" i="26"/>
  <c r="P16" i="28"/>
  <c r="H22" i="19"/>
  <c r="H12" i="26"/>
  <c r="D22" i="28"/>
  <c r="H24" i="23"/>
  <c r="H15" i="20"/>
  <c r="D20" i="28"/>
  <c r="D34" i="23"/>
  <c r="D20" i="20"/>
  <c r="D24" i="26"/>
  <c r="B21" i="23"/>
  <c r="T22" i="19"/>
  <c r="B16" i="17"/>
  <c r="T25" i="13"/>
  <c r="P12" i="17"/>
  <c r="T21" i="14"/>
  <c r="H21" i="19"/>
  <c r="T16" i="14"/>
  <c r="D29" i="22"/>
  <c r="P29" i="16"/>
  <c r="P24" i="28"/>
  <c r="P13" i="17"/>
  <c r="P13" i="13"/>
  <c r="D13" i="19"/>
  <c r="P15" i="14"/>
  <c r="H33" i="17"/>
  <c r="T24" i="20"/>
  <c r="P15" i="16"/>
  <c r="H13" i="13"/>
  <c r="D34" i="17"/>
  <c r="D24" i="14"/>
  <c r="T33" i="34"/>
  <c r="D16" i="17"/>
  <c r="D20" i="13"/>
  <c r="P24" i="10"/>
  <c r="T15" i="5"/>
  <c r="D16" i="14"/>
  <c r="T25" i="8"/>
  <c r="P13" i="4"/>
  <c r="P20" i="10"/>
  <c r="T12" i="7"/>
  <c r="T22" i="20"/>
  <c r="H25" i="10"/>
  <c r="H24" i="5"/>
  <c r="D21" i="17"/>
  <c r="H24" i="10"/>
  <c r="P25" i="7"/>
  <c r="H13" i="4"/>
  <c r="H20" i="11"/>
  <c r="P13" i="8"/>
  <c r="B13" i="5"/>
  <c r="B25" i="13"/>
  <c r="P20" i="8"/>
  <c r="D22" i="4"/>
  <c r="H15" i="10"/>
  <c r="D16" i="5"/>
  <c r="T34" i="11"/>
  <c r="H22" i="8"/>
  <c r="T25" i="5"/>
  <c r="P24" i="11"/>
  <c r="H15" i="8"/>
  <c r="P34" i="4"/>
  <c r="H20" i="8"/>
  <c r="D4" i="7"/>
  <c r="T25" i="10"/>
  <c r="D29" i="7"/>
  <c r="B38" i="7"/>
  <c r="D34" i="7"/>
  <c r="H33" i="4"/>
  <c r="D25" i="4"/>
  <c r="D20" i="4"/>
  <c r="B13" i="16"/>
  <c r="T15" i="10"/>
  <c r="B25" i="10"/>
  <c r="T22" i="11"/>
  <c r="P29" i="5"/>
  <c r="H12" i="50"/>
  <c r="P16" i="46"/>
  <c r="B38" i="35"/>
  <c r="H21" i="20"/>
  <c r="P20" i="25"/>
  <c r="D5" i="25"/>
  <c r="H20" i="20"/>
  <c r="H16" i="20"/>
  <c r="P16" i="5"/>
  <c r="T13" i="8"/>
  <c r="P16" i="7"/>
  <c r="D25" i="8"/>
  <c r="D24" i="113"/>
  <c r="H20" i="112"/>
  <c r="H16" i="111"/>
  <c r="H25" i="113"/>
  <c r="D22" i="53"/>
  <c r="P12" i="50"/>
  <c r="T13" i="50"/>
  <c r="P34" i="53"/>
  <c r="D5" i="50"/>
  <c r="D12" i="52"/>
  <c r="D22" i="47"/>
  <c r="H29" i="46"/>
  <c r="D13" i="46"/>
  <c r="H34" i="44"/>
  <c r="D15" i="46"/>
  <c r="D15" i="47"/>
  <c r="P25" i="47"/>
  <c r="T16" i="41"/>
  <c r="B39" i="40"/>
  <c r="B38" i="38"/>
  <c r="D20" i="40"/>
  <c r="T29" i="38"/>
  <c r="T20" i="38"/>
  <c r="H12" i="34"/>
  <c r="D29" i="32"/>
  <c r="B38" i="31"/>
  <c r="B25" i="31"/>
  <c r="T22" i="37"/>
  <c r="T34" i="28"/>
  <c r="H33" i="38"/>
  <c r="D21" i="26"/>
  <c r="B21" i="26"/>
  <c r="T29" i="26"/>
  <c r="T34" i="25"/>
  <c r="P25" i="26"/>
  <c r="T20" i="26"/>
  <c r="H13" i="19"/>
  <c r="P24" i="25"/>
  <c r="H20" i="28"/>
  <c r="H22" i="23"/>
  <c r="B25" i="19"/>
  <c r="D16" i="28"/>
  <c r="D33" i="23"/>
  <c r="D16" i="20"/>
  <c r="D22" i="26"/>
  <c r="D20" i="23"/>
  <c r="P12" i="19"/>
  <c r="D15" i="17"/>
  <c r="B16" i="13"/>
  <c r="T34" i="16"/>
  <c r="T24" i="13"/>
  <c r="P34" i="17"/>
  <c r="T13" i="14"/>
  <c r="T33" i="20"/>
  <c r="P25" i="16"/>
  <c r="H22" i="26"/>
  <c r="H12" i="17"/>
  <c r="H12" i="13"/>
  <c r="P20" i="17"/>
  <c r="D5" i="14"/>
  <c r="H29" i="17"/>
  <c r="P12" i="20"/>
  <c r="D5" i="16"/>
  <c r="D4" i="13"/>
  <c r="D33" i="17"/>
  <c r="D22" i="14"/>
  <c r="D16" i="31"/>
  <c r="B22" i="16"/>
  <c r="D16" i="13"/>
  <c r="P22" i="10"/>
  <c r="P13" i="5"/>
  <c r="B22" i="13"/>
  <c r="B16" i="8"/>
  <c r="H12" i="4"/>
  <c r="P16" i="10"/>
  <c r="H34" i="5"/>
  <c r="B38" i="16"/>
  <c r="P15" i="10"/>
  <c r="H22" i="5"/>
  <c r="B21" i="14"/>
  <c r="H22" i="10"/>
  <c r="T21" i="7"/>
  <c r="D4" i="4"/>
  <c r="H16" i="11"/>
  <c r="H12" i="8"/>
  <c r="B38" i="4"/>
  <c r="H20" i="13"/>
  <c r="P16" i="8"/>
  <c r="H20" i="4"/>
  <c r="H34" i="8"/>
  <c r="B22" i="4"/>
  <c r="T33" i="11"/>
  <c r="H13" i="8"/>
  <c r="B16" i="5"/>
  <c r="P22" i="11"/>
  <c r="B25" i="7"/>
  <c r="P33" i="4"/>
  <c r="D33" i="16"/>
  <c r="P25" i="5"/>
  <c r="D33" i="8"/>
  <c r="T22" i="5"/>
  <c r="P12" i="5"/>
  <c r="T34" i="4"/>
  <c r="B16" i="4"/>
  <c r="P29" i="8"/>
  <c r="P22" i="8"/>
  <c r="D34" i="16"/>
  <c r="P34" i="10"/>
  <c r="D12" i="22"/>
  <c r="T13" i="7"/>
  <c r="B13" i="7"/>
  <c r="B16" i="10"/>
  <c r="B21" i="47"/>
  <c r="D24" i="44"/>
  <c r="H22" i="35"/>
  <c r="H13" i="28"/>
  <c r="T34" i="19"/>
  <c r="H34" i="14"/>
  <c r="B22" i="7"/>
  <c r="T24" i="7"/>
  <c r="D20" i="11"/>
  <c r="T12" i="4"/>
  <c r="H13" i="113"/>
  <c r="H22" i="112"/>
  <c r="D5" i="111"/>
  <c r="T34" i="112"/>
  <c r="P34" i="111"/>
  <c r="D29" i="52"/>
  <c r="T12" i="49"/>
  <c r="P33" i="47"/>
  <c r="P12" i="52"/>
  <c r="P21" i="46"/>
  <c r="B38" i="49"/>
  <c r="B38" i="53"/>
  <c r="T21" i="44"/>
  <c r="T20" i="43"/>
  <c r="P16" i="43"/>
  <c r="H21" i="44"/>
  <c r="H20" i="43"/>
  <c r="T33" i="44"/>
  <c r="P13" i="38"/>
  <c r="B38" i="40"/>
  <c r="B39" i="37"/>
  <c r="D22" i="37"/>
  <c r="D16" i="37"/>
  <c r="T21" i="37"/>
  <c r="H33" i="31"/>
  <c r="H13" i="31"/>
  <c r="B25" i="29"/>
  <c r="D21" i="29"/>
  <c r="H20" i="34"/>
  <c r="P34" i="38"/>
  <c r="P34" i="34"/>
  <c r="B13" i="25"/>
  <c r="T22" i="23"/>
  <c r="D16" i="25"/>
  <c r="P24" i="23"/>
  <c r="P13" i="23"/>
  <c r="T21" i="25"/>
  <c r="D4" i="19"/>
  <c r="P22" i="25"/>
  <c r="H16" i="28"/>
  <c r="H13" i="23"/>
  <c r="D24" i="19"/>
  <c r="H34" i="26"/>
  <c r="D29" i="23"/>
  <c r="B22" i="19"/>
  <c r="H20" i="26"/>
  <c r="D16" i="23"/>
  <c r="H33" i="25"/>
  <c r="T12" i="17"/>
  <c r="D15" i="13"/>
  <c r="T33" i="16"/>
  <c r="T22" i="13"/>
  <c r="P33" i="17"/>
  <c r="P34" i="13"/>
  <c r="T25" i="20"/>
  <c r="T21" i="16"/>
  <c r="H13" i="26"/>
  <c r="P24" i="16"/>
  <c r="T21" i="28"/>
  <c r="P16" i="17"/>
  <c r="P20" i="13"/>
  <c r="H25" i="17"/>
  <c r="T12" i="19"/>
  <c r="B38" i="14"/>
  <c r="P13" i="41"/>
  <c r="D29" i="17"/>
  <c r="H20" i="14"/>
  <c r="H33" i="29"/>
  <c r="D21" i="16"/>
  <c r="D25" i="22"/>
  <c r="T20" i="10"/>
  <c r="H12" i="5"/>
  <c r="P20" i="11"/>
  <c r="D15" i="8"/>
  <c r="B22" i="17"/>
  <c r="D12" i="10"/>
  <c r="H33" i="5"/>
  <c r="D21" i="14"/>
  <c r="D5" i="10"/>
  <c r="H13" i="5"/>
  <c r="D21" i="13"/>
  <c r="H13" i="10"/>
  <c r="B38" i="5"/>
  <c r="B39" i="26"/>
  <c r="B13" i="11"/>
  <c r="P24" i="7"/>
  <c r="D34" i="4"/>
  <c r="B13" i="13"/>
  <c r="D12" i="8"/>
  <c r="H16" i="4"/>
  <c r="H33" i="8"/>
  <c r="D21" i="4"/>
  <c r="T29" i="11"/>
  <c r="D4" i="8"/>
  <c r="D15" i="5"/>
  <c r="T20" i="11"/>
  <c r="D24" i="7"/>
  <c r="P29" i="4"/>
  <c r="P33" i="11"/>
  <c r="T22" i="4"/>
  <c r="D13" i="8"/>
  <c r="T29" i="4"/>
  <c r="P25" i="11"/>
  <c r="H24" i="11"/>
  <c r="D29" i="5"/>
  <c r="P15" i="38"/>
  <c r="T24" i="11"/>
  <c r="T34" i="7"/>
  <c r="H13" i="14"/>
  <c r="B13" i="23"/>
  <c r="B38" i="8"/>
  <c r="D25" i="113"/>
  <c r="H29" i="52"/>
  <c r="H29" i="37"/>
  <c r="T16" i="20"/>
  <c r="T16" i="32"/>
  <c r="P12" i="16"/>
  <c r="H34" i="16"/>
  <c r="H12" i="10"/>
  <c r="H25" i="13"/>
  <c r="D20" i="10"/>
  <c r="D5" i="113"/>
  <c r="H13" i="112"/>
  <c r="T34" i="113"/>
  <c r="T33" i="112"/>
  <c r="P33" i="111"/>
  <c r="D25" i="52"/>
  <c r="B21" i="53"/>
  <c r="T24" i="53"/>
  <c r="P20" i="50"/>
  <c r="P21" i="53"/>
  <c r="D34" i="49"/>
  <c r="D34" i="53"/>
  <c r="T24" i="43"/>
  <c r="T16" i="43"/>
  <c r="D12" i="43"/>
  <c r="D13" i="44"/>
  <c r="H16" i="43"/>
  <c r="T29" i="44"/>
  <c r="H12" i="38"/>
  <c r="D34" i="40"/>
  <c r="H24" i="37"/>
  <c r="H20" i="37"/>
  <c r="T24" i="41"/>
  <c r="T21" i="38"/>
  <c r="H29" i="31"/>
  <c r="D4" i="31"/>
  <c r="D24" i="29"/>
  <c r="H15" i="29"/>
  <c r="H16" i="34"/>
  <c r="P12" i="37"/>
  <c r="P33" i="34"/>
  <c r="T34" i="23"/>
  <c r="P12" i="23"/>
  <c r="P34" i="23"/>
  <c r="P22" i="23"/>
  <c r="H12" i="23"/>
  <c r="P20" i="23"/>
  <c r="P33" i="38"/>
  <c r="T20" i="25"/>
  <c r="B13" i="28"/>
  <c r="D4" i="23"/>
  <c r="D22" i="19"/>
  <c r="H33" i="26"/>
  <c r="D25" i="23"/>
  <c r="D21" i="19"/>
  <c r="H16" i="26"/>
  <c r="B22" i="22"/>
  <c r="D24" i="23"/>
  <c r="B21" i="16"/>
  <c r="T12" i="13"/>
  <c r="T29" i="16"/>
  <c r="P12" i="13"/>
  <c r="P29" i="17"/>
  <c r="P33" i="13"/>
  <c r="D15" i="20"/>
  <c r="P21" i="14"/>
  <c r="H29" i="25"/>
  <c r="P22" i="16"/>
  <c r="D33" i="26"/>
  <c r="D12" i="17"/>
  <c r="P16" i="13"/>
  <c r="P15" i="17"/>
  <c r="B39" i="17"/>
  <c r="D34" i="14"/>
  <c r="P25" i="35"/>
  <c r="D25" i="17"/>
  <c r="H16" i="14"/>
  <c r="B38" i="26"/>
  <c r="H15" i="16"/>
  <c r="T29" i="20"/>
  <c r="T16" i="10"/>
  <c r="P24" i="4"/>
  <c r="P16" i="11"/>
  <c r="T12" i="8"/>
  <c r="H20" i="16"/>
  <c r="T24" i="8"/>
  <c r="H29" i="5"/>
  <c r="H15" i="14"/>
  <c r="P34" i="8"/>
  <c r="D4" i="5"/>
  <c r="H15" i="13"/>
  <c r="D4" i="10"/>
  <c r="D34" i="5"/>
  <c r="B13" i="22"/>
  <c r="B38" i="10"/>
  <c r="P22" i="7"/>
  <c r="D33" i="4"/>
  <c r="B22" i="11"/>
  <c r="P21" i="7"/>
  <c r="B13" i="4"/>
  <c r="H29" i="8"/>
  <c r="H15" i="4"/>
  <c r="T25" i="11"/>
  <c r="H34" i="7"/>
  <c r="T12" i="5"/>
  <c r="T16" i="11"/>
  <c r="D22" i="7"/>
  <c r="P25" i="4"/>
  <c r="B25" i="8"/>
  <c r="T29" i="19"/>
  <c r="P34" i="5"/>
  <c r="T22" i="10"/>
  <c r="T12" i="10"/>
  <c r="D25" i="7"/>
  <c r="P21" i="10"/>
  <c r="P13" i="7"/>
  <c r="D33" i="7"/>
  <c r="H34" i="11"/>
  <c r="P25" i="8"/>
  <c r="H21" i="4"/>
  <c r="D16" i="4"/>
  <c r="T33" i="4"/>
  <c r="P12" i="49"/>
  <c r="D20" i="44"/>
  <c r="T29" i="37"/>
  <c r="D12" i="29"/>
  <c r="T15" i="25"/>
  <c r="P34" i="14"/>
  <c r="P16" i="14"/>
  <c r="D29" i="13"/>
  <c r="H29" i="11"/>
  <c r="D13" i="5"/>
  <c r="B39" i="14"/>
  <c r="D15" i="4"/>
  <c r="P20" i="112"/>
  <c r="D5" i="112"/>
  <c r="T33" i="113"/>
  <c r="T29" i="112"/>
  <c r="P29" i="111"/>
  <c r="H21" i="52"/>
  <c r="D20" i="53"/>
  <c r="T22" i="53"/>
  <c r="P16" i="50"/>
  <c r="T15" i="53"/>
  <c r="D33" i="49"/>
  <c r="D33" i="53"/>
  <c r="T22" i="43"/>
  <c r="T13" i="43"/>
  <c r="T15" i="52"/>
  <c r="B39" i="43"/>
  <c r="B13" i="43"/>
  <c r="T25" i="44"/>
  <c r="P24" i="37"/>
  <c r="D33" i="40"/>
  <c r="H22" i="37"/>
  <c r="H16" i="37"/>
  <c r="H20" i="41"/>
  <c r="P21" i="35"/>
  <c r="H25" i="31"/>
  <c r="B38" i="29"/>
  <c r="D22" i="29"/>
  <c r="B25" i="35"/>
  <c r="B13" i="34"/>
  <c r="T34" i="35"/>
  <c r="P29" i="34"/>
  <c r="T33" i="23"/>
  <c r="T34" i="22"/>
  <c r="P33" i="23"/>
  <c r="T20" i="23"/>
  <c r="P24" i="22"/>
  <c r="P16" i="23"/>
  <c r="P29" i="35"/>
  <c r="T16" i="25"/>
  <c r="P20" i="26"/>
  <c r="H34" i="22"/>
  <c r="H20" i="19"/>
  <c r="H29" i="26"/>
  <c r="H21" i="23"/>
  <c r="H15" i="19"/>
  <c r="B13" i="26"/>
  <c r="D21" i="22"/>
  <c r="B38" i="22"/>
  <c r="D20" i="16"/>
  <c r="D25" i="26"/>
  <c r="T25" i="16"/>
  <c r="T22" i="34"/>
  <c r="P25" i="17"/>
  <c r="P29" i="13"/>
  <c r="B21" i="19"/>
  <c r="T15" i="14"/>
  <c r="B22" i="23"/>
  <c r="T20" i="16"/>
  <c r="D13" i="26"/>
  <c r="P21" i="16"/>
  <c r="D12" i="13"/>
  <c r="D5" i="17"/>
  <c r="H24" i="17"/>
  <c r="D33" i="14"/>
  <c r="T12" i="29"/>
  <c r="H21" i="17"/>
  <c r="B13" i="14"/>
  <c r="H24" i="25"/>
  <c r="T34" i="14"/>
  <c r="H15" i="17"/>
  <c r="T13" i="10"/>
  <c r="P22" i="4"/>
  <c r="D12" i="11"/>
  <c r="B21" i="7"/>
  <c r="H34" i="13"/>
  <c r="T22" i="8"/>
  <c r="H25" i="5"/>
  <c r="B39" i="11"/>
  <c r="P33" i="8"/>
  <c r="H34" i="4"/>
  <c r="B38" i="11"/>
  <c r="P24" i="8"/>
  <c r="D33" i="5"/>
  <c r="H20" i="17"/>
  <c r="D34" i="10"/>
  <c r="T20" i="7"/>
  <c r="D29" i="4"/>
  <c r="D21" i="11"/>
  <c r="T15" i="7"/>
  <c r="T21" i="31"/>
  <c r="H25" i="8"/>
  <c r="H12" i="41"/>
  <c r="B16" i="11"/>
  <c r="H33" i="7"/>
  <c r="B21" i="4"/>
  <c r="T13" i="11"/>
  <c r="H20" i="7"/>
  <c r="T21" i="4"/>
  <c r="H16" i="8"/>
  <c r="T21" i="11"/>
  <c r="P12" i="4"/>
  <c r="T25" i="4"/>
  <c r="T33" i="10"/>
  <c r="T20" i="4"/>
  <c r="P15" i="8"/>
  <c r="D15" i="10"/>
  <c r="T16" i="4"/>
  <c r="D25" i="5"/>
  <c r="T12" i="11"/>
  <c r="D29" i="8"/>
  <c r="P24" i="53"/>
  <c r="D13" i="34"/>
  <c r="H22" i="22"/>
  <c r="H21" i="26"/>
  <c r="D25" i="11"/>
  <c r="D13" i="16"/>
  <c r="P24" i="111"/>
  <c r="D12" i="111"/>
  <c r="B16" i="113"/>
  <c r="D15" i="112"/>
  <c r="T16" i="113"/>
  <c r="T33" i="50"/>
  <c r="D21" i="52"/>
  <c r="T33" i="52"/>
  <c r="T15" i="49"/>
  <c r="P24" i="52"/>
  <c r="H21" i="49"/>
  <c r="H21" i="53"/>
  <c r="D33" i="47"/>
  <c r="T24" i="47"/>
  <c r="P15" i="47"/>
  <c r="H13" i="43"/>
  <c r="B39" i="47"/>
  <c r="T12" i="44"/>
  <c r="T16" i="37"/>
  <c r="H21" i="40"/>
  <c r="B39" i="41"/>
  <c r="P21" i="41"/>
  <c r="P33" i="40"/>
  <c r="H12" i="35"/>
  <c r="B39" i="29"/>
  <c r="D29" i="29"/>
  <c r="B13" i="29"/>
  <c r="H20" i="35"/>
  <c r="T29" i="32"/>
  <c r="T25" i="35"/>
  <c r="P20" i="32"/>
  <c r="B16" i="23"/>
  <c r="T25" i="22"/>
  <c r="T21" i="23"/>
  <c r="P34" i="22"/>
  <c r="T16" i="22"/>
  <c r="T15" i="22"/>
  <c r="T33" i="29"/>
  <c r="T13" i="25"/>
  <c r="P16" i="26"/>
  <c r="H33" i="22"/>
  <c r="H16" i="19"/>
  <c r="H25" i="26"/>
  <c r="D13" i="23"/>
  <c r="T20" i="40"/>
  <c r="B38" i="25"/>
  <c r="H15" i="22"/>
  <c r="T34" i="20"/>
  <c r="D16" i="16"/>
  <c r="H22" i="25"/>
  <c r="B16" i="16"/>
  <c r="P24" i="32"/>
  <c r="T21" i="17"/>
  <c r="P25" i="13"/>
  <c r="P24" i="17"/>
  <c r="P13" i="14"/>
  <c r="D22" i="22"/>
  <c r="T16" i="16"/>
  <c r="H34" i="23"/>
  <c r="T15" i="16"/>
  <c r="P34" i="31"/>
  <c r="P20" i="16"/>
  <c r="H22" i="17"/>
  <c r="D29" i="14"/>
  <c r="H25" i="25"/>
  <c r="D13" i="17"/>
  <c r="B38" i="13"/>
  <c r="D5" i="23"/>
  <c r="T33" i="14"/>
  <c r="B22" i="14"/>
  <c r="B21" i="8"/>
  <c r="P15" i="13"/>
  <c r="D34" i="11"/>
  <c r="T16" i="7"/>
  <c r="H16" i="7"/>
  <c r="H22" i="11"/>
  <c r="D13" i="7"/>
  <c r="P22" i="19"/>
  <c r="D33" i="113"/>
  <c r="D29" i="112"/>
  <c r="D34" i="111"/>
  <c r="P13" i="113"/>
  <c r="P12" i="112"/>
  <c r="D20" i="49"/>
  <c r="T24" i="49"/>
  <c r="T15" i="50"/>
  <c r="P24" i="46"/>
  <c r="H22" i="50"/>
  <c r="H34" i="52"/>
  <c r="B21" i="50"/>
  <c r="P22" i="44"/>
  <c r="P16" i="44"/>
  <c r="H24" i="44"/>
  <c r="P12" i="46"/>
  <c r="T13" i="46"/>
  <c r="T25" i="46"/>
  <c r="H34" i="40"/>
  <c r="H34" i="37"/>
  <c r="D24" i="38"/>
  <c r="B16" i="40"/>
  <c r="T34" i="37"/>
  <c r="H33" i="32"/>
  <c r="H29" i="28"/>
  <c r="B39" i="35"/>
  <c r="D13" i="28"/>
  <c r="D25" i="34"/>
  <c r="D16" i="35"/>
  <c r="P34" i="32"/>
  <c r="P20" i="29"/>
  <c r="P22" i="20"/>
  <c r="H12" i="20"/>
  <c r="P21" i="19"/>
  <c r="H29" i="20"/>
  <c r="H34" i="19"/>
  <c r="D33" i="20"/>
  <c r="D15" i="29"/>
  <c r="T34" i="34"/>
  <c r="D12" i="26"/>
  <c r="H29" i="22"/>
  <c r="B13" i="19"/>
  <c r="P15" i="26"/>
  <c r="B39" i="22"/>
  <c r="T24" i="35"/>
  <c r="D34" i="25"/>
  <c r="P34" i="20"/>
  <c r="B16" i="20"/>
  <c r="T24" i="14"/>
  <c r="H13" i="25"/>
  <c r="D15" i="16"/>
  <c r="T25" i="29"/>
  <c r="T24" i="16"/>
  <c r="T21" i="13"/>
  <c r="P22" i="17"/>
  <c r="H12" i="14"/>
  <c r="H16" i="22"/>
  <c r="T13" i="16"/>
  <c r="P15" i="23"/>
  <c r="P13" i="16"/>
  <c r="D4" i="26"/>
  <c r="P16" i="16"/>
  <c r="H13" i="17"/>
  <c r="D25" i="14"/>
  <c r="H33" i="23"/>
  <c r="B39" i="16"/>
  <c r="D34" i="13"/>
  <c r="T29" i="14"/>
  <c r="D5" i="5"/>
  <c r="D29" i="10"/>
  <c r="D20" i="14"/>
  <c r="T34" i="10"/>
  <c r="D29" i="111"/>
  <c r="P21" i="43"/>
  <c r="H20" i="38"/>
  <c r="P29" i="32"/>
  <c r="P29" i="31"/>
  <c r="P29" i="20"/>
  <c r="D34" i="26"/>
  <c r="H21" i="22"/>
  <c r="P21" i="11"/>
  <c r="D4" i="11"/>
  <c r="D22" i="10"/>
  <c r="D24" i="17"/>
  <c r="H16" i="17"/>
  <c r="D29" i="113"/>
  <c r="D25" i="112"/>
  <c r="D33" i="111"/>
  <c r="H12" i="113"/>
  <c r="D20" i="111"/>
  <c r="D16" i="49"/>
  <c r="T22" i="49"/>
  <c r="P13" i="50"/>
  <c r="P22" i="46"/>
  <c r="H13" i="50"/>
  <c r="H33" i="52"/>
  <c r="D20" i="50"/>
  <c r="T20" i="44"/>
  <c r="D12" i="44"/>
  <c r="H22" i="44"/>
  <c r="B25" i="44"/>
  <c r="B21" i="44"/>
  <c r="P20" i="46"/>
  <c r="H33" i="40"/>
  <c r="H33" i="37"/>
  <c r="D22" i="38"/>
  <c r="D15" i="40"/>
  <c r="T33" i="37"/>
  <c r="H29" i="32"/>
  <c r="H25" i="28"/>
  <c r="H24" i="35"/>
  <c r="T24" i="37"/>
  <c r="H21" i="34"/>
  <c r="B22" i="34"/>
  <c r="P33" i="32"/>
  <c r="P16" i="29"/>
  <c r="T20" i="20"/>
  <c r="P24" i="19"/>
  <c r="T15" i="19"/>
  <c r="H25" i="20"/>
  <c r="H33" i="19"/>
  <c r="D25" i="20"/>
  <c r="H22" i="28"/>
  <c r="B16" i="34"/>
  <c r="P21" i="25"/>
  <c r="H25" i="22"/>
  <c r="T24" i="34"/>
  <c r="D5" i="26"/>
  <c r="H24" i="22"/>
  <c r="T12" i="34"/>
  <c r="D33" i="25"/>
  <c r="P33" i="20"/>
  <c r="D16" i="19"/>
  <c r="T22" i="14"/>
  <c r="D24" i="22"/>
  <c r="T12" i="16"/>
  <c r="H24" i="26"/>
  <c r="T22" i="16"/>
  <c r="D15" i="34"/>
  <c r="T20" i="17"/>
  <c r="P24" i="13"/>
  <c r="T33" i="19"/>
  <c r="P20" i="14"/>
  <c r="B25" i="20"/>
  <c r="H12" i="16"/>
  <c r="D34" i="22"/>
  <c r="D12" i="16"/>
  <c r="D4" i="17"/>
  <c r="H21" i="14"/>
  <c r="H25" i="23"/>
  <c r="H24" i="16"/>
  <c r="D33" i="13"/>
  <c r="D22" i="20"/>
  <c r="T25" i="14"/>
  <c r="H16" i="13"/>
  <c r="D16" i="8"/>
  <c r="T13" i="4"/>
  <c r="P13" i="10"/>
  <c r="P20" i="5"/>
  <c r="H33" i="11"/>
  <c r="T33" i="7"/>
  <c r="P20" i="4"/>
  <c r="H13" i="11"/>
  <c r="T21" i="8"/>
  <c r="H25" i="4"/>
  <c r="D29" i="11"/>
  <c r="T16" i="8"/>
  <c r="H21" i="5"/>
  <c r="H33" i="13"/>
  <c r="D25" i="10"/>
  <c r="B25" i="5"/>
  <c r="D13" i="4"/>
  <c r="D24" i="10"/>
  <c r="B22" i="5"/>
  <c r="B21" i="11"/>
  <c r="P20" i="7"/>
  <c r="D24" i="16"/>
  <c r="B21" i="10"/>
  <c r="P15" i="7"/>
  <c r="H34" i="25"/>
  <c r="P29" i="10"/>
  <c r="P24" i="5"/>
  <c r="T29" i="10"/>
  <c r="P34" i="112"/>
  <c r="T16" i="44"/>
  <c r="T12" i="40"/>
  <c r="P15" i="20"/>
  <c r="T15" i="32"/>
  <c r="T16" i="17"/>
  <c r="P20" i="22"/>
  <c r="T29" i="7"/>
  <c r="D29" i="26"/>
  <c r="P25" i="10"/>
  <c r="D4" i="113"/>
  <c r="H34" i="111"/>
  <c r="D13" i="111"/>
  <c r="P25" i="112"/>
  <c r="D12" i="113"/>
  <c r="B22" i="46"/>
  <c r="T29" i="53"/>
  <c r="T20" i="49"/>
  <c r="T16" i="53"/>
  <c r="H29" i="49"/>
  <c r="D5" i="52"/>
  <c r="H15" i="49"/>
  <c r="P33" i="43"/>
  <c r="H12" i="43"/>
  <c r="H33" i="43"/>
  <c r="H16" i="44"/>
  <c r="D21" i="43"/>
  <c r="T22" i="44"/>
  <c r="D5" i="40"/>
  <c r="D5" i="37"/>
  <c r="B38" i="37"/>
  <c r="D16" i="38"/>
  <c r="D15" i="37"/>
  <c r="P20" i="31"/>
  <c r="H34" i="35"/>
  <c r="H34" i="34"/>
  <c r="D29" i="35"/>
  <c r="D16" i="32"/>
  <c r="T22" i="32"/>
  <c r="T24" i="31"/>
  <c r="P13" i="28"/>
  <c r="P33" i="19"/>
  <c r="T13" i="19"/>
  <c r="P12" i="35"/>
  <c r="P16" i="19"/>
  <c r="D5" i="19"/>
  <c r="D13" i="20"/>
  <c r="P21" i="26"/>
  <c r="P22" i="29"/>
  <c r="P13" i="25"/>
  <c r="D5" i="22"/>
  <c r="P22" i="31"/>
  <c r="P16" i="25"/>
  <c r="H13" i="22"/>
  <c r="T16" i="29"/>
  <c r="D25" i="25"/>
  <c r="P25" i="20"/>
  <c r="T33" i="17"/>
  <c r="T34" i="13"/>
  <c r="B16" i="19"/>
  <c r="P33" i="14"/>
  <c r="H29" i="23"/>
  <c r="P24" i="14"/>
  <c r="D4" i="25"/>
  <c r="T13" i="17"/>
  <c r="T20" i="13"/>
  <c r="D15" i="19"/>
  <c r="D12" i="14"/>
  <c r="B13" i="20"/>
  <c r="H33" i="14"/>
  <c r="T12" i="20"/>
  <c r="B39" i="25"/>
  <c r="H33" i="16"/>
  <c r="B39" i="13"/>
  <c r="D24" i="20"/>
  <c r="H13" i="16"/>
  <c r="D25" i="13"/>
  <c r="D29" i="19"/>
  <c r="D15" i="14"/>
  <c r="T15" i="11"/>
  <c r="D21" i="7"/>
  <c r="D22" i="17"/>
  <c r="T34" i="8"/>
  <c r="D12" i="5"/>
  <c r="H25" i="11"/>
  <c r="T25" i="7"/>
  <c r="D12" i="4"/>
  <c r="H34" i="10"/>
  <c r="T22" i="7"/>
  <c r="D5" i="4"/>
  <c r="H21" i="11"/>
  <c r="P34" i="7"/>
  <c r="B39" i="4"/>
  <c r="B25" i="11"/>
  <c r="D13" i="10"/>
  <c r="D22" i="5"/>
  <c r="H20" i="23"/>
  <c r="H20" i="10"/>
  <c r="H15" i="5"/>
  <c r="D16" i="11"/>
  <c r="D12" i="7"/>
  <c r="H24" i="14"/>
  <c r="D16" i="10"/>
  <c r="T34" i="5"/>
  <c r="H21" i="16"/>
  <c r="T21" i="10"/>
  <c r="T20" i="5"/>
  <c r="H22" i="7"/>
  <c r="B25" i="17"/>
  <c r="H24" i="7"/>
  <c r="P29" i="11"/>
  <c r="B39" i="7"/>
  <c r="D24" i="13"/>
  <c r="P15" i="5"/>
  <c r="D25" i="16"/>
  <c r="H29" i="7"/>
  <c r="D20" i="8"/>
  <c r="T20" i="8"/>
  <c r="D5" i="8"/>
  <c r="H21" i="7"/>
  <c r="D16" i="50"/>
  <c r="D21" i="34"/>
  <c r="D29" i="25"/>
  <c r="H22" i="16"/>
  <c r="H21" i="10"/>
  <c r="P21" i="111"/>
  <c r="D20" i="113"/>
  <c r="D16" i="112"/>
  <c r="D15" i="111"/>
  <c r="P24" i="112"/>
  <c r="H20" i="52"/>
  <c r="D16" i="52"/>
  <c r="T13" i="47"/>
  <c r="H34" i="50"/>
  <c r="H25" i="53"/>
  <c r="H20" i="49"/>
  <c r="P16" i="53"/>
  <c r="T12" i="47"/>
  <c r="T34" i="47"/>
  <c r="H34" i="47"/>
  <c r="H21" i="43"/>
  <c r="H21" i="41"/>
  <c r="D15" i="43"/>
  <c r="H12" i="37"/>
  <c r="D24" i="40"/>
  <c r="B25" i="41"/>
  <c r="T24" i="40"/>
  <c r="T15" i="40"/>
  <c r="P16" i="35"/>
  <c r="P16" i="34"/>
  <c r="D24" i="32"/>
  <c r="H13" i="34"/>
  <c r="B22" i="28"/>
  <c r="D15" i="31"/>
  <c r="T21" i="29"/>
  <c r="P21" i="29"/>
  <c r="P33" i="31"/>
  <c r="B16" i="29"/>
  <c r="P29" i="28"/>
  <c r="T16" i="28"/>
  <c r="P15" i="29"/>
  <c r="B39" i="19"/>
  <c r="T15" i="26"/>
  <c r="T13" i="29"/>
  <c r="H12" i="25"/>
  <c r="B22" i="20"/>
  <c r="T16" i="31"/>
  <c r="D12" i="25"/>
  <c r="D4" i="22"/>
  <c r="D12" i="28"/>
  <c r="H21" i="25"/>
  <c r="T21" i="20"/>
  <c r="T29" i="17"/>
  <c r="T33" i="13"/>
  <c r="T24" i="17"/>
  <c r="P29" i="14"/>
  <c r="P16" i="22"/>
  <c r="P22" i="14"/>
  <c r="D22" i="23"/>
  <c r="P34" i="16"/>
  <c r="T16" i="13"/>
  <c r="P21" i="17"/>
  <c r="P21" i="13"/>
  <c r="D33" i="19"/>
  <c r="H29" i="14"/>
  <c r="D20" i="19"/>
  <c r="D21" i="23"/>
  <c r="H29" i="16"/>
  <c r="H24" i="13"/>
  <c r="B38" i="19"/>
  <c r="D4" i="16"/>
  <c r="H21" i="13"/>
  <c r="B21" i="17"/>
  <c r="T12" i="14"/>
  <c r="P13" i="11"/>
  <c r="H15" i="7"/>
  <c r="B13" i="17"/>
  <c r="T33" i="8"/>
  <c r="P21" i="4"/>
  <c r="P15" i="11"/>
  <c r="B16" i="7"/>
  <c r="P15" i="25"/>
  <c r="H33" i="10"/>
  <c r="P12" i="7"/>
  <c r="B25" i="23"/>
  <c r="D13" i="11"/>
  <c r="P33" i="7"/>
  <c r="H24" i="4"/>
  <c r="D24" i="11"/>
  <c r="P21" i="8"/>
  <c r="H20" i="5"/>
  <c r="B25" i="16"/>
  <c r="H16" i="10"/>
  <c r="B25" i="4"/>
  <c r="B22" i="10"/>
  <c r="B21" i="5"/>
  <c r="D4" i="14"/>
  <c r="B39" i="8"/>
  <c r="T33" i="5"/>
  <c r="H22" i="14"/>
  <c r="B22" i="8"/>
  <c r="T16" i="5"/>
  <c r="H13" i="7"/>
  <c r="P12" i="11"/>
  <c r="D33" i="22"/>
  <c r="D22" i="8"/>
  <c r="P33" i="5"/>
  <c r="P34" i="11"/>
  <c r="P12" i="8"/>
  <c r="D33" i="10"/>
  <c r="D15" i="11"/>
  <c r="D24" i="8"/>
  <c r="D22" i="13"/>
  <c r="D33" i="11"/>
  <c r="H25" i="7"/>
  <c r="T21" i="5"/>
  <c r="P22" i="113"/>
  <c r="H13" i="44"/>
  <c r="H25" i="32"/>
  <c r="H29" i="19"/>
  <c r="T34" i="17"/>
  <c r="T25" i="19"/>
  <c r="B16" i="14"/>
  <c r="P16" i="4"/>
  <c r="D24" i="5"/>
  <c r="D5" i="7"/>
  <c r="H21" i="8"/>
  <c r="Z202" i="3" l="1"/>
  <c r="Z18" i="58"/>
  <c r="R22" i="86"/>
  <c r="N25" i="89"/>
  <c r="L24" i="81"/>
  <c r="N24" i="81"/>
  <c r="N190" i="18"/>
  <c r="N27" i="45"/>
  <c r="N18" i="57"/>
  <c r="J190" i="18"/>
  <c r="L18" i="55"/>
  <c r="N18" i="55" s="1"/>
  <c r="N18" i="56"/>
  <c r="L19" i="59"/>
  <c r="Z63" i="71"/>
  <c r="Z18" i="92"/>
  <c r="T103" i="96"/>
  <c r="Z25" i="106"/>
  <c r="T272" i="15"/>
  <c r="X18" i="57"/>
  <c r="T86" i="73"/>
  <c r="L25" i="105"/>
  <c r="N25" i="105" s="1"/>
  <c r="N19" i="9"/>
  <c r="L165" i="15"/>
  <c r="N165" i="15" s="1"/>
  <c r="L28" i="73"/>
  <c r="N28" i="73" s="1"/>
  <c r="H55" i="100"/>
  <c r="H59" i="100" s="1"/>
  <c r="X19" i="9"/>
  <c r="Z19" i="9" s="1"/>
  <c r="L19" i="100"/>
  <c r="X84" i="24"/>
  <c r="Z84" i="24" s="1"/>
  <c r="X63" i="27"/>
  <c r="N56" i="74"/>
  <c r="L29" i="79"/>
  <c r="N29" i="79" s="1"/>
  <c r="H80" i="101"/>
  <c r="Z25" i="104"/>
  <c r="T81" i="56"/>
  <c r="T85" i="56" s="1"/>
  <c r="N18" i="103"/>
  <c r="H65" i="68"/>
  <c r="H69" i="68" s="1"/>
  <c r="T96" i="84"/>
  <c r="V96" i="84" s="1"/>
  <c r="L202" i="3"/>
  <c r="L24" i="70"/>
  <c r="N24" i="70" s="1"/>
  <c r="L24" i="84"/>
  <c r="X25" i="101"/>
  <c r="X27" i="102"/>
  <c r="X18" i="103"/>
  <c r="Z18" i="103" s="1"/>
  <c r="L25" i="7"/>
  <c r="Z34" i="4"/>
  <c r="L34" i="7"/>
  <c r="R21" i="10"/>
  <c r="R20" i="10"/>
  <c r="R18" i="10"/>
  <c r="R16" i="10"/>
  <c r="P18" i="10"/>
  <c r="R15" i="10"/>
  <c r="X12" i="10"/>
  <c r="R24" i="10"/>
  <c r="R22" i="10"/>
  <c r="R29" i="10"/>
  <c r="R33" i="10"/>
  <c r="R27" i="10"/>
  <c r="R36" i="10"/>
  <c r="R25" i="10"/>
  <c r="R34" i="10"/>
  <c r="R31" i="10"/>
  <c r="X34" i="11"/>
  <c r="L24" i="13"/>
  <c r="N16" i="17"/>
  <c r="Z21" i="5"/>
  <c r="L29" i="8"/>
  <c r="L15" i="10"/>
  <c r="Z33" i="10"/>
  <c r="T18" i="10"/>
  <c r="V15" i="10"/>
  <c r="Z12" i="10"/>
  <c r="V36" i="10"/>
  <c r="V34" i="10"/>
  <c r="V33" i="10"/>
  <c r="V31" i="10"/>
  <c r="V29" i="10"/>
  <c r="V27" i="10"/>
  <c r="V25" i="10"/>
  <c r="V20" i="10"/>
  <c r="V18" i="10"/>
  <c r="V16" i="10"/>
  <c r="V24" i="10"/>
  <c r="V22" i="10"/>
  <c r="V21" i="10"/>
  <c r="X25" i="11"/>
  <c r="R20" i="5"/>
  <c r="R18" i="5"/>
  <c r="R16" i="5"/>
  <c r="P18" i="5"/>
  <c r="R15" i="5"/>
  <c r="X12" i="5"/>
  <c r="R21" i="5"/>
  <c r="R36" i="5"/>
  <c r="R25" i="5"/>
  <c r="R34" i="5"/>
  <c r="R24" i="5"/>
  <c r="R33" i="5"/>
  <c r="R22" i="5"/>
  <c r="R31" i="5"/>
  <c r="R29" i="5"/>
  <c r="R27" i="5"/>
  <c r="Z24" i="10"/>
  <c r="X33" i="5"/>
  <c r="N21" i="8"/>
  <c r="Z34" i="10"/>
  <c r="Z25" i="4"/>
  <c r="Z22" i="10"/>
  <c r="Z29" i="4"/>
  <c r="Z22" i="5"/>
  <c r="L29" i="7"/>
  <c r="L22" i="8"/>
  <c r="X29" i="11"/>
  <c r="L13" i="16"/>
  <c r="X29" i="5"/>
  <c r="Z24" i="11"/>
  <c r="R21" i="4"/>
  <c r="R20" i="4"/>
  <c r="R18" i="4"/>
  <c r="R16" i="4"/>
  <c r="P18" i="4"/>
  <c r="R15" i="4"/>
  <c r="X12" i="4"/>
  <c r="R24" i="4"/>
  <c r="R22" i="4"/>
  <c r="R34" i="4"/>
  <c r="R33" i="4"/>
  <c r="R31" i="4"/>
  <c r="R29" i="4"/>
  <c r="R25" i="4"/>
  <c r="R36" i="4"/>
  <c r="R27" i="4"/>
  <c r="X34" i="5"/>
  <c r="L13" i="8"/>
  <c r="L33" i="8"/>
  <c r="Z25" i="10"/>
  <c r="L22" i="16"/>
  <c r="L33" i="22"/>
  <c r="N24" i="7"/>
  <c r="T18" i="4"/>
  <c r="V15" i="4"/>
  <c r="Z12" i="4"/>
  <c r="V36" i="4"/>
  <c r="V34" i="4"/>
  <c r="V33" i="4"/>
  <c r="V31" i="4"/>
  <c r="V29" i="4"/>
  <c r="V27" i="4"/>
  <c r="V25" i="4"/>
  <c r="V20" i="4"/>
  <c r="V18" i="4"/>
  <c r="V16" i="4"/>
  <c r="V22" i="4"/>
  <c r="V21" i="4"/>
  <c r="V24" i="4"/>
  <c r="Z24" i="5"/>
  <c r="N21" i="7"/>
  <c r="L24" i="8"/>
  <c r="Z21" i="11"/>
  <c r="Z29" i="19"/>
  <c r="Z22" i="4"/>
  <c r="X25" i="5"/>
  <c r="L34" i="8"/>
  <c r="R20" i="11"/>
  <c r="R18" i="11"/>
  <c r="R16" i="11"/>
  <c r="P18" i="11"/>
  <c r="R15" i="11"/>
  <c r="X12" i="11"/>
  <c r="R21" i="11"/>
  <c r="R33" i="11"/>
  <c r="R22" i="11"/>
  <c r="R31" i="11"/>
  <c r="R29" i="11"/>
  <c r="R34" i="11"/>
  <c r="R27" i="11"/>
  <c r="R36" i="11"/>
  <c r="R25" i="11"/>
  <c r="R24" i="11"/>
  <c r="L15" i="4"/>
  <c r="Z33" i="4"/>
  <c r="L13" i="7"/>
  <c r="L33" i="7"/>
  <c r="N16" i="8"/>
  <c r="X33" i="11"/>
  <c r="L33" i="16"/>
  <c r="N20" i="8"/>
  <c r="Z24" i="4"/>
  <c r="N13" i="7"/>
  <c r="N22" i="7"/>
  <c r="L25" i="8"/>
  <c r="Z29" i="10"/>
  <c r="Z22" i="11"/>
  <c r="X34" i="28"/>
  <c r="Z21" i="4"/>
  <c r="X25" i="4"/>
  <c r="X29" i="4"/>
  <c r="X33" i="4"/>
  <c r="X34" i="4"/>
  <c r="Z13" i="5"/>
  <c r="Z16" i="5"/>
  <c r="Z20" i="5"/>
  <c r="X22" i="5"/>
  <c r="X24" i="5"/>
  <c r="N16" i="7"/>
  <c r="N20" i="7"/>
  <c r="L22" i="7"/>
  <c r="L24" i="7"/>
  <c r="N15" i="8"/>
  <c r="L21" i="8"/>
  <c r="Z21" i="10"/>
  <c r="X25" i="10"/>
  <c r="X29" i="10"/>
  <c r="X33" i="10"/>
  <c r="X34" i="10"/>
  <c r="Z13" i="11"/>
  <c r="Z16" i="11"/>
  <c r="Z20" i="11"/>
  <c r="X22" i="11"/>
  <c r="X24" i="11"/>
  <c r="N29" i="13"/>
  <c r="N22" i="14"/>
  <c r="N21" i="16"/>
  <c r="L24" i="17"/>
  <c r="N34" i="25"/>
  <c r="L16" i="4"/>
  <c r="L20" i="4"/>
  <c r="Z12" i="5"/>
  <c r="V36" i="5"/>
  <c r="V34" i="5"/>
  <c r="V33" i="5"/>
  <c r="V31" i="5"/>
  <c r="V29" i="5"/>
  <c r="V27" i="5"/>
  <c r="V25" i="5"/>
  <c r="V24" i="5"/>
  <c r="V22" i="5"/>
  <c r="T18" i="5"/>
  <c r="V15" i="5"/>
  <c r="V18" i="5"/>
  <c r="V20" i="5"/>
  <c r="V16" i="5"/>
  <c r="V21" i="5"/>
  <c r="L15" i="5"/>
  <c r="Z25" i="5"/>
  <c r="Z29" i="5"/>
  <c r="Z33" i="5"/>
  <c r="Z34" i="5"/>
  <c r="X15" i="7"/>
  <c r="N25" i="7"/>
  <c r="N29" i="7"/>
  <c r="N33" i="7"/>
  <c r="N34" i="7"/>
  <c r="N13" i="8"/>
  <c r="N22" i="8"/>
  <c r="N24" i="8"/>
  <c r="L16" i="10"/>
  <c r="L20" i="10"/>
  <c r="Z12" i="11"/>
  <c r="V36" i="11"/>
  <c r="V34" i="11"/>
  <c r="V33" i="11"/>
  <c r="V31" i="11"/>
  <c r="V29" i="11"/>
  <c r="V27" i="11"/>
  <c r="V25" i="11"/>
  <c r="V24" i="11"/>
  <c r="V22" i="11"/>
  <c r="T18" i="11"/>
  <c r="V15" i="11"/>
  <c r="V21" i="11"/>
  <c r="V16" i="11"/>
  <c r="V20" i="11"/>
  <c r="V18" i="11"/>
  <c r="L15" i="11"/>
  <c r="Z25" i="11"/>
  <c r="Z29" i="11"/>
  <c r="Z33" i="11"/>
  <c r="Z34" i="11"/>
  <c r="N24" i="14"/>
  <c r="L24" i="16"/>
  <c r="X15" i="38"/>
  <c r="J36" i="41"/>
  <c r="J34" i="41"/>
  <c r="J33" i="41"/>
  <c r="J20" i="41"/>
  <c r="J18" i="41"/>
  <c r="J16" i="41"/>
  <c r="J31" i="41"/>
  <c r="J24" i="41"/>
  <c r="J25" i="41"/>
  <c r="J15" i="41"/>
  <c r="J27" i="41"/>
  <c r="H18" i="41"/>
  <c r="N12" i="41"/>
  <c r="J29" i="41"/>
  <c r="J22" i="41"/>
  <c r="J21" i="41"/>
  <c r="N15" i="4"/>
  <c r="L21" i="4"/>
  <c r="L16" i="5"/>
  <c r="L20" i="5"/>
  <c r="F20" i="7"/>
  <c r="F18" i="7"/>
  <c r="F16" i="7"/>
  <c r="D18" i="7"/>
  <c r="F15" i="7"/>
  <c r="L12" i="7"/>
  <c r="F21" i="7"/>
  <c r="F33" i="7"/>
  <c r="F22" i="7"/>
  <c r="F31" i="7"/>
  <c r="F29" i="7"/>
  <c r="F34" i="7"/>
  <c r="F27" i="7"/>
  <c r="F36" i="7"/>
  <c r="F25" i="7"/>
  <c r="F24" i="7"/>
  <c r="X16" i="7"/>
  <c r="X20" i="7"/>
  <c r="X15" i="8"/>
  <c r="N25" i="8"/>
  <c r="N29" i="8"/>
  <c r="N33" i="8"/>
  <c r="N34" i="8"/>
  <c r="N15" i="10"/>
  <c r="L21" i="10"/>
  <c r="L16" i="11"/>
  <c r="L20" i="11"/>
  <c r="L20" i="14"/>
  <c r="L34" i="16"/>
  <c r="Z21" i="31"/>
  <c r="N16" i="4"/>
  <c r="N20" i="4"/>
  <c r="L22" i="4"/>
  <c r="L24" i="4"/>
  <c r="N15" i="5"/>
  <c r="L21" i="5"/>
  <c r="N12" i="7"/>
  <c r="J36" i="7"/>
  <c r="J34" i="7"/>
  <c r="J33" i="7"/>
  <c r="J31" i="7"/>
  <c r="J29" i="7"/>
  <c r="J27" i="7"/>
  <c r="J25" i="7"/>
  <c r="J24" i="7"/>
  <c r="J22" i="7"/>
  <c r="H18" i="7"/>
  <c r="J15" i="7"/>
  <c r="J21" i="7"/>
  <c r="J20" i="7"/>
  <c r="J16" i="7"/>
  <c r="J18" i="7"/>
  <c r="X13" i="7"/>
  <c r="Z15" i="7"/>
  <c r="X21" i="7"/>
  <c r="D18" i="8"/>
  <c r="F15" i="8"/>
  <c r="L12" i="8"/>
  <c r="F36" i="8"/>
  <c r="F34" i="8"/>
  <c r="F33" i="8"/>
  <c r="F31" i="8"/>
  <c r="F29" i="8"/>
  <c r="F27" i="8"/>
  <c r="F25" i="8"/>
  <c r="F20" i="8"/>
  <c r="F18" i="8"/>
  <c r="F16" i="8"/>
  <c r="F24" i="8"/>
  <c r="F22" i="8"/>
  <c r="F21" i="8"/>
  <c r="X16" i="8"/>
  <c r="X20" i="8"/>
  <c r="N16" i="10"/>
  <c r="N20" i="10"/>
  <c r="L22" i="10"/>
  <c r="L24" i="10"/>
  <c r="N15" i="11"/>
  <c r="L21" i="11"/>
  <c r="N20" i="13"/>
  <c r="N16" i="16"/>
  <c r="N20" i="23"/>
  <c r="L29" i="26"/>
  <c r="L13" i="4"/>
  <c r="N21" i="4"/>
  <c r="L25" i="4"/>
  <c r="L29" i="4"/>
  <c r="L33" i="4"/>
  <c r="L34" i="4"/>
  <c r="N16" i="5"/>
  <c r="N20" i="5"/>
  <c r="L22" i="5"/>
  <c r="L24" i="5"/>
  <c r="Z13" i="7"/>
  <c r="Z16" i="7"/>
  <c r="Z20" i="7"/>
  <c r="X22" i="7"/>
  <c r="X24" i="7"/>
  <c r="N12" i="8"/>
  <c r="J36" i="8"/>
  <c r="J34" i="8"/>
  <c r="J33" i="8"/>
  <c r="J31" i="8"/>
  <c r="J29" i="8"/>
  <c r="J27" i="8"/>
  <c r="J25" i="8"/>
  <c r="J24" i="8"/>
  <c r="J22" i="8"/>
  <c r="J21" i="8"/>
  <c r="J16" i="8"/>
  <c r="J15" i="8"/>
  <c r="J18" i="8"/>
  <c r="J20" i="8"/>
  <c r="H18" i="8"/>
  <c r="X13" i="8"/>
  <c r="Z15" i="8"/>
  <c r="X21" i="8"/>
  <c r="L13" i="10"/>
  <c r="N21" i="10"/>
  <c r="L25" i="10"/>
  <c r="L29" i="10"/>
  <c r="L33" i="10"/>
  <c r="L34" i="10"/>
  <c r="N16" i="11"/>
  <c r="N20" i="11"/>
  <c r="L22" i="11"/>
  <c r="L24" i="11"/>
  <c r="N25" i="13"/>
  <c r="N33" i="13"/>
  <c r="N13" i="14"/>
  <c r="L25" i="16"/>
  <c r="N20" i="17"/>
  <c r="N13" i="4"/>
  <c r="N22" i="4"/>
  <c r="N24" i="4"/>
  <c r="L13" i="5"/>
  <c r="N21" i="5"/>
  <c r="L25" i="5"/>
  <c r="L29" i="5"/>
  <c r="L33" i="5"/>
  <c r="L34" i="5"/>
  <c r="Z21" i="7"/>
  <c r="X25" i="7"/>
  <c r="X29" i="7"/>
  <c r="X33" i="7"/>
  <c r="X34" i="7"/>
  <c r="Z13" i="8"/>
  <c r="Z16" i="8"/>
  <c r="Z20" i="8"/>
  <c r="X22" i="8"/>
  <c r="X24" i="8"/>
  <c r="N13" i="10"/>
  <c r="N22" i="10"/>
  <c r="N24" i="10"/>
  <c r="L13" i="11"/>
  <c r="N21" i="11"/>
  <c r="L25" i="11"/>
  <c r="L29" i="11"/>
  <c r="L33" i="11"/>
  <c r="L34" i="11"/>
  <c r="N15" i="13"/>
  <c r="L21" i="13"/>
  <c r="L21" i="17"/>
  <c r="L13" i="22"/>
  <c r="X15" i="4"/>
  <c r="N25" i="4"/>
  <c r="N29" i="4"/>
  <c r="N33" i="4"/>
  <c r="N34" i="4"/>
  <c r="N13" i="5"/>
  <c r="N22" i="5"/>
  <c r="N24" i="5"/>
  <c r="X12" i="7"/>
  <c r="R36" i="7"/>
  <c r="R34" i="7"/>
  <c r="R33" i="7"/>
  <c r="R31" i="7"/>
  <c r="R29" i="7"/>
  <c r="R27" i="7"/>
  <c r="R25" i="7"/>
  <c r="R24" i="7"/>
  <c r="R22" i="7"/>
  <c r="R21" i="7"/>
  <c r="R20" i="7"/>
  <c r="R18" i="7"/>
  <c r="R16" i="7"/>
  <c r="P18" i="7"/>
  <c r="R15" i="7"/>
  <c r="Z22" i="7"/>
  <c r="Z24" i="7"/>
  <c r="Z21" i="8"/>
  <c r="X25" i="8"/>
  <c r="X29" i="8"/>
  <c r="X33" i="8"/>
  <c r="X34" i="8"/>
  <c r="X15" i="10"/>
  <c r="N25" i="10"/>
  <c r="N29" i="10"/>
  <c r="N33" i="10"/>
  <c r="N34" i="10"/>
  <c r="N13" i="11"/>
  <c r="N22" i="11"/>
  <c r="N24" i="11"/>
  <c r="N15" i="14"/>
  <c r="L21" i="14"/>
  <c r="Z22" i="20"/>
  <c r="N20" i="22"/>
  <c r="X15" i="25"/>
  <c r="L12" i="4"/>
  <c r="F36" i="4"/>
  <c r="F34" i="4"/>
  <c r="F33" i="4"/>
  <c r="F31" i="4"/>
  <c r="F29" i="4"/>
  <c r="F27" i="4"/>
  <c r="F25" i="4"/>
  <c r="F24" i="4"/>
  <c r="F22" i="4"/>
  <c r="F21" i="4"/>
  <c r="F20" i="4"/>
  <c r="F18" i="4"/>
  <c r="F16" i="4"/>
  <c r="D18" i="4"/>
  <c r="F15" i="4"/>
  <c r="X16" i="4"/>
  <c r="X20" i="4"/>
  <c r="X15" i="5"/>
  <c r="N25" i="5"/>
  <c r="N29" i="5"/>
  <c r="N33" i="5"/>
  <c r="N34" i="5"/>
  <c r="Z12" i="7"/>
  <c r="V36" i="7"/>
  <c r="V34" i="7"/>
  <c r="V33" i="7"/>
  <c r="V31" i="7"/>
  <c r="V29" i="7"/>
  <c r="V27" i="7"/>
  <c r="V25" i="7"/>
  <c r="V24" i="7"/>
  <c r="V22" i="7"/>
  <c r="V21" i="7"/>
  <c r="V20" i="7"/>
  <c r="V18" i="7"/>
  <c r="V16" i="7"/>
  <c r="T18" i="7"/>
  <c r="V15" i="7"/>
  <c r="L15" i="7"/>
  <c r="Z25" i="7"/>
  <c r="Z29" i="7"/>
  <c r="Z33" i="7"/>
  <c r="Z34" i="7"/>
  <c r="X12" i="8"/>
  <c r="R36" i="8"/>
  <c r="R34" i="8"/>
  <c r="R33" i="8"/>
  <c r="R31" i="8"/>
  <c r="R29" i="8"/>
  <c r="R27" i="8"/>
  <c r="R25" i="8"/>
  <c r="R24" i="8"/>
  <c r="R22" i="8"/>
  <c r="R21" i="8"/>
  <c r="R20" i="8"/>
  <c r="R18" i="8"/>
  <c r="R16" i="8"/>
  <c r="P18" i="8"/>
  <c r="R15" i="8"/>
  <c r="Z22" i="8"/>
  <c r="Z24" i="8"/>
  <c r="L12" i="10"/>
  <c r="F36" i="10"/>
  <c r="F34" i="10"/>
  <c r="F33" i="10"/>
  <c r="F31" i="10"/>
  <c r="F29" i="10"/>
  <c r="F27" i="10"/>
  <c r="F25" i="10"/>
  <c r="F24" i="10"/>
  <c r="F22" i="10"/>
  <c r="F21" i="10"/>
  <c r="F20" i="10"/>
  <c r="F18" i="10"/>
  <c r="F16" i="10"/>
  <c r="D18" i="10"/>
  <c r="F15" i="10"/>
  <c r="X16" i="10"/>
  <c r="X20" i="10"/>
  <c r="X15" i="11"/>
  <c r="N25" i="11"/>
  <c r="N29" i="11"/>
  <c r="N33" i="11"/>
  <c r="N34" i="11"/>
  <c r="X15" i="13"/>
  <c r="N34" i="13"/>
  <c r="N20" i="16"/>
  <c r="J36" i="4"/>
  <c r="J34" i="4"/>
  <c r="J33" i="4"/>
  <c r="J31" i="4"/>
  <c r="J29" i="4"/>
  <c r="J27" i="4"/>
  <c r="J25" i="4"/>
  <c r="J24" i="4"/>
  <c r="J22" i="4"/>
  <c r="J21" i="4"/>
  <c r="J20" i="4"/>
  <c r="J18" i="4"/>
  <c r="J16" i="4"/>
  <c r="H18" i="4"/>
  <c r="J15" i="4"/>
  <c r="N12" i="4"/>
  <c r="X13" i="4"/>
  <c r="Z15" i="4"/>
  <c r="X21" i="4"/>
  <c r="F36" i="5"/>
  <c r="F34" i="5"/>
  <c r="F33" i="5"/>
  <c r="F31" i="5"/>
  <c r="F29" i="5"/>
  <c r="F27" i="5"/>
  <c r="F25" i="5"/>
  <c r="F24" i="5"/>
  <c r="F22" i="5"/>
  <c r="F21" i="5"/>
  <c r="F20" i="5"/>
  <c r="F18" i="5"/>
  <c r="F16" i="5"/>
  <c r="D18" i="5"/>
  <c r="F15" i="5"/>
  <c r="L12" i="5"/>
  <c r="X16" i="5"/>
  <c r="X20" i="5"/>
  <c r="L16" i="7"/>
  <c r="L20" i="7"/>
  <c r="V36" i="8"/>
  <c r="V34" i="8"/>
  <c r="V33" i="8"/>
  <c r="V31" i="8"/>
  <c r="V29" i="8"/>
  <c r="V27" i="8"/>
  <c r="V25" i="8"/>
  <c r="V24" i="8"/>
  <c r="V22" i="8"/>
  <c r="V21" i="8"/>
  <c r="V20" i="8"/>
  <c r="V18" i="8"/>
  <c r="V16" i="8"/>
  <c r="T18" i="8"/>
  <c r="V15" i="8"/>
  <c r="Z12" i="8"/>
  <c r="L15" i="8"/>
  <c r="Z25" i="8"/>
  <c r="Z29" i="8"/>
  <c r="Z33" i="8"/>
  <c r="Z34" i="8"/>
  <c r="J36" i="10"/>
  <c r="J34" i="10"/>
  <c r="J33" i="10"/>
  <c r="J31" i="10"/>
  <c r="J29" i="10"/>
  <c r="J27" i="10"/>
  <c r="J25" i="10"/>
  <c r="J24" i="10"/>
  <c r="J22" i="10"/>
  <c r="J21" i="10"/>
  <c r="J20" i="10"/>
  <c r="J18" i="10"/>
  <c r="J16" i="10"/>
  <c r="H18" i="10"/>
  <c r="J15" i="10"/>
  <c r="N12" i="10"/>
  <c r="X13" i="10"/>
  <c r="Z15" i="10"/>
  <c r="X21" i="10"/>
  <c r="F36" i="11"/>
  <c r="F34" i="11"/>
  <c r="F33" i="11"/>
  <c r="F31" i="11"/>
  <c r="F29" i="11"/>
  <c r="F27" i="11"/>
  <c r="F25" i="11"/>
  <c r="F24" i="11"/>
  <c r="F22" i="11"/>
  <c r="F21" i="11"/>
  <c r="F20" i="11"/>
  <c r="F18" i="11"/>
  <c r="F16" i="11"/>
  <c r="D18" i="11"/>
  <c r="F15" i="11"/>
  <c r="L12" i="11"/>
  <c r="X16" i="11"/>
  <c r="X20" i="11"/>
  <c r="L16" i="14"/>
  <c r="L29" i="16"/>
  <c r="L22" i="17"/>
  <c r="Z13" i="4"/>
  <c r="Z16" i="4"/>
  <c r="Z20" i="4"/>
  <c r="X22" i="4"/>
  <c r="X24" i="4"/>
  <c r="J36" i="5"/>
  <c r="J34" i="5"/>
  <c r="J33" i="5"/>
  <c r="J31" i="5"/>
  <c r="J29" i="5"/>
  <c r="J27" i="5"/>
  <c r="J25" i="5"/>
  <c r="J24" i="5"/>
  <c r="J22" i="5"/>
  <c r="J21" i="5"/>
  <c r="J20" i="5"/>
  <c r="J18" i="5"/>
  <c r="J16" i="5"/>
  <c r="H18" i="5"/>
  <c r="J15" i="5"/>
  <c r="N12" i="5"/>
  <c r="X13" i="5"/>
  <c r="Z15" i="5"/>
  <c r="X21" i="5"/>
  <c r="N15" i="7"/>
  <c r="L21" i="7"/>
  <c r="L16" i="8"/>
  <c r="L20" i="8"/>
  <c r="Z13" i="10"/>
  <c r="Z16" i="10"/>
  <c r="Z20" i="10"/>
  <c r="X22" i="10"/>
  <c r="X24" i="10"/>
  <c r="J36" i="11"/>
  <c r="J34" i="11"/>
  <c r="J33" i="11"/>
  <c r="J31" i="11"/>
  <c r="J29" i="11"/>
  <c r="J27" i="11"/>
  <c r="J25" i="11"/>
  <c r="J24" i="11"/>
  <c r="J22" i="11"/>
  <c r="J21" i="11"/>
  <c r="J20" i="11"/>
  <c r="J18" i="11"/>
  <c r="J16" i="11"/>
  <c r="H18" i="11"/>
  <c r="J15" i="11"/>
  <c r="N12" i="11"/>
  <c r="X13" i="11"/>
  <c r="Z15" i="11"/>
  <c r="X21" i="11"/>
  <c r="N16" i="13"/>
  <c r="L22" i="13"/>
  <c r="N15" i="17"/>
  <c r="Z29" i="20"/>
  <c r="L25" i="22"/>
  <c r="L16" i="13"/>
  <c r="L20" i="13"/>
  <c r="V21" i="14"/>
  <c r="V20" i="14"/>
  <c r="V18" i="14"/>
  <c r="V16" i="14"/>
  <c r="T18" i="14"/>
  <c r="V15" i="14"/>
  <c r="V24" i="14"/>
  <c r="V22" i="14"/>
  <c r="V34" i="14"/>
  <c r="V27" i="14"/>
  <c r="V33" i="14"/>
  <c r="V25" i="14"/>
  <c r="Z12" i="14"/>
  <c r="V31" i="14"/>
  <c r="V36" i="14"/>
  <c r="V29" i="14"/>
  <c r="L15" i="14"/>
  <c r="Z25" i="14"/>
  <c r="Z29" i="14"/>
  <c r="Z33" i="14"/>
  <c r="Z34" i="14"/>
  <c r="N15" i="16"/>
  <c r="L21" i="16"/>
  <c r="L16" i="17"/>
  <c r="L20" i="17"/>
  <c r="L29" i="19"/>
  <c r="N16" i="20"/>
  <c r="L22" i="20"/>
  <c r="D18" i="22"/>
  <c r="F15" i="22"/>
  <c r="L12" i="22"/>
  <c r="F36" i="22"/>
  <c r="F34" i="22"/>
  <c r="F33" i="22"/>
  <c r="F31" i="22"/>
  <c r="F29" i="22"/>
  <c r="F27" i="22"/>
  <c r="F25" i="22"/>
  <c r="F20" i="22"/>
  <c r="F18" i="22"/>
  <c r="F16" i="22"/>
  <c r="F24" i="22"/>
  <c r="F22" i="22"/>
  <c r="F21" i="22"/>
  <c r="N24" i="25"/>
  <c r="N33" i="29"/>
  <c r="L16" i="31"/>
  <c r="Z33" i="34"/>
  <c r="L13" i="13"/>
  <c r="N21" i="13"/>
  <c r="L25" i="13"/>
  <c r="L29" i="13"/>
  <c r="L33" i="13"/>
  <c r="L34" i="13"/>
  <c r="N16" i="14"/>
  <c r="N20" i="14"/>
  <c r="L22" i="14"/>
  <c r="L24" i="14"/>
  <c r="N13" i="16"/>
  <c r="N22" i="16"/>
  <c r="N24" i="16"/>
  <c r="L13" i="17"/>
  <c r="N21" i="17"/>
  <c r="L25" i="17"/>
  <c r="L29" i="17"/>
  <c r="L33" i="17"/>
  <c r="L34" i="17"/>
  <c r="L24" i="20"/>
  <c r="X20" i="22"/>
  <c r="N25" i="23"/>
  <c r="N33" i="23"/>
  <c r="N25" i="25"/>
  <c r="Z12" i="29"/>
  <c r="V36" i="29"/>
  <c r="V34" i="29"/>
  <c r="V33" i="29"/>
  <c r="V31" i="29"/>
  <c r="V29" i="29"/>
  <c r="V27" i="29"/>
  <c r="V25" i="29"/>
  <c r="V21" i="29"/>
  <c r="V20" i="29"/>
  <c r="V18" i="29"/>
  <c r="V16" i="29"/>
  <c r="V24" i="29"/>
  <c r="V15" i="29"/>
  <c r="V22" i="29"/>
  <c r="T18" i="29"/>
  <c r="X25" i="35"/>
  <c r="X13" i="41"/>
  <c r="N13" i="13"/>
  <c r="N22" i="13"/>
  <c r="N24" i="13"/>
  <c r="L13" i="14"/>
  <c r="N21" i="14"/>
  <c r="L25" i="14"/>
  <c r="L29" i="14"/>
  <c r="L33" i="14"/>
  <c r="L34" i="14"/>
  <c r="X15" i="16"/>
  <c r="N25" i="16"/>
  <c r="N29" i="16"/>
  <c r="N33" i="16"/>
  <c r="N34" i="16"/>
  <c r="N13" i="17"/>
  <c r="N22" i="17"/>
  <c r="N24" i="17"/>
  <c r="V20" i="19"/>
  <c r="V18" i="19"/>
  <c r="V16" i="19"/>
  <c r="T18" i="19"/>
  <c r="V15" i="19"/>
  <c r="Z12" i="19"/>
  <c r="V21" i="19"/>
  <c r="V34" i="19"/>
  <c r="V27" i="19"/>
  <c r="V33" i="19"/>
  <c r="V25" i="19"/>
  <c r="V31" i="19"/>
  <c r="V24" i="19"/>
  <c r="V36" i="19"/>
  <c r="V29" i="19"/>
  <c r="V22" i="19"/>
  <c r="R21" i="20"/>
  <c r="R20" i="20"/>
  <c r="R18" i="20"/>
  <c r="R16" i="20"/>
  <c r="P18" i="20"/>
  <c r="R15" i="20"/>
  <c r="X12" i="20"/>
  <c r="R24" i="20"/>
  <c r="R22" i="20"/>
  <c r="R34" i="20"/>
  <c r="R27" i="20"/>
  <c r="R33" i="20"/>
  <c r="R25" i="20"/>
  <c r="R31" i="20"/>
  <c r="R29" i="20"/>
  <c r="R36" i="20"/>
  <c r="Z24" i="20"/>
  <c r="N15" i="23"/>
  <c r="L21" i="23"/>
  <c r="N21" i="26"/>
  <c r="D18" i="16"/>
  <c r="F15" i="16"/>
  <c r="L12" i="16"/>
  <c r="F36" i="16"/>
  <c r="F34" i="16"/>
  <c r="F33" i="16"/>
  <c r="F31" i="16"/>
  <c r="F29" i="16"/>
  <c r="F27" i="16"/>
  <c r="F25" i="16"/>
  <c r="F20" i="16"/>
  <c r="F18" i="16"/>
  <c r="F16" i="16"/>
  <c r="F21" i="16"/>
  <c r="F24" i="16"/>
  <c r="F22" i="16"/>
  <c r="X16" i="16"/>
  <c r="X20" i="16"/>
  <c r="X15" i="17"/>
  <c r="N25" i="17"/>
  <c r="N29" i="17"/>
  <c r="N33" i="17"/>
  <c r="N34" i="17"/>
  <c r="L20" i="19"/>
  <c r="T18" i="20"/>
  <c r="V15" i="20"/>
  <c r="Z12" i="20"/>
  <c r="V36" i="20"/>
  <c r="V34" i="20"/>
  <c r="V33" i="20"/>
  <c r="V31" i="20"/>
  <c r="V29" i="20"/>
  <c r="V27" i="20"/>
  <c r="V25" i="20"/>
  <c r="V20" i="20"/>
  <c r="V18" i="20"/>
  <c r="V16" i="20"/>
  <c r="V21" i="20"/>
  <c r="V24" i="20"/>
  <c r="V22" i="20"/>
  <c r="N21" i="22"/>
  <c r="L34" i="22"/>
  <c r="X34" i="31"/>
  <c r="L12" i="13"/>
  <c r="F36" i="13"/>
  <c r="F34" i="13"/>
  <c r="F33" i="13"/>
  <c r="F31" i="13"/>
  <c r="F29" i="13"/>
  <c r="F27" i="13"/>
  <c r="F25" i="13"/>
  <c r="F24" i="13"/>
  <c r="F22" i="13"/>
  <c r="D18" i="13"/>
  <c r="F15" i="13"/>
  <c r="F16" i="13"/>
  <c r="F21" i="13"/>
  <c r="F20" i="13"/>
  <c r="F18" i="13"/>
  <c r="X16" i="13"/>
  <c r="X20" i="13"/>
  <c r="X15" i="14"/>
  <c r="N25" i="14"/>
  <c r="N29" i="14"/>
  <c r="N33" i="14"/>
  <c r="N34" i="14"/>
  <c r="N12" i="16"/>
  <c r="J36" i="16"/>
  <c r="J34" i="16"/>
  <c r="J33" i="16"/>
  <c r="J31" i="16"/>
  <c r="J29" i="16"/>
  <c r="J27" i="16"/>
  <c r="J25" i="16"/>
  <c r="J24" i="16"/>
  <c r="J22" i="16"/>
  <c r="J21" i="16"/>
  <c r="J20" i="16"/>
  <c r="J18" i="16"/>
  <c r="H18" i="16"/>
  <c r="J16" i="16"/>
  <c r="J15" i="16"/>
  <c r="X13" i="16"/>
  <c r="Z15" i="16"/>
  <c r="X21" i="16"/>
  <c r="L12" i="17"/>
  <c r="F36" i="17"/>
  <c r="F34" i="17"/>
  <c r="F33" i="17"/>
  <c r="F31" i="17"/>
  <c r="F29" i="17"/>
  <c r="F27" i="17"/>
  <c r="F25" i="17"/>
  <c r="F24" i="17"/>
  <c r="F22" i="17"/>
  <c r="D18" i="17"/>
  <c r="F15" i="17"/>
  <c r="F21" i="17"/>
  <c r="F20" i="17"/>
  <c r="F18" i="17"/>
  <c r="F16" i="17"/>
  <c r="X16" i="17"/>
  <c r="X20" i="17"/>
  <c r="L13" i="19"/>
  <c r="L25" i="19"/>
  <c r="L33" i="19"/>
  <c r="N20" i="20"/>
  <c r="X15" i="23"/>
  <c r="N34" i="23"/>
  <c r="L13" i="26"/>
  <c r="L33" i="26"/>
  <c r="Z21" i="28"/>
  <c r="N12" i="13"/>
  <c r="J36" i="13"/>
  <c r="J34" i="13"/>
  <c r="J33" i="13"/>
  <c r="J31" i="13"/>
  <c r="J29" i="13"/>
  <c r="J27" i="13"/>
  <c r="J25" i="13"/>
  <c r="J21" i="13"/>
  <c r="J20" i="13"/>
  <c r="J18" i="13"/>
  <c r="J16" i="13"/>
  <c r="J15" i="13"/>
  <c r="J24" i="13"/>
  <c r="J22" i="13"/>
  <c r="H18" i="13"/>
  <c r="X13" i="13"/>
  <c r="Z15" i="13"/>
  <c r="X21" i="13"/>
  <c r="L12" i="14"/>
  <c r="F24" i="14"/>
  <c r="F22" i="14"/>
  <c r="F21" i="14"/>
  <c r="F16" i="14"/>
  <c r="F34" i="14"/>
  <c r="F27" i="14"/>
  <c r="F15" i="14"/>
  <c r="F33" i="14"/>
  <c r="F25" i="14"/>
  <c r="F20" i="14"/>
  <c r="F31" i="14"/>
  <c r="F36" i="14"/>
  <c r="F29" i="14"/>
  <c r="F18" i="14"/>
  <c r="D18" i="14"/>
  <c r="X16" i="14"/>
  <c r="X20" i="14"/>
  <c r="Z13" i="16"/>
  <c r="Z16" i="16"/>
  <c r="Z20" i="16"/>
  <c r="X22" i="16"/>
  <c r="X24" i="16"/>
  <c r="N12" i="17"/>
  <c r="J36" i="17"/>
  <c r="J34" i="17"/>
  <c r="J33" i="17"/>
  <c r="J31" i="17"/>
  <c r="J29" i="17"/>
  <c r="J27" i="17"/>
  <c r="J25" i="17"/>
  <c r="J24" i="17"/>
  <c r="J22" i="17"/>
  <c r="J21" i="17"/>
  <c r="J20" i="17"/>
  <c r="J18" i="17"/>
  <c r="J16" i="17"/>
  <c r="H18" i="17"/>
  <c r="J15" i="17"/>
  <c r="X13" i="17"/>
  <c r="Z15" i="17"/>
  <c r="X21" i="17"/>
  <c r="L15" i="19"/>
  <c r="Z25" i="19"/>
  <c r="Z33" i="19"/>
  <c r="N16" i="22"/>
  <c r="L22" i="22"/>
  <c r="N29" i="25"/>
  <c r="N13" i="26"/>
  <c r="N22" i="26"/>
  <c r="X24" i="28"/>
  <c r="Z13" i="13"/>
  <c r="Z16" i="13"/>
  <c r="Z20" i="13"/>
  <c r="X22" i="13"/>
  <c r="X24" i="13"/>
  <c r="N12" i="14"/>
  <c r="J36" i="14"/>
  <c r="J34" i="14"/>
  <c r="J33" i="14"/>
  <c r="J31" i="14"/>
  <c r="J29" i="14"/>
  <c r="J27" i="14"/>
  <c r="J25" i="14"/>
  <c r="J24" i="14"/>
  <c r="J22" i="14"/>
  <c r="J20" i="14"/>
  <c r="J18" i="14"/>
  <c r="J16" i="14"/>
  <c r="H18" i="14"/>
  <c r="J15" i="14"/>
  <c r="J21" i="14"/>
  <c r="X13" i="14"/>
  <c r="Z15" i="14"/>
  <c r="X21" i="14"/>
  <c r="Z21" i="16"/>
  <c r="X25" i="16"/>
  <c r="X29" i="16"/>
  <c r="X33" i="16"/>
  <c r="X34" i="16"/>
  <c r="Z13" i="17"/>
  <c r="Z16" i="17"/>
  <c r="Z20" i="17"/>
  <c r="X22" i="17"/>
  <c r="X24" i="17"/>
  <c r="L15" i="20"/>
  <c r="Z25" i="20"/>
  <c r="Z33" i="20"/>
  <c r="L29" i="22"/>
  <c r="N16" i="23"/>
  <c r="L22" i="23"/>
  <c r="L34" i="26"/>
  <c r="L15" i="34"/>
  <c r="Z21" i="13"/>
  <c r="X25" i="13"/>
  <c r="X29" i="13"/>
  <c r="X33" i="13"/>
  <c r="X34" i="13"/>
  <c r="Z13" i="14"/>
  <c r="Z16" i="14"/>
  <c r="Z20" i="14"/>
  <c r="X22" i="14"/>
  <c r="X24" i="14"/>
  <c r="X12" i="16"/>
  <c r="R36" i="16"/>
  <c r="R34" i="16"/>
  <c r="R33" i="16"/>
  <c r="R31" i="16"/>
  <c r="R29" i="16"/>
  <c r="R27" i="16"/>
  <c r="R25" i="16"/>
  <c r="R24" i="16"/>
  <c r="R22" i="16"/>
  <c r="R21" i="16"/>
  <c r="R20" i="16"/>
  <c r="R18" i="16"/>
  <c r="R16" i="16"/>
  <c r="P18" i="16"/>
  <c r="R15" i="16"/>
  <c r="Z22" i="16"/>
  <c r="Z24" i="16"/>
  <c r="Z21" i="17"/>
  <c r="X25" i="17"/>
  <c r="X29" i="17"/>
  <c r="X33" i="17"/>
  <c r="X34" i="17"/>
  <c r="N21" i="19"/>
  <c r="L34" i="19"/>
  <c r="X16" i="22"/>
  <c r="N29" i="23"/>
  <c r="N24" i="26"/>
  <c r="Z25" i="29"/>
  <c r="X24" i="32"/>
  <c r="Z22" i="34"/>
  <c r="R36" i="13"/>
  <c r="R34" i="13"/>
  <c r="R33" i="13"/>
  <c r="R31" i="13"/>
  <c r="R29" i="13"/>
  <c r="R27" i="13"/>
  <c r="R25" i="13"/>
  <c r="R24" i="13"/>
  <c r="R22" i="13"/>
  <c r="R21" i="13"/>
  <c r="R20" i="13"/>
  <c r="R18" i="13"/>
  <c r="R16" i="13"/>
  <c r="P18" i="13"/>
  <c r="R15" i="13"/>
  <c r="X12" i="13"/>
  <c r="Z22" i="13"/>
  <c r="Z24" i="13"/>
  <c r="Z21" i="14"/>
  <c r="X25" i="14"/>
  <c r="X29" i="14"/>
  <c r="X33" i="14"/>
  <c r="X34" i="14"/>
  <c r="V36" i="16"/>
  <c r="V34" i="16"/>
  <c r="V33" i="16"/>
  <c r="V31" i="16"/>
  <c r="V29" i="16"/>
  <c r="V27" i="16"/>
  <c r="V25" i="16"/>
  <c r="V24" i="16"/>
  <c r="V22" i="16"/>
  <c r="V21" i="16"/>
  <c r="V20" i="16"/>
  <c r="V18" i="16"/>
  <c r="V16" i="16"/>
  <c r="T18" i="16"/>
  <c r="V15" i="16"/>
  <c r="Z12" i="16"/>
  <c r="L15" i="16"/>
  <c r="Z25" i="16"/>
  <c r="Z29" i="16"/>
  <c r="Z33" i="16"/>
  <c r="Z34" i="16"/>
  <c r="R36" i="17"/>
  <c r="R34" i="17"/>
  <c r="R33" i="17"/>
  <c r="R31" i="17"/>
  <c r="R29" i="17"/>
  <c r="R27" i="17"/>
  <c r="R25" i="17"/>
  <c r="R24" i="17"/>
  <c r="R22" i="17"/>
  <c r="R21" i="17"/>
  <c r="R20" i="17"/>
  <c r="R18" i="17"/>
  <c r="R16" i="17"/>
  <c r="P18" i="17"/>
  <c r="R15" i="17"/>
  <c r="X12" i="17"/>
  <c r="Z22" i="17"/>
  <c r="Z24" i="17"/>
  <c r="Z34" i="19"/>
  <c r="L24" i="22"/>
  <c r="N13" i="25"/>
  <c r="N22" i="25"/>
  <c r="L25" i="26"/>
  <c r="V24" i="13"/>
  <c r="V22" i="13"/>
  <c r="V21" i="13"/>
  <c r="V20" i="13"/>
  <c r="V18" i="13"/>
  <c r="V16" i="13"/>
  <c r="T18" i="13"/>
  <c r="V15" i="13"/>
  <c r="V36" i="13"/>
  <c r="V34" i="13"/>
  <c r="V33" i="13"/>
  <c r="V31" i="13"/>
  <c r="V29" i="13"/>
  <c r="V27" i="13"/>
  <c r="V25" i="13"/>
  <c r="Z12" i="13"/>
  <c r="L15" i="13"/>
  <c r="Z25" i="13"/>
  <c r="Z29" i="13"/>
  <c r="Z33" i="13"/>
  <c r="Z34" i="13"/>
  <c r="R36" i="14"/>
  <c r="R34" i="14"/>
  <c r="R33" i="14"/>
  <c r="R31" i="14"/>
  <c r="R29" i="14"/>
  <c r="R27" i="14"/>
  <c r="R25" i="14"/>
  <c r="R24" i="14"/>
  <c r="R22" i="14"/>
  <c r="R21" i="14"/>
  <c r="R20" i="14"/>
  <c r="R18" i="14"/>
  <c r="R16" i="14"/>
  <c r="P18" i="14"/>
  <c r="R15" i="14"/>
  <c r="X12" i="14"/>
  <c r="Z22" i="14"/>
  <c r="Z24" i="14"/>
  <c r="L16" i="16"/>
  <c r="L20" i="16"/>
  <c r="V24" i="17"/>
  <c r="V22" i="17"/>
  <c r="V21" i="17"/>
  <c r="V20" i="17"/>
  <c r="V18" i="17"/>
  <c r="V16" i="17"/>
  <c r="T18" i="17"/>
  <c r="V15" i="17"/>
  <c r="V36" i="17"/>
  <c r="V34" i="17"/>
  <c r="V33" i="17"/>
  <c r="V31" i="17"/>
  <c r="V29" i="17"/>
  <c r="V27" i="17"/>
  <c r="V25" i="17"/>
  <c r="Z12" i="17"/>
  <c r="L15" i="17"/>
  <c r="Z25" i="17"/>
  <c r="Z29" i="17"/>
  <c r="Z33" i="17"/>
  <c r="Z34" i="17"/>
  <c r="L16" i="19"/>
  <c r="Z34" i="20"/>
  <c r="L24" i="23"/>
  <c r="N33" i="25"/>
  <c r="R24" i="19"/>
  <c r="R22" i="19"/>
  <c r="R21" i="19"/>
  <c r="R20" i="19"/>
  <c r="R18" i="19"/>
  <c r="R16" i="19"/>
  <c r="P18" i="19"/>
  <c r="R15" i="19"/>
  <c r="R36" i="19"/>
  <c r="R34" i="19"/>
  <c r="R33" i="19"/>
  <c r="R31" i="19"/>
  <c r="R29" i="19"/>
  <c r="R27" i="19"/>
  <c r="R25" i="19"/>
  <c r="X12" i="19"/>
  <c r="Z22" i="19"/>
  <c r="Z24" i="19"/>
  <c r="Z21" i="20"/>
  <c r="X25" i="20"/>
  <c r="X29" i="20"/>
  <c r="X33" i="20"/>
  <c r="X34" i="20"/>
  <c r="N15" i="22"/>
  <c r="L21" i="22"/>
  <c r="L16" i="23"/>
  <c r="L20" i="23"/>
  <c r="L13" i="25"/>
  <c r="N21" i="25"/>
  <c r="L25" i="25"/>
  <c r="L29" i="25"/>
  <c r="L33" i="25"/>
  <c r="L34" i="25"/>
  <c r="N16" i="26"/>
  <c r="N20" i="26"/>
  <c r="L22" i="26"/>
  <c r="L24" i="26"/>
  <c r="F24" i="28"/>
  <c r="F22" i="28"/>
  <c r="F20" i="28"/>
  <c r="F18" i="28"/>
  <c r="F16" i="28"/>
  <c r="F34" i="28"/>
  <c r="F31" i="28"/>
  <c r="F27" i="28"/>
  <c r="F21" i="28"/>
  <c r="D18" i="28"/>
  <c r="F15" i="28"/>
  <c r="F33" i="28"/>
  <c r="F29" i="28"/>
  <c r="F25" i="28"/>
  <c r="F36" i="28"/>
  <c r="L12" i="28"/>
  <c r="Z16" i="29"/>
  <c r="Z15" i="32"/>
  <c r="T18" i="34"/>
  <c r="V15" i="34"/>
  <c r="Z12" i="34"/>
  <c r="V36" i="34"/>
  <c r="V34" i="34"/>
  <c r="V33" i="34"/>
  <c r="V31" i="34"/>
  <c r="V29" i="34"/>
  <c r="V27" i="34"/>
  <c r="V25" i="34"/>
  <c r="V20" i="34"/>
  <c r="V18" i="34"/>
  <c r="V16" i="34"/>
  <c r="V21" i="34"/>
  <c r="V24" i="34"/>
  <c r="V22" i="34"/>
  <c r="Z24" i="35"/>
  <c r="Z20" i="40"/>
  <c r="N15" i="19"/>
  <c r="L21" i="19"/>
  <c r="L16" i="20"/>
  <c r="L20" i="20"/>
  <c r="N13" i="22"/>
  <c r="N22" i="22"/>
  <c r="N24" i="22"/>
  <c r="L13" i="23"/>
  <c r="N21" i="23"/>
  <c r="L25" i="23"/>
  <c r="L29" i="23"/>
  <c r="L33" i="23"/>
  <c r="L34" i="23"/>
  <c r="F21" i="25"/>
  <c r="F20" i="25"/>
  <c r="F18" i="25"/>
  <c r="F16" i="25"/>
  <c r="D18" i="25"/>
  <c r="F15" i="25"/>
  <c r="L12" i="25"/>
  <c r="F24" i="25"/>
  <c r="F22" i="25"/>
  <c r="F33" i="25"/>
  <c r="F31" i="25"/>
  <c r="F29" i="25"/>
  <c r="F27" i="25"/>
  <c r="F34" i="25"/>
  <c r="F25" i="25"/>
  <c r="F36" i="25"/>
  <c r="X16" i="25"/>
  <c r="X20" i="25"/>
  <c r="X15" i="26"/>
  <c r="N25" i="26"/>
  <c r="N29" i="26"/>
  <c r="N33" i="26"/>
  <c r="N34" i="26"/>
  <c r="L16" i="28"/>
  <c r="L20" i="28"/>
  <c r="X13" i="29"/>
  <c r="Z16" i="31"/>
  <c r="X22" i="31"/>
  <c r="Z16" i="32"/>
  <c r="Z24" i="34"/>
  <c r="N16" i="19"/>
  <c r="N20" i="19"/>
  <c r="L22" i="19"/>
  <c r="L24" i="19"/>
  <c r="N15" i="20"/>
  <c r="L21" i="20"/>
  <c r="X15" i="22"/>
  <c r="N25" i="22"/>
  <c r="N29" i="22"/>
  <c r="N33" i="22"/>
  <c r="N34" i="22"/>
  <c r="N13" i="23"/>
  <c r="N22" i="23"/>
  <c r="N24" i="23"/>
  <c r="H18" i="25"/>
  <c r="J15" i="25"/>
  <c r="N12" i="25"/>
  <c r="J36" i="25"/>
  <c r="J34" i="25"/>
  <c r="J33" i="25"/>
  <c r="J31" i="25"/>
  <c r="J29" i="25"/>
  <c r="J27" i="25"/>
  <c r="J25" i="25"/>
  <c r="J20" i="25"/>
  <c r="J18" i="25"/>
  <c r="J16" i="25"/>
  <c r="J22" i="25"/>
  <c r="J21" i="25"/>
  <c r="J24" i="25"/>
  <c r="X13" i="25"/>
  <c r="Z15" i="25"/>
  <c r="X21" i="25"/>
  <c r="F20" i="26"/>
  <c r="F18" i="26"/>
  <c r="F16" i="26"/>
  <c r="D18" i="26"/>
  <c r="F15" i="26"/>
  <c r="L12" i="26"/>
  <c r="F21" i="26"/>
  <c r="F36" i="26"/>
  <c r="F25" i="26"/>
  <c r="F34" i="26"/>
  <c r="F24" i="26"/>
  <c r="F33" i="26"/>
  <c r="F22" i="26"/>
  <c r="F31" i="26"/>
  <c r="F29" i="26"/>
  <c r="F27" i="26"/>
  <c r="X16" i="26"/>
  <c r="X20" i="26"/>
  <c r="N16" i="28"/>
  <c r="N20" i="28"/>
  <c r="L22" i="28"/>
  <c r="Z13" i="29"/>
  <c r="X22" i="29"/>
  <c r="X29" i="31"/>
  <c r="Z34" i="34"/>
  <c r="Z13" i="25"/>
  <c r="Z16" i="25"/>
  <c r="Z20" i="25"/>
  <c r="X22" i="25"/>
  <c r="X24" i="25"/>
  <c r="N12" i="26"/>
  <c r="J36" i="26"/>
  <c r="J34" i="26"/>
  <c r="J33" i="26"/>
  <c r="J31" i="26"/>
  <c r="J29" i="26"/>
  <c r="J27" i="26"/>
  <c r="J25" i="26"/>
  <c r="J24" i="26"/>
  <c r="J22" i="26"/>
  <c r="H18" i="26"/>
  <c r="J15" i="26"/>
  <c r="J16" i="26"/>
  <c r="J21" i="26"/>
  <c r="J18" i="26"/>
  <c r="J20" i="26"/>
  <c r="X13" i="26"/>
  <c r="Z15" i="26"/>
  <c r="X21" i="26"/>
  <c r="N13" i="28"/>
  <c r="N22" i="28"/>
  <c r="L15" i="29"/>
  <c r="Z33" i="29"/>
  <c r="X29" i="35"/>
  <c r="X33" i="38"/>
  <c r="N13" i="19"/>
  <c r="N22" i="19"/>
  <c r="N24" i="19"/>
  <c r="L13" i="20"/>
  <c r="N21" i="20"/>
  <c r="L25" i="20"/>
  <c r="L29" i="20"/>
  <c r="L33" i="20"/>
  <c r="L34" i="20"/>
  <c r="N12" i="22"/>
  <c r="J24" i="22"/>
  <c r="J22" i="22"/>
  <c r="J21" i="22"/>
  <c r="J18" i="22"/>
  <c r="H18" i="22"/>
  <c r="J36" i="22"/>
  <c r="J29" i="22"/>
  <c r="J16" i="22"/>
  <c r="J34" i="22"/>
  <c r="J27" i="22"/>
  <c r="J15" i="22"/>
  <c r="J33" i="22"/>
  <c r="J25" i="22"/>
  <c r="J31" i="22"/>
  <c r="J20" i="22"/>
  <c r="X13" i="22"/>
  <c r="Z15" i="22"/>
  <c r="X21" i="22"/>
  <c r="L12" i="23"/>
  <c r="F36" i="23"/>
  <c r="F34" i="23"/>
  <c r="F33" i="23"/>
  <c r="F31" i="23"/>
  <c r="F29" i="23"/>
  <c r="F27" i="23"/>
  <c r="F25" i="23"/>
  <c r="F24" i="23"/>
  <c r="F22" i="23"/>
  <c r="D18" i="23"/>
  <c r="F15" i="23"/>
  <c r="F18" i="23"/>
  <c r="F16" i="23"/>
  <c r="F21" i="23"/>
  <c r="F20" i="23"/>
  <c r="X16" i="23"/>
  <c r="X20" i="23"/>
  <c r="Z21" i="25"/>
  <c r="X25" i="25"/>
  <c r="X29" i="25"/>
  <c r="X33" i="25"/>
  <c r="X34" i="25"/>
  <c r="Z13" i="26"/>
  <c r="Z16" i="26"/>
  <c r="Z20" i="26"/>
  <c r="X22" i="26"/>
  <c r="X24" i="26"/>
  <c r="X16" i="28"/>
  <c r="X20" i="28"/>
  <c r="X15" i="29"/>
  <c r="N29" i="29"/>
  <c r="N34" i="29"/>
  <c r="X24" i="31"/>
  <c r="J24" i="32"/>
  <c r="J22" i="32"/>
  <c r="J21" i="32"/>
  <c r="J20" i="32"/>
  <c r="J18" i="32"/>
  <c r="J16" i="32"/>
  <c r="H18" i="32"/>
  <c r="J15" i="32"/>
  <c r="N12" i="32"/>
  <c r="J36" i="32"/>
  <c r="J34" i="32"/>
  <c r="J33" i="32"/>
  <c r="J31" i="32"/>
  <c r="J29" i="32"/>
  <c r="J27" i="32"/>
  <c r="J25" i="32"/>
  <c r="Z25" i="34"/>
  <c r="N34" i="38"/>
  <c r="X15" i="19"/>
  <c r="N25" i="19"/>
  <c r="N29" i="19"/>
  <c r="N33" i="19"/>
  <c r="N34" i="19"/>
  <c r="N13" i="20"/>
  <c r="N22" i="20"/>
  <c r="N24" i="20"/>
  <c r="Z13" i="22"/>
  <c r="Z16" i="22"/>
  <c r="Z20" i="22"/>
  <c r="X22" i="22"/>
  <c r="X24" i="22"/>
  <c r="N12" i="23"/>
  <c r="J36" i="23"/>
  <c r="J34" i="23"/>
  <c r="J33" i="23"/>
  <c r="J31" i="23"/>
  <c r="J29" i="23"/>
  <c r="J27" i="23"/>
  <c r="J25" i="23"/>
  <c r="J21" i="23"/>
  <c r="J20" i="23"/>
  <c r="J18" i="23"/>
  <c r="J16" i="23"/>
  <c r="H18" i="23"/>
  <c r="J22" i="23"/>
  <c r="J15" i="23"/>
  <c r="J24" i="23"/>
  <c r="X13" i="23"/>
  <c r="Z15" i="23"/>
  <c r="X21" i="23"/>
  <c r="X12" i="25"/>
  <c r="R36" i="25"/>
  <c r="R34" i="25"/>
  <c r="R33" i="25"/>
  <c r="R31" i="25"/>
  <c r="R29" i="25"/>
  <c r="R27" i="25"/>
  <c r="R25" i="25"/>
  <c r="R24" i="25"/>
  <c r="R22" i="25"/>
  <c r="R21" i="25"/>
  <c r="R20" i="25"/>
  <c r="R18" i="25"/>
  <c r="R16" i="25"/>
  <c r="P18" i="25"/>
  <c r="R15" i="25"/>
  <c r="Z22" i="25"/>
  <c r="Z24" i="25"/>
  <c r="Z21" i="26"/>
  <c r="X25" i="26"/>
  <c r="X29" i="26"/>
  <c r="X33" i="26"/>
  <c r="X34" i="26"/>
  <c r="Z13" i="28"/>
  <c r="Z16" i="28"/>
  <c r="Z20" i="28"/>
  <c r="X22" i="28"/>
  <c r="Z15" i="29"/>
  <c r="Z20" i="32"/>
  <c r="Z21" i="35"/>
  <c r="L12" i="19"/>
  <c r="F36" i="19"/>
  <c r="F34" i="19"/>
  <c r="F33" i="19"/>
  <c r="F31" i="19"/>
  <c r="F29" i="19"/>
  <c r="F27" i="19"/>
  <c r="F25" i="19"/>
  <c r="F21" i="19"/>
  <c r="F20" i="19"/>
  <c r="F18" i="19"/>
  <c r="F16" i="19"/>
  <c r="F15" i="19"/>
  <c r="F24" i="19"/>
  <c r="F22" i="19"/>
  <c r="D18" i="19"/>
  <c r="X16" i="19"/>
  <c r="X20" i="19"/>
  <c r="X15" i="20"/>
  <c r="N25" i="20"/>
  <c r="N29" i="20"/>
  <c r="N33" i="20"/>
  <c r="N34" i="20"/>
  <c r="Z21" i="22"/>
  <c r="X25" i="22"/>
  <c r="X29" i="22"/>
  <c r="X33" i="22"/>
  <c r="X34" i="22"/>
  <c r="Z13" i="23"/>
  <c r="Z16" i="23"/>
  <c r="Z20" i="23"/>
  <c r="X22" i="23"/>
  <c r="X24" i="23"/>
  <c r="Z12" i="25"/>
  <c r="V36" i="25"/>
  <c r="V34" i="25"/>
  <c r="V33" i="25"/>
  <c r="V31" i="25"/>
  <c r="V29" i="25"/>
  <c r="V27" i="25"/>
  <c r="V25" i="25"/>
  <c r="V24" i="25"/>
  <c r="V22" i="25"/>
  <c r="V21" i="25"/>
  <c r="V20" i="25"/>
  <c r="V18" i="25"/>
  <c r="V16" i="25"/>
  <c r="T18" i="25"/>
  <c r="V15" i="25"/>
  <c r="L15" i="25"/>
  <c r="Z25" i="25"/>
  <c r="Z29" i="25"/>
  <c r="Z33" i="25"/>
  <c r="Z34" i="25"/>
  <c r="X12" i="26"/>
  <c r="R36" i="26"/>
  <c r="R34" i="26"/>
  <c r="R33" i="26"/>
  <c r="R31" i="26"/>
  <c r="R29" i="26"/>
  <c r="R27" i="26"/>
  <c r="R25" i="26"/>
  <c r="R24" i="26"/>
  <c r="R22" i="26"/>
  <c r="R21" i="26"/>
  <c r="R20" i="26"/>
  <c r="R18" i="26"/>
  <c r="R16" i="26"/>
  <c r="P18" i="26"/>
  <c r="R15" i="26"/>
  <c r="Z22" i="26"/>
  <c r="Z24" i="26"/>
  <c r="X25" i="28"/>
  <c r="X29" i="28"/>
  <c r="X33" i="28"/>
  <c r="Z20" i="29"/>
  <c r="X24" i="29"/>
  <c r="L20" i="31"/>
  <c r="Z12" i="32"/>
  <c r="V36" i="32"/>
  <c r="V34" i="32"/>
  <c r="V33" i="32"/>
  <c r="V31" i="32"/>
  <c r="V29" i="32"/>
  <c r="V27" i="32"/>
  <c r="V25" i="32"/>
  <c r="V24" i="32"/>
  <c r="V22" i="32"/>
  <c r="V21" i="32"/>
  <c r="V20" i="32"/>
  <c r="V18" i="32"/>
  <c r="V16" i="32"/>
  <c r="T18" i="32"/>
  <c r="V15" i="32"/>
  <c r="X21" i="32"/>
  <c r="R20" i="35"/>
  <c r="R18" i="35"/>
  <c r="R16" i="35"/>
  <c r="P18" i="35"/>
  <c r="R15" i="35"/>
  <c r="X12" i="35"/>
  <c r="R21" i="35"/>
  <c r="R24" i="35"/>
  <c r="R33" i="35"/>
  <c r="R22" i="35"/>
  <c r="R31" i="35"/>
  <c r="R29" i="35"/>
  <c r="R27" i="35"/>
  <c r="R34" i="35"/>
  <c r="R36" i="35"/>
  <c r="R25" i="35"/>
  <c r="L12" i="37"/>
  <c r="F36" i="37"/>
  <c r="F34" i="37"/>
  <c r="F33" i="37"/>
  <c r="F31" i="37"/>
  <c r="F29" i="37"/>
  <c r="F27" i="37"/>
  <c r="F25" i="37"/>
  <c r="F24" i="37"/>
  <c r="F22" i="37"/>
  <c r="F21" i="37"/>
  <c r="F20" i="37"/>
  <c r="F18" i="37"/>
  <c r="F16" i="37"/>
  <c r="D18" i="37"/>
  <c r="F15" i="37"/>
  <c r="N12" i="19"/>
  <c r="J36" i="19"/>
  <c r="J34" i="19"/>
  <c r="J33" i="19"/>
  <c r="J31" i="19"/>
  <c r="J29" i="19"/>
  <c r="J27" i="19"/>
  <c r="J25" i="19"/>
  <c r="J24" i="19"/>
  <c r="J22" i="19"/>
  <c r="J21" i="19"/>
  <c r="H18" i="19"/>
  <c r="J15" i="19"/>
  <c r="J20" i="19"/>
  <c r="J18" i="19"/>
  <c r="J16" i="19"/>
  <c r="X13" i="19"/>
  <c r="Z15" i="19"/>
  <c r="X21" i="19"/>
  <c r="L12" i="20"/>
  <c r="F36" i="20"/>
  <c r="F34" i="20"/>
  <c r="F33" i="20"/>
  <c r="F31" i="20"/>
  <c r="F29" i="20"/>
  <c r="F27" i="20"/>
  <c r="F25" i="20"/>
  <c r="F24" i="20"/>
  <c r="F22" i="20"/>
  <c r="F20" i="20"/>
  <c r="F18" i="20"/>
  <c r="F16" i="20"/>
  <c r="D18" i="20"/>
  <c r="F15" i="20"/>
  <c r="F21" i="20"/>
  <c r="X16" i="20"/>
  <c r="X20" i="20"/>
  <c r="X12" i="22"/>
  <c r="R36" i="22"/>
  <c r="R34" i="22"/>
  <c r="R33" i="22"/>
  <c r="R31" i="22"/>
  <c r="R29" i="22"/>
  <c r="R27" i="22"/>
  <c r="R25" i="22"/>
  <c r="R24" i="22"/>
  <c r="R22" i="22"/>
  <c r="R21" i="22"/>
  <c r="R20" i="22"/>
  <c r="R18" i="22"/>
  <c r="R16" i="22"/>
  <c r="R15" i="22"/>
  <c r="P18" i="22"/>
  <c r="Z22" i="22"/>
  <c r="Z24" i="22"/>
  <c r="Z21" i="23"/>
  <c r="X25" i="23"/>
  <c r="X29" i="23"/>
  <c r="X33" i="23"/>
  <c r="X34" i="23"/>
  <c r="L16" i="25"/>
  <c r="L20" i="25"/>
  <c r="Z12" i="26"/>
  <c r="V36" i="26"/>
  <c r="V34" i="26"/>
  <c r="V33" i="26"/>
  <c r="V31" i="26"/>
  <c r="V29" i="26"/>
  <c r="V27" i="26"/>
  <c r="V25" i="26"/>
  <c r="V24" i="26"/>
  <c r="V22" i="26"/>
  <c r="V21" i="26"/>
  <c r="V20" i="26"/>
  <c r="V18" i="26"/>
  <c r="V16" i="26"/>
  <c r="T18" i="26"/>
  <c r="V15" i="26"/>
  <c r="L15" i="26"/>
  <c r="Z25" i="26"/>
  <c r="Z29" i="26"/>
  <c r="Z33" i="26"/>
  <c r="Z34" i="26"/>
  <c r="Z29" i="29"/>
  <c r="Z34" i="29"/>
  <c r="Z13" i="31"/>
  <c r="Z20" i="31"/>
  <c r="X13" i="32"/>
  <c r="X33" i="35"/>
  <c r="Z13" i="19"/>
  <c r="Z16" i="19"/>
  <c r="Z20" i="19"/>
  <c r="X22" i="19"/>
  <c r="X24" i="19"/>
  <c r="J36" i="20"/>
  <c r="J34" i="20"/>
  <c r="J33" i="20"/>
  <c r="J31" i="20"/>
  <c r="J29" i="20"/>
  <c r="J27" i="20"/>
  <c r="J25" i="20"/>
  <c r="J24" i="20"/>
  <c r="J22" i="20"/>
  <c r="J21" i="20"/>
  <c r="J20" i="20"/>
  <c r="J18" i="20"/>
  <c r="J16" i="20"/>
  <c r="N12" i="20"/>
  <c r="J15" i="20"/>
  <c r="H18" i="20"/>
  <c r="X13" i="20"/>
  <c r="Z15" i="20"/>
  <c r="X21" i="20"/>
  <c r="V36" i="22"/>
  <c r="V34" i="22"/>
  <c r="V33" i="22"/>
  <c r="V31" i="22"/>
  <c r="V29" i="22"/>
  <c r="V27" i="22"/>
  <c r="V25" i="22"/>
  <c r="V24" i="22"/>
  <c r="V22" i="22"/>
  <c r="V21" i="22"/>
  <c r="V20" i="22"/>
  <c r="V18" i="22"/>
  <c r="V16" i="22"/>
  <c r="T18" i="22"/>
  <c r="V15" i="22"/>
  <c r="Z12" i="22"/>
  <c r="L15" i="22"/>
  <c r="Z25" i="22"/>
  <c r="Z29" i="22"/>
  <c r="Z33" i="22"/>
  <c r="Z34" i="22"/>
  <c r="R36" i="23"/>
  <c r="R34" i="23"/>
  <c r="R33" i="23"/>
  <c r="R31" i="23"/>
  <c r="R29" i="23"/>
  <c r="R27" i="23"/>
  <c r="R25" i="23"/>
  <c r="R24" i="23"/>
  <c r="R22" i="23"/>
  <c r="R21" i="23"/>
  <c r="R20" i="23"/>
  <c r="R18" i="23"/>
  <c r="R16" i="23"/>
  <c r="P18" i="23"/>
  <c r="R15" i="23"/>
  <c r="X12" i="23"/>
  <c r="Z22" i="23"/>
  <c r="Z24" i="23"/>
  <c r="N15" i="25"/>
  <c r="L21" i="25"/>
  <c r="L16" i="26"/>
  <c r="L20" i="26"/>
  <c r="L24" i="28"/>
  <c r="N25" i="29"/>
  <c r="X25" i="31"/>
  <c r="X33" i="31"/>
  <c r="Z13" i="32"/>
  <c r="Z29" i="34"/>
  <c r="Z22" i="35"/>
  <c r="Z21" i="19"/>
  <c r="X25" i="19"/>
  <c r="X29" i="19"/>
  <c r="X33" i="19"/>
  <c r="X34" i="19"/>
  <c r="Z13" i="20"/>
  <c r="Z16" i="20"/>
  <c r="Z20" i="20"/>
  <c r="X22" i="20"/>
  <c r="X24" i="20"/>
  <c r="L16" i="22"/>
  <c r="L20" i="22"/>
  <c r="V24" i="23"/>
  <c r="V22" i="23"/>
  <c r="V21" i="23"/>
  <c r="V20" i="23"/>
  <c r="V18" i="23"/>
  <c r="V16" i="23"/>
  <c r="T18" i="23"/>
  <c r="V15" i="23"/>
  <c r="V36" i="23"/>
  <c r="V34" i="23"/>
  <c r="V33" i="23"/>
  <c r="V31" i="23"/>
  <c r="V29" i="23"/>
  <c r="V27" i="23"/>
  <c r="V25" i="23"/>
  <c r="Z12" i="23"/>
  <c r="L15" i="23"/>
  <c r="Z25" i="23"/>
  <c r="Z29" i="23"/>
  <c r="Z33" i="23"/>
  <c r="Z34" i="23"/>
  <c r="N16" i="25"/>
  <c r="N20" i="25"/>
  <c r="L22" i="25"/>
  <c r="L24" i="25"/>
  <c r="N15" i="26"/>
  <c r="L21" i="26"/>
  <c r="N24" i="28"/>
  <c r="J21" i="29"/>
  <c r="J20" i="29"/>
  <c r="J18" i="29"/>
  <c r="J16" i="29"/>
  <c r="H18" i="29"/>
  <c r="J15" i="29"/>
  <c r="N12" i="29"/>
  <c r="J36" i="29"/>
  <c r="J34" i="29"/>
  <c r="J33" i="29"/>
  <c r="J31" i="29"/>
  <c r="J29" i="29"/>
  <c r="J27" i="29"/>
  <c r="J25" i="29"/>
  <c r="J24" i="29"/>
  <c r="J22" i="29"/>
  <c r="X21" i="29"/>
  <c r="L15" i="32"/>
  <c r="X22" i="32"/>
  <c r="R21" i="34"/>
  <c r="R20" i="34"/>
  <c r="R18" i="34"/>
  <c r="R16" i="34"/>
  <c r="P18" i="34"/>
  <c r="R15" i="34"/>
  <c r="X12" i="34"/>
  <c r="R24" i="34"/>
  <c r="R22" i="34"/>
  <c r="R31" i="34"/>
  <c r="R29" i="34"/>
  <c r="R27" i="34"/>
  <c r="R36" i="34"/>
  <c r="R25" i="34"/>
  <c r="R34" i="34"/>
  <c r="R33" i="34"/>
  <c r="X34" i="35"/>
  <c r="J24" i="28"/>
  <c r="J22" i="28"/>
  <c r="J20" i="28"/>
  <c r="J18" i="28"/>
  <c r="J16" i="28"/>
  <c r="J21" i="28"/>
  <c r="H18" i="28"/>
  <c r="J15" i="28"/>
  <c r="J33" i="28"/>
  <c r="J29" i="28"/>
  <c r="J25" i="28"/>
  <c r="J36" i="28"/>
  <c r="J34" i="28"/>
  <c r="J31" i="28"/>
  <c r="J27" i="28"/>
  <c r="N12" i="28"/>
  <c r="X13" i="28"/>
  <c r="Z15" i="28"/>
  <c r="X21" i="28"/>
  <c r="F36" i="29"/>
  <c r="F34" i="29"/>
  <c r="F33" i="29"/>
  <c r="F31" i="29"/>
  <c r="F29" i="29"/>
  <c r="F27" i="29"/>
  <c r="F25" i="29"/>
  <c r="F24" i="29"/>
  <c r="F22" i="29"/>
  <c r="F21" i="29"/>
  <c r="F20" i="29"/>
  <c r="F18" i="29"/>
  <c r="F16" i="29"/>
  <c r="D18" i="29"/>
  <c r="F15" i="29"/>
  <c r="L12" i="29"/>
  <c r="X16" i="29"/>
  <c r="X20" i="29"/>
  <c r="J36" i="31"/>
  <c r="J34" i="31"/>
  <c r="J33" i="31"/>
  <c r="J31" i="31"/>
  <c r="J29" i="31"/>
  <c r="J27" i="31"/>
  <c r="J25" i="31"/>
  <c r="J24" i="31"/>
  <c r="J22" i="31"/>
  <c r="J21" i="31"/>
  <c r="J20" i="31"/>
  <c r="J18" i="31"/>
  <c r="J16" i="31"/>
  <c r="H18" i="31"/>
  <c r="J15" i="31"/>
  <c r="N12" i="31"/>
  <c r="X13" i="31"/>
  <c r="Z15" i="31"/>
  <c r="X21" i="31"/>
  <c r="F36" i="32"/>
  <c r="F34" i="32"/>
  <c r="F33" i="32"/>
  <c r="F31" i="32"/>
  <c r="F29" i="32"/>
  <c r="F27" i="32"/>
  <c r="F25" i="32"/>
  <c r="F24" i="32"/>
  <c r="F22" i="32"/>
  <c r="F21" i="32"/>
  <c r="F20" i="32"/>
  <c r="F18" i="32"/>
  <c r="F16" i="32"/>
  <c r="D18" i="32"/>
  <c r="F15" i="32"/>
  <c r="L12" i="32"/>
  <c r="X16" i="32"/>
  <c r="X20" i="32"/>
  <c r="Z21" i="34"/>
  <c r="X25" i="34"/>
  <c r="X29" i="34"/>
  <c r="X33" i="34"/>
  <c r="X34" i="34"/>
  <c r="Z13" i="35"/>
  <c r="Z16" i="35"/>
  <c r="Z20" i="35"/>
  <c r="X22" i="35"/>
  <c r="X24" i="35"/>
  <c r="X20" i="37"/>
  <c r="N33" i="38"/>
  <c r="Z16" i="40"/>
  <c r="R36" i="28"/>
  <c r="R34" i="28"/>
  <c r="R33" i="28"/>
  <c r="R31" i="28"/>
  <c r="R29" i="28"/>
  <c r="R27" i="28"/>
  <c r="R25" i="28"/>
  <c r="R20" i="28"/>
  <c r="R18" i="28"/>
  <c r="R16" i="28"/>
  <c r="R22" i="28"/>
  <c r="X12" i="28"/>
  <c r="P18" i="28"/>
  <c r="R15" i="28"/>
  <c r="R24" i="28"/>
  <c r="R21" i="28"/>
  <c r="Z22" i="28"/>
  <c r="Z24" i="28"/>
  <c r="Z21" i="29"/>
  <c r="X25" i="29"/>
  <c r="X29" i="29"/>
  <c r="X33" i="29"/>
  <c r="X34" i="29"/>
  <c r="P18" i="31"/>
  <c r="R15" i="31"/>
  <c r="R36" i="31"/>
  <c r="R34" i="31"/>
  <c r="R33" i="31"/>
  <c r="R31" i="31"/>
  <c r="R29" i="31"/>
  <c r="R27" i="31"/>
  <c r="R25" i="31"/>
  <c r="R20" i="31"/>
  <c r="R18" i="31"/>
  <c r="R16" i="31"/>
  <c r="X12" i="31"/>
  <c r="R24" i="31"/>
  <c r="R22" i="31"/>
  <c r="R21" i="31"/>
  <c r="Z22" i="31"/>
  <c r="Z24" i="31"/>
  <c r="Z21" i="32"/>
  <c r="X25" i="32"/>
  <c r="X29" i="32"/>
  <c r="X33" i="32"/>
  <c r="X34" i="32"/>
  <c r="L16" i="34"/>
  <c r="L20" i="34"/>
  <c r="Z12" i="35"/>
  <c r="V36" i="35"/>
  <c r="V34" i="35"/>
  <c r="V33" i="35"/>
  <c r="V31" i="35"/>
  <c r="V29" i="35"/>
  <c r="V27" i="35"/>
  <c r="V25" i="35"/>
  <c r="V24" i="35"/>
  <c r="V22" i="35"/>
  <c r="T18" i="35"/>
  <c r="V15" i="35"/>
  <c r="V21" i="35"/>
  <c r="V20" i="35"/>
  <c r="V18" i="35"/>
  <c r="V16" i="35"/>
  <c r="L15" i="35"/>
  <c r="Z25" i="35"/>
  <c r="Z29" i="35"/>
  <c r="Z33" i="35"/>
  <c r="Z34" i="35"/>
  <c r="R21" i="37"/>
  <c r="R20" i="37"/>
  <c r="R18" i="37"/>
  <c r="R16" i="37"/>
  <c r="X12" i="37"/>
  <c r="R24" i="37"/>
  <c r="R22" i="37"/>
  <c r="R27" i="37"/>
  <c r="P18" i="37"/>
  <c r="R36" i="37"/>
  <c r="R25" i="37"/>
  <c r="R34" i="37"/>
  <c r="R15" i="37"/>
  <c r="R33" i="37"/>
  <c r="R31" i="37"/>
  <c r="R29" i="37"/>
  <c r="X34" i="38"/>
  <c r="Z12" i="28"/>
  <c r="V24" i="28"/>
  <c r="V22" i="28"/>
  <c r="V21" i="28"/>
  <c r="V33" i="28"/>
  <c r="V29" i="28"/>
  <c r="V25" i="28"/>
  <c r="V36" i="28"/>
  <c r="V20" i="28"/>
  <c r="V16" i="28"/>
  <c r="V34" i="28"/>
  <c r="V31" i="28"/>
  <c r="V27" i="28"/>
  <c r="V18" i="28"/>
  <c r="T18" i="28"/>
  <c r="V15" i="28"/>
  <c r="L15" i="28"/>
  <c r="Z25" i="28"/>
  <c r="Z29" i="28"/>
  <c r="Z33" i="28"/>
  <c r="Z34" i="28"/>
  <c r="X12" i="29"/>
  <c r="R36" i="29"/>
  <c r="R34" i="29"/>
  <c r="R33" i="29"/>
  <c r="R31" i="29"/>
  <c r="R29" i="29"/>
  <c r="R27" i="29"/>
  <c r="R25" i="29"/>
  <c r="R24" i="29"/>
  <c r="R22" i="29"/>
  <c r="P18" i="29"/>
  <c r="R15" i="29"/>
  <c r="R16" i="29"/>
  <c r="R20" i="29"/>
  <c r="R18" i="29"/>
  <c r="R21" i="29"/>
  <c r="Z22" i="29"/>
  <c r="Z24" i="29"/>
  <c r="Z12" i="31"/>
  <c r="V24" i="31"/>
  <c r="V22" i="31"/>
  <c r="V21" i="31"/>
  <c r="V33" i="31"/>
  <c r="V25" i="31"/>
  <c r="V20" i="31"/>
  <c r="V31" i="31"/>
  <c r="V18" i="31"/>
  <c r="T18" i="31"/>
  <c r="V36" i="31"/>
  <c r="V29" i="31"/>
  <c r="V16" i="31"/>
  <c r="V15" i="31"/>
  <c r="V34" i="31"/>
  <c r="V27" i="31"/>
  <c r="L15" i="31"/>
  <c r="Z25" i="31"/>
  <c r="Z29" i="31"/>
  <c r="Z33" i="31"/>
  <c r="Z34" i="31"/>
  <c r="X12" i="32"/>
  <c r="R36" i="32"/>
  <c r="R34" i="32"/>
  <c r="R33" i="32"/>
  <c r="R31" i="32"/>
  <c r="R29" i="32"/>
  <c r="R27" i="32"/>
  <c r="R25" i="32"/>
  <c r="R24" i="32"/>
  <c r="R22" i="32"/>
  <c r="P18" i="32"/>
  <c r="R15" i="32"/>
  <c r="R21" i="32"/>
  <c r="R20" i="32"/>
  <c r="R18" i="32"/>
  <c r="R16" i="32"/>
  <c r="Z22" i="32"/>
  <c r="Z24" i="32"/>
  <c r="N15" i="34"/>
  <c r="L21" i="34"/>
  <c r="L16" i="35"/>
  <c r="L20" i="35"/>
  <c r="N25" i="38"/>
  <c r="X22" i="40"/>
  <c r="Z25" i="32"/>
  <c r="Z29" i="32"/>
  <c r="Z33" i="32"/>
  <c r="Z34" i="32"/>
  <c r="N16" i="34"/>
  <c r="N20" i="34"/>
  <c r="L22" i="34"/>
  <c r="L24" i="34"/>
  <c r="N15" i="35"/>
  <c r="L21" i="35"/>
  <c r="Z22" i="37"/>
  <c r="X25" i="38"/>
  <c r="X24" i="40"/>
  <c r="N15" i="28"/>
  <c r="L21" i="28"/>
  <c r="L16" i="29"/>
  <c r="L20" i="29"/>
  <c r="N15" i="31"/>
  <c r="L21" i="31"/>
  <c r="L16" i="32"/>
  <c r="L20" i="32"/>
  <c r="L13" i="34"/>
  <c r="N21" i="34"/>
  <c r="L25" i="34"/>
  <c r="L29" i="34"/>
  <c r="L33" i="34"/>
  <c r="L34" i="34"/>
  <c r="N16" i="35"/>
  <c r="N20" i="35"/>
  <c r="L22" i="35"/>
  <c r="L24" i="35"/>
  <c r="N15" i="29"/>
  <c r="L21" i="29"/>
  <c r="N16" i="31"/>
  <c r="N20" i="31"/>
  <c r="L22" i="31"/>
  <c r="L24" i="31"/>
  <c r="N15" i="32"/>
  <c r="L21" i="32"/>
  <c r="N13" i="34"/>
  <c r="N22" i="34"/>
  <c r="N24" i="34"/>
  <c r="L13" i="35"/>
  <c r="N21" i="35"/>
  <c r="L25" i="35"/>
  <c r="L29" i="35"/>
  <c r="L33" i="35"/>
  <c r="L34" i="35"/>
  <c r="Z24" i="37"/>
  <c r="L13" i="28"/>
  <c r="N21" i="28"/>
  <c r="L25" i="28"/>
  <c r="L29" i="28"/>
  <c r="L33" i="28"/>
  <c r="L34" i="28"/>
  <c r="N16" i="29"/>
  <c r="N20" i="29"/>
  <c r="L22" i="29"/>
  <c r="L24" i="29"/>
  <c r="L13" i="31"/>
  <c r="N21" i="31"/>
  <c r="L25" i="31"/>
  <c r="L29" i="31"/>
  <c r="L33" i="31"/>
  <c r="L34" i="31"/>
  <c r="N16" i="32"/>
  <c r="N20" i="32"/>
  <c r="L22" i="32"/>
  <c r="L24" i="32"/>
  <c r="X15" i="34"/>
  <c r="N25" i="34"/>
  <c r="N29" i="34"/>
  <c r="N33" i="34"/>
  <c r="N34" i="34"/>
  <c r="N13" i="35"/>
  <c r="N22" i="35"/>
  <c r="N24" i="35"/>
  <c r="X16" i="37"/>
  <c r="N29" i="38"/>
  <c r="X24" i="41"/>
  <c r="L13" i="29"/>
  <c r="N21" i="29"/>
  <c r="L25" i="29"/>
  <c r="L29" i="29"/>
  <c r="L33" i="29"/>
  <c r="L34" i="29"/>
  <c r="N13" i="31"/>
  <c r="N22" i="31"/>
  <c r="N24" i="31"/>
  <c r="L13" i="32"/>
  <c r="N21" i="32"/>
  <c r="L25" i="32"/>
  <c r="L29" i="32"/>
  <c r="L33" i="32"/>
  <c r="L34" i="32"/>
  <c r="L12" i="34"/>
  <c r="F36" i="34"/>
  <c r="F34" i="34"/>
  <c r="F33" i="34"/>
  <c r="F31" i="34"/>
  <c r="F29" i="34"/>
  <c r="F27" i="34"/>
  <c r="F25" i="34"/>
  <c r="F24" i="34"/>
  <c r="F22" i="34"/>
  <c r="F21" i="34"/>
  <c r="F20" i="34"/>
  <c r="F18" i="34"/>
  <c r="F16" i="34"/>
  <c r="D18" i="34"/>
  <c r="F15" i="34"/>
  <c r="X16" i="34"/>
  <c r="X20" i="34"/>
  <c r="X15" i="35"/>
  <c r="N25" i="35"/>
  <c r="N29" i="35"/>
  <c r="N33" i="35"/>
  <c r="N34" i="35"/>
  <c r="X29" i="38"/>
  <c r="X15" i="28"/>
  <c r="N25" i="28"/>
  <c r="N29" i="28"/>
  <c r="N33" i="28"/>
  <c r="N34" i="28"/>
  <c r="N13" i="29"/>
  <c r="N22" i="29"/>
  <c r="N24" i="29"/>
  <c r="X15" i="31"/>
  <c r="N25" i="31"/>
  <c r="N29" i="31"/>
  <c r="N33" i="31"/>
  <c r="N34" i="31"/>
  <c r="N13" i="32"/>
  <c r="N22" i="32"/>
  <c r="N24" i="32"/>
  <c r="J36" i="34"/>
  <c r="J34" i="34"/>
  <c r="J33" i="34"/>
  <c r="J31" i="34"/>
  <c r="J29" i="34"/>
  <c r="J27" i="34"/>
  <c r="J25" i="34"/>
  <c r="J24" i="34"/>
  <c r="J22" i="34"/>
  <c r="J21" i="34"/>
  <c r="J20" i="34"/>
  <c r="J18" i="34"/>
  <c r="J16" i="34"/>
  <c r="H18" i="34"/>
  <c r="J15" i="34"/>
  <c r="N12" i="34"/>
  <c r="X13" i="34"/>
  <c r="Z15" i="34"/>
  <c r="X21" i="34"/>
  <c r="F36" i="35"/>
  <c r="F34" i="35"/>
  <c r="F33" i="35"/>
  <c r="F31" i="35"/>
  <c r="F29" i="35"/>
  <c r="F27" i="35"/>
  <c r="F25" i="35"/>
  <c r="F24" i="35"/>
  <c r="F22" i="35"/>
  <c r="F21" i="35"/>
  <c r="F20" i="35"/>
  <c r="F18" i="35"/>
  <c r="F16" i="35"/>
  <c r="D18" i="35"/>
  <c r="F15" i="35"/>
  <c r="L12" i="35"/>
  <c r="X16" i="35"/>
  <c r="X20" i="35"/>
  <c r="Z13" i="40"/>
  <c r="N29" i="41"/>
  <c r="F36" i="31"/>
  <c r="F34" i="31"/>
  <c r="F33" i="31"/>
  <c r="F31" i="31"/>
  <c r="F29" i="31"/>
  <c r="F27" i="31"/>
  <c r="F25" i="31"/>
  <c r="F24" i="31"/>
  <c r="F22" i="31"/>
  <c r="F21" i="31"/>
  <c r="F20" i="31"/>
  <c r="F18" i="31"/>
  <c r="F16" i="31"/>
  <c r="F15" i="31"/>
  <c r="L12" i="31"/>
  <c r="D18" i="31"/>
  <c r="X16" i="31"/>
  <c r="X20" i="31"/>
  <c r="X15" i="32"/>
  <c r="N25" i="32"/>
  <c r="N29" i="32"/>
  <c r="N33" i="32"/>
  <c r="N34" i="32"/>
  <c r="Z13" i="34"/>
  <c r="Z16" i="34"/>
  <c r="Z20" i="34"/>
  <c r="X22" i="34"/>
  <c r="X24" i="34"/>
  <c r="J36" i="35"/>
  <c r="J34" i="35"/>
  <c r="J33" i="35"/>
  <c r="J31" i="35"/>
  <c r="J29" i="35"/>
  <c r="J27" i="35"/>
  <c r="J25" i="35"/>
  <c r="J24" i="35"/>
  <c r="J22" i="35"/>
  <c r="J21" i="35"/>
  <c r="J20" i="35"/>
  <c r="J18" i="35"/>
  <c r="J16" i="35"/>
  <c r="H18" i="35"/>
  <c r="J15" i="35"/>
  <c r="N12" i="35"/>
  <c r="X13" i="35"/>
  <c r="Z15" i="35"/>
  <c r="X21" i="35"/>
  <c r="Z21" i="38"/>
  <c r="Z21" i="37"/>
  <c r="X25" i="37"/>
  <c r="X29" i="37"/>
  <c r="X33" i="37"/>
  <c r="X34" i="37"/>
  <c r="Z13" i="38"/>
  <c r="Z16" i="38"/>
  <c r="Z20" i="38"/>
  <c r="X22" i="38"/>
  <c r="X24" i="38"/>
  <c r="J36" i="40"/>
  <c r="J34" i="40"/>
  <c r="J33" i="40"/>
  <c r="J31" i="40"/>
  <c r="J29" i="40"/>
  <c r="J27" i="40"/>
  <c r="J25" i="40"/>
  <c r="J24" i="40"/>
  <c r="J22" i="40"/>
  <c r="J21" i="40"/>
  <c r="J20" i="40"/>
  <c r="J18" i="40"/>
  <c r="J16" i="40"/>
  <c r="H18" i="40"/>
  <c r="J15" i="40"/>
  <c r="N12" i="40"/>
  <c r="X13" i="40"/>
  <c r="Z15" i="40"/>
  <c r="X21" i="40"/>
  <c r="F24" i="41"/>
  <c r="F22" i="41"/>
  <c r="F36" i="41"/>
  <c r="F31" i="41"/>
  <c r="F33" i="41"/>
  <c r="F25" i="41"/>
  <c r="F15" i="41"/>
  <c r="F16" i="41"/>
  <c r="F27" i="41"/>
  <c r="F18" i="41"/>
  <c r="F34" i="41"/>
  <c r="D18" i="41"/>
  <c r="L12" i="41"/>
  <c r="F29" i="41"/>
  <c r="F21" i="41"/>
  <c r="F20" i="41"/>
  <c r="Z15" i="41"/>
  <c r="L20" i="41"/>
  <c r="Z25" i="41"/>
  <c r="T18" i="37"/>
  <c r="V15" i="37"/>
  <c r="Z12" i="37"/>
  <c r="V36" i="37"/>
  <c r="V34" i="37"/>
  <c r="V33" i="37"/>
  <c r="V31" i="37"/>
  <c r="V29" i="37"/>
  <c r="V27" i="37"/>
  <c r="V25" i="37"/>
  <c r="V24" i="37"/>
  <c r="V22" i="37"/>
  <c r="V20" i="37"/>
  <c r="V18" i="37"/>
  <c r="V16" i="37"/>
  <c r="V21" i="37"/>
  <c r="L15" i="37"/>
  <c r="Z25" i="37"/>
  <c r="Z29" i="37"/>
  <c r="Z33" i="37"/>
  <c r="Z34" i="37"/>
  <c r="R20" i="38"/>
  <c r="R18" i="38"/>
  <c r="R16" i="38"/>
  <c r="P18" i="38"/>
  <c r="R15" i="38"/>
  <c r="X12" i="38"/>
  <c r="R36" i="38"/>
  <c r="R34" i="38"/>
  <c r="R33" i="38"/>
  <c r="R31" i="38"/>
  <c r="R29" i="38"/>
  <c r="R27" i="38"/>
  <c r="R25" i="38"/>
  <c r="R21" i="38"/>
  <c r="R24" i="38"/>
  <c r="R22" i="38"/>
  <c r="Z22" i="38"/>
  <c r="Z24" i="38"/>
  <c r="Z21" i="40"/>
  <c r="X25" i="40"/>
  <c r="X29" i="40"/>
  <c r="X33" i="40"/>
  <c r="X34" i="40"/>
  <c r="Z13" i="41"/>
  <c r="N20" i="41"/>
  <c r="Z24" i="41"/>
  <c r="L16" i="37"/>
  <c r="L20" i="37"/>
  <c r="Z12" i="38"/>
  <c r="V36" i="38"/>
  <c r="V34" i="38"/>
  <c r="V33" i="38"/>
  <c r="V31" i="38"/>
  <c r="V29" i="38"/>
  <c r="V27" i="38"/>
  <c r="V25" i="38"/>
  <c r="V24" i="38"/>
  <c r="V22" i="38"/>
  <c r="V21" i="38"/>
  <c r="T18" i="38"/>
  <c r="V15" i="38"/>
  <c r="V20" i="38"/>
  <c r="V18" i="38"/>
  <c r="V16" i="38"/>
  <c r="L15" i="38"/>
  <c r="Z25" i="38"/>
  <c r="Z29" i="38"/>
  <c r="Z33" i="38"/>
  <c r="Z34" i="38"/>
  <c r="P18" i="40"/>
  <c r="R15" i="40"/>
  <c r="X12" i="40"/>
  <c r="R36" i="40"/>
  <c r="R34" i="40"/>
  <c r="R33" i="40"/>
  <c r="R31" i="40"/>
  <c r="R29" i="40"/>
  <c r="R27" i="40"/>
  <c r="R25" i="40"/>
  <c r="R24" i="40"/>
  <c r="R22" i="40"/>
  <c r="R20" i="40"/>
  <c r="R18" i="40"/>
  <c r="R16" i="40"/>
  <c r="R21" i="40"/>
  <c r="Z22" i="40"/>
  <c r="Z24" i="40"/>
  <c r="X22" i="41"/>
  <c r="N34" i="41"/>
  <c r="N15" i="37"/>
  <c r="L21" i="37"/>
  <c r="L16" i="38"/>
  <c r="L20" i="38"/>
  <c r="Z12" i="40"/>
  <c r="V36" i="40"/>
  <c r="V34" i="40"/>
  <c r="V33" i="40"/>
  <c r="V31" i="40"/>
  <c r="V29" i="40"/>
  <c r="V27" i="40"/>
  <c r="V25" i="40"/>
  <c r="V24" i="40"/>
  <c r="V22" i="40"/>
  <c r="V21" i="40"/>
  <c r="V20" i="40"/>
  <c r="V18" i="40"/>
  <c r="V16" i="40"/>
  <c r="V15" i="40"/>
  <c r="T18" i="40"/>
  <c r="L15" i="40"/>
  <c r="Z25" i="40"/>
  <c r="Z29" i="40"/>
  <c r="Z33" i="40"/>
  <c r="Z34" i="40"/>
  <c r="R24" i="41"/>
  <c r="R22" i="41"/>
  <c r="R25" i="41"/>
  <c r="R15" i="41"/>
  <c r="R33" i="41"/>
  <c r="R16" i="41"/>
  <c r="R27" i="41"/>
  <c r="R18" i="41"/>
  <c r="P18" i="41"/>
  <c r="R34" i="41"/>
  <c r="R20" i="41"/>
  <c r="X12" i="41"/>
  <c r="R29" i="41"/>
  <c r="R21" i="41"/>
  <c r="R36" i="41"/>
  <c r="R31" i="41"/>
  <c r="L16" i="41"/>
  <c r="X21" i="41"/>
  <c r="Z22" i="41"/>
  <c r="N16" i="37"/>
  <c r="N20" i="37"/>
  <c r="L22" i="37"/>
  <c r="L24" i="37"/>
  <c r="N15" i="38"/>
  <c r="L21" i="38"/>
  <c r="L16" i="40"/>
  <c r="L20" i="40"/>
  <c r="V36" i="41"/>
  <c r="V34" i="41"/>
  <c r="V33" i="41"/>
  <c r="V31" i="41"/>
  <c r="V29" i="41"/>
  <c r="V27" i="41"/>
  <c r="V25" i="41"/>
  <c r="V20" i="41"/>
  <c r="V18" i="41"/>
  <c r="V16" i="41"/>
  <c r="T18" i="41"/>
  <c r="Z12" i="41"/>
  <c r="V21" i="41"/>
  <c r="V22" i="41"/>
  <c r="V24" i="41"/>
  <c r="V15" i="41"/>
  <c r="L15" i="41"/>
  <c r="X20" i="41"/>
  <c r="L13" i="37"/>
  <c r="N21" i="37"/>
  <c r="L25" i="37"/>
  <c r="L29" i="37"/>
  <c r="L33" i="37"/>
  <c r="L34" i="37"/>
  <c r="N16" i="38"/>
  <c r="N20" i="38"/>
  <c r="L22" i="38"/>
  <c r="L24" i="38"/>
  <c r="N15" i="40"/>
  <c r="L21" i="40"/>
  <c r="N16" i="41"/>
  <c r="Z29" i="41"/>
  <c r="N13" i="37"/>
  <c r="N22" i="37"/>
  <c r="N24" i="37"/>
  <c r="L13" i="38"/>
  <c r="N21" i="38"/>
  <c r="L25" i="38"/>
  <c r="L29" i="38"/>
  <c r="L33" i="38"/>
  <c r="L34" i="38"/>
  <c r="N16" i="40"/>
  <c r="N20" i="40"/>
  <c r="L22" i="40"/>
  <c r="L24" i="40"/>
  <c r="N15" i="41"/>
  <c r="Z20" i="41"/>
  <c r="N25" i="41"/>
  <c r="N33" i="41"/>
  <c r="Z34" i="41"/>
  <c r="X15" i="37"/>
  <c r="N25" i="37"/>
  <c r="N29" i="37"/>
  <c r="N33" i="37"/>
  <c r="N34" i="37"/>
  <c r="N13" i="38"/>
  <c r="N22" i="38"/>
  <c r="N24" i="38"/>
  <c r="L13" i="40"/>
  <c r="N21" i="40"/>
  <c r="L25" i="40"/>
  <c r="L29" i="40"/>
  <c r="L33" i="40"/>
  <c r="L34" i="40"/>
  <c r="L24" i="41"/>
  <c r="N13" i="40"/>
  <c r="N22" i="40"/>
  <c r="N24" i="40"/>
  <c r="L13" i="41"/>
  <c r="X16" i="41"/>
  <c r="N24" i="41"/>
  <c r="J24" i="37"/>
  <c r="J22" i="37"/>
  <c r="J21" i="37"/>
  <c r="J20" i="37"/>
  <c r="J18" i="37"/>
  <c r="J16" i="37"/>
  <c r="H18" i="37"/>
  <c r="J15" i="37"/>
  <c r="N12" i="37"/>
  <c r="J27" i="37"/>
  <c r="J36" i="37"/>
  <c r="J25" i="37"/>
  <c r="J34" i="37"/>
  <c r="J33" i="37"/>
  <c r="J29" i="37"/>
  <c r="J31" i="37"/>
  <c r="X13" i="37"/>
  <c r="Z15" i="37"/>
  <c r="X21" i="37"/>
  <c r="F36" i="38"/>
  <c r="F34" i="38"/>
  <c r="F33" i="38"/>
  <c r="F31" i="38"/>
  <c r="F29" i="38"/>
  <c r="F27" i="38"/>
  <c r="F25" i="38"/>
  <c r="F24" i="38"/>
  <c r="F22" i="38"/>
  <c r="F21" i="38"/>
  <c r="F20" i="38"/>
  <c r="F18" i="38"/>
  <c r="F16" i="38"/>
  <c r="D18" i="38"/>
  <c r="F15" i="38"/>
  <c r="L12" i="38"/>
  <c r="X16" i="38"/>
  <c r="X20" i="38"/>
  <c r="X15" i="40"/>
  <c r="N25" i="40"/>
  <c r="N29" i="40"/>
  <c r="N33" i="40"/>
  <c r="N34" i="40"/>
  <c r="N13" i="41"/>
  <c r="X15" i="41"/>
  <c r="L22" i="41"/>
  <c r="Z13" i="37"/>
  <c r="Z16" i="37"/>
  <c r="Z20" i="37"/>
  <c r="X22" i="37"/>
  <c r="X24" i="37"/>
  <c r="J36" i="38"/>
  <c r="J34" i="38"/>
  <c r="J33" i="38"/>
  <c r="J31" i="38"/>
  <c r="J29" i="38"/>
  <c r="J27" i="38"/>
  <c r="J25" i="38"/>
  <c r="J21" i="38"/>
  <c r="J20" i="38"/>
  <c r="J18" i="38"/>
  <c r="J16" i="38"/>
  <c r="H18" i="38"/>
  <c r="J15" i="38"/>
  <c r="N12" i="38"/>
  <c r="J22" i="38"/>
  <c r="J24" i="38"/>
  <c r="X13" i="38"/>
  <c r="Z15" i="38"/>
  <c r="X21" i="38"/>
  <c r="F36" i="40"/>
  <c r="F34" i="40"/>
  <c r="F33" i="40"/>
  <c r="F31" i="40"/>
  <c r="F29" i="40"/>
  <c r="F27" i="40"/>
  <c r="F25" i="40"/>
  <c r="F24" i="40"/>
  <c r="F22" i="40"/>
  <c r="F21" i="40"/>
  <c r="F20" i="40"/>
  <c r="F18" i="40"/>
  <c r="F16" i="40"/>
  <c r="D18" i="40"/>
  <c r="F15" i="40"/>
  <c r="L12" i="40"/>
  <c r="X16" i="40"/>
  <c r="X20" i="40"/>
  <c r="Z16" i="41"/>
  <c r="L21" i="41"/>
  <c r="N22" i="41"/>
  <c r="Z33" i="41"/>
  <c r="V21" i="43"/>
  <c r="V20" i="43"/>
  <c r="V18" i="43"/>
  <c r="V16" i="43"/>
  <c r="T18" i="43"/>
  <c r="V15" i="43"/>
  <c r="Z12" i="43"/>
  <c r="V36" i="43"/>
  <c r="V34" i="43"/>
  <c r="V33" i="43"/>
  <c r="V31" i="43"/>
  <c r="V29" i="43"/>
  <c r="V27" i="43"/>
  <c r="V25" i="43"/>
  <c r="V24" i="43"/>
  <c r="V22" i="43"/>
  <c r="L15" i="43"/>
  <c r="Z25" i="43"/>
  <c r="Z29" i="43"/>
  <c r="Z33" i="43"/>
  <c r="Z34" i="43"/>
  <c r="R24" i="44"/>
  <c r="R22" i="44"/>
  <c r="R21" i="44"/>
  <c r="R20" i="44"/>
  <c r="R18" i="44"/>
  <c r="R16" i="44"/>
  <c r="P18" i="44"/>
  <c r="R15" i="44"/>
  <c r="X12" i="44"/>
  <c r="R36" i="44"/>
  <c r="R34" i="44"/>
  <c r="R33" i="44"/>
  <c r="R31" i="44"/>
  <c r="R29" i="44"/>
  <c r="R27" i="44"/>
  <c r="R25" i="44"/>
  <c r="Z22" i="44"/>
  <c r="Z24" i="44"/>
  <c r="F36" i="46"/>
  <c r="F33" i="46"/>
  <c r="F29" i="46"/>
  <c r="F25" i="46"/>
  <c r="F21" i="46"/>
  <c r="F20" i="46"/>
  <c r="F18" i="46"/>
  <c r="F16" i="46"/>
  <c r="D18" i="46"/>
  <c r="F15" i="46"/>
  <c r="F22" i="46"/>
  <c r="F34" i="46"/>
  <c r="F31" i="46"/>
  <c r="F27" i="46"/>
  <c r="L12" i="46"/>
  <c r="F24" i="46"/>
  <c r="X16" i="46"/>
  <c r="X20" i="46"/>
  <c r="Z25" i="46"/>
  <c r="N25" i="47"/>
  <c r="N29" i="47"/>
  <c r="N33" i="47"/>
  <c r="L16" i="43"/>
  <c r="L20" i="43"/>
  <c r="V20" i="44"/>
  <c r="V18" i="44"/>
  <c r="V16" i="44"/>
  <c r="T18" i="44"/>
  <c r="V15" i="44"/>
  <c r="Z12" i="44"/>
  <c r="V36" i="44"/>
  <c r="V34" i="44"/>
  <c r="V33" i="44"/>
  <c r="V31" i="44"/>
  <c r="V29" i="44"/>
  <c r="V27" i="44"/>
  <c r="V25" i="44"/>
  <c r="V24" i="44"/>
  <c r="V22" i="44"/>
  <c r="V21" i="44"/>
  <c r="L15" i="44"/>
  <c r="Z25" i="44"/>
  <c r="Z29" i="44"/>
  <c r="Z33" i="44"/>
  <c r="Z34" i="44"/>
  <c r="J25" i="46"/>
  <c r="J21" i="46"/>
  <c r="J20" i="46"/>
  <c r="J18" i="46"/>
  <c r="J16" i="46"/>
  <c r="H18" i="46"/>
  <c r="J15" i="46"/>
  <c r="J22" i="46"/>
  <c r="J34" i="46"/>
  <c r="J31" i="46"/>
  <c r="J27" i="46"/>
  <c r="N12" i="46"/>
  <c r="J24" i="46"/>
  <c r="J36" i="46"/>
  <c r="J33" i="46"/>
  <c r="J29" i="46"/>
  <c r="X13" i="46"/>
  <c r="Z15" i="46"/>
  <c r="Z21" i="46"/>
  <c r="N24" i="46"/>
  <c r="X25" i="47"/>
  <c r="X29" i="47"/>
  <c r="X20" i="53"/>
  <c r="N21" i="41"/>
  <c r="L25" i="41"/>
  <c r="L29" i="41"/>
  <c r="L33" i="41"/>
  <c r="L34" i="41"/>
  <c r="N15" i="43"/>
  <c r="L21" i="43"/>
  <c r="L16" i="44"/>
  <c r="L20" i="44"/>
  <c r="Z13" i="46"/>
  <c r="Z16" i="46"/>
  <c r="Z20" i="46"/>
  <c r="Z29" i="46"/>
  <c r="Z33" i="46"/>
  <c r="Z22" i="47"/>
  <c r="Z33" i="47"/>
  <c r="N13" i="49"/>
  <c r="L25" i="50"/>
  <c r="N16" i="43"/>
  <c r="N20" i="43"/>
  <c r="L22" i="43"/>
  <c r="L24" i="43"/>
  <c r="N15" i="44"/>
  <c r="L21" i="44"/>
  <c r="L15" i="47"/>
  <c r="Z25" i="47"/>
  <c r="Z29" i="47"/>
  <c r="L34" i="47"/>
  <c r="L13" i="43"/>
  <c r="N21" i="43"/>
  <c r="L25" i="43"/>
  <c r="L29" i="43"/>
  <c r="L33" i="43"/>
  <c r="L34" i="43"/>
  <c r="N16" i="44"/>
  <c r="N20" i="44"/>
  <c r="L22" i="44"/>
  <c r="L24" i="44"/>
  <c r="R24" i="46"/>
  <c r="R22" i="46"/>
  <c r="R21" i="46"/>
  <c r="R25" i="46"/>
  <c r="R34" i="46"/>
  <c r="R31" i="46"/>
  <c r="R27" i="46"/>
  <c r="X12" i="46"/>
  <c r="R36" i="46"/>
  <c r="R33" i="46"/>
  <c r="R29" i="46"/>
  <c r="R20" i="46"/>
  <c r="R18" i="46"/>
  <c r="R16" i="46"/>
  <c r="P18" i="46"/>
  <c r="R15" i="46"/>
  <c r="Z24" i="46"/>
  <c r="N21" i="47"/>
  <c r="L29" i="50"/>
  <c r="J20" i="52"/>
  <c r="J18" i="52"/>
  <c r="J16" i="52"/>
  <c r="H18" i="52"/>
  <c r="J15" i="52"/>
  <c r="N12" i="52"/>
  <c r="J36" i="52"/>
  <c r="J34" i="52"/>
  <c r="J33" i="52"/>
  <c r="J31" i="52"/>
  <c r="J29" i="52"/>
  <c r="J27" i="52"/>
  <c r="J25" i="52"/>
  <c r="J24" i="52"/>
  <c r="J22" i="52"/>
  <c r="J21" i="52"/>
  <c r="N13" i="43"/>
  <c r="N22" i="43"/>
  <c r="N24" i="43"/>
  <c r="L13" i="44"/>
  <c r="N21" i="44"/>
  <c r="L25" i="44"/>
  <c r="L29" i="44"/>
  <c r="L33" i="44"/>
  <c r="L34" i="44"/>
  <c r="V22" i="46"/>
  <c r="V34" i="46"/>
  <c r="V31" i="46"/>
  <c r="V27" i="46"/>
  <c r="Z12" i="46"/>
  <c r="V24" i="46"/>
  <c r="V36" i="46"/>
  <c r="V33" i="46"/>
  <c r="V29" i="46"/>
  <c r="V20" i="46"/>
  <c r="V18" i="46"/>
  <c r="V16" i="46"/>
  <c r="V21" i="46"/>
  <c r="T18" i="46"/>
  <c r="V15" i="46"/>
  <c r="V25" i="46"/>
  <c r="L15" i="46"/>
  <c r="N34" i="46"/>
  <c r="N24" i="47"/>
  <c r="N34" i="47"/>
  <c r="X13" i="52"/>
  <c r="X15" i="43"/>
  <c r="N25" i="43"/>
  <c r="N29" i="43"/>
  <c r="N33" i="43"/>
  <c r="N34" i="43"/>
  <c r="N13" i="44"/>
  <c r="N22" i="44"/>
  <c r="N24" i="44"/>
  <c r="L16" i="46"/>
  <c r="L20" i="46"/>
  <c r="N22" i="46"/>
  <c r="X15" i="47"/>
  <c r="L13" i="50"/>
  <c r="L33" i="50"/>
  <c r="Z15" i="52"/>
  <c r="L12" i="43"/>
  <c r="F36" i="43"/>
  <c r="F34" i="43"/>
  <c r="F33" i="43"/>
  <c r="F31" i="43"/>
  <c r="F29" i="43"/>
  <c r="F27" i="43"/>
  <c r="F25" i="43"/>
  <c r="F24" i="43"/>
  <c r="F22" i="43"/>
  <c r="F21" i="43"/>
  <c r="F20" i="43"/>
  <c r="F18" i="43"/>
  <c r="F16" i="43"/>
  <c r="D18" i="43"/>
  <c r="F15" i="43"/>
  <c r="X16" i="43"/>
  <c r="X20" i="43"/>
  <c r="X15" i="44"/>
  <c r="N25" i="44"/>
  <c r="N29" i="44"/>
  <c r="N33" i="44"/>
  <c r="N34" i="44"/>
  <c r="N15" i="46"/>
  <c r="L21" i="46"/>
  <c r="L25" i="46"/>
  <c r="Z21" i="47"/>
  <c r="Z34" i="47"/>
  <c r="L34" i="50"/>
  <c r="Z21" i="41"/>
  <c r="X25" i="41"/>
  <c r="X29" i="41"/>
  <c r="X33" i="41"/>
  <c r="X34" i="41"/>
  <c r="N12" i="43"/>
  <c r="J36" i="43"/>
  <c r="J34" i="43"/>
  <c r="J33" i="43"/>
  <c r="J31" i="43"/>
  <c r="J29" i="43"/>
  <c r="J27" i="43"/>
  <c r="J25" i="43"/>
  <c r="J24" i="43"/>
  <c r="J22" i="43"/>
  <c r="J21" i="43"/>
  <c r="J20" i="43"/>
  <c r="J18" i="43"/>
  <c r="J16" i="43"/>
  <c r="H18" i="43"/>
  <c r="J15" i="43"/>
  <c r="X13" i="43"/>
  <c r="Z15" i="43"/>
  <c r="X21" i="43"/>
  <c r="L12" i="44"/>
  <c r="F36" i="44"/>
  <c r="F34" i="44"/>
  <c r="F33" i="44"/>
  <c r="F31" i="44"/>
  <c r="F29" i="44"/>
  <c r="F27" i="44"/>
  <c r="F25" i="44"/>
  <c r="F24" i="44"/>
  <c r="F22" i="44"/>
  <c r="F21" i="44"/>
  <c r="F20" i="44"/>
  <c r="F18" i="44"/>
  <c r="F16" i="44"/>
  <c r="D18" i="44"/>
  <c r="F15" i="44"/>
  <c r="X16" i="44"/>
  <c r="X20" i="44"/>
  <c r="N16" i="46"/>
  <c r="N20" i="46"/>
  <c r="Z34" i="46"/>
  <c r="X12" i="47"/>
  <c r="R21" i="47"/>
  <c r="R20" i="47"/>
  <c r="R18" i="47"/>
  <c r="R16" i="47"/>
  <c r="P18" i="47"/>
  <c r="R15" i="47"/>
  <c r="R36" i="47"/>
  <c r="R31" i="47"/>
  <c r="R27" i="47"/>
  <c r="R24" i="47"/>
  <c r="R34" i="47"/>
  <c r="R29" i="47"/>
  <c r="R25" i="47"/>
  <c r="R33" i="47"/>
  <c r="R22" i="47"/>
  <c r="Z24" i="47"/>
  <c r="N22" i="49"/>
  <c r="F21" i="53"/>
  <c r="F20" i="53"/>
  <c r="F18" i="53"/>
  <c r="F16" i="53"/>
  <c r="D18" i="53"/>
  <c r="F15" i="53"/>
  <c r="L12" i="53"/>
  <c r="F36" i="53"/>
  <c r="F34" i="53"/>
  <c r="F33" i="53"/>
  <c r="F31" i="53"/>
  <c r="F29" i="53"/>
  <c r="F27" i="53"/>
  <c r="F25" i="53"/>
  <c r="F24" i="53"/>
  <c r="F22" i="53"/>
  <c r="Z13" i="43"/>
  <c r="Z16" i="43"/>
  <c r="Z20" i="43"/>
  <c r="X22" i="43"/>
  <c r="X24" i="43"/>
  <c r="N12" i="44"/>
  <c r="J36" i="44"/>
  <c r="J34" i="44"/>
  <c r="J33" i="44"/>
  <c r="J31" i="44"/>
  <c r="J29" i="44"/>
  <c r="J27" i="44"/>
  <c r="J25" i="44"/>
  <c r="J24" i="44"/>
  <c r="J22" i="44"/>
  <c r="J21" i="44"/>
  <c r="J20" i="44"/>
  <c r="J18" i="44"/>
  <c r="J16" i="44"/>
  <c r="H18" i="44"/>
  <c r="J15" i="44"/>
  <c r="X13" i="44"/>
  <c r="Z15" i="44"/>
  <c r="X21" i="44"/>
  <c r="L13" i="46"/>
  <c r="N21" i="46"/>
  <c r="Z22" i="46"/>
  <c r="N25" i="46"/>
  <c r="L29" i="46"/>
  <c r="V36" i="47"/>
  <c r="V34" i="47"/>
  <c r="V33" i="47"/>
  <c r="V31" i="47"/>
  <c r="V29" i="47"/>
  <c r="V27" i="47"/>
  <c r="V25" i="47"/>
  <c r="T18" i="47"/>
  <c r="V15" i="47"/>
  <c r="Z12" i="47"/>
  <c r="V24" i="47"/>
  <c r="V21" i="47"/>
  <c r="V18" i="47"/>
  <c r="V22" i="47"/>
  <c r="V20" i="47"/>
  <c r="V16" i="47"/>
  <c r="N24" i="49"/>
  <c r="Z21" i="43"/>
  <c r="X25" i="43"/>
  <c r="X29" i="43"/>
  <c r="X33" i="43"/>
  <c r="X34" i="43"/>
  <c r="Z13" i="44"/>
  <c r="Z16" i="44"/>
  <c r="Z20" i="44"/>
  <c r="X22" i="44"/>
  <c r="X24" i="44"/>
  <c r="N13" i="46"/>
  <c r="L13" i="47"/>
  <c r="L25" i="47"/>
  <c r="L29" i="47"/>
  <c r="L33" i="47"/>
  <c r="X21" i="52"/>
  <c r="R36" i="43"/>
  <c r="R34" i="43"/>
  <c r="R33" i="43"/>
  <c r="R31" i="43"/>
  <c r="R29" i="43"/>
  <c r="R27" i="43"/>
  <c r="R25" i="43"/>
  <c r="R24" i="43"/>
  <c r="R22" i="43"/>
  <c r="R21" i="43"/>
  <c r="R20" i="43"/>
  <c r="R18" i="43"/>
  <c r="R16" i="43"/>
  <c r="P18" i="43"/>
  <c r="R15" i="43"/>
  <c r="X12" i="43"/>
  <c r="Z22" i="43"/>
  <c r="Z24" i="43"/>
  <c r="Z21" i="44"/>
  <c r="X25" i="44"/>
  <c r="X29" i="44"/>
  <c r="X33" i="44"/>
  <c r="X34" i="44"/>
  <c r="X15" i="46"/>
  <c r="N29" i="46"/>
  <c r="N33" i="46"/>
  <c r="N13" i="47"/>
  <c r="N22" i="47"/>
  <c r="N21" i="50"/>
  <c r="X16" i="53"/>
  <c r="L22" i="46"/>
  <c r="L24" i="46"/>
  <c r="N15" i="47"/>
  <c r="L21" i="47"/>
  <c r="N15" i="49"/>
  <c r="L21" i="49"/>
  <c r="L16" i="50"/>
  <c r="L20" i="50"/>
  <c r="N13" i="52"/>
  <c r="N22" i="52"/>
  <c r="N24" i="52"/>
  <c r="L13" i="53"/>
  <c r="N21" i="53"/>
  <c r="L25" i="53"/>
  <c r="L29" i="53"/>
  <c r="L33" i="53"/>
  <c r="L34" i="53"/>
  <c r="L33" i="46"/>
  <c r="L34" i="46"/>
  <c r="N16" i="47"/>
  <c r="N20" i="47"/>
  <c r="L22" i="47"/>
  <c r="L24" i="47"/>
  <c r="N16" i="49"/>
  <c r="N20" i="49"/>
  <c r="L22" i="49"/>
  <c r="L24" i="49"/>
  <c r="N15" i="50"/>
  <c r="L21" i="50"/>
  <c r="X15" i="52"/>
  <c r="N25" i="52"/>
  <c r="N29" i="52"/>
  <c r="N33" i="52"/>
  <c r="N34" i="52"/>
  <c r="N13" i="53"/>
  <c r="N22" i="53"/>
  <c r="N24" i="53"/>
  <c r="L13" i="49"/>
  <c r="N21" i="49"/>
  <c r="L25" i="49"/>
  <c r="L29" i="49"/>
  <c r="L33" i="49"/>
  <c r="L34" i="49"/>
  <c r="N16" i="50"/>
  <c r="N20" i="50"/>
  <c r="L22" i="50"/>
  <c r="L24" i="50"/>
  <c r="F24" i="52"/>
  <c r="F22" i="52"/>
  <c r="F21" i="52"/>
  <c r="F20" i="52"/>
  <c r="F18" i="52"/>
  <c r="F16" i="52"/>
  <c r="D18" i="52"/>
  <c r="F15" i="52"/>
  <c r="L12" i="52"/>
  <c r="F36" i="52"/>
  <c r="F34" i="52"/>
  <c r="F33" i="52"/>
  <c r="F31" i="52"/>
  <c r="F29" i="52"/>
  <c r="F27" i="52"/>
  <c r="F25" i="52"/>
  <c r="X16" i="52"/>
  <c r="X20" i="52"/>
  <c r="X15" i="53"/>
  <c r="N25" i="53"/>
  <c r="N29" i="53"/>
  <c r="N33" i="53"/>
  <c r="N34" i="53"/>
  <c r="X15" i="49"/>
  <c r="N25" i="49"/>
  <c r="N29" i="49"/>
  <c r="N33" i="49"/>
  <c r="N34" i="49"/>
  <c r="N13" i="50"/>
  <c r="N22" i="50"/>
  <c r="N24" i="50"/>
  <c r="Z13" i="52"/>
  <c r="Z16" i="52"/>
  <c r="Z20" i="52"/>
  <c r="X22" i="52"/>
  <c r="X24" i="52"/>
  <c r="H18" i="53"/>
  <c r="J15" i="53"/>
  <c r="N12" i="53"/>
  <c r="J24" i="53"/>
  <c r="J22" i="53"/>
  <c r="J21" i="53"/>
  <c r="J20" i="53"/>
  <c r="J18" i="53"/>
  <c r="J16" i="53"/>
  <c r="J36" i="53"/>
  <c r="J34" i="53"/>
  <c r="J33" i="53"/>
  <c r="J31" i="53"/>
  <c r="J29" i="53"/>
  <c r="J27" i="53"/>
  <c r="J25" i="53"/>
  <c r="X13" i="53"/>
  <c r="Z15" i="53"/>
  <c r="X21" i="53"/>
  <c r="X21" i="46"/>
  <c r="D18" i="47"/>
  <c r="F15" i="47"/>
  <c r="L12" i="47"/>
  <c r="F21" i="47"/>
  <c r="F20" i="47"/>
  <c r="F18" i="47"/>
  <c r="F16" i="47"/>
  <c r="F33" i="47"/>
  <c r="F29" i="47"/>
  <c r="F25" i="47"/>
  <c r="F22" i="47"/>
  <c r="F36" i="47"/>
  <c r="F31" i="47"/>
  <c r="F27" i="47"/>
  <c r="F34" i="47"/>
  <c r="F24" i="47"/>
  <c r="X16" i="47"/>
  <c r="X20" i="47"/>
  <c r="D18" i="49"/>
  <c r="F15" i="49"/>
  <c r="L12" i="49"/>
  <c r="F24" i="49"/>
  <c r="F22" i="49"/>
  <c r="F21" i="49"/>
  <c r="F20" i="49"/>
  <c r="F18" i="49"/>
  <c r="F16" i="49"/>
  <c r="F27" i="49"/>
  <c r="F25" i="49"/>
  <c r="F36" i="49"/>
  <c r="F34" i="49"/>
  <c r="F33" i="49"/>
  <c r="F31" i="49"/>
  <c r="F29" i="49"/>
  <c r="X16" i="49"/>
  <c r="X20" i="49"/>
  <c r="X15" i="50"/>
  <c r="N25" i="50"/>
  <c r="N29" i="50"/>
  <c r="N33" i="50"/>
  <c r="N34" i="50"/>
  <c r="Z21" i="52"/>
  <c r="X25" i="52"/>
  <c r="X29" i="52"/>
  <c r="X33" i="52"/>
  <c r="X34" i="52"/>
  <c r="Z13" i="53"/>
  <c r="Z16" i="53"/>
  <c r="Z20" i="53"/>
  <c r="X22" i="53"/>
  <c r="X24" i="53"/>
  <c r="X22" i="46"/>
  <c r="X24" i="46"/>
  <c r="J36" i="47"/>
  <c r="J34" i="47"/>
  <c r="J33" i="47"/>
  <c r="J31" i="47"/>
  <c r="J29" i="47"/>
  <c r="J27" i="47"/>
  <c r="J25" i="47"/>
  <c r="H18" i="47"/>
  <c r="J15" i="47"/>
  <c r="J20" i="47"/>
  <c r="J16" i="47"/>
  <c r="N12" i="47"/>
  <c r="J24" i="47"/>
  <c r="J21" i="47"/>
  <c r="J18" i="47"/>
  <c r="J22" i="47"/>
  <c r="X13" i="47"/>
  <c r="Z15" i="47"/>
  <c r="X21" i="47"/>
  <c r="N12" i="49"/>
  <c r="J36" i="49"/>
  <c r="J34" i="49"/>
  <c r="J33" i="49"/>
  <c r="J31" i="49"/>
  <c r="J29" i="49"/>
  <c r="J27" i="49"/>
  <c r="J25" i="49"/>
  <c r="J24" i="49"/>
  <c r="J22" i="49"/>
  <c r="J20" i="49"/>
  <c r="J18" i="49"/>
  <c r="J16" i="49"/>
  <c r="H18" i="49"/>
  <c r="J15" i="49"/>
  <c r="J21" i="49"/>
  <c r="X13" i="49"/>
  <c r="Z15" i="49"/>
  <c r="X21" i="49"/>
  <c r="L12" i="50"/>
  <c r="F36" i="50"/>
  <c r="F34" i="50"/>
  <c r="F33" i="50"/>
  <c r="F31" i="50"/>
  <c r="F29" i="50"/>
  <c r="F27" i="50"/>
  <c r="F25" i="50"/>
  <c r="F21" i="50"/>
  <c r="F20" i="50"/>
  <c r="F18" i="50"/>
  <c r="F16" i="50"/>
  <c r="D18" i="50"/>
  <c r="F15" i="50"/>
  <c r="F24" i="50"/>
  <c r="F22" i="50"/>
  <c r="X16" i="50"/>
  <c r="X20" i="50"/>
  <c r="X12" i="52"/>
  <c r="R36" i="52"/>
  <c r="R34" i="52"/>
  <c r="R33" i="52"/>
  <c r="R31" i="52"/>
  <c r="R29" i="52"/>
  <c r="R27" i="52"/>
  <c r="R25" i="52"/>
  <c r="R24" i="52"/>
  <c r="R22" i="52"/>
  <c r="R21" i="52"/>
  <c r="P18" i="52"/>
  <c r="R15" i="52"/>
  <c r="R20" i="52"/>
  <c r="R18" i="52"/>
  <c r="R16" i="52"/>
  <c r="Z22" i="52"/>
  <c r="Z24" i="52"/>
  <c r="Z21" i="53"/>
  <c r="X25" i="53"/>
  <c r="X29" i="53"/>
  <c r="X33" i="53"/>
  <c r="X34" i="53"/>
  <c r="X25" i="46"/>
  <c r="X29" i="46"/>
  <c r="X33" i="46"/>
  <c r="X34" i="46"/>
  <c r="Z13" i="47"/>
  <c r="Z16" i="47"/>
  <c r="Z20" i="47"/>
  <c r="X22" i="47"/>
  <c r="X24" i="47"/>
  <c r="Z13" i="49"/>
  <c r="Z16" i="49"/>
  <c r="Z20" i="49"/>
  <c r="X22" i="49"/>
  <c r="X24" i="49"/>
  <c r="N12" i="50"/>
  <c r="J36" i="50"/>
  <c r="J34" i="50"/>
  <c r="J33" i="50"/>
  <c r="J31" i="50"/>
  <c r="J29" i="50"/>
  <c r="J27" i="50"/>
  <c r="J25" i="50"/>
  <c r="J24" i="50"/>
  <c r="J22" i="50"/>
  <c r="J21" i="50"/>
  <c r="H18" i="50"/>
  <c r="J15" i="50"/>
  <c r="J20" i="50"/>
  <c r="J18" i="50"/>
  <c r="J16" i="50"/>
  <c r="X13" i="50"/>
  <c r="Z15" i="50"/>
  <c r="X21" i="50"/>
  <c r="Z12" i="52"/>
  <c r="V36" i="52"/>
  <c r="V34" i="52"/>
  <c r="V33" i="52"/>
  <c r="V31" i="52"/>
  <c r="V29" i="52"/>
  <c r="V27" i="52"/>
  <c r="V25" i="52"/>
  <c r="V24" i="52"/>
  <c r="V22" i="52"/>
  <c r="V21" i="52"/>
  <c r="V20" i="52"/>
  <c r="V18" i="52"/>
  <c r="V16" i="52"/>
  <c r="T18" i="52"/>
  <c r="V15" i="52"/>
  <c r="L15" i="52"/>
  <c r="Z25" i="52"/>
  <c r="Z29" i="52"/>
  <c r="Z33" i="52"/>
  <c r="Z34" i="52"/>
  <c r="X12" i="53"/>
  <c r="R36" i="53"/>
  <c r="R34" i="53"/>
  <c r="R33" i="53"/>
  <c r="R31" i="53"/>
  <c r="R29" i="53"/>
  <c r="R27" i="53"/>
  <c r="R25" i="53"/>
  <c r="R24" i="53"/>
  <c r="R22" i="53"/>
  <c r="R21" i="53"/>
  <c r="R20" i="53"/>
  <c r="R18" i="53"/>
  <c r="R16" i="53"/>
  <c r="R15" i="53"/>
  <c r="P18" i="53"/>
  <c r="Z22" i="53"/>
  <c r="Z24" i="53"/>
  <c r="X33" i="47"/>
  <c r="X34" i="47"/>
  <c r="Z21" i="49"/>
  <c r="X25" i="49"/>
  <c r="X29" i="49"/>
  <c r="X33" i="49"/>
  <c r="X34" i="49"/>
  <c r="Z13" i="50"/>
  <c r="Z16" i="50"/>
  <c r="Z20" i="50"/>
  <c r="X22" i="50"/>
  <c r="X24" i="50"/>
  <c r="L16" i="52"/>
  <c r="L20" i="52"/>
  <c r="Z12" i="53"/>
  <c r="V36" i="53"/>
  <c r="V34" i="53"/>
  <c r="V33" i="53"/>
  <c r="V31" i="53"/>
  <c r="V29" i="53"/>
  <c r="V27" i="53"/>
  <c r="V25" i="53"/>
  <c r="V24" i="53"/>
  <c r="V22" i="53"/>
  <c r="V21" i="53"/>
  <c r="V20" i="53"/>
  <c r="V18" i="53"/>
  <c r="V16" i="53"/>
  <c r="T18" i="53"/>
  <c r="V15" i="53"/>
  <c r="L15" i="53"/>
  <c r="Z25" i="53"/>
  <c r="Z29" i="53"/>
  <c r="Z33" i="53"/>
  <c r="Z34" i="53"/>
  <c r="X12" i="49"/>
  <c r="R36" i="49"/>
  <c r="R34" i="49"/>
  <c r="R33" i="49"/>
  <c r="R31" i="49"/>
  <c r="R29" i="49"/>
  <c r="R27" i="49"/>
  <c r="R25" i="49"/>
  <c r="R24" i="49"/>
  <c r="R22" i="49"/>
  <c r="R21" i="49"/>
  <c r="R20" i="49"/>
  <c r="R18" i="49"/>
  <c r="R16" i="49"/>
  <c r="P18" i="49"/>
  <c r="R15" i="49"/>
  <c r="Z22" i="49"/>
  <c r="Z24" i="49"/>
  <c r="Z21" i="50"/>
  <c r="X25" i="50"/>
  <c r="X29" i="50"/>
  <c r="X33" i="50"/>
  <c r="X34" i="50"/>
  <c r="N15" i="52"/>
  <c r="L21" i="52"/>
  <c r="L16" i="53"/>
  <c r="L20" i="53"/>
  <c r="V36" i="49"/>
  <c r="V34" i="49"/>
  <c r="V33" i="49"/>
  <c r="V31" i="49"/>
  <c r="V29" i="49"/>
  <c r="V27" i="49"/>
  <c r="V25" i="49"/>
  <c r="V24" i="49"/>
  <c r="V22" i="49"/>
  <c r="V21" i="49"/>
  <c r="V20" i="49"/>
  <c r="V18" i="49"/>
  <c r="V16" i="49"/>
  <c r="T18" i="49"/>
  <c r="V15" i="49"/>
  <c r="Z12" i="49"/>
  <c r="L15" i="49"/>
  <c r="Z25" i="49"/>
  <c r="Z29" i="49"/>
  <c r="Z33" i="49"/>
  <c r="Z34" i="49"/>
  <c r="R36" i="50"/>
  <c r="R34" i="50"/>
  <c r="R33" i="50"/>
  <c r="R31" i="50"/>
  <c r="R29" i="50"/>
  <c r="R27" i="50"/>
  <c r="R25" i="50"/>
  <c r="R24" i="50"/>
  <c r="R22" i="50"/>
  <c r="R21" i="50"/>
  <c r="R20" i="50"/>
  <c r="R18" i="50"/>
  <c r="R16" i="50"/>
  <c r="P18" i="50"/>
  <c r="R15" i="50"/>
  <c r="X12" i="50"/>
  <c r="Z22" i="50"/>
  <c r="Z24" i="50"/>
  <c r="N16" i="52"/>
  <c r="N20" i="52"/>
  <c r="L22" i="52"/>
  <c r="L24" i="52"/>
  <c r="N15" i="53"/>
  <c r="L21" i="53"/>
  <c r="L16" i="47"/>
  <c r="L20" i="47"/>
  <c r="L16" i="49"/>
  <c r="L20" i="49"/>
  <c r="V24" i="50"/>
  <c r="V22" i="50"/>
  <c r="V21" i="50"/>
  <c r="V20" i="50"/>
  <c r="V18" i="50"/>
  <c r="V16" i="50"/>
  <c r="T18" i="50"/>
  <c r="V15" i="50"/>
  <c r="Z12" i="50"/>
  <c r="V36" i="50"/>
  <c r="V34" i="50"/>
  <c r="V33" i="50"/>
  <c r="V31" i="50"/>
  <c r="V29" i="50"/>
  <c r="V27" i="50"/>
  <c r="V25" i="50"/>
  <c r="L15" i="50"/>
  <c r="Z25" i="50"/>
  <c r="Z29" i="50"/>
  <c r="Z33" i="50"/>
  <c r="Z34" i="50"/>
  <c r="L13" i="52"/>
  <c r="N21" i="52"/>
  <c r="L25" i="52"/>
  <c r="L29" i="52"/>
  <c r="L33" i="52"/>
  <c r="L34" i="52"/>
  <c r="N16" i="53"/>
  <c r="N20" i="53"/>
  <c r="L22" i="53"/>
  <c r="L24" i="53"/>
  <c r="R21" i="111"/>
  <c r="R20" i="111"/>
  <c r="R18" i="111"/>
  <c r="R16" i="111"/>
  <c r="P18" i="111"/>
  <c r="R15" i="111"/>
  <c r="R24" i="111"/>
  <c r="R22" i="111"/>
  <c r="R29" i="111"/>
  <c r="R27" i="111"/>
  <c r="R36" i="111"/>
  <c r="R25" i="111"/>
  <c r="R34" i="111"/>
  <c r="R33" i="111"/>
  <c r="R31" i="111"/>
  <c r="X12" i="111"/>
  <c r="L16" i="111"/>
  <c r="X24" i="112"/>
  <c r="Z24" i="112"/>
  <c r="Z22" i="111"/>
  <c r="Z16" i="112"/>
  <c r="X20" i="113"/>
  <c r="Z20" i="113"/>
  <c r="Z24" i="111"/>
  <c r="F36" i="113"/>
  <c r="F34" i="113"/>
  <c r="F33" i="113"/>
  <c r="F31" i="113"/>
  <c r="F29" i="113"/>
  <c r="F27" i="113"/>
  <c r="F25" i="113"/>
  <c r="F24" i="113"/>
  <c r="F22" i="113"/>
  <c r="F21" i="113"/>
  <c r="F20" i="113"/>
  <c r="F18" i="113"/>
  <c r="F16" i="113"/>
  <c r="D18" i="113"/>
  <c r="F15" i="113"/>
  <c r="L12" i="113"/>
  <c r="Z20" i="112"/>
  <c r="Z13" i="113"/>
  <c r="X22" i="113"/>
  <c r="L20" i="111"/>
  <c r="P18" i="112"/>
  <c r="R15" i="112"/>
  <c r="X12" i="112"/>
  <c r="R24" i="112"/>
  <c r="R22" i="112"/>
  <c r="R20" i="112"/>
  <c r="R18" i="112"/>
  <c r="R16" i="112"/>
  <c r="R33" i="112"/>
  <c r="R31" i="112"/>
  <c r="R21" i="112"/>
  <c r="R29" i="112"/>
  <c r="R36" i="112"/>
  <c r="R25" i="112"/>
  <c r="R34" i="112"/>
  <c r="R27" i="112"/>
  <c r="X24" i="113"/>
  <c r="Z13" i="112"/>
  <c r="X22" i="112"/>
  <c r="X16" i="113"/>
  <c r="Z22" i="112"/>
  <c r="Z16" i="113"/>
  <c r="Z21" i="111"/>
  <c r="X25" i="111"/>
  <c r="X29" i="111"/>
  <c r="X33" i="111"/>
  <c r="X34" i="111"/>
  <c r="J36" i="112"/>
  <c r="J34" i="112"/>
  <c r="J33" i="112"/>
  <c r="J31" i="112"/>
  <c r="J29" i="112"/>
  <c r="J27" i="112"/>
  <c r="J25" i="112"/>
  <c r="J24" i="112"/>
  <c r="J22" i="112"/>
  <c r="J21" i="112"/>
  <c r="J20" i="112"/>
  <c r="J18" i="112"/>
  <c r="J16" i="112"/>
  <c r="H18" i="112"/>
  <c r="J15" i="112"/>
  <c r="N12" i="112"/>
  <c r="X13" i="112"/>
  <c r="Z15" i="112"/>
  <c r="X21" i="112"/>
  <c r="X15" i="113"/>
  <c r="N25" i="113"/>
  <c r="N29" i="113"/>
  <c r="N33" i="113"/>
  <c r="N34" i="113"/>
  <c r="T18" i="111"/>
  <c r="V15" i="111"/>
  <c r="Z12" i="111"/>
  <c r="V24" i="111"/>
  <c r="V22" i="111"/>
  <c r="V20" i="111"/>
  <c r="V18" i="111"/>
  <c r="V16" i="111"/>
  <c r="V29" i="111"/>
  <c r="V27" i="111"/>
  <c r="V36" i="111"/>
  <c r="V25" i="111"/>
  <c r="V33" i="111"/>
  <c r="V34" i="111"/>
  <c r="V31" i="111"/>
  <c r="V21" i="111"/>
  <c r="L15" i="111"/>
  <c r="Z25" i="111"/>
  <c r="Z29" i="111"/>
  <c r="Z33" i="111"/>
  <c r="Z34" i="111"/>
  <c r="Z21" i="112"/>
  <c r="X25" i="112"/>
  <c r="X29" i="112"/>
  <c r="X33" i="112"/>
  <c r="X34" i="112"/>
  <c r="J21" i="113"/>
  <c r="J20" i="113"/>
  <c r="J18" i="113"/>
  <c r="J16" i="113"/>
  <c r="H18" i="113"/>
  <c r="J15" i="113"/>
  <c r="N12" i="113"/>
  <c r="J24" i="113"/>
  <c r="J22" i="113"/>
  <c r="J36" i="113"/>
  <c r="J25" i="113"/>
  <c r="J34" i="113"/>
  <c r="J33" i="113"/>
  <c r="J31" i="113"/>
  <c r="J29" i="113"/>
  <c r="J27" i="113"/>
  <c r="X13" i="113"/>
  <c r="Z15" i="113"/>
  <c r="X21" i="113"/>
  <c r="N15" i="111"/>
  <c r="L21" i="111"/>
  <c r="Z12" i="112"/>
  <c r="V36" i="112"/>
  <c r="V34" i="112"/>
  <c r="V33" i="112"/>
  <c r="V31" i="112"/>
  <c r="V29" i="112"/>
  <c r="V27" i="112"/>
  <c r="V25" i="112"/>
  <c r="V24" i="112"/>
  <c r="V22" i="112"/>
  <c r="V20" i="112"/>
  <c r="V18" i="112"/>
  <c r="V16" i="112"/>
  <c r="V21" i="112"/>
  <c r="T18" i="112"/>
  <c r="V15" i="112"/>
  <c r="L15" i="112"/>
  <c r="Z25" i="112"/>
  <c r="Z29" i="112"/>
  <c r="Z33" i="112"/>
  <c r="Z34" i="112"/>
  <c r="Z21" i="113"/>
  <c r="X25" i="113"/>
  <c r="X29" i="113"/>
  <c r="X33" i="113"/>
  <c r="X34" i="113"/>
  <c r="N16" i="111"/>
  <c r="N20" i="111"/>
  <c r="L22" i="111"/>
  <c r="L24" i="111"/>
  <c r="L16" i="112"/>
  <c r="L20" i="112"/>
  <c r="X12" i="113"/>
  <c r="R36" i="113"/>
  <c r="R34" i="113"/>
  <c r="R33" i="113"/>
  <c r="R31" i="113"/>
  <c r="R29" i="113"/>
  <c r="R27" i="113"/>
  <c r="R25" i="113"/>
  <c r="R24" i="113"/>
  <c r="R22" i="113"/>
  <c r="R20" i="113"/>
  <c r="R18" i="113"/>
  <c r="R16" i="113"/>
  <c r="R15" i="113"/>
  <c r="R21" i="113"/>
  <c r="P18" i="113"/>
  <c r="Z22" i="113"/>
  <c r="Z24" i="113"/>
  <c r="L13" i="111"/>
  <c r="N21" i="111"/>
  <c r="L25" i="111"/>
  <c r="L29" i="111"/>
  <c r="L33" i="111"/>
  <c r="L34" i="111"/>
  <c r="N15" i="112"/>
  <c r="L21" i="112"/>
  <c r="Z12" i="113"/>
  <c r="V36" i="113"/>
  <c r="V34" i="113"/>
  <c r="V33" i="113"/>
  <c r="V31" i="113"/>
  <c r="V29" i="113"/>
  <c r="V27" i="113"/>
  <c r="V25" i="113"/>
  <c r="V24" i="113"/>
  <c r="V22" i="113"/>
  <c r="V21" i="113"/>
  <c r="V20" i="113"/>
  <c r="V18" i="113"/>
  <c r="V16" i="113"/>
  <c r="V15" i="113"/>
  <c r="T18" i="113"/>
  <c r="L15" i="113"/>
  <c r="Z25" i="113"/>
  <c r="Z29" i="113"/>
  <c r="Z33" i="113"/>
  <c r="Z34" i="113"/>
  <c r="N13" i="111"/>
  <c r="N22" i="111"/>
  <c r="N24" i="111"/>
  <c r="N16" i="112"/>
  <c r="N20" i="112"/>
  <c r="L22" i="112"/>
  <c r="L24" i="112"/>
  <c r="L16" i="113"/>
  <c r="L20" i="113"/>
  <c r="X15" i="111"/>
  <c r="N25" i="111"/>
  <c r="N29" i="111"/>
  <c r="N33" i="111"/>
  <c r="N34" i="111"/>
  <c r="L13" i="112"/>
  <c r="N21" i="112"/>
  <c r="L25" i="112"/>
  <c r="L29" i="112"/>
  <c r="L33" i="112"/>
  <c r="L34" i="112"/>
  <c r="N15" i="113"/>
  <c r="L21" i="113"/>
  <c r="L12" i="111"/>
  <c r="F36" i="111"/>
  <c r="F34" i="111"/>
  <c r="F33" i="111"/>
  <c r="F31" i="111"/>
  <c r="F29" i="111"/>
  <c r="F27" i="111"/>
  <c r="F25" i="111"/>
  <c r="F24" i="111"/>
  <c r="F22" i="111"/>
  <c r="F21" i="111"/>
  <c r="F20" i="111"/>
  <c r="F18" i="111"/>
  <c r="F16" i="111"/>
  <c r="D18" i="111"/>
  <c r="F15" i="111"/>
  <c r="X16" i="111"/>
  <c r="X20" i="111"/>
  <c r="N13" i="112"/>
  <c r="N22" i="112"/>
  <c r="N24" i="112"/>
  <c r="N16" i="113"/>
  <c r="N20" i="113"/>
  <c r="L22" i="113"/>
  <c r="L24" i="113"/>
  <c r="J36" i="111"/>
  <c r="J34" i="111"/>
  <c r="J33" i="111"/>
  <c r="J31" i="111"/>
  <c r="J29" i="111"/>
  <c r="J27" i="111"/>
  <c r="J25" i="111"/>
  <c r="J24" i="111"/>
  <c r="J22" i="111"/>
  <c r="J21" i="111"/>
  <c r="J20" i="111"/>
  <c r="J18" i="111"/>
  <c r="J16" i="111"/>
  <c r="H18" i="111"/>
  <c r="J15" i="111"/>
  <c r="N12" i="111"/>
  <c r="X13" i="111"/>
  <c r="Z15" i="111"/>
  <c r="X21" i="111"/>
  <c r="X15" i="112"/>
  <c r="N25" i="112"/>
  <c r="N29" i="112"/>
  <c r="N33" i="112"/>
  <c r="N34" i="112"/>
  <c r="L13" i="113"/>
  <c r="N21" i="113"/>
  <c r="L25" i="113"/>
  <c r="L29" i="113"/>
  <c r="L33" i="113"/>
  <c r="L34" i="113"/>
  <c r="Z13" i="111"/>
  <c r="Z16" i="111"/>
  <c r="Z20" i="111"/>
  <c r="X22" i="111"/>
  <c r="X24" i="111"/>
  <c r="F36" i="112"/>
  <c r="F34" i="112"/>
  <c r="F33" i="112"/>
  <c r="F31" i="112"/>
  <c r="F29" i="112"/>
  <c r="F27" i="112"/>
  <c r="F25" i="112"/>
  <c r="F24" i="112"/>
  <c r="F22" i="112"/>
  <c r="F21" i="112"/>
  <c r="F20" i="112"/>
  <c r="F18" i="112"/>
  <c r="F16" i="112"/>
  <c r="D18" i="112"/>
  <c r="F15" i="112"/>
  <c r="L12" i="112"/>
  <c r="X16" i="112"/>
  <c r="X20" i="112"/>
  <c r="N13" i="113"/>
  <c r="N22" i="113"/>
  <c r="N24" i="113"/>
  <c r="R276" i="12"/>
  <c r="R267" i="12"/>
  <c r="R266" i="12"/>
  <c r="R250" i="12"/>
  <c r="R234" i="12"/>
  <c r="R215" i="12"/>
  <c r="R214" i="12"/>
  <c r="R206" i="12"/>
  <c r="R178" i="12"/>
  <c r="R174" i="12"/>
  <c r="R277" i="12"/>
  <c r="R245" i="12"/>
  <c r="R226" i="12"/>
  <c r="R225" i="12"/>
  <c r="R201" i="12"/>
  <c r="R165" i="12"/>
  <c r="R161" i="12"/>
  <c r="R157" i="12"/>
  <c r="R153" i="12"/>
  <c r="R149" i="12"/>
  <c r="R145" i="12"/>
  <c r="R141" i="12"/>
  <c r="R137" i="12"/>
  <c r="R133" i="12"/>
  <c r="R278" i="12"/>
  <c r="R268" i="12"/>
  <c r="R260" i="12"/>
  <c r="R256" i="12"/>
  <c r="R240" i="12"/>
  <c r="R216" i="12"/>
  <c r="R193" i="12"/>
  <c r="R192" i="12"/>
  <c r="R188" i="12"/>
  <c r="R184" i="12"/>
  <c r="R279" i="12"/>
  <c r="R252" i="12"/>
  <c r="R251" i="12"/>
  <c r="R235" i="12"/>
  <c r="R228" i="12"/>
  <c r="R227" i="12"/>
  <c r="R208" i="12"/>
  <c r="R207" i="12"/>
  <c r="R179" i="12"/>
  <c r="R175" i="12"/>
  <c r="R280" i="12"/>
  <c r="R246" i="12"/>
  <c r="R202" i="12"/>
  <c r="R195" i="12"/>
  <c r="R194" i="12"/>
  <c r="R171" i="12"/>
  <c r="R281" i="12"/>
  <c r="R269" i="12"/>
  <c r="R262" i="12"/>
  <c r="R261" i="12"/>
  <c r="R257" i="12"/>
  <c r="R253" i="12"/>
  <c r="R242" i="12"/>
  <c r="R241" i="12"/>
  <c r="R230" i="12"/>
  <c r="R229" i="12"/>
  <c r="R218" i="12"/>
  <c r="R217" i="12"/>
  <c r="R209" i="12"/>
  <c r="R189" i="12"/>
  <c r="R185" i="12"/>
  <c r="R170" i="12"/>
  <c r="R283" i="12"/>
  <c r="R263" i="12"/>
  <c r="R247" i="12"/>
  <c r="R243" i="12"/>
  <c r="R232" i="12"/>
  <c r="R231" i="12"/>
  <c r="R220" i="12"/>
  <c r="R219" i="12"/>
  <c r="R203" i="12"/>
  <c r="R163" i="12"/>
  <c r="R159" i="12"/>
  <c r="R155" i="12"/>
  <c r="R151" i="12"/>
  <c r="R147" i="12"/>
  <c r="R143" i="12"/>
  <c r="R139" i="12"/>
  <c r="R135" i="12"/>
  <c r="R131" i="12"/>
  <c r="R271" i="12"/>
  <c r="R270" i="12"/>
  <c r="R258" i="12"/>
  <c r="R254" i="12"/>
  <c r="R238" i="12"/>
  <c r="R211" i="12"/>
  <c r="R210" i="12"/>
  <c r="R190" i="12"/>
  <c r="R186" i="12"/>
  <c r="R287" i="12"/>
  <c r="R275" i="12"/>
  <c r="R274" i="12"/>
  <c r="R259" i="12"/>
  <c r="R255" i="12"/>
  <c r="R239" i="12"/>
  <c r="R224" i="12"/>
  <c r="R223" i="12"/>
  <c r="R200" i="12"/>
  <c r="R199" i="12"/>
  <c r="R191" i="12"/>
  <c r="R187" i="12"/>
  <c r="R183" i="12"/>
  <c r="R138" i="12"/>
  <c r="R129" i="12"/>
  <c r="R125" i="12"/>
  <c r="R121" i="12"/>
  <c r="R117" i="12"/>
  <c r="R249" i="12"/>
  <c r="R204" i="12"/>
  <c r="R162" i="12"/>
  <c r="R113" i="12"/>
  <c r="P168" i="12"/>
  <c r="R168" i="12" s="1"/>
  <c r="R152" i="12"/>
  <c r="R144" i="12"/>
  <c r="R272" i="12"/>
  <c r="R221" i="12"/>
  <c r="R213" i="12"/>
  <c r="R182" i="12"/>
  <c r="R160" i="12"/>
  <c r="R136" i="12"/>
  <c r="R126" i="12"/>
  <c r="R122" i="12"/>
  <c r="R118" i="12"/>
  <c r="R114" i="12"/>
  <c r="R264" i="12"/>
  <c r="R197" i="12"/>
  <c r="R180" i="12"/>
  <c r="R130" i="12"/>
  <c r="R244" i="12"/>
  <c r="R236" i="12"/>
  <c r="R176" i="12"/>
  <c r="R172" i="12"/>
  <c r="R150" i="12"/>
  <c r="R142" i="12"/>
  <c r="R282" i="12"/>
  <c r="R222" i="12"/>
  <c r="R205" i="12"/>
  <c r="R158" i="12"/>
  <c r="R127" i="12"/>
  <c r="R123" i="12"/>
  <c r="R119" i="12"/>
  <c r="R115" i="12"/>
  <c r="R198" i="12"/>
  <c r="R134" i="12"/>
  <c r="X12" i="12"/>
  <c r="Z12" i="12" s="1"/>
  <c r="R265" i="12"/>
  <c r="R237" i="12"/>
  <c r="R156" i="12"/>
  <c r="R148" i="12"/>
  <c r="R140" i="12"/>
  <c r="R233" i="12"/>
  <c r="R212" i="12"/>
  <c r="R177" i="12"/>
  <c r="R173" i="12"/>
  <c r="R164" i="12"/>
  <c r="R154" i="12"/>
  <c r="R146" i="12"/>
  <c r="R132" i="12"/>
  <c r="R128" i="12"/>
  <c r="R120" i="12"/>
  <c r="R248" i="12"/>
  <c r="R181" i="12"/>
  <c r="R196" i="12"/>
  <c r="R166" i="12"/>
  <c r="R124" i="12"/>
  <c r="R116" i="12"/>
  <c r="Z227" i="3"/>
  <c r="X240" i="3"/>
  <c r="P12" i="18"/>
  <c r="N256" i="3"/>
  <c r="N260" i="3"/>
  <c r="N262" i="3"/>
  <c r="R24" i="6"/>
  <c r="R31" i="6"/>
  <c r="R29" i="6"/>
  <c r="R28" i="6"/>
  <c r="R26" i="6"/>
  <c r="X12" i="6"/>
  <c r="P16" i="6"/>
  <c r="T22" i="6"/>
  <c r="N61" i="9"/>
  <c r="L91" i="9"/>
  <c r="N91" i="9" s="1"/>
  <c r="X22" i="12"/>
  <c r="Z190" i="15"/>
  <c r="Z45" i="9"/>
  <c r="N202" i="3"/>
  <c r="N214" i="3"/>
  <c r="Z232" i="3"/>
  <c r="N237" i="3"/>
  <c r="X256" i="3"/>
  <c r="Z256" i="3" s="1"/>
  <c r="J262" i="3"/>
  <c r="Z331" i="3"/>
  <c r="R44" i="9"/>
  <c r="N59" i="9"/>
  <c r="N200" i="12"/>
  <c r="Z188" i="15"/>
  <c r="Z203" i="15"/>
  <c r="H106" i="9"/>
  <c r="L15" i="3"/>
  <c r="D12" i="3"/>
  <c r="N69" i="9"/>
  <c r="R76" i="9"/>
  <c r="R93" i="9"/>
  <c r="N171" i="12"/>
  <c r="L310" i="3"/>
  <c r="D309" i="3"/>
  <c r="L309" i="3" s="1"/>
  <c r="N309" i="3" s="1"/>
  <c r="V256" i="3"/>
  <c r="Z262" i="3"/>
  <c r="Z264" i="3"/>
  <c r="R18" i="6"/>
  <c r="X65" i="9"/>
  <c r="N74" i="9"/>
  <c r="N226" i="12"/>
  <c r="L226" i="12"/>
  <c r="F68" i="21"/>
  <c r="Z254" i="3"/>
  <c r="Z266" i="3"/>
  <c r="D12" i="9"/>
  <c r="L13" i="9"/>
  <c r="P12" i="3"/>
  <c r="Z240" i="3"/>
  <c r="V240" i="3"/>
  <c r="N258" i="3"/>
  <c r="Z286" i="3"/>
  <c r="N138" i="3"/>
  <c r="Z248" i="3"/>
  <c r="Z276" i="3"/>
  <c r="Z283" i="3"/>
  <c r="X14" i="6"/>
  <c r="R66" i="9"/>
  <c r="R55" i="9"/>
  <c r="R54" i="9"/>
  <c r="R47" i="9"/>
  <c r="R46" i="9"/>
  <c r="R30" i="9"/>
  <c r="R26" i="9"/>
  <c r="R22" i="9"/>
  <c r="X12" i="9"/>
  <c r="Z12" i="9" s="1"/>
  <c r="R97" i="9"/>
  <c r="R89" i="9"/>
  <c r="R77" i="9"/>
  <c r="R85" i="9"/>
  <c r="R84" i="9"/>
  <c r="R72" i="9"/>
  <c r="R57" i="9"/>
  <c r="R56" i="9"/>
  <c r="R49" i="9"/>
  <c r="R48" i="9"/>
  <c r="R40" i="9"/>
  <c r="R36" i="9"/>
  <c r="R67" i="9"/>
  <c r="R32" i="9"/>
  <c r="R31" i="9"/>
  <c r="R27" i="9"/>
  <c r="R23" i="9"/>
  <c r="R98" i="9"/>
  <c r="R91" i="9"/>
  <c r="R90" i="9"/>
  <c r="R86" i="9"/>
  <c r="R79" i="9"/>
  <c r="R78" i="9"/>
  <c r="R59" i="9"/>
  <c r="R58" i="9"/>
  <c r="R50" i="9"/>
  <c r="R102" i="9"/>
  <c r="R100" i="9"/>
  <c r="R74" i="9"/>
  <c r="R73" i="9"/>
  <c r="R41" i="9"/>
  <c r="R37" i="9"/>
  <c r="R33" i="9"/>
  <c r="R92" i="9"/>
  <c r="R80" i="9"/>
  <c r="R69" i="9"/>
  <c r="R68" i="9"/>
  <c r="R61" i="9"/>
  <c r="R60" i="9"/>
  <c r="R28" i="9"/>
  <c r="R24" i="9"/>
  <c r="R87" i="9"/>
  <c r="R75" i="9"/>
  <c r="R52" i="9"/>
  <c r="R51" i="9"/>
  <c r="R20" i="9"/>
  <c r="R104" i="9"/>
  <c r="R70" i="9"/>
  <c r="R63" i="9"/>
  <c r="R62" i="9"/>
  <c r="R43" i="9"/>
  <c r="R42" i="9"/>
  <c r="R38" i="9"/>
  <c r="R34" i="9"/>
  <c r="R19" i="9"/>
  <c r="R17" i="9"/>
  <c r="R15" i="9"/>
  <c r="R96" i="9"/>
  <c r="R95" i="9"/>
  <c r="R83" i="9"/>
  <c r="R71" i="9"/>
  <c r="R39" i="9"/>
  <c r="R35" i="9"/>
  <c r="P17" i="9"/>
  <c r="Z74" i="9"/>
  <c r="R106" i="9"/>
  <c r="N230" i="3"/>
  <c r="N302" i="3"/>
  <c r="L251" i="3"/>
  <c r="N251" i="3" s="1"/>
  <c r="Z330" i="3"/>
  <c r="R14" i="6"/>
  <c r="Z47" i="9"/>
  <c r="N79" i="9"/>
  <c r="Z96" i="9"/>
  <c r="X96" i="9"/>
  <c r="N100" i="9"/>
  <c r="L100" i="9"/>
  <c r="D12" i="12"/>
  <c r="V274" i="12"/>
  <c r="N203" i="3"/>
  <c r="X225" i="3"/>
  <c r="Z225" i="3" s="1"/>
  <c r="N240" i="3"/>
  <c r="Z246" i="3"/>
  <c r="N286" i="3"/>
  <c r="X297" i="3"/>
  <c r="Z297" i="3" s="1"/>
  <c r="X20" i="6"/>
  <c r="X45" i="9"/>
  <c r="R64" i="9"/>
  <c r="R81" i="9"/>
  <c r="V96" i="9"/>
  <c r="R109" i="9"/>
  <c r="J170" i="12"/>
  <c r="V138" i="3"/>
  <c r="V142" i="3"/>
  <c r="V146" i="3"/>
  <c r="V150" i="3"/>
  <c r="V154" i="3"/>
  <c r="V158" i="3"/>
  <c r="V162" i="3"/>
  <c r="V166" i="3"/>
  <c r="V170" i="3"/>
  <c r="V174" i="3"/>
  <c r="V178" i="3"/>
  <c r="V182" i="3"/>
  <c r="V186" i="3"/>
  <c r="V190" i="3"/>
  <c r="V194" i="3"/>
  <c r="V198" i="3"/>
  <c r="V202" i="3"/>
  <c r="J206" i="3"/>
  <c r="J210" i="3"/>
  <c r="V226" i="3"/>
  <c r="J232" i="3"/>
  <c r="V234" i="3"/>
  <c r="J238" i="3"/>
  <c r="J244" i="3"/>
  <c r="V258" i="3"/>
  <c r="J264" i="3"/>
  <c r="J270" i="3"/>
  <c r="J276" i="3"/>
  <c r="V278" i="3"/>
  <c r="V282" i="3"/>
  <c r="V298" i="3"/>
  <c r="V306" i="3"/>
  <c r="J313" i="3"/>
  <c r="V318" i="3"/>
  <c r="J326" i="3"/>
  <c r="L12" i="6"/>
  <c r="V26" i="9"/>
  <c r="V30" i="9"/>
  <c r="J34" i="9"/>
  <c r="J38" i="9"/>
  <c r="J42" i="9"/>
  <c r="V46" i="9"/>
  <c r="J52" i="9"/>
  <c r="V54" i="9"/>
  <c r="J62" i="9"/>
  <c r="V66" i="9"/>
  <c r="J70" i="9"/>
  <c r="J104" i="9"/>
  <c r="V113" i="12"/>
  <c r="V117" i="12"/>
  <c r="V121" i="12"/>
  <c r="V125" i="12"/>
  <c r="V129" i="12"/>
  <c r="V138" i="12"/>
  <c r="V141" i="12"/>
  <c r="J143" i="12"/>
  <c r="V149" i="12"/>
  <c r="J151" i="12"/>
  <c r="L170" i="12"/>
  <c r="N170" i="12" s="1"/>
  <c r="L218" i="12"/>
  <c r="N218" i="12" s="1"/>
  <c r="V231" i="12"/>
  <c r="J237" i="12"/>
  <c r="J263" i="12"/>
  <c r="L195" i="15"/>
  <c r="N195" i="15" s="1"/>
  <c r="Z95" i="30"/>
  <c r="X95" i="30"/>
  <c r="V141" i="3"/>
  <c r="V145" i="3"/>
  <c r="V149" i="3"/>
  <c r="V153" i="3"/>
  <c r="V157" i="3"/>
  <c r="V161" i="3"/>
  <c r="V165" i="3"/>
  <c r="V169" i="3"/>
  <c r="V173" i="3"/>
  <c r="V177" i="3"/>
  <c r="V181" i="3"/>
  <c r="V185" i="3"/>
  <c r="V189" i="3"/>
  <c r="V193" i="3"/>
  <c r="V197" i="3"/>
  <c r="J205" i="3"/>
  <c r="J209" i="3"/>
  <c r="J213" i="3"/>
  <c r="V225" i="3"/>
  <c r="J229" i="3"/>
  <c r="V233" i="3"/>
  <c r="V245" i="3"/>
  <c r="J251" i="3"/>
  <c r="V253" i="3"/>
  <c r="J261" i="3"/>
  <c r="V265" i="3"/>
  <c r="J269" i="3"/>
  <c r="V277" i="3"/>
  <c r="V281" i="3"/>
  <c r="J285" i="3"/>
  <c r="V297" i="3"/>
  <c r="J301" i="3"/>
  <c r="J309" i="3"/>
  <c r="J310" i="3"/>
  <c r="V315" i="3"/>
  <c r="J322" i="3"/>
  <c r="V14" i="6"/>
  <c r="V16" i="6"/>
  <c r="V18" i="6"/>
  <c r="V20" i="6"/>
  <c r="F26" i="6"/>
  <c r="F28" i="6"/>
  <c r="F29" i="6"/>
  <c r="F31" i="6"/>
  <c r="V21" i="9"/>
  <c r="V25" i="9"/>
  <c r="V29" i="9"/>
  <c r="J33" i="9"/>
  <c r="J37" i="9"/>
  <c r="J41" i="9"/>
  <c r="V45" i="9"/>
  <c r="V53" i="9"/>
  <c r="J59" i="9"/>
  <c r="V65" i="9"/>
  <c r="J73" i="9"/>
  <c r="J79" i="9"/>
  <c r="V81" i="9"/>
  <c r="J91" i="9"/>
  <c r="V93" i="9"/>
  <c r="V277" i="12"/>
  <c r="V245" i="12"/>
  <c r="V225" i="12"/>
  <c r="V201" i="12"/>
  <c r="V193" i="12"/>
  <c r="V278" i="12"/>
  <c r="V268" i="12"/>
  <c r="V260" i="12"/>
  <c r="V256" i="12"/>
  <c r="V252" i="12"/>
  <c r="V240" i="12"/>
  <c r="V228" i="12"/>
  <c r="V216" i="12"/>
  <c r="V208" i="12"/>
  <c r="V192" i="12"/>
  <c r="V188" i="12"/>
  <c r="V184" i="12"/>
  <c r="V279" i="12"/>
  <c r="V251" i="12"/>
  <c r="V235" i="12"/>
  <c r="V227" i="12"/>
  <c r="V207" i="12"/>
  <c r="V195" i="12"/>
  <c r="V179" i="12"/>
  <c r="V175" i="12"/>
  <c r="V171" i="12"/>
  <c r="V280" i="12"/>
  <c r="V262" i="12"/>
  <c r="V246" i="12"/>
  <c r="V242" i="12"/>
  <c r="V230" i="12"/>
  <c r="V218" i="12"/>
  <c r="V202" i="12"/>
  <c r="V194" i="12"/>
  <c r="V281" i="12"/>
  <c r="V269" i="12"/>
  <c r="V261" i="12"/>
  <c r="V257" i="12"/>
  <c r="V253" i="12"/>
  <c r="V241" i="12"/>
  <c r="V237" i="12"/>
  <c r="V229" i="12"/>
  <c r="V217" i="12"/>
  <c r="V209" i="12"/>
  <c r="V189" i="12"/>
  <c r="V185" i="12"/>
  <c r="V282" i="12"/>
  <c r="V236" i="12"/>
  <c r="V232" i="12"/>
  <c r="V220" i="12"/>
  <c r="V196" i="12"/>
  <c r="V180" i="12"/>
  <c r="V176" i="12"/>
  <c r="V172" i="12"/>
  <c r="V270" i="12"/>
  <c r="V258" i="12"/>
  <c r="V254" i="12"/>
  <c r="V238" i="12"/>
  <c r="V222" i="12"/>
  <c r="V210" i="12"/>
  <c r="V198" i="12"/>
  <c r="V190" i="12"/>
  <c r="V186" i="12"/>
  <c r="V182" i="12"/>
  <c r="V265" i="12"/>
  <c r="V249" i="12"/>
  <c r="V233" i="12"/>
  <c r="V221" i="12"/>
  <c r="V213" i="12"/>
  <c r="V205" i="12"/>
  <c r="V197" i="12"/>
  <c r="V181" i="12"/>
  <c r="V177" i="12"/>
  <c r="V173" i="12"/>
  <c r="V276" i="12"/>
  <c r="V266" i="12"/>
  <c r="V250" i="12"/>
  <c r="V234" i="12"/>
  <c r="V226" i="12"/>
  <c r="V214" i="12"/>
  <c r="V206" i="12"/>
  <c r="V178" i="12"/>
  <c r="V174" i="12"/>
  <c r="V116" i="12"/>
  <c r="V120" i="12"/>
  <c r="V124" i="12"/>
  <c r="V128" i="12"/>
  <c r="V143" i="12"/>
  <c r="J145" i="12"/>
  <c r="V151" i="12"/>
  <c r="J153" i="12"/>
  <c r="J163" i="12"/>
  <c r="V166" i="12"/>
  <c r="J172" i="12"/>
  <c r="J176" i="12"/>
  <c r="L195" i="12"/>
  <c r="N195" i="12" s="1"/>
  <c r="X200" i="12"/>
  <c r="J203" i="12"/>
  <c r="N205" i="12"/>
  <c r="N224" i="12"/>
  <c r="J236" i="12"/>
  <c r="L242" i="12"/>
  <c r="V248" i="12"/>
  <c r="Z271" i="12"/>
  <c r="D12" i="15"/>
  <c r="N210" i="15"/>
  <c r="N233" i="15"/>
  <c r="L238" i="15"/>
  <c r="N238" i="15" s="1"/>
  <c r="N283" i="18"/>
  <c r="N66" i="21"/>
  <c r="L66" i="21"/>
  <c r="X13" i="3"/>
  <c r="Z13" i="3" s="1"/>
  <c r="V206" i="3"/>
  <c r="V210" i="3"/>
  <c r="J218" i="3"/>
  <c r="J222" i="3"/>
  <c r="V238" i="3"/>
  <c r="J242" i="3"/>
  <c r="V246" i="3"/>
  <c r="J250" i="3"/>
  <c r="V254" i="3"/>
  <c r="J260" i="3"/>
  <c r="V266" i="3"/>
  <c r="V270" i="3"/>
  <c r="J274" i="3"/>
  <c r="J290" i="3"/>
  <c r="J294" i="3"/>
  <c r="J300" i="3"/>
  <c r="V314" i="3"/>
  <c r="J321" i="3"/>
  <c r="V326" i="3"/>
  <c r="V330" i="3"/>
  <c r="V331" i="3"/>
  <c r="T17" i="9"/>
  <c r="J32" i="9"/>
  <c r="V34" i="9"/>
  <c r="V38" i="9"/>
  <c r="V42" i="9"/>
  <c r="J50" i="9"/>
  <c r="J58" i="9"/>
  <c r="V62" i="9"/>
  <c r="V70" i="9"/>
  <c r="J78" i="9"/>
  <c r="V82" i="9"/>
  <c r="J86" i="9"/>
  <c r="J90" i="9"/>
  <c r="V94" i="9"/>
  <c r="J98" i="9"/>
  <c r="V104" i="9"/>
  <c r="V131" i="12"/>
  <c r="V140" i="12"/>
  <c r="V148" i="12"/>
  <c r="V156" i="12"/>
  <c r="V161" i="12"/>
  <c r="Z170" i="12"/>
  <c r="J180" i="12"/>
  <c r="Z200" i="12"/>
  <c r="X205" i="12"/>
  <c r="Z205" i="12" s="1"/>
  <c r="X220" i="12"/>
  <c r="Z220" i="12" s="1"/>
  <c r="X224" i="12"/>
  <c r="L230" i="12"/>
  <c r="N242" i="12"/>
  <c r="V259" i="12"/>
  <c r="Z267" i="12"/>
  <c r="V271" i="12"/>
  <c r="L219" i="15"/>
  <c r="X113" i="24"/>
  <c r="Z113" i="24" s="1"/>
  <c r="V215" i="3"/>
  <c r="V219" i="3"/>
  <c r="V223" i="3"/>
  <c r="V231" i="3"/>
  <c r="J235" i="3"/>
  <c r="V243" i="3"/>
  <c r="J259" i="3"/>
  <c r="V263" i="3"/>
  <c r="V271" i="3"/>
  <c r="V275" i="3"/>
  <c r="J279" i="3"/>
  <c r="V287" i="3"/>
  <c r="V291" i="3"/>
  <c r="V295" i="3"/>
  <c r="J299" i="3"/>
  <c r="V303" i="3"/>
  <c r="J307" i="3"/>
  <c r="V313" i="3"/>
  <c r="J320" i="3"/>
  <c r="Z224" i="12"/>
  <c r="N230" i="12"/>
  <c r="V113" i="24"/>
  <c r="J138" i="3"/>
  <c r="V140" i="3"/>
  <c r="V144" i="3"/>
  <c r="V148" i="3"/>
  <c r="V152" i="3"/>
  <c r="V156" i="3"/>
  <c r="V160" i="3"/>
  <c r="V164" i="3"/>
  <c r="V168" i="3"/>
  <c r="V172" i="3"/>
  <c r="V176" i="3"/>
  <c r="V180" i="3"/>
  <c r="V184" i="3"/>
  <c r="V188" i="3"/>
  <c r="V192" i="3"/>
  <c r="V196" i="3"/>
  <c r="J202" i="3"/>
  <c r="J204" i="3"/>
  <c r="J208" i="3"/>
  <c r="J212" i="3"/>
  <c r="J228" i="3"/>
  <c r="V232" i="3"/>
  <c r="V236" i="3"/>
  <c r="V244" i="3"/>
  <c r="V252" i="3"/>
  <c r="J258" i="3"/>
  <c r="V264" i="3"/>
  <c r="J268" i="3"/>
  <c r="V276" i="3"/>
  <c r="V280" i="3"/>
  <c r="J284" i="3"/>
  <c r="J306" i="3"/>
  <c r="P309" i="3"/>
  <c r="X309" i="3" s="1"/>
  <c r="Z309" i="3" s="1"/>
  <c r="V312" i="3"/>
  <c r="J319" i="3"/>
  <c r="D16" i="6"/>
  <c r="F24" i="6"/>
  <c r="X13" i="9"/>
  <c r="Z13" i="9" s="1"/>
  <c r="V20" i="9"/>
  <c r="V24" i="9"/>
  <c r="V28" i="9"/>
  <c r="J36" i="9"/>
  <c r="J40" i="9"/>
  <c r="J48" i="9"/>
  <c r="V52" i="9"/>
  <c r="J56" i="9"/>
  <c r="V60" i="9"/>
  <c r="V68" i="9"/>
  <c r="J72" i="9"/>
  <c r="V80" i="9"/>
  <c r="J84" i="9"/>
  <c r="V92" i="9"/>
  <c r="J113" i="12"/>
  <c r="V115" i="12"/>
  <c r="V119" i="12"/>
  <c r="V123" i="12"/>
  <c r="V127" i="12"/>
  <c r="J133" i="12"/>
  <c r="V145" i="12"/>
  <c r="J147" i="12"/>
  <c r="V153" i="12"/>
  <c r="J155" i="12"/>
  <c r="V158" i="12"/>
  <c r="V163" i="12"/>
  <c r="N213" i="12"/>
  <c r="J219" i="12"/>
  <c r="V224" i="12"/>
  <c r="J230" i="12"/>
  <c r="P12" i="15"/>
  <c r="X14" i="15"/>
  <c r="N110" i="15"/>
  <c r="T276" i="15"/>
  <c r="N219" i="15"/>
  <c r="Z128" i="18"/>
  <c r="X215" i="18"/>
  <c r="J203" i="3"/>
  <c r="V205" i="3"/>
  <c r="V209" i="3"/>
  <c r="V213" i="3"/>
  <c r="J217" i="3"/>
  <c r="J221" i="3"/>
  <c r="J227" i="3"/>
  <c r="V229" i="3"/>
  <c r="V237" i="3"/>
  <c r="J241" i="3"/>
  <c r="J249" i="3"/>
  <c r="J257" i="3"/>
  <c r="V261" i="3"/>
  <c r="V269" i="3"/>
  <c r="J273" i="3"/>
  <c r="J283" i="3"/>
  <c r="V285" i="3"/>
  <c r="J289" i="3"/>
  <c r="J293" i="3"/>
  <c r="V301" i="3"/>
  <c r="J305" i="3"/>
  <c r="L306" i="3"/>
  <c r="N306" i="3" s="1"/>
  <c r="V311" i="3"/>
  <c r="J318" i="3"/>
  <c r="F14" i="6"/>
  <c r="F16" i="6"/>
  <c r="F18" i="6"/>
  <c r="F20" i="6"/>
  <c r="J24" i="6"/>
  <c r="X20" i="9"/>
  <c r="Z20" i="9" s="1"/>
  <c r="V33" i="9"/>
  <c r="V37" i="9"/>
  <c r="V41" i="9"/>
  <c r="J47" i="9"/>
  <c r="X52" i="9"/>
  <c r="Z52" i="9" s="1"/>
  <c r="J55" i="9"/>
  <c r="V61" i="9"/>
  <c r="V69" i="9"/>
  <c r="V73" i="9"/>
  <c r="J77" i="9"/>
  <c r="J89" i="9"/>
  <c r="J97" i="9"/>
  <c r="L113" i="12"/>
  <c r="N113" i="12" s="1"/>
  <c r="V142" i="12"/>
  <c r="V150" i="12"/>
  <c r="H168" i="12"/>
  <c r="L171" i="12"/>
  <c r="V191" i="12"/>
  <c r="J193" i="12"/>
  <c r="X213" i="12"/>
  <c r="Z213" i="12" s="1"/>
  <c r="J227" i="12"/>
  <c r="Z242" i="12"/>
  <c r="V244" i="12"/>
  <c r="J247" i="12"/>
  <c r="J251" i="12"/>
  <c r="V255" i="12"/>
  <c r="N262" i="12"/>
  <c r="V275" i="12"/>
  <c r="L279" i="12"/>
  <c r="N279" i="12" s="1"/>
  <c r="V287" i="12"/>
  <c r="Z166" i="15"/>
  <c r="Z238" i="15"/>
  <c r="N254" i="15"/>
  <c r="Z215" i="18"/>
  <c r="L266" i="18"/>
  <c r="N266" i="18" s="1"/>
  <c r="H200" i="3"/>
  <c r="J200" i="3" s="1"/>
  <c r="J142" i="3"/>
  <c r="J146" i="3"/>
  <c r="J150" i="3"/>
  <c r="J154" i="3"/>
  <c r="J158" i="3"/>
  <c r="J162" i="3"/>
  <c r="J166" i="3"/>
  <c r="J170" i="3"/>
  <c r="J174" i="3"/>
  <c r="J178" i="3"/>
  <c r="J182" i="3"/>
  <c r="J186" i="3"/>
  <c r="J190" i="3"/>
  <c r="J194" i="3"/>
  <c r="J198" i="3"/>
  <c r="V214" i="3"/>
  <c r="V218" i="3"/>
  <c r="V222" i="3"/>
  <c r="J226" i="3"/>
  <c r="V230" i="3"/>
  <c r="J234" i="3"/>
  <c r="J240" i="3"/>
  <c r="V242" i="3"/>
  <c r="J248" i="3"/>
  <c r="V250" i="3"/>
  <c r="J256" i="3"/>
  <c r="V262" i="3"/>
  <c r="V274" i="3"/>
  <c r="J278" i="3"/>
  <c r="J282" i="3"/>
  <c r="V286" i="3"/>
  <c r="V290" i="3"/>
  <c r="V294" i="3"/>
  <c r="J298" i="3"/>
  <c r="V302" i="3"/>
  <c r="V310" i="3"/>
  <c r="J317" i="3"/>
  <c r="V322" i="3"/>
  <c r="H16" i="6"/>
  <c r="J22" i="9"/>
  <c r="J26" i="9"/>
  <c r="J30" i="9"/>
  <c r="J46" i="9"/>
  <c r="V50" i="9"/>
  <c r="J54" i="9"/>
  <c r="V58" i="9"/>
  <c r="J66" i="9"/>
  <c r="V74" i="9"/>
  <c r="V78" i="9"/>
  <c r="V86" i="9"/>
  <c r="V90" i="9"/>
  <c r="J96" i="9"/>
  <c r="V98" i="9"/>
  <c r="V100" i="9"/>
  <c r="L13" i="12"/>
  <c r="N13" i="12" s="1"/>
  <c r="J117" i="12"/>
  <c r="J121" i="12"/>
  <c r="J125" i="12"/>
  <c r="J129" i="12"/>
  <c r="V130" i="12"/>
  <c r="V139" i="12"/>
  <c r="J157" i="12"/>
  <c r="V165" i="12"/>
  <c r="J168" i="12"/>
  <c r="J175" i="12"/>
  <c r="Z195" i="12"/>
  <c r="V211" i="12"/>
  <c r="V219" i="12"/>
  <c r="Z232" i="12"/>
  <c r="X232" i="12"/>
  <c r="N249" i="12"/>
  <c r="J262" i="12"/>
  <c r="V264" i="12"/>
  <c r="J281" i="12"/>
  <c r="N200" i="15"/>
  <c r="N241" i="15"/>
  <c r="P261" i="15"/>
  <c r="X261" i="15" s="1"/>
  <c r="Z261" i="15" s="1"/>
  <c r="N98" i="27"/>
  <c r="L98" i="27"/>
  <c r="V139" i="3"/>
  <c r="V143" i="3"/>
  <c r="V147" i="3"/>
  <c r="V151" i="3"/>
  <c r="V155" i="3"/>
  <c r="V159" i="3"/>
  <c r="V163" i="3"/>
  <c r="V167" i="3"/>
  <c r="V171" i="3"/>
  <c r="V175" i="3"/>
  <c r="V179" i="3"/>
  <c r="V183" i="3"/>
  <c r="V187" i="3"/>
  <c r="V191" i="3"/>
  <c r="V195" i="3"/>
  <c r="J207" i="3"/>
  <c r="J211" i="3"/>
  <c r="J225" i="3"/>
  <c r="V235" i="3"/>
  <c r="J239" i="3"/>
  <c r="J247" i="3"/>
  <c r="V251" i="3"/>
  <c r="J255" i="3"/>
  <c r="V259" i="3"/>
  <c r="J267" i="3"/>
  <c r="V279" i="3"/>
  <c r="J297" i="3"/>
  <c r="V299" i="3"/>
  <c r="V307" i="3"/>
  <c r="V309" i="3"/>
  <c r="J316" i="3"/>
  <c r="V321" i="3"/>
  <c r="J14" i="6"/>
  <c r="J16" i="6"/>
  <c r="J18" i="6"/>
  <c r="J20" i="6"/>
  <c r="J45" i="9"/>
  <c r="V59" i="9"/>
  <c r="J65" i="9"/>
  <c r="V67" i="9"/>
  <c r="J71" i="9"/>
  <c r="V79" i="9"/>
  <c r="J83" i="9"/>
  <c r="V91" i="9"/>
  <c r="J95" i="9"/>
  <c r="V114" i="12"/>
  <c r="V118" i="12"/>
  <c r="V122" i="12"/>
  <c r="V126" i="12"/>
  <c r="J132" i="12"/>
  <c r="V133" i="12"/>
  <c r="V136" i="12"/>
  <c r="J141" i="12"/>
  <c r="V147" i="12"/>
  <c r="J149" i="12"/>
  <c r="V155" i="12"/>
  <c r="V160" i="12"/>
  <c r="J179" i="12"/>
  <c r="J235" i="12"/>
  <c r="J243" i="12"/>
  <c r="V247" i="12"/>
  <c r="V272" i="12"/>
  <c r="X274" i="12"/>
  <c r="Z274" i="12" s="1"/>
  <c r="V204" i="3"/>
  <c r="V208" i="3"/>
  <c r="V212" i="3"/>
  <c r="J216" i="3"/>
  <c r="J220" i="3"/>
  <c r="J224" i="3"/>
  <c r="V228" i="3"/>
  <c r="J246" i="3"/>
  <c r="J254" i="3"/>
  <c r="V260" i="3"/>
  <c r="J266" i="3"/>
  <c r="V268" i="3"/>
  <c r="J272" i="3"/>
  <c r="V284" i="3"/>
  <c r="J288" i="3"/>
  <c r="J292" i="3"/>
  <c r="J296" i="3"/>
  <c r="V300" i="3"/>
  <c r="J304" i="3"/>
  <c r="J315" i="3"/>
  <c r="V320" i="3"/>
  <c r="J330" i="3"/>
  <c r="J331" i="3"/>
  <c r="V32" i="9"/>
  <c r="V36" i="9"/>
  <c r="V40" i="9"/>
  <c r="J44" i="9"/>
  <c r="V48" i="9"/>
  <c r="V56" i="9"/>
  <c r="J64" i="9"/>
  <c r="V72" i="9"/>
  <c r="J76" i="9"/>
  <c r="J82" i="9"/>
  <c r="V84" i="9"/>
  <c r="J88" i="9"/>
  <c r="J94" i="9"/>
  <c r="J106" i="9"/>
  <c r="J109" i="9"/>
  <c r="J135" i="12"/>
  <c r="V144" i="12"/>
  <c r="V152" i="12"/>
  <c r="T168" i="12"/>
  <c r="V199" i="12"/>
  <c r="V215" i="12"/>
  <c r="X165" i="15"/>
  <c r="Z165" i="15" s="1"/>
  <c r="Z213" i="15"/>
  <c r="X213" i="15"/>
  <c r="N277" i="18"/>
  <c r="F114" i="21"/>
  <c r="F113" i="21"/>
  <c r="F94" i="21"/>
  <c r="F90" i="21"/>
  <c r="F89" i="21"/>
  <c r="F62" i="21"/>
  <c r="F26" i="21"/>
  <c r="F25" i="21"/>
  <c r="L12" i="21"/>
  <c r="F105" i="21"/>
  <c r="F101" i="21"/>
  <c r="F73" i="21"/>
  <c r="F72" i="21"/>
  <c r="F53" i="21"/>
  <c r="F49" i="21"/>
  <c r="F45" i="21"/>
  <c r="F96" i="21"/>
  <c r="F95" i="21"/>
  <c r="F84" i="21"/>
  <c r="F40" i="21"/>
  <c r="F36" i="21"/>
  <c r="F116" i="21"/>
  <c r="F91" i="21"/>
  <c r="F75" i="21"/>
  <c r="F74" i="21"/>
  <c r="F63" i="21"/>
  <c r="F55" i="21"/>
  <c r="F54" i="21"/>
  <c r="F27" i="21"/>
  <c r="F120" i="21"/>
  <c r="F106" i="21"/>
  <c r="F102" i="21"/>
  <c r="F98" i="21"/>
  <c r="F97" i="21"/>
  <c r="F50" i="21"/>
  <c r="F46" i="21"/>
  <c r="F85" i="21"/>
  <c r="F77" i="21"/>
  <c r="F76" i="21"/>
  <c r="F65" i="21"/>
  <c r="F64" i="21"/>
  <c r="F57" i="21"/>
  <c r="F56" i="21"/>
  <c r="F41" i="21"/>
  <c r="F37" i="21"/>
  <c r="F103" i="21"/>
  <c r="F99" i="21"/>
  <c r="F87" i="21"/>
  <c r="F86" i="21"/>
  <c r="F79" i="21"/>
  <c r="F78" i="21"/>
  <c r="F67" i="21"/>
  <c r="F66" i="21"/>
  <c r="F59" i="21"/>
  <c r="F58" i="21"/>
  <c r="F51" i="21"/>
  <c r="F47" i="21"/>
  <c r="F110" i="21"/>
  <c r="F109" i="21"/>
  <c r="F42" i="21"/>
  <c r="F38" i="21"/>
  <c r="F34" i="21"/>
  <c r="F33" i="21"/>
  <c r="F83" i="21"/>
  <c r="F82" i="21"/>
  <c r="F71" i="21"/>
  <c r="F70" i="21"/>
  <c r="F39" i="21"/>
  <c r="F35" i="21"/>
  <c r="D30" i="21"/>
  <c r="F30" i="21" s="1"/>
  <c r="F81" i="21"/>
  <c r="F112" i="21"/>
  <c r="F108" i="21"/>
  <c r="F44" i="21"/>
  <c r="F92" i="21"/>
  <c r="F69" i="21"/>
  <c r="F48" i="21"/>
  <c r="F88" i="21"/>
  <c r="F60" i="21"/>
  <c r="F28" i="21"/>
  <c r="F52" i="21"/>
  <c r="F104" i="21"/>
  <c r="F100" i="21"/>
  <c r="F80" i="21"/>
  <c r="F111" i="21"/>
  <c r="F32" i="21"/>
  <c r="F107" i="21"/>
  <c r="F93" i="21"/>
  <c r="F61" i="21"/>
  <c r="J141" i="3"/>
  <c r="J145" i="3"/>
  <c r="J149" i="3"/>
  <c r="J153" i="3"/>
  <c r="J157" i="3"/>
  <c r="J161" i="3"/>
  <c r="J165" i="3"/>
  <c r="J169" i="3"/>
  <c r="J173" i="3"/>
  <c r="J177" i="3"/>
  <c r="J181" i="3"/>
  <c r="J185" i="3"/>
  <c r="J189" i="3"/>
  <c r="J193" i="3"/>
  <c r="J197" i="3"/>
  <c r="T200" i="3"/>
  <c r="V217" i="3"/>
  <c r="V221" i="3"/>
  <c r="J233" i="3"/>
  <c r="V241" i="3"/>
  <c r="J245" i="3"/>
  <c r="V249" i="3"/>
  <c r="J253" i="3"/>
  <c r="V257" i="3"/>
  <c r="J265" i="3"/>
  <c r="J271" i="3"/>
  <c r="V273" i="3"/>
  <c r="J277" i="3"/>
  <c r="J281" i="3"/>
  <c r="V289" i="3"/>
  <c r="V293" i="3"/>
  <c r="V305" i="3"/>
  <c r="J271" i="12"/>
  <c r="J233" i="12"/>
  <c r="J221" i="12"/>
  <c r="J211" i="12"/>
  <c r="J197" i="12"/>
  <c r="J181" i="12"/>
  <c r="J177" i="12"/>
  <c r="J173" i="12"/>
  <c r="J272" i="12"/>
  <c r="J264" i="12"/>
  <c r="J248" i="12"/>
  <c r="J244" i="12"/>
  <c r="J222" i="12"/>
  <c r="J212" i="12"/>
  <c r="J204" i="12"/>
  <c r="J198" i="12"/>
  <c r="J182" i="12"/>
  <c r="J164" i="12"/>
  <c r="J160" i="12"/>
  <c r="J156" i="12"/>
  <c r="J152" i="12"/>
  <c r="J148" i="12"/>
  <c r="J144" i="12"/>
  <c r="J140" i="12"/>
  <c r="J136" i="12"/>
  <c r="J287" i="12"/>
  <c r="J265" i="12"/>
  <c r="J259" i="12"/>
  <c r="J255" i="12"/>
  <c r="J249" i="12"/>
  <c r="J239" i="12"/>
  <c r="J223" i="12"/>
  <c r="J213" i="12"/>
  <c r="J205" i="12"/>
  <c r="J199" i="12"/>
  <c r="J191" i="12"/>
  <c r="J187" i="12"/>
  <c r="J183" i="12"/>
  <c r="J275" i="12"/>
  <c r="J274" i="12"/>
  <c r="J266" i="12"/>
  <c r="J250" i="12"/>
  <c r="J234" i="12"/>
  <c r="J224" i="12"/>
  <c r="J214" i="12"/>
  <c r="J206" i="12"/>
  <c r="J200" i="12"/>
  <c r="J178" i="12"/>
  <c r="J174" i="12"/>
  <c r="J276" i="12"/>
  <c r="J267" i="12"/>
  <c r="J245" i="12"/>
  <c r="J225" i="12"/>
  <c r="J215" i="12"/>
  <c r="J201" i="12"/>
  <c r="J277" i="12"/>
  <c r="J268" i="12"/>
  <c r="J260" i="12"/>
  <c r="J256" i="12"/>
  <c r="J240" i="12"/>
  <c r="J226" i="12"/>
  <c r="J216" i="12"/>
  <c r="J192" i="12"/>
  <c r="J188" i="12"/>
  <c r="J184" i="12"/>
  <c r="J279" i="12"/>
  <c r="J252" i="12"/>
  <c r="J246" i="12"/>
  <c r="J228" i="12"/>
  <c r="J208" i="12"/>
  <c r="J202" i="12"/>
  <c r="J194" i="12"/>
  <c r="J166" i="12"/>
  <c r="J162" i="12"/>
  <c r="J158" i="12"/>
  <c r="J154" i="12"/>
  <c r="J150" i="12"/>
  <c r="J146" i="12"/>
  <c r="J142" i="12"/>
  <c r="J138" i="12"/>
  <c r="J134" i="12"/>
  <c r="J130" i="12"/>
  <c r="J280" i="12"/>
  <c r="J269" i="12"/>
  <c r="J261" i="12"/>
  <c r="J257" i="12"/>
  <c r="J253" i="12"/>
  <c r="J241" i="12"/>
  <c r="J229" i="12"/>
  <c r="J217" i="12"/>
  <c r="J209" i="12"/>
  <c r="J195" i="12"/>
  <c r="J189" i="12"/>
  <c r="J185" i="12"/>
  <c r="J171" i="12"/>
  <c r="J283" i="12"/>
  <c r="J270" i="12"/>
  <c r="J258" i="12"/>
  <c r="J254" i="12"/>
  <c r="J238" i="12"/>
  <c r="J232" i="12"/>
  <c r="J220" i="12"/>
  <c r="J210" i="12"/>
  <c r="J190" i="12"/>
  <c r="J186" i="12"/>
  <c r="J116" i="12"/>
  <c r="J120" i="12"/>
  <c r="J124" i="12"/>
  <c r="J128" i="12"/>
  <c r="V157" i="12"/>
  <c r="J159" i="12"/>
  <c r="V162" i="12"/>
  <c r="V168" i="12"/>
  <c r="V187" i="12"/>
  <c r="J196" i="12"/>
  <c r="V204" i="12"/>
  <c r="V223" i="12"/>
  <c r="N237" i="12"/>
  <c r="V283" i="12"/>
  <c r="Z241" i="15"/>
  <c r="Z252" i="15"/>
  <c r="L14" i="21"/>
  <c r="V110" i="15"/>
  <c r="V114" i="15"/>
  <c r="V118" i="15"/>
  <c r="V122" i="15"/>
  <c r="V126" i="15"/>
  <c r="V130" i="15"/>
  <c r="V134" i="15"/>
  <c r="V138" i="15"/>
  <c r="V142" i="15"/>
  <c r="V146" i="15"/>
  <c r="V150" i="15"/>
  <c r="V154" i="15"/>
  <c r="V158" i="15"/>
  <c r="N166" i="15"/>
  <c r="J170" i="15"/>
  <c r="J174" i="15"/>
  <c r="J188" i="15"/>
  <c r="N190" i="15"/>
  <c r="V198" i="15"/>
  <c r="Z200" i="15"/>
  <c r="J202" i="15"/>
  <c r="V206" i="15"/>
  <c r="Z208" i="15"/>
  <c r="V214" i="15"/>
  <c r="J222" i="15"/>
  <c r="J228" i="15"/>
  <c r="V230" i="15"/>
  <c r="J234" i="15"/>
  <c r="V242" i="15"/>
  <c r="V246" i="15"/>
  <c r="J250" i="15"/>
  <c r="V254" i="15"/>
  <c r="V262" i="15"/>
  <c r="X263" i="15"/>
  <c r="J269" i="15"/>
  <c r="V274" i="15"/>
  <c r="V276" i="15"/>
  <c r="V191" i="18"/>
  <c r="V195" i="18"/>
  <c r="V198" i="18"/>
  <c r="V202" i="18"/>
  <c r="J204" i="18"/>
  <c r="V205" i="18"/>
  <c r="J207" i="18"/>
  <c r="V222" i="18"/>
  <c r="V226" i="18"/>
  <c r="J228" i="18"/>
  <c r="Z233" i="18"/>
  <c r="Z235" i="18"/>
  <c r="J239" i="18"/>
  <c r="V240" i="18"/>
  <c r="V263" i="18"/>
  <c r="V40" i="21"/>
  <c r="V75" i="21"/>
  <c r="N135" i="24"/>
  <c r="N127" i="30"/>
  <c r="V113" i="15"/>
  <c r="V117" i="15"/>
  <c r="V121" i="15"/>
  <c r="V125" i="15"/>
  <c r="V129" i="15"/>
  <c r="V133" i="15"/>
  <c r="V137" i="15"/>
  <c r="V141" i="15"/>
  <c r="V145" i="15"/>
  <c r="V149" i="15"/>
  <c r="V153" i="15"/>
  <c r="V157" i="15"/>
  <c r="V161" i="15"/>
  <c r="V163" i="15"/>
  <c r="V165" i="15"/>
  <c r="J169" i="15"/>
  <c r="J173" i="15"/>
  <c r="V189" i="15"/>
  <c r="J195" i="15"/>
  <c r="V197" i="15"/>
  <c r="J201" i="15"/>
  <c r="J209" i="15"/>
  <c r="V213" i="15"/>
  <c r="J219" i="15"/>
  <c r="V229" i="15"/>
  <c r="J237" i="15"/>
  <c r="V241" i="15"/>
  <c r="V245" i="15"/>
  <c r="V257" i="15"/>
  <c r="J266" i="15"/>
  <c r="V194" i="18"/>
  <c r="V207" i="18"/>
  <c r="J211" i="18"/>
  <c r="J214" i="18"/>
  <c r="V215" i="18"/>
  <c r="J234" i="18"/>
  <c r="J236" i="18"/>
  <c r="J270" i="18"/>
  <c r="J277" i="18"/>
  <c r="V36" i="21"/>
  <c r="V55" i="21"/>
  <c r="N68" i="21"/>
  <c r="N78" i="21"/>
  <c r="L78" i="21"/>
  <c r="V95" i="21"/>
  <c r="P12" i="24"/>
  <c r="Z117" i="24"/>
  <c r="Z119" i="24"/>
  <c r="Z133" i="24"/>
  <c r="Z135" i="24"/>
  <c r="Z140" i="24"/>
  <c r="X140" i="24"/>
  <c r="V166" i="15"/>
  <c r="V170" i="15"/>
  <c r="V174" i="15"/>
  <c r="J178" i="15"/>
  <c r="J182" i="15"/>
  <c r="J186" i="15"/>
  <c r="V190" i="15"/>
  <c r="J194" i="15"/>
  <c r="J200" i="15"/>
  <c r="V202" i="15"/>
  <c r="J208" i="15"/>
  <c r="J218" i="15"/>
  <c r="V222" i="15"/>
  <c r="J226" i="15"/>
  <c r="V234" i="15"/>
  <c r="V250" i="15"/>
  <c r="V258" i="15"/>
  <c r="D261" i="15"/>
  <c r="L261" i="15" s="1"/>
  <c r="N261" i="15" s="1"/>
  <c r="J265" i="15"/>
  <c r="V270" i="15"/>
  <c r="V272" i="15"/>
  <c r="J131" i="18"/>
  <c r="J135" i="18"/>
  <c r="J139" i="18"/>
  <c r="J143" i="18"/>
  <c r="J147" i="18"/>
  <c r="J151" i="18"/>
  <c r="J155" i="18"/>
  <c r="J159" i="18"/>
  <c r="J163" i="18"/>
  <c r="J167" i="18"/>
  <c r="J171" i="18"/>
  <c r="J175" i="18"/>
  <c r="J179" i="18"/>
  <c r="J183" i="18"/>
  <c r="H188" i="18"/>
  <c r="L202" i="18"/>
  <c r="N202" i="18" s="1"/>
  <c r="V204" i="18"/>
  <c r="J206" i="18"/>
  <c r="V209" i="18"/>
  <c r="V219" i="18"/>
  <c r="J223" i="18"/>
  <c r="N225" i="18"/>
  <c r="N253" i="18"/>
  <c r="V262" i="18"/>
  <c r="N32" i="21"/>
  <c r="N43" i="21"/>
  <c r="X64" i="21"/>
  <c r="L82" i="21"/>
  <c r="N82" i="21" s="1"/>
  <c r="X14" i="24"/>
  <c r="P12" i="27"/>
  <c r="Z63" i="27"/>
  <c r="V180" i="18"/>
  <c r="V184" i="18"/>
  <c r="V200" i="18"/>
  <c r="J203" i="18"/>
  <c r="V234" i="18"/>
  <c r="J246" i="18"/>
  <c r="J274" i="18"/>
  <c r="N80" i="21"/>
  <c r="D12" i="24"/>
  <c r="N108" i="24"/>
  <c r="L108" i="24"/>
  <c r="J110" i="15"/>
  <c r="V112" i="15"/>
  <c r="V116" i="15"/>
  <c r="V120" i="15"/>
  <c r="V124" i="15"/>
  <c r="V128" i="15"/>
  <c r="V132" i="15"/>
  <c r="V136" i="15"/>
  <c r="V140" i="15"/>
  <c r="V144" i="15"/>
  <c r="V148" i="15"/>
  <c r="V152" i="15"/>
  <c r="V156" i="15"/>
  <c r="V160" i="15"/>
  <c r="J168" i="15"/>
  <c r="J172" i="15"/>
  <c r="J176" i="15"/>
  <c r="V188" i="15"/>
  <c r="J192" i="15"/>
  <c r="V196" i="15"/>
  <c r="J206" i="15"/>
  <c r="J216" i="15"/>
  <c r="V220" i="15"/>
  <c r="V228" i="15"/>
  <c r="V232" i="15"/>
  <c r="J236" i="15"/>
  <c r="V244" i="15"/>
  <c r="V248" i="15"/>
  <c r="J254" i="15"/>
  <c r="V256" i="15"/>
  <c r="J263" i="15"/>
  <c r="V268" i="15"/>
  <c r="D12" i="18"/>
  <c r="J191" i="18"/>
  <c r="V193" i="18"/>
  <c r="J208" i="18"/>
  <c r="V214" i="18"/>
  <c r="V251" i="18"/>
  <c r="V260" i="18"/>
  <c r="V270" i="18"/>
  <c r="P12" i="21"/>
  <c r="V39" i="21"/>
  <c r="L58" i="21"/>
  <c r="N58" i="21" s="1"/>
  <c r="V64" i="21"/>
  <c r="Z68" i="21"/>
  <c r="Z76" i="21"/>
  <c r="J82" i="21"/>
  <c r="N86" i="21"/>
  <c r="L86" i="21"/>
  <c r="D12" i="27"/>
  <c r="J117" i="27"/>
  <c r="V169" i="15"/>
  <c r="V173" i="15"/>
  <c r="J181" i="15"/>
  <c r="J185" i="15"/>
  <c r="V201" i="15"/>
  <c r="J205" i="15"/>
  <c r="V209" i="15"/>
  <c r="J215" i="15"/>
  <c r="V221" i="15"/>
  <c r="J225" i="15"/>
  <c r="V233" i="15"/>
  <c r="V237" i="15"/>
  <c r="V249" i="15"/>
  <c r="J253" i="15"/>
  <c r="J261" i="15"/>
  <c r="J262" i="15"/>
  <c r="V267" i="15"/>
  <c r="J302" i="18"/>
  <c r="J289" i="18"/>
  <c r="J280" i="18"/>
  <c r="J272" i="18"/>
  <c r="J268" i="18"/>
  <c r="J256" i="18"/>
  <c r="J242" i="18"/>
  <c r="J232" i="18"/>
  <c r="J224" i="18"/>
  <c r="J218" i="18"/>
  <c r="J290" i="18"/>
  <c r="J251" i="18"/>
  <c r="J243" i="18"/>
  <c r="J233" i="18"/>
  <c r="J225" i="18"/>
  <c r="J219" i="18"/>
  <c r="J291" i="18"/>
  <c r="J292" i="18"/>
  <c r="J281" i="18"/>
  <c r="J273" i="18"/>
  <c r="J269" i="18"/>
  <c r="J263" i="18"/>
  <c r="J257" i="18"/>
  <c r="J245" i="18"/>
  <c r="J235" i="18"/>
  <c r="J221" i="18"/>
  <c r="J293" i="18"/>
  <c r="J294" i="18"/>
  <c r="J275" i="18"/>
  <c r="J259" i="18"/>
  <c r="J253" i="18"/>
  <c r="J247" i="18"/>
  <c r="J227" i="18"/>
  <c r="J213" i="18"/>
  <c r="J296" i="18"/>
  <c r="J283" i="18"/>
  <c r="J265" i="18"/>
  <c r="J249" i="18"/>
  <c r="J237" i="18"/>
  <c r="J229" i="18"/>
  <c r="J215" i="18"/>
  <c r="J209" i="18"/>
  <c r="J205" i="18"/>
  <c r="J297" i="18"/>
  <c r="J284" i="18"/>
  <c r="J276" i="18"/>
  <c r="J266" i="18"/>
  <c r="J260" i="18"/>
  <c r="J238" i="18"/>
  <c r="J216" i="18"/>
  <c r="J288" i="18"/>
  <c r="J279" i="18"/>
  <c r="J261" i="18"/>
  <c r="J241" i="18"/>
  <c r="J231" i="18"/>
  <c r="J217" i="18"/>
  <c r="J201" i="18"/>
  <c r="J197" i="18"/>
  <c r="X13" i="18"/>
  <c r="Z13" i="18" s="1"/>
  <c r="J130" i="18"/>
  <c r="J134" i="18"/>
  <c r="J138" i="18"/>
  <c r="J142" i="18"/>
  <c r="J146" i="18"/>
  <c r="J150" i="18"/>
  <c r="J154" i="18"/>
  <c r="J158" i="18"/>
  <c r="J162" i="18"/>
  <c r="J166" i="18"/>
  <c r="J170" i="18"/>
  <c r="J174" i="18"/>
  <c r="J178" i="18"/>
  <c r="J182" i="18"/>
  <c r="J186" i="18"/>
  <c r="J202" i="18"/>
  <c r="V206" i="18"/>
  <c r="V211" i="18"/>
  <c r="N213" i="18"/>
  <c r="J240" i="18"/>
  <c r="Z244" i="18"/>
  <c r="V258" i="18"/>
  <c r="V266" i="18"/>
  <c r="X279" i="18"/>
  <c r="Z279" i="18" s="1"/>
  <c r="J282" i="18"/>
  <c r="J287" i="18"/>
  <c r="V288" i="18"/>
  <c r="V109" i="21"/>
  <c r="V85" i="21"/>
  <c r="V77" i="21"/>
  <c r="V65" i="21"/>
  <c r="V57" i="21"/>
  <c r="V41" i="21"/>
  <c r="V37" i="21"/>
  <c r="V33" i="21"/>
  <c r="V108" i="21"/>
  <c r="V92" i="21"/>
  <c r="V80" i="21"/>
  <c r="V68" i="21"/>
  <c r="V60" i="21"/>
  <c r="V32" i="21"/>
  <c r="V28" i="21"/>
  <c r="V111" i="21"/>
  <c r="V103" i="21"/>
  <c r="V99" i="21"/>
  <c r="V87" i="21"/>
  <c r="V79" i="21"/>
  <c r="V67" i="21"/>
  <c r="V59" i="21"/>
  <c r="V51" i="21"/>
  <c r="V47" i="21"/>
  <c r="V43" i="21"/>
  <c r="T30" i="21"/>
  <c r="V110" i="21"/>
  <c r="V82" i="21"/>
  <c r="V70" i="21"/>
  <c r="V42" i="21"/>
  <c r="V38" i="21"/>
  <c r="V34" i="21"/>
  <c r="V113" i="21"/>
  <c r="V93" i="21"/>
  <c r="V89" i="21"/>
  <c r="V81" i="21"/>
  <c r="V69" i="21"/>
  <c r="V61" i="21"/>
  <c r="V25" i="21"/>
  <c r="V112" i="21"/>
  <c r="V104" i="21"/>
  <c r="V100" i="21"/>
  <c r="V88" i="21"/>
  <c r="V72" i="21"/>
  <c r="V52" i="21"/>
  <c r="V48" i="21"/>
  <c r="V44" i="21"/>
  <c r="V116" i="21"/>
  <c r="V114" i="21"/>
  <c r="V94" i="21"/>
  <c r="V90" i="21"/>
  <c r="V74" i="21"/>
  <c r="V62" i="21"/>
  <c r="V54" i="21"/>
  <c r="V26" i="21"/>
  <c r="V105" i="21"/>
  <c r="V101" i="21"/>
  <c r="V97" i="21"/>
  <c r="V73" i="21"/>
  <c r="V53" i="21"/>
  <c r="V49" i="21"/>
  <c r="V45" i="21"/>
  <c r="V120" i="21"/>
  <c r="V106" i="21"/>
  <c r="V102" i="21"/>
  <c r="V98" i="21"/>
  <c r="V86" i="21"/>
  <c r="V78" i="21"/>
  <c r="V66" i="21"/>
  <c r="V58" i="21"/>
  <c r="V50" i="21"/>
  <c r="V46" i="21"/>
  <c r="Z32" i="21"/>
  <c r="N56" i="21"/>
  <c r="N60" i="21"/>
  <c r="V76" i="21"/>
  <c r="V96" i="21"/>
  <c r="N95" i="24"/>
  <c r="L13" i="27"/>
  <c r="L153" i="30"/>
  <c r="N153" i="30" s="1"/>
  <c r="D152" i="30"/>
  <c r="L152" i="30" s="1"/>
  <c r="N152" i="30" s="1"/>
  <c r="J114" i="15"/>
  <c r="J118" i="15"/>
  <c r="J122" i="15"/>
  <c r="J126" i="15"/>
  <c r="J130" i="15"/>
  <c r="J134" i="15"/>
  <c r="J138" i="15"/>
  <c r="J142" i="15"/>
  <c r="J146" i="15"/>
  <c r="J150" i="15"/>
  <c r="J154" i="15"/>
  <c r="J158" i="15"/>
  <c r="H163" i="15"/>
  <c r="J163" i="15" s="1"/>
  <c r="V178" i="15"/>
  <c r="V182" i="15"/>
  <c r="V186" i="15"/>
  <c r="V194" i="15"/>
  <c r="J198" i="15"/>
  <c r="V210" i="15"/>
  <c r="J214" i="15"/>
  <c r="V218" i="15"/>
  <c r="V226" i="15"/>
  <c r="J230" i="15"/>
  <c r="V238" i="15"/>
  <c r="J242" i="15"/>
  <c r="J246" i="15"/>
  <c r="J252" i="15"/>
  <c r="V266" i="15"/>
  <c r="J274" i="15"/>
  <c r="V131" i="18"/>
  <c r="V135" i="18"/>
  <c r="V139" i="18"/>
  <c r="V143" i="18"/>
  <c r="V147" i="18"/>
  <c r="V151" i="18"/>
  <c r="V155" i="18"/>
  <c r="V159" i="18"/>
  <c r="V163" i="18"/>
  <c r="V167" i="18"/>
  <c r="V171" i="18"/>
  <c r="V175" i="18"/>
  <c r="V179" i="18"/>
  <c r="V183" i="18"/>
  <c r="J195" i="18"/>
  <c r="V203" i="18"/>
  <c r="J210" i="18"/>
  <c r="V216" i="18"/>
  <c r="L233" i="18"/>
  <c r="V238" i="18"/>
  <c r="V243" i="18"/>
  <c r="J248" i="18"/>
  <c r="J250" i="18"/>
  <c r="N263" i="18"/>
  <c r="J278" i="18"/>
  <c r="X56" i="21"/>
  <c r="X72" i="21"/>
  <c r="Z72" i="21" s="1"/>
  <c r="Z74" i="21"/>
  <c r="V84" i="21"/>
  <c r="X115" i="27"/>
  <c r="V111" i="15"/>
  <c r="V115" i="15"/>
  <c r="V119" i="15"/>
  <c r="V123" i="15"/>
  <c r="V127" i="15"/>
  <c r="V131" i="15"/>
  <c r="V135" i="15"/>
  <c r="V139" i="15"/>
  <c r="V143" i="15"/>
  <c r="V147" i="15"/>
  <c r="V151" i="15"/>
  <c r="V155" i="15"/>
  <c r="V159" i="15"/>
  <c r="J165" i="15"/>
  <c r="J167" i="15"/>
  <c r="J171" i="15"/>
  <c r="J175" i="15"/>
  <c r="J191" i="15"/>
  <c r="V195" i="15"/>
  <c r="V199" i="15"/>
  <c r="V207" i="15"/>
  <c r="J213" i="15"/>
  <c r="V219" i="15"/>
  <c r="V231" i="15"/>
  <c r="J235" i="15"/>
  <c r="J241" i="15"/>
  <c r="V243" i="15"/>
  <c r="V247" i="15"/>
  <c r="J251" i="15"/>
  <c r="V255" i="15"/>
  <c r="J259" i="15"/>
  <c r="V265" i="15"/>
  <c r="V192" i="18"/>
  <c r="V196" i="18"/>
  <c r="J198" i="18"/>
  <c r="V199" i="18"/>
  <c r="J222" i="18"/>
  <c r="N233" i="18"/>
  <c r="N235" i="18"/>
  <c r="J252" i="18"/>
  <c r="V276" i="18"/>
  <c r="J298" i="18"/>
  <c r="Z56" i="21"/>
  <c r="Z115" i="27"/>
  <c r="Z103" i="30"/>
  <c r="X103" i="30"/>
  <c r="J166" i="15"/>
  <c r="V168" i="15"/>
  <c r="V172" i="15"/>
  <c r="V176" i="15"/>
  <c r="J180" i="15"/>
  <c r="J184" i="15"/>
  <c r="J190" i="15"/>
  <c r="V192" i="15"/>
  <c r="X195" i="15"/>
  <c r="Z195" i="15" s="1"/>
  <c r="V200" i="15"/>
  <c r="J204" i="15"/>
  <c r="V208" i="15"/>
  <c r="J212" i="15"/>
  <c r="L213" i="15"/>
  <c r="N213" i="15" s="1"/>
  <c r="V216" i="15"/>
  <c r="X219" i="15"/>
  <c r="Z219" i="15" s="1"/>
  <c r="J224" i="15"/>
  <c r="V236" i="15"/>
  <c r="J240" i="15"/>
  <c r="J258" i="15"/>
  <c r="V264" i="15"/>
  <c r="J129" i="18"/>
  <c r="J133" i="18"/>
  <c r="J137" i="18"/>
  <c r="J141" i="18"/>
  <c r="J145" i="18"/>
  <c r="J149" i="18"/>
  <c r="J153" i="18"/>
  <c r="J157" i="18"/>
  <c r="J161" i="18"/>
  <c r="J165" i="18"/>
  <c r="J169" i="18"/>
  <c r="J173" i="18"/>
  <c r="J177" i="18"/>
  <c r="J181" i="18"/>
  <c r="J185" i="18"/>
  <c r="T188" i="18"/>
  <c r="V188" i="18" s="1"/>
  <c r="V208" i="18"/>
  <c r="V210" i="18"/>
  <c r="V218" i="18"/>
  <c r="J220" i="18"/>
  <c r="J226" i="18"/>
  <c r="V246" i="18"/>
  <c r="X263" i="18"/>
  <c r="J271" i="18"/>
  <c r="V274" i="18"/>
  <c r="V278" i="18"/>
  <c r="D286" i="18"/>
  <c r="L286" i="18" s="1"/>
  <c r="N286" i="18" s="1"/>
  <c r="V56" i="21"/>
  <c r="Z60" i="21"/>
  <c r="Z95" i="24"/>
  <c r="L127" i="24"/>
  <c r="Z95" i="27"/>
  <c r="J113" i="15"/>
  <c r="J117" i="15"/>
  <c r="J121" i="15"/>
  <c r="J125" i="15"/>
  <c r="J129" i="15"/>
  <c r="J133" i="15"/>
  <c r="J137" i="15"/>
  <c r="J141" i="15"/>
  <c r="J145" i="15"/>
  <c r="J149" i="15"/>
  <c r="J153" i="15"/>
  <c r="J157" i="15"/>
  <c r="J161" i="15"/>
  <c r="V177" i="15"/>
  <c r="V181" i="15"/>
  <c r="V185" i="15"/>
  <c r="J189" i="15"/>
  <c r="V193" i="15"/>
  <c r="J197" i="15"/>
  <c r="J203" i="15"/>
  <c r="V205" i="15"/>
  <c r="V217" i="15"/>
  <c r="J223" i="15"/>
  <c r="V225" i="15"/>
  <c r="J229" i="15"/>
  <c r="J245" i="15"/>
  <c r="V253" i="15"/>
  <c r="J257" i="15"/>
  <c r="V294" i="18"/>
  <c r="V264" i="18"/>
  <c r="V252" i="18"/>
  <c r="V248" i="18"/>
  <c r="V236" i="18"/>
  <c r="V228" i="18"/>
  <c r="V212" i="18"/>
  <c r="V295" i="18"/>
  <c r="V283" i="18"/>
  <c r="V275" i="18"/>
  <c r="V259" i="18"/>
  <c r="V247" i="18"/>
  <c r="V227" i="18"/>
  <c r="V296" i="18"/>
  <c r="V282" i="18"/>
  <c r="V297" i="18"/>
  <c r="V277" i="18"/>
  <c r="V265" i="18"/>
  <c r="V249" i="18"/>
  <c r="V237" i="18"/>
  <c r="V229" i="18"/>
  <c r="V298" i="18"/>
  <c r="V286" i="18"/>
  <c r="V284" i="18"/>
  <c r="V287" i="18"/>
  <c r="V279" i="18"/>
  <c r="V271" i="18"/>
  <c r="V267" i="18"/>
  <c r="V255" i="18"/>
  <c r="V239" i="18"/>
  <c r="V231" i="18"/>
  <c r="V223" i="18"/>
  <c r="V289" i="18"/>
  <c r="V261" i="18"/>
  <c r="V241" i="18"/>
  <c r="V233" i="18"/>
  <c r="V225" i="18"/>
  <c r="V217" i="18"/>
  <c r="V201" i="18"/>
  <c r="V197" i="18"/>
  <c r="V302" i="18"/>
  <c r="V290" i="18"/>
  <c r="V280" i="18"/>
  <c r="V272" i="18"/>
  <c r="V268" i="18"/>
  <c r="V256" i="18"/>
  <c r="V244" i="18"/>
  <c r="V232" i="18"/>
  <c r="V224" i="18"/>
  <c r="V220" i="18"/>
  <c r="V293" i="18"/>
  <c r="V281" i="18"/>
  <c r="V273" i="18"/>
  <c r="V269" i="18"/>
  <c r="V257" i="18"/>
  <c r="V253" i="18"/>
  <c r="V245" i="18"/>
  <c r="V221" i="18"/>
  <c r="V213" i="18"/>
  <c r="J128" i="18"/>
  <c r="V130" i="18"/>
  <c r="V134" i="18"/>
  <c r="V138" i="18"/>
  <c r="V142" i="18"/>
  <c r="V146" i="18"/>
  <c r="V150" i="18"/>
  <c r="V154" i="18"/>
  <c r="V158" i="18"/>
  <c r="V162" i="18"/>
  <c r="V166" i="18"/>
  <c r="V170" i="18"/>
  <c r="V174" i="18"/>
  <c r="V178" i="18"/>
  <c r="V182" i="18"/>
  <c r="V186" i="18"/>
  <c r="V190" i="18"/>
  <c r="J194" i="18"/>
  <c r="J212" i="18"/>
  <c r="X220" i="18"/>
  <c r="Z220" i="18" s="1"/>
  <c r="J230" i="18"/>
  <c r="Z231" i="18"/>
  <c r="V250" i="18"/>
  <c r="J254" i="18"/>
  <c r="Z263" i="18"/>
  <c r="J267" i="18"/>
  <c r="Z54" i="21"/>
  <c r="V63" i="21"/>
  <c r="V71" i="21"/>
  <c r="L119" i="24"/>
  <c r="N119" i="24" s="1"/>
  <c r="L135" i="24"/>
  <c r="X71" i="30"/>
  <c r="Z71" i="30" s="1"/>
  <c r="L289" i="18"/>
  <c r="N12" i="21"/>
  <c r="J26" i="21"/>
  <c r="J62" i="21"/>
  <c r="J72" i="21"/>
  <c r="J90" i="21"/>
  <c r="J94" i="21"/>
  <c r="J114" i="21"/>
  <c r="J85" i="24"/>
  <c r="V87" i="24"/>
  <c r="V91" i="24"/>
  <c r="J99" i="24"/>
  <c r="J103" i="24"/>
  <c r="J111" i="24"/>
  <c r="V115" i="24"/>
  <c r="J121" i="24"/>
  <c r="V123" i="24"/>
  <c r="J129" i="24"/>
  <c r="V131" i="24"/>
  <c r="J137" i="24"/>
  <c r="X14" i="27"/>
  <c r="J45" i="27"/>
  <c r="J49" i="27"/>
  <c r="J53" i="27"/>
  <c r="J57" i="27"/>
  <c r="J75" i="27"/>
  <c r="V77" i="27"/>
  <c r="V81" i="27"/>
  <c r="V85" i="27"/>
  <c r="J91" i="27"/>
  <c r="N93" i="27"/>
  <c r="V102" i="27"/>
  <c r="V110" i="27"/>
  <c r="L117" i="27"/>
  <c r="Z121" i="27"/>
  <c r="N71" i="30"/>
  <c r="Z72" i="30"/>
  <c r="J79" i="30"/>
  <c r="Z93" i="30"/>
  <c r="Z107" i="30"/>
  <c r="Z116" i="30"/>
  <c r="V118" i="30"/>
  <c r="Z131" i="30"/>
  <c r="Z149" i="30"/>
  <c r="Z69" i="33"/>
  <c r="Z75" i="33"/>
  <c r="X58" i="36"/>
  <c r="Z58" i="36" s="1"/>
  <c r="L138" i="36"/>
  <c r="D134" i="36"/>
  <c r="L134" i="36" s="1"/>
  <c r="H30" i="21"/>
  <c r="J43" i="21"/>
  <c r="J61" i="21"/>
  <c r="J69" i="21"/>
  <c r="J81" i="21"/>
  <c r="J93" i="21"/>
  <c r="J111" i="21"/>
  <c r="V86" i="24"/>
  <c r="V90" i="24"/>
  <c r="V94" i="24"/>
  <c r="J98" i="24"/>
  <c r="J102" i="24"/>
  <c r="J108" i="24"/>
  <c r="J118" i="24"/>
  <c r="V122" i="24"/>
  <c r="J126" i="24"/>
  <c r="V130" i="24"/>
  <c r="J134" i="24"/>
  <c r="V138" i="24"/>
  <c r="V140" i="24"/>
  <c r="J44" i="27"/>
  <c r="J48" i="27"/>
  <c r="J52" i="27"/>
  <c r="J56" i="27"/>
  <c r="H61" i="27"/>
  <c r="V76" i="27"/>
  <c r="V80" i="27"/>
  <c r="V84" i="27"/>
  <c r="V92" i="27"/>
  <c r="J98" i="27"/>
  <c r="X112" i="27"/>
  <c r="Z112" i="27" s="1"/>
  <c r="J148" i="30"/>
  <c r="J140" i="30"/>
  <c r="J136" i="30"/>
  <c r="J124" i="30"/>
  <c r="J114" i="30"/>
  <c r="J104" i="30"/>
  <c r="J96" i="30"/>
  <c r="J80" i="30"/>
  <c r="J76" i="30"/>
  <c r="J149" i="30"/>
  <c r="J141" i="30"/>
  <c r="J115" i="30"/>
  <c r="J105" i="30"/>
  <c r="J67" i="30"/>
  <c r="J63" i="30"/>
  <c r="J59" i="30"/>
  <c r="J55" i="30"/>
  <c r="J51" i="30"/>
  <c r="J47" i="30"/>
  <c r="J150" i="30"/>
  <c r="J142" i="30"/>
  <c r="J130" i="30"/>
  <c r="J116" i="30"/>
  <c r="J106" i="30"/>
  <c r="J90" i="30"/>
  <c r="J86" i="30"/>
  <c r="J72" i="30"/>
  <c r="J137" i="30"/>
  <c r="J131" i="30"/>
  <c r="J125" i="30"/>
  <c r="J117" i="30"/>
  <c r="J107" i="30"/>
  <c r="J97" i="30"/>
  <c r="J81" i="30"/>
  <c r="J77" i="30"/>
  <c r="J73" i="30"/>
  <c r="J71" i="30"/>
  <c r="J153" i="30"/>
  <c r="J152" i="30"/>
  <c r="J132" i="30"/>
  <c r="J118" i="30"/>
  <c r="J108" i="30"/>
  <c r="J98" i="30"/>
  <c r="J82" i="30"/>
  <c r="H69" i="30"/>
  <c r="J64" i="30"/>
  <c r="J60" i="30"/>
  <c r="J56" i="30"/>
  <c r="J52" i="30"/>
  <c r="J48" i="30"/>
  <c r="J154" i="30"/>
  <c r="J143" i="30"/>
  <c r="J119" i="30"/>
  <c r="J99" i="30"/>
  <c r="J91" i="30"/>
  <c r="J87" i="30"/>
  <c r="J83" i="30"/>
  <c r="J145" i="30"/>
  <c r="J133" i="30"/>
  <c r="J127" i="30"/>
  <c r="J121" i="30"/>
  <c r="J109" i="30"/>
  <c r="J101" i="30"/>
  <c r="J65" i="30"/>
  <c r="J61" i="30"/>
  <c r="J57" i="30"/>
  <c r="J53" i="30"/>
  <c r="J49" i="30"/>
  <c r="J45" i="30"/>
  <c r="J146" i="30"/>
  <c r="J134" i="30"/>
  <c r="J128" i="30"/>
  <c r="J110" i="30"/>
  <c r="J92" i="30"/>
  <c r="J88" i="30"/>
  <c r="J84" i="30"/>
  <c r="J129" i="30"/>
  <c r="J123" i="30"/>
  <c r="J113" i="30"/>
  <c r="J103" i="30"/>
  <c r="J95" i="30"/>
  <c r="J89" i="30"/>
  <c r="J85" i="30"/>
  <c r="V71" i="30"/>
  <c r="N34" i="36"/>
  <c r="Z45" i="36"/>
  <c r="N134" i="36"/>
  <c r="X18" i="42"/>
  <c r="P12" i="42"/>
  <c r="P286" i="18"/>
  <c r="X286" i="18" s="1"/>
  <c r="Z286" i="18" s="1"/>
  <c r="J30" i="21"/>
  <c r="J32" i="21"/>
  <c r="J34" i="21"/>
  <c r="J38" i="21"/>
  <c r="J42" i="21"/>
  <c r="J60" i="21"/>
  <c r="J68" i="21"/>
  <c r="J80" i="21"/>
  <c r="J110" i="21"/>
  <c r="J59" i="24"/>
  <c r="J63" i="24"/>
  <c r="J67" i="24"/>
  <c r="J71" i="24"/>
  <c r="J75" i="24"/>
  <c r="J79" i="24"/>
  <c r="T82" i="24"/>
  <c r="V95" i="24"/>
  <c r="V99" i="24"/>
  <c r="V103" i="24"/>
  <c r="J107" i="24"/>
  <c r="V111" i="24"/>
  <c r="J117" i="24"/>
  <c r="J133" i="24"/>
  <c r="V45" i="27"/>
  <c r="V49" i="27"/>
  <c r="V53" i="27"/>
  <c r="V57" i="27"/>
  <c r="J61" i="27"/>
  <c r="J63" i="27"/>
  <c r="J65" i="27"/>
  <c r="J69" i="27"/>
  <c r="J73" i="27"/>
  <c r="J89" i="27"/>
  <c r="V93" i="27"/>
  <c r="J97" i="27"/>
  <c r="J103" i="27"/>
  <c r="Z117" i="27"/>
  <c r="V94" i="30"/>
  <c r="V102" i="30"/>
  <c r="V45" i="36"/>
  <c r="J119" i="27"/>
  <c r="J111" i="27"/>
  <c r="J122" i="27"/>
  <c r="J121" i="27"/>
  <c r="J113" i="27"/>
  <c r="J124" i="27"/>
  <c r="J107" i="27"/>
  <c r="J115" i="27"/>
  <c r="J109" i="27"/>
  <c r="J116" i="27"/>
  <c r="J102" i="27"/>
  <c r="J64" i="27"/>
  <c r="J78" i="27"/>
  <c r="J82" i="27"/>
  <c r="J88" i="27"/>
  <c r="J125" i="27"/>
  <c r="V154" i="30"/>
  <c r="V144" i="30"/>
  <c r="V132" i="30"/>
  <c r="V120" i="30"/>
  <c r="V108" i="30"/>
  <c r="V100" i="30"/>
  <c r="V64" i="30"/>
  <c r="V60" i="30"/>
  <c r="V56" i="30"/>
  <c r="V52" i="30"/>
  <c r="V48" i="30"/>
  <c r="V44" i="30"/>
  <c r="V155" i="30"/>
  <c r="V143" i="30"/>
  <c r="V127" i="30"/>
  <c r="V119" i="30"/>
  <c r="V99" i="30"/>
  <c r="V91" i="30"/>
  <c r="V87" i="30"/>
  <c r="V83" i="30"/>
  <c r="V146" i="30"/>
  <c r="V138" i="30"/>
  <c r="V134" i="30"/>
  <c r="V126" i="30"/>
  <c r="V110" i="30"/>
  <c r="V78" i="30"/>
  <c r="V74" i="30"/>
  <c r="V145" i="30"/>
  <c r="V133" i="30"/>
  <c r="V121" i="30"/>
  <c r="V109" i="30"/>
  <c r="V101" i="30"/>
  <c r="V93" i="30"/>
  <c r="V65" i="30"/>
  <c r="V61" i="30"/>
  <c r="V57" i="30"/>
  <c r="V53" i="30"/>
  <c r="V49" i="30"/>
  <c r="V45" i="30"/>
  <c r="V128" i="30"/>
  <c r="V112" i="30"/>
  <c r="V92" i="30"/>
  <c r="V88" i="30"/>
  <c r="V84" i="30"/>
  <c r="V159" i="30"/>
  <c r="V147" i="30"/>
  <c r="V139" i="30"/>
  <c r="V135" i="30"/>
  <c r="V123" i="30"/>
  <c r="V111" i="30"/>
  <c r="V103" i="30"/>
  <c r="V95" i="30"/>
  <c r="V79" i="30"/>
  <c r="V75" i="30"/>
  <c r="V149" i="30"/>
  <c r="V141" i="30"/>
  <c r="V129" i="30"/>
  <c r="V113" i="30"/>
  <c r="V105" i="30"/>
  <c r="V89" i="30"/>
  <c r="V85" i="30"/>
  <c r="V148" i="30"/>
  <c r="V140" i="30"/>
  <c r="V136" i="30"/>
  <c r="V124" i="30"/>
  <c r="V116" i="30"/>
  <c r="V104" i="30"/>
  <c r="V96" i="30"/>
  <c r="V80" i="30"/>
  <c r="V76" i="30"/>
  <c r="V72" i="30"/>
  <c r="V153" i="30"/>
  <c r="V137" i="30"/>
  <c r="V125" i="30"/>
  <c r="V117" i="30"/>
  <c r="V97" i="30"/>
  <c r="V81" i="30"/>
  <c r="V77" i="30"/>
  <c r="V73" i="30"/>
  <c r="V47" i="30"/>
  <c r="V51" i="30"/>
  <c r="V55" i="30"/>
  <c r="V59" i="30"/>
  <c r="V63" i="30"/>
  <c r="V67" i="30"/>
  <c r="V90" i="30"/>
  <c r="Z123" i="30"/>
  <c r="X123" i="30"/>
  <c r="V150" i="30"/>
  <c r="J98" i="33"/>
  <c r="J86" i="33"/>
  <c r="J66" i="33"/>
  <c r="J38" i="33"/>
  <c r="J34" i="33"/>
  <c r="J77" i="33"/>
  <c r="J67" i="33"/>
  <c r="J61" i="33"/>
  <c r="J57" i="33"/>
  <c r="J101" i="33"/>
  <c r="J100" i="33"/>
  <c r="J92" i="33"/>
  <c r="J78" i="33"/>
  <c r="J68" i="33"/>
  <c r="J52" i="33"/>
  <c r="J48" i="33"/>
  <c r="J102" i="33"/>
  <c r="J87" i="33"/>
  <c r="J79" i="33"/>
  <c r="J69" i="33"/>
  <c r="J39" i="33"/>
  <c r="J35" i="33"/>
  <c r="J103" i="33"/>
  <c r="J88" i="33"/>
  <c r="J80" i="33"/>
  <c r="J70" i="33"/>
  <c r="J62" i="33"/>
  <c r="J58" i="33"/>
  <c r="J44" i="33"/>
  <c r="J104" i="33"/>
  <c r="J93" i="33"/>
  <c r="J89" i="33"/>
  <c r="J81" i="33"/>
  <c r="J71" i="33"/>
  <c r="J53" i="33"/>
  <c r="J49" i="33"/>
  <c r="J45" i="33"/>
  <c r="J43" i="33"/>
  <c r="J41" i="33"/>
  <c r="J105" i="33"/>
  <c r="J94" i="33"/>
  <c r="J82" i="33"/>
  <c r="J72" i="33"/>
  <c r="J54" i="33"/>
  <c r="H41" i="33"/>
  <c r="J36" i="33"/>
  <c r="J106" i="33"/>
  <c r="J95" i="33"/>
  <c r="J83" i="33"/>
  <c r="J73" i="33"/>
  <c r="J63" i="33"/>
  <c r="J59" i="33"/>
  <c r="J55" i="33"/>
  <c r="J107" i="33"/>
  <c r="J90" i="33"/>
  <c r="J74" i="33"/>
  <c r="J50" i="33"/>
  <c r="J46" i="33"/>
  <c r="J111" i="33"/>
  <c r="J97" i="33"/>
  <c r="J91" i="33"/>
  <c r="J85" i="33"/>
  <c r="J65" i="33"/>
  <c r="J51" i="33"/>
  <c r="J47" i="33"/>
  <c r="J33" i="33"/>
  <c r="J60" i="33"/>
  <c r="J28" i="21"/>
  <c r="J58" i="21"/>
  <c r="J66" i="21"/>
  <c r="J78" i="21"/>
  <c r="J86" i="21"/>
  <c r="J92" i="21"/>
  <c r="J108" i="21"/>
  <c r="V85" i="24"/>
  <c r="V89" i="24"/>
  <c r="V93" i="24"/>
  <c r="J97" i="24"/>
  <c r="J101" i="24"/>
  <c r="J105" i="24"/>
  <c r="V109" i="24"/>
  <c r="J115" i="24"/>
  <c r="V121" i="24"/>
  <c r="J125" i="24"/>
  <c r="V129" i="24"/>
  <c r="V137" i="24"/>
  <c r="D140" i="24"/>
  <c r="L140" i="24" s="1"/>
  <c r="J145" i="24"/>
  <c r="J43" i="27"/>
  <c r="J47" i="27"/>
  <c r="J51" i="27"/>
  <c r="J55" i="27"/>
  <c r="J59" i="27"/>
  <c r="V75" i="27"/>
  <c r="V79" i="27"/>
  <c r="V83" i="27"/>
  <c r="J87" i="27"/>
  <c r="V91" i="27"/>
  <c r="V119" i="27"/>
  <c r="J129" i="27"/>
  <c r="J74" i="30"/>
  <c r="V106" i="30"/>
  <c r="J122" i="30"/>
  <c r="V130" i="30"/>
  <c r="N43" i="33"/>
  <c r="Z78" i="33"/>
  <c r="X78" i="33"/>
  <c r="P12" i="36"/>
  <c r="X82" i="36"/>
  <c r="Z82" i="36" s="1"/>
  <c r="J57" i="21"/>
  <c r="J65" i="21"/>
  <c r="J77" i="21"/>
  <c r="J85" i="21"/>
  <c r="J107" i="21"/>
  <c r="J58" i="24"/>
  <c r="J62" i="24"/>
  <c r="J66" i="24"/>
  <c r="J70" i="24"/>
  <c r="J74" i="24"/>
  <c r="J78" i="24"/>
  <c r="X85" i="24"/>
  <c r="Z85" i="24" s="1"/>
  <c r="V98" i="24"/>
  <c r="V102" i="24"/>
  <c r="V110" i="24"/>
  <c r="J114" i="24"/>
  <c r="L115" i="24"/>
  <c r="V118" i="24"/>
  <c r="X121" i="24"/>
  <c r="Z121" i="24" s="1"/>
  <c r="J124" i="24"/>
  <c r="V126" i="24"/>
  <c r="X129" i="24"/>
  <c r="Z129" i="24" s="1"/>
  <c r="V134" i="24"/>
  <c r="X137" i="24"/>
  <c r="J42" i="27"/>
  <c r="V44" i="27"/>
  <c r="V48" i="27"/>
  <c r="V52" i="27"/>
  <c r="V56" i="27"/>
  <c r="J68" i="27"/>
  <c r="J72" i="27"/>
  <c r="X75" i="27"/>
  <c r="Z75" i="27" s="1"/>
  <c r="J86" i="27"/>
  <c r="X91" i="27"/>
  <c r="Z91" i="27" s="1"/>
  <c r="J96" i="27"/>
  <c r="J105" i="27"/>
  <c r="V109" i="27"/>
  <c r="V111" i="27"/>
  <c r="J118" i="27"/>
  <c r="Z98" i="30"/>
  <c r="J139" i="30"/>
  <c r="J147" i="30"/>
  <c r="J56" i="33"/>
  <c r="J84" i="33"/>
  <c r="J46" i="21"/>
  <c r="J50" i="21"/>
  <c r="J56" i="21"/>
  <c r="J64" i="21"/>
  <c r="J76" i="21"/>
  <c r="J98" i="21"/>
  <c r="J102" i="21"/>
  <c r="J106" i="21"/>
  <c r="J120" i="21"/>
  <c r="V59" i="24"/>
  <c r="V63" i="24"/>
  <c r="V67" i="24"/>
  <c r="V71" i="24"/>
  <c r="V75" i="24"/>
  <c r="V79" i="24"/>
  <c r="J87" i="24"/>
  <c r="J91" i="24"/>
  <c r="V107" i="24"/>
  <c r="J113" i="24"/>
  <c r="V119" i="24"/>
  <c r="J123" i="24"/>
  <c r="V127" i="24"/>
  <c r="J131" i="24"/>
  <c r="V135" i="24"/>
  <c r="V65" i="27"/>
  <c r="V69" i="27"/>
  <c r="V73" i="27"/>
  <c r="J77" i="27"/>
  <c r="J81" i="27"/>
  <c r="J85" i="27"/>
  <c r="V89" i="27"/>
  <c r="J95" i="27"/>
  <c r="V97" i="27"/>
  <c r="V116" i="27"/>
  <c r="P12" i="30"/>
  <c r="V86" i="30"/>
  <c r="L93" i="30"/>
  <c r="N93" i="30" s="1"/>
  <c r="V98" i="30"/>
  <c r="V122" i="30"/>
  <c r="J159" i="30"/>
  <c r="L75" i="33"/>
  <c r="X100" i="33"/>
  <c r="Z100" i="33" s="1"/>
  <c r="X26" i="36"/>
  <c r="J55" i="21"/>
  <c r="J63" i="21"/>
  <c r="J75" i="21"/>
  <c r="J91" i="21"/>
  <c r="J97" i="21"/>
  <c r="V88" i="24"/>
  <c r="V92" i="24"/>
  <c r="J96" i="24"/>
  <c r="J100" i="24"/>
  <c r="J104" i="24"/>
  <c r="V108" i="24"/>
  <c r="J112" i="24"/>
  <c r="V116" i="24"/>
  <c r="V132" i="24"/>
  <c r="J140" i="24"/>
  <c r="J141" i="24"/>
  <c r="V125" i="27"/>
  <c r="V115" i="27"/>
  <c r="V107" i="27"/>
  <c r="V117" i="27"/>
  <c r="V129" i="27"/>
  <c r="V103" i="27"/>
  <c r="V112" i="27"/>
  <c r="V104" i="27"/>
  <c r="V123" i="27"/>
  <c r="V113" i="27"/>
  <c r="V105" i="27"/>
  <c r="J46" i="27"/>
  <c r="J50" i="27"/>
  <c r="J54" i="27"/>
  <c r="J58" i="27"/>
  <c r="T61" i="27"/>
  <c r="V78" i="27"/>
  <c r="V82" i="27"/>
  <c r="J94" i="27"/>
  <c r="V98" i="27"/>
  <c r="J101" i="27"/>
  <c r="J108" i="27"/>
  <c r="N121" i="27"/>
  <c r="T69" i="30"/>
  <c r="J135" i="30"/>
  <c r="N71" i="33"/>
  <c r="N75" i="33"/>
  <c r="D12" i="36"/>
  <c r="L127" i="39"/>
  <c r="N127" i="39" s="1"/>
  <c r="J36" i="21"/>
  <c r="J40" i="21"/>
  <c r="J54" i="21"/>
  <c r="J74" i="21"/>
  <c r="J84" i="21"/>
  <c r="J96" i="21"/>
  <c r="L97" i="21"/>
  <c r="N97" i="21" s="1"/>
  <c r="X111" i="21"/>
  <c r="Z111" i="21" s="1"/>
  <c r="J116" i="21"/>
  <c r="J57" i="24"/>
  <c r="J61" i="24"/>
  <c r="J65" i="24"/>
  <c r="J69" i="24"/>
  <c r="J73" i="24"/>
  <c r="J77" i="24"/>
  <c r="H82" i="24"/>
  <c r="J95" i="24"/>
  <c r="V97" i="24"/>
  <c r="V101" i="24"/>
  <c r="V105" i="24"/>
  <c r="X108" i="24"/>
  <c r="V117" i="24"/>
  <c r="V125" i="24"/>
  <c r="V133" i="24"/>
  <c r="V145" i="24"/>
  <c r="V43" i="27"/>
  <c r="V47" i="27"/>
  <c r="V51" i="27"/>
  <c r="V55" i="27"/>
  <c r="V59" i="27"/>
  <c r="V61" i="27"/>
  <c r="V63" i="27"/>
  <c r="J67" i="27"/>
  <c r="J71" i="27"/>
  <c r="V87" i="27"/>
  <c r="J93" i="27"/>
  <c r="X98" i="27"/>
  <c r="Z98" i="27" s="1"/>
  <c r="V106" i="27"/>
  <c r="J110" i="27"/>
  <c r="V118" i="27"/>
  <c r="V46" i="30"/>
  <c r="V50" i="30"/>
  <c r="V54" i="30"/>
  <c r="V58" i="30"/>
  <c r="V62" i="30"/>
  <c r="V66" i="30"/>
  <c r="V69" i="30"/>
  <c r="V82" i="30"/>
  <c r="J93" i="30"/>
  <c r="N107" i="30"/>
  <c r="V114" i="30"/>
  <c r="N131" i="30"/>
  <c r="V152" i="30"/>
  <c r="N69" i="33"/>
  <c r="J75" i="33"/>
  <c r="T31" i="36"/>
  <c r="Z26" i="36"/>
  <c r="J45" i="21"/>
  <c r="J49" i="21"/>
  <c r="J53" i="21"/>
  <c r="J73" i="21"/>
  <c r="J95" i="21"/>
  <c r="J101" i="21"/>
  <c r="J56" i="24"/>
  <c r="V58" i="24"/>
  <c r="V62" i="24"/>
  <c r="V66" i="24"/>
  <c r="V70" i="24"/>
  <c r="V74" i="24"/>
  <c r="V78" i="24"/>
  <c r="J82" i="24"/>
  <c r="J84" i="24"/>
  <c r="J86" i="24"/>
  <c r="J90" i="24"/>
  <c r="J94" i="24"/>
  <c r="V106" i="24"/>
  <c r="J122" i="24"/>
  <c r="J130" i="24"/>
  <c r="V64" i="27"/>
  <c r="V68" i="27"/>
  <c r="V72" i="27"/>
  <c r="J76" i="27"/>
  <c r="J80" i="27"/>
  <c r="J84" i="27"/>
  <c r="V88" i="27"/>
  <c r="J92" i="27"/>
  <c r="V96" i="27"/>
  <c r="J100" i="27"/>
  <c r="J104" i="27"/>
  <c r="Z118" i="30"/>
  <c r="L134" i="30"/>
  <c r="N134" i="30" s="1"/>
  <c r="Z141" i="30"/>
  <c r="J37" i="33"/>
  <c r="J96" i="33"/>
  <c r="N56" i="36"/>
  <c r="D12" i="30"/>
  <c r="N105" i="30"/>
  <c r="Z127" i="30"/>
  <c r="N141" i="30"/>
  <c r="N149" i="30"/>
  <c r="X154" i="30"/>
  <c r="Z154" i="30" s="1"/>
  <c r="D12" i="33"/>
  <c r="V35" i="33"/>
  <c r="V39" i="33"/>
  <c r="V43" i="33"/>
  <c r="N67" i="33"/>
  <c r="V71" i="33"/>
  <c r="Z73" i="33"/>
  <c r="V79" i="33"/>
  <c r="V87" i="33"/>
  <c r="V103" i="33"/>
  <c r="J33" i="36"/>
  <c r="J35" i="36"/>
  <c r="J39" i="36"/>
  <c r="J43" i="36"/>
  <c r="L68" i="36"/>
  <c r="J77" i="36"/>
  <c r="J101" i="36"/>
  <c r="Z108" i="36"/>
  <c r="J113" i="36"/>
  <c r="J121" i="36"/>
  <c r="Z39" i="39"/>
  <c r="L51" i="39"/>
  <c r="N51" i="39" s="1"/>
  <c r="X139" i="39"/>
  <c r="Z139" i="39" s="1"/>
  <c r="V34" i="33"/>
  <c r="V38" i="33"/>
  <c r="V66" i="33"/>
  <c r="V78" i="33"/>
  <c r="V86" i="33"/>
  <c r="V98" i="33"/>
  <c r="V100" i="33"/>
  <c r="V135" i="36"/>
  <c r="V127" i="36"/>
  <c r="V119" i="36"/>
  <c r="V115" i="36"/>
  <c r="V111" i="36"/>
  <c r="V99" i="36"/>
  <c r="V83" i="36"/>
  <c r="V75" i="36"/>
  <c r="V136" i="36"/>
  <c r="V126" i="36"/>
  <c r="V110" i="36"/>
  <c r="V94" i="36"/>
  <c r="V86" i="36"/>
  <c r="V74" i="36"/>
  <c r="V66" i="36"/>
  <c r="V138" i="36"/>
  <c r="V128" i="36"/>
  <c r="V120" i="36"/>
  <c r="V116" i="36"/>
  <c r="V112" i="36"/>
  <c r="V100" i="36"/>
  <c r="V88" i="36"/>
  <c r="V76" i="36"/>
  <c r="V68" i="36"/>
  <c r="V95" i="36"/>
  <c r="V87" i="36"/>
  <c r="V79" i="36"/>
  <c r="V67" i="36"/>
  <c r="V63" i="36"/>
  <c r="V122" i="36"/>
  <c r="V106" i="36"/>
  <c r="V102" i="36"/>
  <c r="V90" i="36"/>
  <c r="V78" i="36"/>
  <c r="V70" i="36"/>
  <c r="V62" i="36"/>
  <c r="V129" i="36"/>
  <c r="V121" i="36"/>
  <c r="V117" i="36"/>
  <c r="V113" i="36"/>
  <c r="V101" i="36"/>
  <c r="V97" i="36"/>
  <c r="V89" i="36"/>
  <c r="V142" i="36"/>
  <c r="V108" i="36"/>
  <c r="V96" i="36"/>
  <c r="V92" i="36"/>
  <c r="V80" i="36"/>
  <c r="V64" i="36"/>
  <c r="V131" i="36"/>
  <c r="V123" i="36"/>
  <c r="V107" i="36"/>
  <c r="V103" i="36"/>
  <c r="V91" i="36"/>
  <c r="V130" i="36"/>
  <c r="V118" i="36"/>
  <c r="V114" i="36"/>
  <c r="V98" i="36"/>
  <c r="V82" i="36"/>
  <c r="V58" i="36"/>
  <c r="V134" i="36"/>
  <c r="V132" i="36"/>
  <c r="V124" i="36"/>
  <c r="V104" i="36"/>
  <c r="V84" i="36"/>
  <c r="V72" i="36"/>
  <c r="V26" i="36"/>
  <c r="J38" i="36"/>
  <c r="J42" i="36"/>
  <c r="J56" i="36"/>
  <c r="Z61" i="36"/>
  <c r="J63" i="36"/>
  <c r="V85" i="36"/>
  <c r="N111" i="36"/>
  <c r="P12" i="33"/>
  <c r="V47" i="33"/>
  <c r="V51" i="33"/>
  <c r="V67" i="33"/>
  <c r="V91" i="33"/>
  <c r="V111" i="33"/>
  <c r="V35" i="36"/>
  <c r="V39" i="36"/>
  <c r="V43" i="36"/>
  <c r="J47" i="36"/>
  <c r="J51" i="36"/>
  <c r="J55" i="36"/>
  <c r="V57" i="36"/>
  <c r="V60" i="36"/>
  <c r="V61" i="36"/>
  <c r="J65" i="36"/>
  <c r="J67" i="36"/>
  <c r="X70" i="36"/>
  <c r="Z70" i="36" s="1"/>
  <c r="V77" i="36"/>
  <c r="L92" i="36"/>
  <c r="N92" i="36"/>
  <c r="Z134" i="36"/>
  <c r="V56" i="33"/>
  <c r="V60" i="33"/>
  <c r="V64" i="33"/>
  <c r="V76" i="33"/>
  <c r="V84" i="33"/>
  <c r="V96" i="33"/>
  <c r="V33" i="33"/>
  <c r="V37" i="33"/>
  <c r="V65" i="33"/>
  <c r="V85" i="33"/>
  <c r="V97" i="33"/>
  <c r="D100" i="33"/>
  <c r="L100" i="33" s="1"/>
  <c r="N100" i="33" s="1"/>
  <c r="V29" i="36"/>
  <c r="V31" i="36"/>
  <c r="V33" i="36"/>
  <c r="J37" i="36"/>
  <c r="J41" i="36"/>
  <c r="V65" i="36"/>
  <c r="J69" i="36"/>
  <c r="L88" i="36"/>
  <c r="N88" i="36" s="1"/>
  <c r="Z92" i="36"/>
  <c r="N102" i="36"/>
  <c r="J117" i="36"/>
  <c r="N122" i="36"/>
  <c r="J129" i="36"/>
  <c r="J131" i="36"/>
  <c r="N79" i="39"/>
  <c r="X33" i="33"/>
  <c r="Z33" i="33" s="1"/>
  <c r="L43" i="33"/>
  <c r="V46" i="33"/>
  <c r="V50" i="33"/>
  <c r="X65" i="33"/>
  <c r="Z65" i="33" s="1"/>
  <c r="L71" i="33"/>
  <c r="V74" i="33"/>
  <c r="X85" i="33"/>
  <c r="Z85" i="33" s="1"/>
  <c r="V90" i="33"/>
  <c r="X97" i="33"/>
  <c r="X33" i="36"/>
  <c r="Z33" i="36" s="1"/>
  <c r="V42" i="36"/>
  <c r="J46" i="36"/>
  <c r="J50" i="36"/>
  <c r="J54" i="36"/>
  <c r="V55" i="33"/>
  <c r="V59" i="33"/>
  <c r="V63" i="33"/>
  <c r="V75" i="33"/>
  <c r="V83" i="33"/>
  <c r="V95" i="33"/>
  <c r="V107" i="33"/>
  <c r="L13" i="36"/>
  <c r="N13" i="36" s="1"/>
  <c r="J27" i="36"/>
  <c r="J45" i="36"/>
  <c r="V47" i="36"/>
  <c r="V51" i="36"/>
  <c r="V55" i="36"/>
  <c r="Z56" i="36"/>
  <c r="Z90" i="36"/>
  <c r="J93" i="36"/>
  <c r="Z97" i="36"/>
  <c r="V105" i="36"/>
  <c r="Z40" i="39"/>
  <c r="N75" i="39"/>
  <c r="L75" i="39"/>
  <c r="Z81" i="39"/>
  <c r="X81" i="39"/>
  <c r="V36" i="33"/>
  <c r="V72" i="33"/>
  <c r="V106" i="33"/>
  <c r="J26" i="36"/>
  <c r="J36" i="36"/>
  <c r="J40" i="36"/>
  <c r="J44" i="36"/>
  <c r="V56" i="36"/>
  <c r="V59" i="36"/>
  <c r="V69" i="36"/>
  <c r="V71" i="36"/>
  <c r="V137" i="36"/>
  <c r="N68" i="39"/>
  <c r="V45" i="33"/>
  <c r="V49" i="33"/>
  <c r="V53" i="33"/>
  <c r="V73" i="33"/>
  <c r="V81" i="33"/>
  <c r="V89" i="33"/>
  <c r="V93" i="33"/>
  <c r="V105" i="33"/>
  <c r="V37" i="36"/>
  <c r="V41" i="36"/>
  <c r="J49" i="36"/>
  <c r="J53" i="36"/>
  <c r="X86" i="36"/>
  <c r="Z86" i="36"/>
  <c r="V93" i="36"/>
  <c r="L108" i="36"/>
  <c r="N108" i="36" s="1"/>
  <c r="L15" i="39"/>
  <c r="D12" i="39"/>
  <c r="N39" i="39"/>
  <c r="N86" i="39"/>
  <c r="T41" i="33"/>
  <c r="V41" i="33" s="1"/>
  <c r="V54" i="33"/>
  <c r="V58" i="33"/>
  <c r="V62" i="33"/>
  <c r="V70" i="33"/>
  <c r="V82" i="33"/>
  <c r="V94" i="33"/>
  <c r="J123" i="36"/>
  <c r="J107" i="36"/>
  <c r="J103" i="36"/>
  <c r="J97" i="36"/>
  <c r="J91" i="36"/>
  <c r="J71" i="36"/>
  <c r="J130" i="36"/>
  <c r="J118" i="36"/>
  <c r="J114" i="36"/>
  <c r="J108" i="36"/>
  <c r="J98" i="36"/>
  <c r="J92" i="36"/>
  <c r="J132" i="36"/>
  <c r="J124" i="36"/>
  <c r="J104" i="36"/>
  <c r="J82" i="36"/>
  <c r="J72" i="36"/>
  <c r="J125" i="36"/>
  <c r="J119" i="36"/>
  <c r="J115" i="36"/>
  <c r="J99" i="36"/>
  <c r="J83" i="36"/>
  <c r="J73" i="36"/>
  <c r="J59" i="36"/>
  <c r="J135" i="36"/>
  <c r="J134" i="36"/>
  <c r="J126" i="36"/>
  <c r="J110" i="36"/>
  <c r="J94" i="36"/>
  <c r="J84" i="36"/>
  <c r="J74" i="36"/>
  <c r="J66" i="36"/>
  <c r="J136" i="36"/>
  <c r="J127" i="36"/>
  <c r="J111" i="36"/>
  <c r="J105" i="36"/>
  <c r="J85" i="36"/>
  <c r="J137" i="36"/>
  <c r="J128" i="36"/>
  <c r="J120" i="36"/>
  <c r="J116" i="36"/>
  <c r="J112" i="36"/>
  <c r="J100" i="36"/>
  <c r="J86" i="36"/>
  <c r="J76" i="36"/>
  <c r="J138" i="36"/>
  <c r="J95" i="36"/>
  <c r="J87" i="36"/>
  <c r="J106" i="36"/>
  <c r="J88" i="36"/>
  <c r="J78" i="36"/>
  <c r="J68" i="36"/>
  <c r="J62" i="36"/>
  <c r="J142" i="36"/>
  <c r="J122" i="36"/>
  <c r="J102" i="36"/>
  <c r="J96" i="36"/>
  <c r="J90" i="36"/>
  <c r="J80" i="36"/>
  <c r="J70" i="36"/>
  <c r="J64" i="36"/>
  <c r="H31" i="36"/>
  <c r="V46" i="36"/>
  <c r="V50" i="36"/>
  <c r="V54" i="36"/>
  <c r="J61" i="36"/>
  <c r="V73" i="36"/>
  <c r="J75" i="36"/>
  <c r="Z84" i="36"/>
  <c r="J89" i="36"/>
  <c r="V35" i="39"/>
  <c r="V39" i="39"/>
  <c r="J43" i="39"/>
  <c r="J47" i="39"/>
  <c r="V63" i="39"/>
  <c r="V71" i="39"/>
  <c r="J77" i="39"/>
  <c r="V83" i="39"/>
  <c r="J87" i="39"/>
  <c r="V91" i="39"/>
  <c r="V99" i="39"/>
  <c r="J103" i="39"/>
  <c r="J113" i="39"/>
  <c r="V115" i="39"/>
  <c r="J119" i="39"/>
  <c r="J123" i="39"/>
  <c r="V131" i="39"/>
  <c r="J135" i="39"/>
  <c r="V141" i="39"/>
  <c r="H31" i="42"/>
  <c r="J41" i="42"/>
  <c r="J43" i="42"/>
  <c r="P12" i="39"/>
  <c r="J33" i="39"/>
  <c r="J51" i="39"/>
  <c r="V53" i="39"/>
  <c r="V57" i="39"/>
  <c r="V61" i="39"/>
  <c r="J69" i="39"/>
  <c r="J75" i="39"/>
  <c r="V81" i="39"/>
  <c r="J85" i="39"/>
  <c r="V89" i="39"/>
  <c r="J97" i="39"/>
  <c r="V109" i="39"/>
  <c r="J127" i="39"/>
  <c r="V129" i="39"/>
  <c r="V137" i="39"/>
  <c r="V139" i="39"/>
  <c r="J147" i="39"/>
  <c r="J27" i="42"/>
  <c r="T31" i="42"/>
  <c r="V47" i="42"/>
  <c r="N62" i="42"/>
  <c r="N28" i="45"/>
  <c r="Z62" i="45"/>
  <c r="N72" i="45"/>
  <c r="J32" i="39"/>
  <c r="V34" i="39"/>
  <c r="J42" i="39"/>
  <c r="J46" i="39"/>
  <c r="J50" i="39"/>
  <c r="V62" i="39"/>
  <c r="J68" i="39"/>
  <c r="V70" i="39"/>
  <c r="J74" i="39"/>
  <c r="V78" i="39"/>
  <c r="V90" i="39"/>
  <c r="J96" i="39"/>
  <c r="V98" i="39"/>
  <c r="J102" i="39"/>
  <c r="V114" i="39"/>
  <c r="J118" i="39"/>
  <c r="J122" i="39"/>
  <c r="J126" i="39"/>
  <c r="V130" i="39"/>
  <c r="J134" i="39"/>
  <c r="L34" i="42"/>
  <c r="N34" i="42" s="1"/>
  <c r="J45" i="42"/>
  <c r="V55" i="42"/>
  <c r="V43" i="39"/>
  <c r="V47" i="39"/>
  <c r="J55" i="39"/>
  <c r="J59" i="39"/>
  <c r="J67" i="39"/>
  <c r="J73" i="39"/>
  <c r="V79" i="39"/>
  <c r="V87" i="39"/>
  <c r="J95" i="39"/>
  <c r="J101" i="39"/>
  <c r="V103" i="39"/>
  <c r="J107" i="39"/>
  <c r="J111" i="39"/>
  <c r="V119" i="39"/>
  <c r="V123" i="39"/>
  <c r="V135" i="39"/>
  <c r="N60" i="42"/>
  <c r="Z69" i="42"/>
  <c r="H37" i="39"/>
  <c r="V52" i="39"/>
  <c r="V56" i="39"/>
  <c r="V60" i="39"/>
  <c r="J66" i="39"/>
  <c r="J72" i="39"/>
  <c r="V76" i="39"/>
  <c r="J84" i="39"/>
  <c r="V88" i="39"/>
  <c r="J94" i="39"/>
  <c r="J100" i="39"/>
  <c r="J106" i="39"/>
  <c r="V108" i="39"/>
  <c r="V112" i="39"/>
  <c r="V128" i="39"/>
  <c r="V136" i="39"/>
  <c r="J143" i="39"/>
  <c r="L26" i="42"/>
  <c r="N26" i="42" s="1"/>
  <c r="L33" i="42"/>
  <c r="N33" i="42" s="1"/>
  <c r="V33" i="39"/>
  <c r="J37" i="39"/>
  <c r="J39" i="39"/>
  <c r="J41" i="39"/>
  <c r="J45" i="39"/>
  <c r="J49" i="39"/>
  <c r="J65" i="39"/>
  <c r="V69" i="39"/>
  <c r="V77" i="39"/>
  <c r="J83" i="39"/>
  <c r="V85" i="39"/>
  <c r="J93" i="39"/>
  <c r="V97" i="39"/>
  <c r="J105" i="39"/>
  <c r="V113" i="39"/>
  <c r="J117" i="39"/>
  <c r="J121" i="39"/>
  <c r="J125" i="39"/>
  <c r="J133" i="39"/>
  <c r="J142" i="39"/>
  <c r="V147" i="39"/>
  <c r="Z34" i="42"/>
  <c r="Z84" i="42"/>
  <c r="N68" i="45"/>
  <c r="J40" i="39"/>
  <c r="V42" i="39"/>
  <c r="V46" i="39"/>
  <c r="V50" i="39"/>
  <c r="J54" i="39"/>
  <c r="J58" i="39"/>
  <c r="J64" i="39"/>
  <c r="V74" i="39"/>
  <c r="J82" i="39"/>
  <c r="V86" i="39"/>
  <c r="J92" i="39"/>
  <c r="V102" i="39"/>
  <c r="J110" i="39"/>
  <c r="J116" i="39"/>
  <c r="V118" i="39"/>
  <c r="V122" i="39"/>
  <c r="V126" i="39"/>
  <c r="J132" i="39"/>
  <c r="V134" i="39"/>
  <c r="J141" i="39"/>
  <c r="J26" i="42"/>
  <c r="Z58" i="42"/>
  <c r="J35" i="39"/>
  <c r="V51" i="39"/>
  <c r="V55" i="39"/>
  <c r="V59" i="39"/>
  <c r="J63" i="39"/>
  <c r="V67" i="39"/>
  <c r="J71" i="39"/>
  <c r="V75" i="39"/>
  <c r="J81" i="39"/>
  <c r="J91" i="39"/>
  <c r="V95" i="39"/>
  <c r="J99" i="39"/>
  <c r="V107" i="39"/>
  <c r="V111" i="39"/>
  <c r="J115" i="39"/>
  <c r="V127" i="39"/>
  <c r="J131" i="39"/>
  <c r="J139" i="39"/>
  <c r="J140" i="39"/>
  <c r="J123" i="42"/>
  <c r="J115" i="42"/>
  <c r="J111" i="42"/>
  <c r="J107" i="42"/>
  <c r="J95" i="42"/>
  <c r="J83" i="42"/>
  <c r="J73" i="42"/>
  <c r="J55" i="42"/>
  <c r="J51" i="42"/>
  <c r="J47" i="42"/>
  <c r="J136" i="42"/>
  <c r="J116" i="42"/>
  <c r="J96" i="42"/>
  <c r="J90" i="42"/>
  <c r="J84" i="42"/>
  <c r="J74" i="42"/>
  <c r="J56" i="42"/>
  <c r="J42" i="42"/>
  <c r="J38" i="42"/>
  <c r="J117" i="42"/>
  <c r="J101" i="42"/>
  <c r="J97" i="42"/>
  <c r="J91" i="42"/>
  <c r="J85" i="42"/>
  <c r="J75" i="42"/>
  <c r="J65" i="42"/>
  <c r="J57" i="42"/>
  <c r="J29" i="42"/>
  <c r="J124" i="42"/>
  <c r="J112" i="42"/>
  <c r="J108" i="42"/>
  <c r="J102" i="42"/>
  <c r="J92" i="42"/>
  <c r="J86" i="42"/>
  <c r="J76" i="42"/>
  <c r="J58" i="42"/>
  <c r="J52" i="42"/>
  <c r="J48" i="42"/>
  <c r="J34" i="42"/>
  <c r="J125" i="42"/>
  <c r="J103" i="42"/>
  <c r="J87" i="42"/>
  <c r="J59" i="42"/>
  <c r="J126" i="42"/>
  <c r="J118" i="42"/>
  <c r="J98" i="42"/>
  <c r="J66" i="42"/>
  <c r="J60" i="42"/>
  <c r="J119" i="42"/>
  <c r="J113" i="42"/>
  <c r="J109" i="42"/>
  <c r="J93" i="42"/>
  <c r="J77" i="42"/>
  <c r="J67" i="42"/>
  <c r="J61" i="42"/>
  <c r="J53" i="42"/>
  <c r="J49" i="42"/>
  <c r="J129" i="42"/>
  <c r="J128" i="42"/>
  <c r="J120" i="42"/>
  <c r="J104" i="42"/>
  <c r="J88" i="42"/>
  <c r="J78" i="42"/>
  <c r="J68" i="42"/>
  <c r="J62" i="42"/>
  <c r="J44" i="42"/>
  <c r="J40" i="42"/>
  <c r="J36" i="42"/>
  <c r="J130" i="42"/>
  <c r="J121" i="42"/>
  <c r="J105" i="42"/>
  <c r="J99" i="42"/>
  <c r="J79" i="42"/>
  <c r="J69" i="42"/>
  <c r="J63" i="42"/>
  <c r="J131" i="42"/>
  <c r="J122" i="42"/>
  <c r="J114" i="42"/>
  <c r="J110" i="42"/>
  <c r="J106" i="42"/>
  <c r="J94" i="42"/>
  <c r="J80" i="42"/>
  <c r="J70" i="42"/>
  <c r="J54" i="42"/>
  <c r="J50" i="42"/>
  <c r="J46" i="42"/>
  <c r="J132" i="42"/>
  <c r="J89" i="42"/>
  <c r="J81" i="42"/>
  <c r="J71" i="42"/>
  <c r="J100" i="42"/>
  <c r="J82" i="42"/>
  <c r="J72" i="42"/>
  <c r="J64" i="42"/>
  <c r="X33" i="42"/>
  <c r="Z33" i="42" s="1"/>
  <c r="F97" i="45"/>
  <c r="F96" i="45"/>
  <c r="F81" i="45"/>
  <c r="F65" i="45"/>
  <c r="F64" i="45"/>
  <c r="F21" i="45"/>
  <c r="F20" i="45"/>
  <c r="F76" i="45"/>
  <c r="F56" i="45"/>
  <c r="F55" i="45"/>
  <c r="F48" i="45"/>
  <c r="F44" i="45"/>
  <c r="F40" i="45"/>
  <c r="F39" i="45"/>
  <c r="L12" i="45"/>
  <c r="N12" i="45" s="1"/>
  <c r="F99" i="45"/>
  <c r="F98" i="45"/>
  <c r="F91" i="45"/>
  <c r="F87" i="45"/>
  <c r="F67" i="45"/>
  <c r="F66" i="45"/>
  <c r="F35" i="45"/>
  <c r="F31" i="45"/>
  <c r="F82" i="45"/>
  <c r="F58" i="45"/>
  <c r="F57" i="45"/>
  <c r="F22" i="45"/>
  <c r="F77" i="45"/>
  <c r="F69" i="45"/>
  <c r="F68" i="45"/>
  <c r="F49" i="45"/>
  <c r="F45" i="45"/>
  <c r="F41" i="45"/>
  <c r="F100" i="45"/>
  <c r="F92" i="45"/>
  <c r="F88" i="45"/>
  <c r="F60" i="45"/>
  <c r="F59" i="45"/>
  <c r="F36" i="45"/>
  <c r="F32" i="45"/>
  <c r="F83" i="45"/>
  <c r="F71" i="45"/>
  <c r="F70" i="45"/>
  <c r="F51" i="45"/>
  <c r="F50" i="45"/>
  <c r="F23" i="45"/>
  <c r="F78" i="45"/>
  <c r="F46" i="45"/>
  <c r="F42" i="45"/>
  <c r="F102" i="45"/>
  <c r="F93" i="45"/>
  <c r="F89" i="45"/>
  <c r="F85" i="45"/>
  <c r="F84" i="45"/>
  <c r="F73" i="45"/>
  <c r="F72" i="45"/>
  <c r="F61" i="45"/>
  <c r="F53" i="45"/>
  <c r="F52" i="45"/>
  <c r="F37" i="45"/>
  <c r="F33" i="45"/>
  <c r="F29" i="45"/>
  <c r="F28" i="45"/>
  <c r="F106" i="45"/>
  <c r="F80" i="45"/>
  <c r="F79" i="45"/>
  <c r="F27" i="45"/>
  <c r="F95" i="45"/>
  <c r="F94" i="45"/>
  <c r="F75" i="45"/>
  <c r="F74" i="45"/>
  <c r="F63" i="45"/>
  <c r="F62" i="45"/>
  <c r="F47" i="45"/>
  <c r="F43" i="45"/>
  <c r="D25" i="45"/>
  <c r="F25" i="45" s="1"/>
  <c r="F90" i="45"/>
  <c r="F86" i="45"/>
  <c r="F54" i="45"/>
  <c r="F38" i="45"/>
  <c r="F34" i="45"/>
  <c r="F30" i="45"/>
  <c r="J120" i="39"/>
  <c r="J124" i="39"/>
  <c r="J130" i="39"/>
  <c r="D12" i="42"/>
  <c r="X77" i="36"/>
  <c r="Z77" i="36" s="1"/>
  <c r="V41" i="39"/>
  <c r="V45" i="39"/>
  <c r="V49" i="39"/>
  <c r="J53" i="39"/>
  <c r="J57" i="39"/>
  <c r="J61" i="39"/>
  <c r="V65" i="39"/>
  <c r="V73" i="39"/>
  <c r="J79" i="39"/>
  <c r="J89" i="39"/>
  <c r="V93" i="39"/>
  <c r="V101" i="39"/>
  <c r="V105" i="39"/>
  <c r="J109" i="39"/>
  <c r="V117" i="39"/>
  <c r="V121" i="39"/>
  <c r="V125" i="39"/>
  <c r="J129" i="39"/>
  <c r="L130" i="39"/>
  <c r="N130" i="39" s="1"/>
  <c r="V133" i="39"/>
  <c r="J137" i="39"/>
  <c r="V143" i="39"/>
  <c r="L14" i="42"/>
  <c r="V33" i="42"/>
  <c r="J35" i="42"/>
  <c r="Z56" i="42"/>
  <c r="N64" i="45"/>
  <c r="N84" i="45"/>
  <c r="J34" i="39"/>
  <c r="T37" i="39"/>
  <c r="V37" i="39" s="1"/>
  <c r="V54" i="39"/>
  <c r="V58" i="39"/>
  <c r="V66" i="39"/>
  <c r="J70" i="39"/>
  <c r="J78" i="39"/>
  <c r="V82" i="39"/>
  <c r="J88" i="39"/>
  <c r="V94" i="39"/>
  <c r="J98" i="39"/>
  <c r="V106" i="39"/>
  <c r="V110" i="39"/>
  <c r="J114" i="39"/>
  <c r="V119" i="42"/>
  <c r="V103" i="42"/>
  <c r="V87" i="42"/>
  <c r="V67" i="42"/>
  <c r="V59" i="42"/>
  <c r="V43" i="42"/>
  <c r="V39" i="42"/>
  <c r="V35" i="42"/>
  <c r="V128" i="42"/>
  <c r="V126" i="42"/>
  <c r="V118" i="42"/>
  <c r="V98" i="42"/>
  <c r="V78" i="42"/>
  <c r="V66" i="42"/>
  <c r="V62" i="42"/>
  <c r="V129" i="42"/>
  <c r="V121" i="42"/>
  <c r="V113" i="42"/>
  <c r="V109" i="42"/>
  <c r="V105" i="42"/>
  <c r="V93" i="42"/>
  <c r="V77" i="42"/>
  <c r="V69" i="42"/>
  <c r="V61" i="42"/>
  <c r="V53" i="42"/>
  <c r="V49" i="42"/>
  <c r="V45" i="42"/>
  <c r="V130" i="42"/>
  <c r="V120" i="42"/>
  <c r="V104" i="42"/>
  <c r="V88" i="42"/>
  <c r="V80" i="42"/>
  <c r="V68" i="42"/>
  <c r="V44" i="42"/>
  <c r="V40" i="42"/>
  <c r="V36" i="42"/>
  <c r="V131" i="42"/>
  <c r="V99" i="42"/>
  <c r="V79" i="42"/>
  <c r="V71" i="42"/>
  <c r="V63" i="42"/>
  <c r="V132" i="42"/>
  <c r="V122" i="42"/>
  <c r="V114" i="42"/>
  <c r="V110" i="42"/>
  <c r="V106" i="42"/>
  <c r="V94" i="42"/>
  <c r="V82" i="42"/>
  <c r="V70" i="42"/>
  <c r="V54" i="42"/>
  <c r="V50" i="42"/>
  <c r="V46" i="42"/>
  <c r="V89" i="42"/>
  <c r="V81" i="42"/>
  <c r="V73" i="42"/>
  <c r="V41" i="42"/>
  <c r="V37" i="42"/>
  <c r="V116" i="42"/>
  <c r="V100" i="42"/>
  <c r="V96" i="42"/>
  <c r="V84" i="42"/>
  <c r="V72" i="42"/>
  <c r="V64" i="42"/>
  <c r="V56" i="42"/>
  <c r="V123" i="42"/>
  <c r="V115" i="42"/>
  <c r="V111" i="42"/>
  <c r="V107" i="42"/>
  <c r="V95" i="42"/>
  <c r="V91" i="42"/>
  <c r="V83" i="42"/>
  <c r="V75" i="42"/>
  <c r="V136" i="42"/>
  <c r="V102" i="42"/>
  <c r="V90" i="42"/>
  <c r="V86" i="42"/>
  <c r="V74" i="42"/>
  <c r="V58" i="42"/>
  <c r="V42" i="42"/>
  <c r="V38" i="42"/>
  <c r="V34" i="42"/>
  <c r="V125" i="42"/>
  <c r="V117" i="42"/>
  <c r="V101" i="42"/>
  <c r="V97" i="42"/>
  <c r="V85" i="42"/>
  <c r="V65" i="42"/>
  <c r="V57" i="42"/>
  <c r="V124" i="42"/>
  <c r="V112" i="42"/>
  <c r="V108" i="42"/>
  <c r="V92" i="42"/>
  <c r="V76" i="42"/>
  <c r="V60" i="42"/>
  <c r="V52" i="42"/>
  <c r="V48" i="42"/>
  <c r="V26" i="42"/>
  <c r="J37" i="42"/>
  <c r="J39" i="42"/>
  <c r="Z125" i="42"/>
  <c r="Z66" i="45"/>
  <c r="R22" i="45"/>
  <c r="J39" i="45"/>
  <c r="V41" i="45"/>
  <c r="V45" i="45"/>
  <c r="V49" i="45"/>
  <c r="J55" i="45"/>
  <c r="R58" i="45"/>
  <c r="R59" i="45"/>
  <c r="J65" i="45"/>
  <c r="V69" i="45"/>
  <c r="V77" i="45"/>
  <c r="J81" i="45"/>
  <c r="R82" i="45"/>
  <c r="J97" i="45"/>
  <c r="F21" i="48"/>
  <c r="J30" i="48"/>
  <c r="V22" i="45"/>
  <c r="J30" i="45"/>
  <c r="R31" i="45"/>
  <c r="J34" i="45"/>
  <c r="R35" i="45"/>
  <c r="J38" i="45"/>
  <c r="V50" i="45"/>
  <c r="J54" i="45"/>
  <c r="V58" i="45"/>
  <c r="J64" i="45"/>
  <c r="R67" i="45"/>
  <c r="R68" i="45"/>
  <c r="V70" i="45"/>
  <c r="V82" i="45"/>
  <c r="J86" i="45"/>
  <c r="R87" i="45"/>
  <c r="J90" i="45"/>
  <c r="R91" i="45"/>
  <c r="J96" i="45"/>
  <c r="R99" i="45"/>
  <c r="V23" i="48"/>
  <c r="X30" i="48"/>
  <c r="F53" i="48"/>
  <c r="V65" i="48"/>
  <c r="R73" i="48"/>
  <c r="P22" i="54"/>
  <c r="T88" i="56"/>
  <c r="X12" i="45"/>
  <c r="L20" i="45"/>
  <c r="N20" i="45" s="1"/>
  <c r="V31" i="45"/>
  <c r="V35" i="45"/>
  <c r="R40" i="45"/>
  <c r="J43" i="45"/>
  <c r="R44" i="45"/>
  <c r="J47" i="45"/>
  <c r="R48" i="45"/>
  <c r="X50" i="45"/>
  <c r="Z50" i="45" s="1"/>
  <c r="R56" i="45"/>
  <c r="R57" i="45"/>
  <c r="V59" i="45"/>
  <c r="J63" i="45"/>
  <c r="L64" i="45"/>
  <c r="V67" i="45"/>
  <c r="X70" i="45"/>
  <c r="Z70" i="45" s="1"/>
  <c r="J75" i="45"/>
  <c r="R76" i="45"/>
  <c r="V87" i="45"/>
  <c r="V91" i="45"/>
  <c r="J95" i="45"/>
  <c r="L96" i="45"/>
  <c r="N96" i="45" s="1"/>
  <c r="V99" i="45"/>
  <c r="R19" i="48"/>
  <c r="R30" i="48"/>
  <c r="N53" i="48"/>
  <c r="Z73" i="48"/>
  <c r="D12" i="51"/>
  <c r="L13" i="51"/>
  <c r="N13" i="51" s="1"/>
  <c r="N95" i="51"/>
  <c r="X102" i="42"/>
  <c r="Z102" i="42" s="1"/>
  <c r="Z12" i="45"/>
  <c r="R21" i="45"/>
  <c r="H25" i="45"/>
  <c r="V40" i="45"/>
  <c r="V44" i="45"/>
  <c r="V48" i="45"/>
  <c r="V56" i="45"/>
  <c r="X59" i="45"/>
  <c r="Z59" i="45" s="1"/>
  <c r="J62" i="45"/>
  <c r="R65" i="45"/>
  <c r="R66" i="45"/>
  <c r="V68" i="45"/>
  <c r="J74" i="45"/>
  <c r="V76" i="45"/>
  <c r="J80" i="45"/>
  <c r="R81" i="45"/>
  <c r="J94" i="45"/>
  <c r="R97" i="45"/>
  <c r="R98" i="45"/>
  <c r="J106" i="45"/>
  <c r="Z19" i="48"/>
  <c r="Z30" i="48"/>
  <c r="F33" i="48"/>
  <c r="F37" i="48"/>
  <c r="F47" i="48"/>
  <c r="N93" i="51"/>
  <c r="L93" i="51"/>
  <c r="H22" i="54"/>
  <c r="N16" i="54"/>
  <c r="V21" i="45"/>
  <c r="J25" i="45"/>
  <c r="J27" i="45"/>
  <c r="J29" i="45"/>
  <c r="R30" i="45"/>
  <c r="J33" i="45"/>
  <c r="R34" i="45"/>
  <c r="J37" i="45"/>
  <c r="R38" i="45"/>
  <c r="R39" i="45"/>
  <c r="J53" i="45"/>
  <c r="R54" i="45"/>
  <c r="R55" i="45"/>
  <c r="V57" i="45"/>
  <c r="J61" i="45"/>
  <c r="V65" i="45"/>
  <c r="J73" i="45"/>
  <c r="J79" i="45"/>
  <c r="V81" i="45"/>
  <c r="J85" i="45"/>
  <c r="R86" i="45"/>
  <c r="J89" i="45"/>
  <c r="R90" i="45"/>
  <c r="J93" i="45"/>
  <c r="V97" i="45"/>
  <c r="R15" i="48"/>
  <c r="F41" i="48"/>
  <c r="N47" i="48"/>
  <c r="L68" i="48"/>
  <c r="N68" i="48" s="1"/>
  <c r="R20" i="45"/>
  <c r="J28" i="45"/>
  <c r="V30" i="45"/>
  <c r="V34" i="45"/>
  <c r="V38" i="45"/>
  <c r="J42" i="45"/>
  <c r="R43" i="45"/>
  <c r="J46" i="45"/>
  <c r="R47" i="45"/>
  <c r="J52" i="45"/>
  <c r="V54" i="45"/>
  <c r="R63" i="45"/>
  <c r="R64" i="45"/>
  <c r="V66" i="45"/>
  <c r="J72" i="45"/>
  <c r="R75" i="45"/>
  <c r="J78" i="45"/>
  <c r="J84" i="45"/>
  <c r="V86" i="45"/>
  <c r="V90" i="45"/>
  <c r="R95" i="45"/>
  <c r="R96" i="45"/>
  <c r="V98" i="45"/>
  <c r="J102" i="45"/>
  <c r="R78" i="48"/>
  <c r="R66" i="48"/>
  <c r="R51" i="48"/>
  <c r="R50" i="48"/>
  <c r="R26" i="48"/>
  <c r="R22" i="48"/>
  <c r="X12" i="48"/>
  <c r="R68" i="48"/>
  <c r="R67" i="48"/>
  <c r="R27" i="48"/>
  <c r="R23" i="48"/>
  <c r="R55" i="48"/>
  <c r="R54" i="48"/>
  <c r="R43" i="48"/>
  <c r="R42" i="48"/>
  <c r="R70" i="48"/>
  <c r="R69" i="48"/>
  <c r="R62" i="48"/>
  <c r="R61" i="48"/>
  <c r="R37" i="48"/>
  <c r="R33" i="48"/>
  <c r="R57" i="48"/>
  <c r="R56" i="48"/>
  <c r="R45" i="48"/>
  <c r="R44" i="48"/>
  <c r="R28" i="48"/>
  <c r="R24" i="48"/>
  <c r="R71" i="48"/>
  <c r="R64" i="48"/>
  <c r="R63" i="48"/>
  <c r="R20" i="48"/>
  <c r="R65" i="48"/>
  <c r="R49" i="48"/>
  <c r="R48" i="48"/>
  <c r="R59" i="48"/>
  <c r="R39" i="48"/>
  <c r="R35" i="48"/>
  <c r="R31" i="48"/>
  <c r="N41" i="48"/>
  <c r="Z53" i="48"/>
  <c r="N106" i="51"/>
  <c r="P16" i="57"/>
  <c r="X14" i="57"/>
  <c r="L119" i="42"/>
  <c r="N119" i="42" s="1"/>
  <c r="J23" i="45"/>
  <c r="V39" i="45"/>
  <c r="V43" i="45"/>
  <c r="V47" i="45"/>
  <c r="J51" i="45"/>
  <c r="V55" i="45"/>
  <c r="V63" i="45"/>
  <c r="J71" i="45"/>
  <c r="V75" i="45"/>
  <c r="R80" i="45"/>
  <c r="J83" i="45"/>
  <c r="V95" i="45"/>
  <c r="R106" i="45"/>
  <c r="V53" i="48"/>
  <c r="V41" i="48"/>
  <c r="V68" i="48"/>
  <c r="V60" i="48"/>
  <c r="V52" i="48"/>
  <c r="V40" i="48"/>
  <c r="V36" i="48"/>
  <c r="V32" i="48"/>
  <c r="V70" i="48"/>
  <c r="V62" i="48"/>
  <c r="V54" i="48"/>
  <c r="V42" i="48"/>
  <c r="V69" i="48"/>
  <c r="V61" i="48"/>
  <c r="V57" i="48"/>
  <c r="V45" i="48"/>
  <c r="V37" i="48"/>
  <c r="V33" i="48"/>
  <c r="V64" i="48"/>
  <c r="V56" i="48"/>
  <c r="V44" i="48"/>
  <c r="V28" i="48"/>
  <c r="V24" i="48"/>
  <c r="V20" i="48"/>
  <c r="V73" i="48"/>
  <c r="V71" i="48"/>
  <c r="V63" i="48"/>
  <c r="V47" i="48"/>
  <c r="V19" i="48"/>
  <c r="V17" i="48"/>
  <c r="V15" i="48"/>
  <c r="V74" i="48"/>
  <c r="V58" i="48"/>
  <c r="V46" i="48"/>
  <c r="V38" i="48"/>
  <c r="V34" i="48"/>
  <c r="V30" i="48"/>
  <c r="T17" i="48"/>
  <c r="V48" i="48"/>
  <c r="V59" i="48"/>
  <c r="V51" i="48"/>
  <c r="V39" i="48"/>
  <c r="V35" i="48"/>
  <c r="V31" i="48"/>
  <c r="V78" i="48"/>
  <c r="V66" i="48"/>
  <c r="V50" i="48"/>
  <c r="V26" i="48"/>
  <c r="V22" i="48"/>
  <c r="Z12" i="48"/>
  <c r="F20" i="48"/>
  <c r="R47" i="48"/>
  <c r="R60" i="48"/>
  <c r="X68" i="48"/>
  <c r="Z68" i="48" s="1"/>
  <c r="R74" i="48"/>
  <c r="P12" i="51"/>
  <c r="X16" i="51"/>
  <c r="Z14" i="55"/>
  <c r="T16" i="55"/>
  <c r="V20" i="45"/>
  <c r="P25" i="45"/>
  <c r="R29" i="45"/>
  <c r="J32" i="45"/>
  <c r="R33" i="45"/>
  <c r="J36" i="45"/>
  <c r="R37" i="45"/>
  <c r="J50" i="45"/>
  <c r="R53" i="45"/>
  <c r="J60" i="45"/>
  <c r="R61" i="45"/>
  <c r="R62" i="45"/>
  <c r="V64" i="45"/>
  <c r="J70" i="45"/>
  <c r="R73" i="45"/>
  <c r="R74" i="45"/>
  <c r="V80" i="45"/>
  <c r="R85" i="45"/>
  <c r="J88" i="45"/>
  <c r="R89" i="45"/>
  <c r="J92" i="45"/>
  <c r="R93" i="45"/>
  <c r="R94" i="45"/>
  <c r="V96" i="45"/>
  <c r="J100" i="45"/>
  <c r="V106" i="45"/>
  <c r="H76" i="48"/>
  <c r="R29" i="48"/>
  <c r="R41" i="48"/>
  <c r="V49" i="48"/>
  <c r="N64" i="48"/>
  <c r="R27" i="45"/>
  <c r="V29" i="45"/>
  <c r="V33" i="45"/>
  <c r="V37" i="45"/>
  <c r="J41" i="45"/>
  <c r="R42" i="45"/>
  <c r="J45" i="45"/>
  <c r="R46" i="45"/>
  <c r="J49" i="45"/>
  <c r="V53" i="45"/>
  <c r="J59" i="45"/>
  <c r="V61" i="45"/>
  <c r="J69" i="45"/>
  <c r="V73" i="45"/>
  <c r="J77" i="45"/>
  <c r="R78" i="45"/>
  <c r="R79" i="45"/>
  <c r="V85" i="45"/>
  <c r="V89" i="45"/>
  <c r="V93" i="45"/>
  <c r="F58" i="48"/>
  <c r="F57" i="48"/>
  <c r="F46" i="48"/>
  <c r="F45" i="48"/>
  <c r="F38" i="48"/>
  <c r="F34" i="48"/>
  <c r="F74" i="48"/>
  <c r="F65" i="48"/>
  <c r="F64" i="48"/>
  <c r="F29" i="48"/>
  <c r="F73" i="48"/>
  <c r="F59" i="48"/>
  <c r="F39" i="48"/>
  <c r="F35" i="48"/>
  <c r="F31" i="48"/>
  <c r="F30" i="48"/>
  <c r="D17" i="48"/>
  <c r="F78" i="48"/>
  <c r="F66" i="48"/>
  <c r="F50" i="48"/>
  <c r="F49" i="48"/>
  <c r="F26" i="48"/>
  <c r="F22" i="48"/>
  <c r="L12" i="48"/>
  <c r="N12" i="48" s="1"/>
  <c r="F60" i="48"/>
  <c r="F52" i="48"/>
  <c r="F51" i="48"/>
  <c r="F40" i="48"/>
  <c r="F36" i="48"/>
  <c r="F32" i="48"/>
  <c r="F67" i="48"/>
  <c r="F27" i="48"/>
  <c r="F23" i="48"/>
  <c r="F69" i="48"/>
  <c r="F68" i="48"/>
  <c r="F61" i="48"/>
  <c r="F56" i="48"/>
  <c r="F55" i="48"/>
  <c r="F44" i="48"/>
  <c r="F43" i="48"/>
  <c r="F28" i="48"/>
  <c r="F24" i="48"/>
  <c r="F71" i="48"/>
  <c r="F70" i="48"/>
  <c r="F63" i="48"/>
  <c r="F62" i="48"/>
  <c r="X17" i="48"/>
  <c r="P76" i="48"/>
  <c r="R76" i="48" s="1"/>
  <c r="F25" i="48"/>
  <c r="V43" i="48"/>
  <c r="R58" i="48"/>
  <c r="L81" i="51"/>
  <c r="N81" i="51" s="1"/>
  <c r="N101" i="51"/>
  <c r="L101" i="51"/>
  <c r="L58" i="42"/>
  <c r="N58" i="42" s="1"/>
  <c r="X80" i="42"/>
  <c r="Z80" i="42" s="1"/>
  <c r="L86" i="42"/>
  <c r="N86" i="42" s="1"/>
  <c r="J22" i="45"/>
  <c r="R23" i="45"/>
  <c r="T25" i="45"/>
  <c r="R28" i="45"/>
  <c r="V42" i="45"/>
  <c r="V46" i="45"/>
  <c r="R51" i="45"/>
  <c r="R52" i="45"/>
  <c r="J58" i="45"/>
  <c r="V62" i="45"/>
  <c r="J68" i="45"/>
  <c r="R71" i="45"/>
  <c r="R72" i="45"/>
  <c r="V74" i="45"/>
  <c r="V78" i="45"/>
  <c r="J82" i="45"/>
  <c r="R83" i="45"/>
  <c r="R84" i="45"/>
  <c r="V94" i="45"/>
  <c r="R102" i="45"/>
  <c r="L13" i="48"/>
  <c r="N13" i="48" s="1"/>
  <c r="R17" i="48"/>
  <c r="F48" i="48"/>
  <c r="R52" i="48"/>
  <c r="Z64" i="48"/>
  <c r="X87" i="51"/>
  <c r="Z87" i="51" s="1"/>
  <c r="V23" i="45"/>
  <c r="V25" i="45"/>
  <c r="V27" i="45"/>
  <c r="J31" i="45"/>
  <c r="R32" i="45"/>
  <c r="J35" i="45"/>
  <c r="R36" i="45"/>
  <c r="V51" i="45"/>
  <c r="J57" i="45"/>
  <c r="R60" i="45"/>
  <c r="J67" i="45"/>
  <c r="V71" i="45"/>
  <c r="V79" i="45"/>
  <c r="V83" i="45"/>
  <c r="J87" i="45"/>
  <c r="R88" i="45"/>
  <c r="J91" i="45"/>
  <c r="R92" i="45"/>
  <c r="J99" i="45"/>
  <c r="R100" i="45"/>
  <c r="L19" i="48"/>
  <c r="N19" i="48" s="1"/>
  <c r="V27" i="48"/>
  <c r="F42" i="48"/>
  <c r="Z85" i="51"/>
  <c r="V28" i="45"/>
  <c r="V32" i="45"/>
  <c r="V36" i="45"/>
  <c r="J40" i="45"/>
  <c r="R41" i="45"/>
  <c r="J44" i="45"/>
  <c r="R45" i="45"/>
  <c r="J48" i="45"/>
  <c r="R49" i="45"/>
  <c r="R50" i="45"/>
  <c r="V52" i="45"/>
  <c r="J56" i="45"/>
  <c r="V60" i="45"/>
  <c r="J66" i="45"/>
  <c r="R69" i="45"/>
  <c r="R70" i="45"/>
  <c r="V72" i="45"/>
  <c r="J76" i="45"/>
  <c r="V84" i="45"/>
  <c r="V88" i="45"/>
  <c r="V92" i="45"/>
  <c r="V100" i="45"/>
  <c r="V102" i="45"/>
  <c r="F19" i="48"/>
  <c r="R25" i="48"/>
  <c r="L30" i="48"/>
  <c r="N30" i="48" s="1"/>
  <c r="R36" i="48"/>
  <c r="R40" i="48"/>
  <c r="R46" i="48"/>
  <c r="V67" i="48"/>
  <c r="J20" i="48"/>
  <c r="J34" i="48"/>
  <c r="J38" i="48"/>
  <c r="J46" i="48"/>
  <c r="J58" i="48"/>
  <c r="J64" i="48"/>
  <c r="L74" i="48"/>
  <c r="N74" i="48" s="1"/>
  <c r="J43" i="51"/>
  <c r="J47" i="51"/>
  <c r="J51" i="51"/>
  <c r="H56" i="51"/>
  <c r="V71" i="51"/>
  <c r="V75" i="51"/>
  <c r="V79" i="51"/>
  <c r="Z81" i="51"/>
  <c r="J85" i="51"/>
  <c r="N87" i="51"/>
  <c r="V91" i="51"/>
  <c r="Z93" i="51"/>
  <c r="V99" i="51"/>
  <c r="Z101" i="51"/>
  <c r="L107" i="51"/>
  <c r="D16" i="54"/>
  <c r="N28" i="54"/>
  <c r="R21" i="55"/>
  <c r="Z49" i="56"/>
  <c r="X49" i="56"/>
  <c r="X65" i="56"/>
  <c r="Z18" i="57"/>
  <c r="Z53" i="59"/>
  <c r="N63" i="59"/>
  <c r="J45" i="48"/>
  <c r="J57" i="48"/>
  <c r="J63" i="48"/>
  <c r="J71" i="48"/>
  <c r="V40" i="51"/>
  <c r="V44" i="51"/>
  <c r="V48" i="51"/>
  <c r="V52" i="51"/>
  <c r="J56" i="51"/>
  <c r="J58" i="51"/>
  <c r="J60" i="51"/>
  <c r="J64" i="51"/>
  <c r="J68" i="51"/>
  <c r="J84" i="51"/>
  <c r="V88" i="51"/>
  <c r="J96" i="51"/>
  <c r="J104" i="51"/>
  <c r="V110" i="51"/>
  <c r="J26" i="54"/>
  <c r="F33" i="55"/>
  <c r="F31" i="55"/>
  <c r="F22" i="55"/>
  <c r="F21" i="55"/>
  <c r="F35" i="55"/>
  <c r="F24" i="55"/>
  <c r="F23" i="55"/>
  <c r="F28" i="55"/>
  <c r="F27" i="55"/>
  <c r="F29" i="55"/>
  <c r="F20" i="55"/>
  <c r="F19" i="55"/>
  <c r="X14" i="55"/>
  <c r="Z21" i="55"/>
  <c r="R23" i="55"/>
  <c r="Z65" i="56"/>
  <c r="J44" i="48"/>
  <c r="J56" i="48"/>
  <c r="J62" i="48"/>
  <c r="J70" i="48"/>
  <c r="J59" i="51"/>
  <c r="V61" i="51"/>
  <c r="V65" i="51"/>
  <c r="V69" i="51"/>
  <c r="J73" i="51"/>
  <c r="J77" i="51"/>
  <c r="J83" i="51"/>
  <c r="V89" i="51"/>
  <c r="J95" i="51"/>
  <c r="V97" i="51"/>
  <c r="J103" i="51"/>
  <c r="P106" i="51"/>
  <c r="X106" i="51" s="1"/>
  <c r="Z106" i="51" s="1"/>
  <c r="V109" i="51"/>
  <c r="R14" i="55"/>
  <c r="X18" i="55"/>
  <c r="Z18" i="55" s="1"/>
  <c r="N61" i="56"/>
  <c r="N42" i="57"/>
  <c r="N44" i="57"/>
  <c r="N48" i="57"/>
  <c r="N68" i="57"/>
  <c r="Z64" i="58"/>
  <c r="T17" i="59"/>
  <c r="N31" i="59"/>
  <c r="Z63" i="59"/>
  <c r="J42" i="48"/>
  <c r="J54" i="48"/>
  <c r="J68" i="48"/>
  <c r="V43" i="51"/>
  <c r="V47" i="51"/>
  <c r="V51" i="51"/>
  <c r="J63" i="51"/>
  <c r="J67" i="51"/>
  <c r="J81" i="51"/>
  <c r="V87" i="51"/>
  <c r="J93" i="51"/>
  <c r="J101" i="51"/>
  <c r="V107" i="51"/>
  <c r="F31" i="54"/>
  <c r="F29" i="54"/>
  <c r="F28" i="54"/>
  <c r="F26" i="54"/>
  <c r="F24" i="54"/>
  <c r="D16" i="55"/>
  <c r="L19" i="56"/>
  <c r="Z61" i="56"/>
  <c r="Z42" i="57"/>
  <c r="X44" i="57"/>
  <c r="Z46" i="57"/>
  <c r="Z48" i="57"/>
  <c r="F46" i="58"/>
  <c r="F45" i="58"/>
  <c r="F38" i="58"/>
  <c r="F34" i="58"/>
  <c r="D16" i="58"/>
  <c r="F73" i="58"/>
  <c r="F72" i="58"/>
  <c r="F65" i="58"/>
  <c r="F64" i="58"/>
  <c r="F57" i="58"/>
  <c r="F29" i="58"/>
  <c r="F25" i="58"/>
  <c r="F21" i="58"/>
  <c r="F48" i="58"/>
  <c r="F47" i="58"/>
  <c r="F39" i="58"/>
  <c r="F35" i="58"/>
  <c r="F31" i="58"/>
  <c r="F30" i="58"/>
  <c r="F77" i="58"/>
  <c r="F75" i="58"/>
  <c r="F66" i="58"/>
  <c r="F58" i="58"/>
  <c r="F50" i="58"/>
  <c r="F49" i="58"/>
  <c r="F26" i="58"/>
  <c r="F22" i="58"/>
  <c r="F79" i="58"/>
  <c r="F60" i="58"/>
  <c r="F59" i="58"/>
  <c r="F52" i="58"/>
  <c r="F51" i="58"/>
  <c r="F40" i="58"/>
  <c r="F36" i="58"/>
  <c r="F32" i="58"/>
  <c r="L12" i="58"/>
  <c r="F67" i="58"/>
  <c r="F27" i="58"/>
  <c r="F23" i="58"/>
  <c r="F69" i="58"/>
  <c r="F68" i="58"/>
  <c r="F61" i="58"/>
  <c r="F37" i="58"/>
  <c r="F33" i="58"/>
  <c r="F56" i="58"/>
  <c r="F55" i="58"/>
  <c r="F44" i="58"/>
  <c r="F43" i="58"/>
  <c r="F28" i="58"/>
  <c r="F24" i="58"/>
  <c r="F20" i="58"/>
  <c r="F19" i="58"/>
  <c r="F71" i="58"/>
  <c r="F70" i="58"/>
  <c r="F63" i="58"/>
  <c r="F62" i="58"/>
  <c r="F18" i="58"/>
  <c r="F16" i="58"/>
  <c r="F14" i="58"/>
  <c r="N18" i="58"/>
  <c r="N30" i="58"/>
  <c r="F54" i="58"/>
  <c r="F81" i="59"/>
  <c r="F78" i="59"/>
  <c r="F67" i="59"/>
  <c r="F66" i="59"/>
  <c r="F59" i="59"/>
  <c r="F58" i="59"/>
  <c r="F43" i="59"/>
  <c r="F42" i="59"/>
  <c r="F54" i="59"/>
  <c r="F53" i="59"/>
  <c r="F38" i="59"/>
  <c r="F34" i="59"/>
  <c r="F69" i="59"/>
  <c r="F68" i="59"/>
  <c r="F61" i="59"/>
  <c r="F60" i="59"/>
  <c r="F45" i="59"/>
  <c r="F44" i="59"/>
  <c r="F29" i="59"/>
  <c r="F25" i="59"/>
  <c r="F21" i="59"/>
  <c r="F20" i="59"/>
  <c r="F19" i="59"/>
  <c r="F17" i="59"/>
  <c r="F15" i="59"/>
  <c r="F55" i="59"/>
  <c r="F39" i="59"/>
  <c r="F35" i="59"/>
  <c r="D17" i="59"/>
  <c r="F70" i="59"/>
  <c r="F62" i="59"/>
  <c r="F46" i="59"/>
  <c r="F30" i="59"/>
  <c r="F26" i="59"/>
  <c r="F22" i="59"/>
  <c r="L12" i="59"/>
  <c r="F64" i="59"/>
  <c r="F63" i="59"/>
  <c r="F56" i="59"/>
  <c r="F48" i="59"/>
  <c r="F47" i="59"/>
  <c r="F40" i="59"/>
  <c r="F36" i="59"/>
  <c r="F32" i="59"/>
  <c r="F31" i="59"/>
  <c r="F76" i="59"/>
  <c r="F50" i="59"/>
  <c r="F49" i="59"/>
  <c r="F65" i="59"/>
  <c r="F57" i="59"/>
  <c r="F41" i="59"/>
  <c r="F37" i="59"/>
  <c r="F33" i="59"/>
  <c r="F52" i="59"/>
  <c r="F51" i="59"/>
  <c r="F28" i="59"/>
  <c r="F24" i="59"/>
  <c r="N19" i="59"/>
  <c r="H61" i="60"/>
  <c r="N16" i="60"/>
  <c r="Z14" i="64"/>
  <c r="T16" i="64"/>
  <c r="J23" i="48"/>
  <c r="J27" i="48"/>
  <c r="J41" i="48"/>
  <c r="J53" i="48"/>
  <c r="J67" i="48"/>
  <c r="V60" i="51"/>
  <c r="V64" i="51"/>
  <c r="V68" i="51"/>
  <c r="J72" i="51"/>
  <c r="J76" i="51"/>
  <c r="J80" i="51"/>
  <c r="V84" i="51"/>
  <c r="J92" i="51"/>
  <c r="V96" i="51"/>
  <c r="J100" i="51"/>
  <c r="V104" i="51"/>
  <c r="V106" i="51"/>
  <c r="J114" i="51"/>
  <c r="J22" i="54"/>
  <c r="J20" i="54"/>
  <c r="J18" i="54"/>
  <c r="J24" i="54"/>
  <c r="V26" i="54"/>
  <c r="J31" i="54"/>
  <c r="R27" i="55"/>
  <c r="R26" i="55"/>
  <c r="R28" i="55"/>
  <c r="X12" i="55"/>
  <c r="R29" i="55"/>
  <c r="R33" i="55"/>
  <c r="R31" i="55"/>
  <c r="R35" i="55"/>
  <c r="R40" i="55"/>
  <c r="R37" i="55"/>
  <c r="R25" i="55"/>
  <c r="R24" i="55"/>
  <c r="F16" i="55"/>
  <c r="R22" i="55"/>
  <c r="N19" i="56"/>
  <c r="Z44" i="57"/>
  <c r="Z31" i="59"/>
  <c r="J32" i="48"/>
  <c r="J36" i="48"/>
  <c r="J40" i="48"/>
  <c r="X47" i="48"/>
  <c r="Z47" i="48" s="1"/>
  <c r="J52" i="48"/>
  <c r="J60" i="48"/>
  <c r="J41" i="51"/>
  <c r="J45" i="51"/>
  <c r="J49" i="51"/>
  <c r="J53" i="51"/>
  <c r="T56" i="51"/>
  <c r="V73" i="51"/>
  <c r="V77" i="51"/>
  <c r="V85" i="51"/>
  <c r="J91" i="51"/>
  <c r="L12" i="54"/>
  <c r="F26" i="55"/>
  <c r="F37" i="55"/>
  <c r="Z16" i="56"/>
  <c r="Z29" i="56"/>
  <c r="N55" i="56"/>
  <c r="N57" i="56"/>
  <c r="X64" i="57"/>
  <c r="Z64" i="57" s="1"/>
  <c r="H78" i="57"/>
  <c r="X30" i="58"/>
  <c r="F81" i="58"/>
  <c r="J51" i="48"/>
  <c r="J40" i="51"/>
  <c r="V42" i="51"/>
  <c r="V46" i="51"/>
  <c r="V50" i="51"/>
  <c r="V54" i="51"/>
  <c r="V58" i="51"/>
  <c r="J62" i="51"/>
  <c r="J66" i="51"/>
  <c r="V82" i="51"/>
  <c r="J90" i="51"/>
  <c r="V94" i="51"/>
  <c r="V102" i="51"/>
  <c r="X16" i="55"/>
  <c r="P33" i="55"/>
  <c r="N75" i="56"/>
  <c r="Z30" i="58"/>
  <c r="F84" i="58"/>
  <c r="Z19" i="59"/>
  <c r="J22" i="48"/>
  <c r="J26" i="48"/>
  <c r="J50" i="48"/>
  <c r="J66" i="48"/>
  <c r="J78" i="48"/>
  <c r="V59" i="51"/>
  <c r="V63" i="51"/>
  <c r="V67" i="51"/>
  <c r="J71" i="51"/>
  <c r="J75" i="51"/>
  <c r="J79" i="51"/>
  <c r="V83" i="51"/>
  <c r="J89" i="51"/>
  <c r="V95" i="51"/>
  <c r="J99" i="51"/>
  <c r="V103" i="51"/>
  <c r="J110" i="51"/>
  <c r="R24" i="54"/>
  <c r="R31" i="54"/>
  <c r="R29" i="54"/>
  <c r="R28" i="54"/>
  <c r="R26" i="54"/>
  <c r="T16" i="54"/>
  <c r="X16" i="54" s="1"/>
  <c r="F22" i="54"/>
  <c r="J29" i="54"/>
  <c r="R16" i="55"/>
  <c r="F40" i="55"/>
  <c r="L47" i="56"/>
  <c r="N53" i="56"/>
  <c r="Z55" i="56"/>
  <c r="N71" i="56"/>
  <c r="N73" i="56"/>
  <c r="L58" i="57"/>
  <c r="N68" i="58"/>
  <c r="F74" i="59"/>
  <c r="L14" i="61"/>
  <c r="D16" i="61"/>
  <c r="J88" i="51"/>
  <c r="V92" i="51"/>
  <c r="J98" i="51"/>
  <c r="V100" i="51"/>
  <c r="J109" i="51"/>
  <c r="V114" i="51"/>
  <c r="V31" i="54"/>
  <c r="V29" i="54"/>
  <c r="V22" i="54"/>
  <c r="V20" i="54"/>
  <c r="V18" i="54"/>
  <c r="V16" i="54"/>
  <c r="V14" i="54"/>
  <c r="N47" i="56"/>
  <c r="Z75" i="56"/>
  <c r="N58" i="57"/>
  <c r="N60" i="57"/>
  <c r="Z41" i="58"/>
  <c r="H74" i="59"/>
  <c r="N17" i="59"/>
  <c r="J48" i="48"/>
  <c r="J76" i="48"/>
  <c r="V45" i="51"/>
  <c r="V49" i="51"/>
  <c r="V53" i="51"/>
  <c r="J61" i="51"/>
  <c r="J65" i="51"/>
  <c r="J69" i="51"/>
  <c r="V81" i="51"/>
  <c r="J87" i="51"/>
  <c r="V93" i="51"/>
  <c r="J97" i="51"/>
  <c r="V101" i="51"/>
  <c r="J108" i="51"/>
  <c r="X12" i="54"/>
  <c r="F20" i="54"/>
  <c r="J28" i="54"/>
  <c r="Z53" i="56"/>
  <c r="Z71" i="56"/>
  <c r="X73" i="56"/>
  <c r="L50" i="57"/>
  <c r="Z68" i="58"/>
  <c r="Z72" i="58"/>
  <c r="N20" i="59"/>
  <c r="N53" i="59"/>
  <c r="J15" i="48"/>
  <c r="J17" i="48"/>
  <c r="J19" i="48"/>
  <c r="J21" i="48"/>
  <c r="J25" i="48"/>
  <c r="J29" i="48"/>
  <c r="J47" i="48"/>
  <c r="J65" i="48"/>
  <c r="J73" i="48"/>
  <c r="V62" i="51"/>
  <c r="V66" i="51"/>
  <c r="J74" i="51"/>
  <c r="J78" i="51"/>
  <c r="J86" i="51"/>
  <c r="J106" i="51"/>
  <c r="Z12" i="54"/>
  <c r="Z73" i="56"/>
  <c r="N50" i="57"/>
  <c r="N52" i="57"/>
  <c r="Z58" i="57"/>
  <c r="X15" i="59"/>
  <c r="N49" i="59"/>
  <c r="L49" i="59"/>
  <c r="N19" i="60"/>
  <c r="J22" i="55"/>
  <c r="R19" i="56"/>
  <c r="F26" i="56"/>
  <c r="V29" i="56"/>
  <c r="V33" i="56"/>
  <c r="V37" i="56"/>
  <c r="J41" i="56"/>
  <c r="V45" i="56"/>
  <c r="F49" i="56"/>
  <c r="F50" i="56"/>
  <c r="J51" i="56"/>
  <c r="R54" i="56"/>
  <c r="R55" i="56"/>
  <c r="V57" i="56"/>
  <c r="R62" i="56"/>
  <c r="F65" i="56"/>
  <c r="F66" i="56"/>
  <c r="J67" i="56"/>
  <c r="V69" i="56"/>
  <c r="F73" i="56"/>
  <c r="F74" i="56"/>
  <c r="J75" i="56"/>
  <c r="V77" i="56"/>
  <c r="V79" i="56"/>
  <c r="V81" i="56"/>
  <c r="F85" i="56"/>
  <c r="F88" i="56"/>
  <c r="J14" i="57"/>
  <c r="J16" i="57"/>
  <c r="J18" i="57"/>
  <c r="J20" i="57"/>
  <c r="R21" i="57"/>
  <c r="J24" i="57"/>
  <c r="R25" i="57"/>
  <c r="J28" i="57"/>
  <c r="F33" i="57"/>
  <c r="F37" i="57"/>
  <c r="V40" i="57"/>
  <c r="F44" i="57"/>
  <c r="F45" i="57"/>
  <c r="J46" i="57"/>
  <c r="R49" i="57"/>
  <c r="R50" i="57"/>
  <c r="V52" i="57"/>
  <c r="J56" i="57"/>
  <c r="R57" i="57"/>
  <c r="R58" i="57"/>
  <c r="V60" i="57"/>
  <c r="R65" i="57"/>
  <c r="R66" i="57"/>
  <c r="V68" i="57"/>
  <c r="J72" i="57"/>
  <c r="R76" i="57"/>
  <c r="R78" i="57"/>
  <c r="V26" i="58"/>
  <c r="R31" i="58"/>
  <c r="J34" i="58"/>
  <c r="R35" i="58"/>
  <c r="J38" i="58"/>
  <c r="R39" i="58"/>
  <c r="X41" i="58"/>
  <c r="J46" i="58"/>
  <c r="L47" i="58"/>
  <c r="N47" i="58" s="1"/>
  <c r="V50" i="58"/>
  <c r="X53" i="58"/>
  <c r="Z53" i="58" s="1"/>
  <c r="V58" i="58"/>
  <c r="J64" i="58"/>
  <c r="V66" i="58"/>
  <c r="J72" i="58"/>
  <c r="N15" i="59"/>
  <c r="V31" i="59"/>
  <c r="V35" i="59"/>
  <c r="V39" i="59"/>
  <c r="J43" i="59"/>
  <c r="L44" i="59"/>
  <c r="N44" i="59" s="1"/>
  <c r="V47" i="59"/>
  <c r="J53" i="59"/>
  <c r="V55" i="59"/>
  <c r="J59" i="59"/>
  <c r="L60" i="59"/>
  <c r="N60" i="59" s="1"/>
  <c r="V63" i="59"/>
  <c r="J67" i="59"/>
  <c r="L68" i="59"/>
  <c r="X72" i="59"/>
  <c r="F43" i="60"/>
  <c r="F42" i="60"/>
  <c r="F68" i="60"/>
  <c r="F65" i="60"/>
  <c r="F38" i="60"/>
  <c r="F34" i="60"/>
  <c r="F30" i="60"/>
  <c r="F29" i="60"/>
  <c r="F57" i="60"/>
  <c r="F56" i="60"/>
  <c r="F48" i="60"/>
  <c r="F61" i="60"/>
  <c r="F59" i="60"/>
  <c r="F50" i="60"/>
  <c r="F49" i="60"/>
  <c r="F26" i="60"/>
  <c r="F52" i="60"/>
  <c r="F51" i="60"/>
  <c r="F36" i="60"/>
  <c r="F32" i="60"/>
  <c r="L14" i="60"/>
  <c r="L18" i="60"/>
  <c r="N18" i="60" s="1"/>
  <c r="V26" i="60"/>
  <c r="R33" i="60"/>
  <c r="V46" i="60"/>
  <c r="V48" i="60"/>
  <c r="N44" i="61"/>
  <c r="H108" i="64"/>
  <c r="N16" i="64"/>
  <c r="Z18" i="64"/>
  <c r="H16" i="55"/>
  <c r="J21" i="55"/>
  <c r="V27" i="55"/>
  <c r="J31" i="55"/>
  <c r="J33" i="55"/>
  <c r="V14" i="56"/>
  <c r="V16" i="56"/>
  <c r="V18" i="56"/>
  <c r="J22" i="56"/>
  <c r="R23" i="56"/>
  <c r="J26" i="56"/>
  <c r="R27" i="56"/>
  <c r="J40" i="56"/>
  <c r="R43" i="56"/>
  <c r="R44" i="56"/>
  <c r="J50" i="56"/>
  <c r="L51" i="56"/>
  <c r="V54" i="56"/>
  <c r="X57" i="56"/>
  <c r="Z57" i="56" s="1"/>
  <c r="F59" i="56"/>
  <c r="V62" i="56"/>
  <c r="J66" i="56"/>
  <c r="L67" i="56"/>
  <c r="N67" i="56" s="1"/>
  <c r="J74" i="56"/>
  <c r="L75" i="56"/>
  <c r="X79" i="56"/>
  <c r="R30" i="57"/>
  <c r="R34" i="57"/>
  <c r="R38" i="57"/>
  <c r="J45" i="57"/>
  <c r="V49" i="57"/>
  <c r="V57" i="57"/>
  <c r="F62" i="57"/>
  <c r="V65" i="57"/>
  <c r="F70" i="57"/>
  <c r="J71" i="57"/>
  <c r="R74" i="57"/>
  <c r="H16" i="58"/>
  <c r="V31" i="58"/>
  <c r="V35" i="58"/>
  <c r="V39" i="58"/>
  <c r="J45" i="58"/>
  <c r="R48" i="58"/>
  <c r="R49" i="58"/>
  <c r="V51" i="58"/>
  <c r="V59" i="58"/>
  <c r="J63" i="58"/>
  <c r="J71" i="58"/>
  <c r="R75" i="58"/>
  <c r="R77" i="58"/>
  <c r="P17" i="59"/>
  <c r="R21" i="59"/>
  <c r="J24" i="59"/>
  <c r="R25" i="59"/>
  <c r="J28" i="59"/>
  <c r="R29" i="59"/>
  <c r="J42" i="59"/>
  <c r="R45" i="59"/>
  <c r="J52" i="59"/>
  <c r="J58" i="59"/>
  <c r="R61" i="59"/>
  <c r="J66" i="59"/>
  <c r="R69" i="59"/>
  <c r="J78" i="59"/>
  <c r="J81" i="59"/>
  <c r="J44" i="60"/>
  <c r="J53" i="60"/>
  <c r="J45" i="60"/>
  <c r="J37" i="60"/>
  <c r="J33" i="60"/>
  <c r="J57" i="60"/>
  <c r="J25" i="60"/>
  <c r="J21" i="60"/>
  <c r="J48" i="60"/>
  <c r="J61" i="60"/>
  <c r="J59" i="60"/>
  <c r="J49" i="60"/>
  <c r="J39" i="60"/>
  <c r="J35" i="60"/>
  <c r="J31" i="60"/>
  <c r="J63" i="60"/>
  <c r="J51" i="60"/>
  <c r="J41" i="60"/>
  <c r="J68" i="60"/>
  <c r="J65" i="60"/>
  <c r="J43" i="60"/>
  <c r="J27" i="60"/>
  <c r="N14" i="60"/>
  <c r="R20" i="60"/>
  <c r="V28" i="60"/>
  <c r="J30" i="60"/>
  <c r="R35" i="60"/>
  <c r="F37" i="60"/>
  <c r="J40" i="60"/>
  <c r="V50" i="60"/>
  <c r="J52" i="60"/>
  <c r="F54" i="60"/>
  <c r="R58" i="61"/>
  <c r="R38" i="61"/>
  <c r="R34" i="61"/>
  <c r="R30" i="61"/>
  <c r="R62" i="61"/>
  <c r="R60" i="61"/>
  <c r="R50" i="61"/>
  <c r="R49" i="61"/>
  <c r="R25" i="61"/>
  <c r="R21" i="61"/>
  <c r="R64" i="61"/>
  <c r="R26" i="61"/>
  <c r="R22" i="61"/>
  <c r="R69" i="61"/>
  <c r="R66" i="61"/>
  <c r="R42" i="61"/>
  <c r="R41" i="61"/>
  <c r="R53" i="61"/>
  <c r="R52" i="61"/>
  <c r="R36" i="61"/>
  <c r="R32" i="61"/>
  <c r="X12" i="61"/>
  <c r="R44" i="61"/>
  <c r="R43" i="61"/>
  <c r="R27" i="61"/>
  <c r="R23" i="61"/>
  <c r="R46" i="61"/>
  <c r="R45" i="61"/>
  <c r="R37" i="61"/>
  <c r="R33" i="61"/>
  <c r="R18" i="61"/>
  <c r="R16" i="61"/>
  <c r="R14" i="61"/>
  <c r="R57" i="61"/>
  <c r="R56" i="61"/>
  <c r="R29" i="61"/>
  <c r="R28" i="61"/>
  <c r="R24" i="61"/>
  <c r="R20" i="61"/>
  <c r="P16" i="61"/>
  <c r="R48" i="61"/>
  <c r="R47" i="61"/>
  <c r="T62" i="61"/>
  <c r="Z16" i="61"/>
  <c r="R40" i="61"/>
  <c r="J14" i="55"/>
  <c r="J16" i="55"/>
  <c r="J18" i="55"/>
  <c r="J20" i="55"/>
  <c r="V24" i="55"/>
  <c r="X12" i="56"/>
  <c r="V19" i="56"/>
  <c r="V23" i="56"/>
  <c r="V27" i="56"/>
  <c r="J31" i="56"/>
  <c r="R32" i="56"/>
  <c r="J35" i="56"/>
  <c r="R36" i="56"/>
  <c r="J39" i="56"/>
  <c r="V43" i="56"/>
  <c r="F47" i="56"/>
  <c r="F48" i="56"/>
  <c r="J49" i="56"/>
  <c r="R52" i="56"/>
  <c r="R53" i="56"/>
  <c r="V55" i="56"/>
  <c r="J59" i="56"/>
  <c r="R60" i="56"/>
  <c r="R61" i="56"/>
  <c r="F64" i="56"/>
  <c r="J65" i="56"/>
  <c r="R68" i="56"/>
  <c r="F71" i="56"/>
  <c r="F72" i="56"/>
  <c r="J73" i="56"/>
  <c r="R76" i="56"/>
  <c r="J85" i="56"/>
  <c r="J88" i="56"/>
  <c r="N14" i="57"/>
  <c r="F23" i="57"/>
  <c r="F27" i="57"/>
  <c r="V30" i="57"/>
  <c r="V34" i="57"/>
  <c r="V38" i="57"/>
  <c r="F42" i="57"/>
  <c r="F43" i="57"/>
  <c r="J44" i="57"/>
  <c r="R47" i="57"/>
  <c r="R48" i="57"/>
  <c r="V50" i="57"/>
  <c r="F54" i="57"/>
  <c r="F55" i="57"/>
  <c r="V58" i="57"/>
  <c r="J62" i="57"/>
  <c r="R63" i="57"/>
  <c r="R64" i="57"/>
  <c r="V66" i="57"/>
  <c r="J70" i="57"/>
  <c r="V74" i="57"/>
  <c r="V76" i="57"/>
  <c r="V78" i="57"/>
  <c r="F82" i="57"/>
  <c r="F85" i="57"/>
  <c r="J14" i="58"/>
  <c r="J16" i="58"/>
  <c r="J18" i="58"/>
  <c r="J20" i="58"/>
  <c r="R21" i="58"/>
  <c r="J24" i="58"/>
  <c r="R25" i="58"/>
  <c r="J28" i="58"/>
  <c r="R29" i="58"/>
  <c r="R30" i="58"/>
  <c r="J44" i="58"/>
  <c r="V48" i="58"/>
  <c r="J56" i="58"/>
  <c r="R57" i="58"/>
  <c r="J62" i="58"/>
  <c r="R65" i="58"/>
  <c r="J70" i="58"/>
  <c r="R73" i="58"/>
  <c r="L13" i="59"/>
  <c r="R15" i="59"/>
  <c r="R17" i="59"/>
  <c r="R19" i="59"/>
  <c r="V21" i="59"/>
  <c r="V25" i="59"/>
  <c r="V29" i="59"/>
  <c r="J33" i="59"/>
  <c r="R34" i="59"/>
  <c r="J37" i="59"/>
  <c r="R38" i="59"/>
  <c r="J41" i="59"/>
  <c r="V45" i="59"/>
  <c r="J51" i="59"/>
  <c r="R54" i="59"/>
  <c r="J57" i="59"/>
  <c r="V61" i="59"/>
  <c r="J65" i="59"/>
  <c r="V69" i="59"/>
  <c r="P16" i="60"/>
  <c r="V20" i="60"/>
  <c r="F22" i="60"/>
  <c r="R23" i="60"/>
  <c r="F25" i="60"/>
  <c r="J32" i="60"/>
  <c r="V35" i="60"/>
  <c r="F39" i="60"/>
  <c r="J42" i="60"/>
  <c r="L54" i="60"/>
  <c r="N54" i="60" s="1"/>
  <c r="R19" i="61"/>
  <c r="R31" i="61"/>
  <c r="Z40" i="61"/>
  <c r="X46" i="61"/>
  <c r="X14" i="64"/>
  <c r="D16" i="56"/>
  <c r="J21" i="56"/>
  <c r="R22" i="56"/>
  <c r="J25" i="56"/>
  <c r="R26" i="56"/>
  <c r="F29" i="56"/>
  <c r="F30" i="56"/>
  <c r="F34" i="56"/>
  <c r="F38" i="56"/>
  <c r="V41" i="56"/>
  <c r="F46" i="56"/>
  <c r="J47" i="56"/>
  <c r="R50" i="56"/>
  <c r="R51" i="56"/>
  <c r="V53" i="56"/>
  <c r="F57" i="56"/>
  <c r="F58" i="56"/>
  <c r="V61" i="56"/>
  <c r="R66" i="56"/>
  <c r="R67" i="56"/>
  <c r="F70" i="56"/>
  <c r="J71" i="56"/>
  <c r="R74" i="56"/>
  <c r="R75" i="56"/>
  <c r="F79" i="56"/>
  <c r="F81" i="56"/>
  <c r="J83" i="56"/>
  <c r="N12" i="57"/>
  <c r="R14" i="57"/>
  <c r="R16" i="57"/>
  <c r="R18" i="57"/>
  <c r="V24" i="57"/>
  <c r="V28" i="57"/>
  <c r="J32" i="57"/>
  <c r="R33" i="57"/>
  <c r="J36" i="57"/>
  <c r="R37" i="57"/>
  <c r="F40" i="57"/>
  <c r="F41" i="57"/>
  <c r="J42" i="57"/>
  <c r="R45" i="57"/>
  <c r="R46" i="57"/>
  <c r="V48" i="57"/>
  <c r="F52" i="57"/>
  <c r="F53" i="57"/>
  <c r="J54" i="57"/>
  <c r="V56" i="57"/>
  <c r="F60" i="57"/>
  <c r="F61" i="57"/>
  <c r="V64" i="57"/>
  <c r="F68" i="57"/>
  <c r="F69" i="57"/>
  <c r="V72" i="57"/>
  <c r="J82" i="57"/>
  <c r="J85" i="57"/>
  <c r="V34" i="58"/>
  <c r="V38" i="58"/>
  <c r="J42" i="58"/>
  <c r="V46" i="58"/>
  <c r="J54" i="58"/>
  <c r="R63" i="58"/>
  <c r="R64" i="58"/>
  <c r="J68" i="58"/>
  <c r="R71" i="58"/>
  <c r="R72" i="58"/>
  <c r="V15" i="59"/>
  <c r="V17" i="59"/>
  <c r="V19" i="59"/>
  <c r="J23" i="59"/>
  <c r="R24" i="59"/>
  <c r="J27" i="59"/>
  <c r="R28" i="59"/>
  <c r="V43" i="59"/>
  <c r="J49" i="59"/>
  <c r="R52" i="59"/>
  <c r="R53" i="59"/>
  <c r="V59" i="59"/>
  <c r="V67" i="59"/>
  <c r="R56" i="60"/>
  <c r="R55" i="60"/>
  <c r="R47" i="60"/>
  <c r="R38" i="60"/>
  <c r="R34" i="60"/>
  <c r="R30" i="60"/>
  <c r="R51" i="60"/>
  <c r="R50" i="60"/>
  <c r="R26" i="60"/>
  <c r="R22" i="60"/>
  <c r="R63" i="60"/>
  <c r="R42" i="60"/>
  <c r="R41" i="60"/>
  <c r="R68" i="60"/>
  <c r="R65" i="60"/>
  <c r="R52" i="60"/>
  <c r="R36" i="60"/>
  <c r="R32" i="60"/>
  <c r="R29" i="60"/>
  <c r="R28" i="60"/>
  <c r="R24" i="60"/>
  <c r="T16" i="60"/>
  <c r="R19" i="60"/>
  <c r="F27" i="60"/>
  <c r="J34" i="60"/>
  <c r="R37" i="60"/>
  <c r="Z40" i="60"/>
  <c r="X40" i="60"/>
  <c r="F47" i="60"/>
  <c r="L49" i="60"/>
  <c r="R57" i="60"/>
  <c r="N18" i="61"/>
  <c r="Z48" i="61"/>
  <c r="Z50" i="61"/>
  <c r="V22" i="56"/>
  <c r="V26" i="56"/>
  <c r="J30" i="56"/>
  <c r="R31" i="56"/>
  <c r="J34" i="56"/>
  <c r="R35" i="56"/>
  <c r="J38" i="56"/>
  <c r="R39" i="56"/>
  <c r="R40" i="56"/>
  <c r="V42" i="56"/>
  <c r="J46" i="56"/>
  <c r="V50" i="56"/>
  <c r="J58" i="56"/>
  <c r="R59" i="56"/>
  <c r="F63" i="56"/>
  <c r="V66" i="56"/>
  <c r="J70" i="56"/>
  <c r="V74" i="56"/>
  <c r="T16" i="57"/>
  <c r="R19" i="57"/>
  <c r="F22" i="57"/>
  <c r="F26" i="57"/>
  <c r="V37" i="57"/>
  <c r="J41" i="57"/>
  <c r="V45" i="57"/>
  <c r="J53" i="57"/>
  <c r="J61" i="57"/>
  <c r="R62" i="57"/>
  <c r="J69" i="57"/>
  <c r="R70" i="57"/>
  <c r="R71" i="57"/>
  <c r="V73" i="57"/>
  <c r="F80" i="57"/>
  <c r="P16" i="58"/>
  <c r="R20" i="58"/>
  <c r="J23" i="58"/>
  <c r="R24" i="58"/>
  <c r="J27" i="58"/>
  <c r="R28" i="58"/>
  <c r="J41" i="58"/>
  <c r="R44" i="58"/>
  <c r="R45" i="58"/>
  <c r="V47" i="58"/>
  <c r="J53" i="58"/>
  <c r="R56" i="58"/>
  <c r="V63" i="58"/>
  <c r="J67" i="58"/>
  <c r="V71" i="58"/>
  <c r="J81" i="58"/>
  <c r="J84" i="58"/>
  <c r="V20" i="59"/>
  <c r="V24" i="59"/>
  <c r="V28" i="59"/>
  <c r="J32" i="59"/>
  <c r="R33" i="59"/>
  <c r="J36" i="59"/>
  <c r="R37" i="59"/>
  <c r="J40" i="59"/>
  <c r="R41" i="59"/>
  <c r="R42" i="59"/>
  <c r="V44" i="59"/>
  <c r="J48" i="59"/>
  <c r="V52" i="59"/>
  <c r="J56" i="59"/>
  <c r="R57" i="59"/>
  <c r="R58" i="59"/>
  <c r="V60" i="59"/>
  <c r="J64" i="59"/>
  <c r="R65" i="59"/>
  <c r="R66" i="59"/>
  <c r="V68" i="59"/>
  <c r="J72" i="59"/>
  <c r="J74" i="59"/>
  <c r="R78" i="59"/>
  <c r="R81" i="59"/>
  <c r="V38" i="60"/>
  <c r="V34" i="60"/>
  <c r="V61" i="60"/>
  <c r="V59" i="60"/>
  <c r="V57" i="60"/>
  <c r="V49" i="60"/>
  <c r="V25" i="60"/>
  <c r="V68" i="60"/>
  <c r="V65" i="60"/>
  <c r="V63" i="60"/>
  <c r="V41" i="60"/>
  <c r="V52" i="60"/>
  <c r="V44" i="60"/>
  <c r="V43" i="60"/>
  <c r="V27" i="60"/>
  <c r="V53" i="60"/>
  <c r="V45" i="60"/>
  <c r="V37" i="60"/>
  <c r="V33" i="60"/>
  <c r="V29" i="60"/>
  <c r="V55" i="60"/>
  <c r="V47" i="60"/>
  <c r="V14" i="60"/>
  <c r="V16" i="60"/>
  <c r="V18" i="60"/>
  <c r="Z19" i="60"/>
  <c r="R25" i="60"/>
  <c r="V32" i="60"/>
  <c r="R39" i="60"/>
  <c r="V40" i="60"/>
  <c r="N49" i="60"/>
  <c r="R54" i="60"/>
  <c r="F63" i="60"/>
  <c r="L40" i="64"/>
  <c r="N40" i="64" s="1"/>
  <c r="J28" i="55"/>
  <c r="H16" i="56"/>
  <c r="F19" i="56"/>
  <c r="F20" i="56"/>
  <c r="F24" i="56"/>
  <c r="F28" i="56"/>
  <c r="J29" i="56"/>
  <c r="V31" i="56"/>
  <c r="V35" i="56"/>
  <c r="V39" i="56"/>
  <c r="R48" i="56"/>
  <c r="R49" i="56"/>
  <c r="V51" i="56"/>
  <c r="F55" i="56"/>
  <c r="F56" i="56"/>
  <c r="J57" i="56"/>
  <c r="V59" i="56"/>
  <c r="J63" i="56"/>
  <c r="R64" i="56"/>
  <c r="R65" i="56"/>
  <c r="V67" i="56"/>
  <c r="R72" i="56"/>
  <c r="R73" i="56"/>
  <c r="V75" i="56"/>
  <c r="J79" i="56"/>
  <c r="J81" i="56"/>
  <c r="R85" i="56"/>
  <c r="R88" i="56"/>
  <c r="V14" i="57"/>
  <c r="V16" i="57"/>
  <c r="V18" i="57"/>
  <c r="J22" i="57"/>
  <c r="R23" i="57"/>
  <c r="J26" i="57"/>
  <c r="R27" i="57"/>
  <c r="F31" i="57"/>
  <c r="F35" i="57"/>
  <c r="F39" i="57"/>
  <c r="J40" i="57"/>
  <c r="R43" i="57"/>
  <c r="R44" i="57"/>
  <c r="V46" i="57"/>
  <c r="F50" i="57"/>
  <c r="F51" i="57"/>
  <c r="J52" i="57"/>
  <c r="R55" i="57"/>
  <c r="F58" i="57"/>
  <c r="F59" i="57"/>
  <c r="J60" i="57"/>
  <c r="V62" i="57"/>
  <c r="F66" i="57"/>
  <c r="F67" i="57"/>
  <c r="J68" i="57"/>
  <c r="V70" i="57"/>
  <c r="F76" i="57"/>
  <c r="F78" i="57"/>
  <c r="J80" i="57"/>
  <c r="N12" i="58"/>
  <c r="R14" i="58"/>
  <c r="R16" i="58"/>
  <c r="R18" i="58"/>
  <c r="V24" i="58"/>
  <c r="V28" i="58"/>
  <c r="J32" i="58"/>
  <c r="R33" i="58"/>
  <c r="J36" i="58"/>
  <c r="R37" i="58"/>
  <c r="J40" i="58"/>
  <c r="V44" i="58"/>
  <c r="J52" i="58"/>
  <c r="V56" i="58"/>
  <c r="J60" i="58"/>
  <c r="R61" i="58"/>
  <c r="R62" i="58"/>
  <c r="V64" i="58"/>
  <c r="R69" i="58"/>
  <c r="R70" i="58"/>
  <c r="V72" i="58"/>
  <c r="J31" i="59"/>
  <c r="V33" i="59"/>
  <c r="V37" i="59"/>
  <c r="V41" i="59"/>
  <c r="J47" i="59"/>
  <c r="R50" i="59"/>
  <c r="R51" i="59"/>
  <c r="V53" i="59"/>
  <c r="V57" i="59"/>
  <c r="J63" i="59"/>
  <c r="V65" i="59"/>
  <c r="R76" i="59"/>
  <c r="X12" i="60"/>
  <c r="V19" i="60"/>
  <c r="F21" i="60"/>
  <c r="V22" i="60"/>
  <c r="F24" i="60"/>
  <c r="R27" i="60"/>
  <c r="N29" i="60"/>
  <c r="V39" i="60"/>
  <c r="V42" i="60"/>
  <c r="F46" i="60"/>
  <c r="N51" i="60"/>
  <c r="J56" i="60"/>
  <c r="X18" i="61"/>
  <c r="Z18" i="61" s="1"/>
  <c r="T16" i="58"/>
  <c r="R19" i="58"/>
  <c r="R42" i="58"/>
  <c r="R43" i="58"/>
  <c r="R54" i="58"/>
  <c r="R55" i="58"/>
  <c r="N46" i="60"/>
  <c r="L46" i="60"/>
  <c r="V14" i="55"/>
  <c r="V16" i="55"/>
  <c r="V18" i="55"/>
  <c r="J26" i="55"/>
  <c r="J19" i="56"/>
  <c r="V21" i="56"/>
  <c r="V25" i="56"/>
  <c r="R30" i="56"/>
  <c r="J33" i="56"/>
  <c r="R34" i="56"/>
  <c r="J37" i="56"/>
  <c r="R38" i="56"/>
  <c r="J45" i="56"/>
  <c r="R46" i="56"/>
  <c r="R47" i="56"/>
  <c r="V49" i="56"/>
  <c r="F53" i="56"/>
  <c r="F54" i="56"/>
  <c r="J55" i="56"/>
  <c r="R58" i="56"/>
  <c r="F61" i="56"/>
  <c r="F62" i="56"/>
  <c r="V65" i="56"/>
  <c r="J69" i="56"/>
  <c r="R70" i="56"/>
  <c r="R71" i="56"/>
  <c r="V73" i="56"/>
  <c r="J77" i="56"/>
  <c r="V83" i="56"/>
  <c r="V85" i="56"/>
  <c r="V88" i="56"/>
  <c r="F21" i="57"/>
  <c r="F25" i="57"/>
  <c r="V32" i="57"/>
  <c r="V36" i="57"/>
  <c r="R41" i="57"/>
  <c r="R42" i="57"/>
  <c r="V44" i="57"/>
  <c r="F48" i="57"/>
  <c r="F49" i="57"/>
  <c r="J50" i="57"/>
  <c r="R53" i="57"/>
  <c r="R54" i="57"/>
  <c r="F57" i="57"/>
  <c r="J58" i="57"/>
  <c r="R61" i="57"/>
  <c r="F64" i="57"/>
  <c r="F65" i="57"/>
  <c r="J66" i="57"/>
  <c r="R69" i="57"/>
  <c r="J76" i="57"/>
  <c r="J78" i="57"/>
  <c r="R82" i="57"/>
  <c r="R85" i="57"/>
  <c r="V14" i="58"/>
  <c r="V16" i="58"/>
  <c r="V18" i="58"/>
  <c r="J22" i="58"/>
  <c r="R23" i="58"/>
  <c r="J26" i="58"/>
  <c r="R27" i="58"/>
  <c r="V42" i="58"/>
  <c r="J50" i="58"/>
  <c r="V54" i="58"/>
  <c r="J58" i="58"/>
  <c r="V62" i="58"/>
  <c r="J66" i="58"/>
  <c r="R67" i="58"/>
  <c r="R68" i="58"/>
  <c r="V70" i="58"/>
  <c r="V23" i="59"/>
  <c r="V27" i="59"/>
  <c r="R32" i="59"/>
  <c r="J35" i="59"/>
  <c r="R36" i="59"/>
  <c r="J39" i="59"/>
  <c r="R40" i="59"/>
  <c r="R48" i="59"/>
  <c r="R49" i="59"/>
  <c r="V51" i="59"/>
  <c r="J55" i="59"/>
  <c r="R56" i="59"/>
  <c r="R64" i="59"/>
  <c r="D16" i="60"/>
  <c r="F31" i="60"/>
  <c r="J38" i="60"/>
  <c r="J46" i="60"/>
  <c r="Z49" i="60"/>
  <c r="R51" i="61"/>
  <c r="R115" i="64"/>
  <c r="R112" i="64"/>
  <c r="R79" i="64"/>
  <c r="R64" i="64"/>
  <c r="R63" i="64"/>
  <c r="R99" i="64"/>
  <c r="R98" i="64"/>
  <c r="R91" i="64"/>
  <c r="R90" i="64"/>
  <c r="R86" i="64"/>
  <c r="R74" i="64"/>
  <c r="R66" i="64"/>
  <c r="R65" i="64"/>
  <c r="R100" i="64"/>
  <c r="R93" i="64"/>
  <c r="R92" i="64"/>
  <c r="R81" i="64"/>
  <c r="R80" i="64"/>
  <c r="R103" i="64"/>
  <c r="R102" i="64"/>
  <c r="R87" i="64"/>
  <c r="R75" i="64"/>
  <c r="R68" i="64"/>
  <c r="R67" i="64"/>
  <c r="R104" i="64"/>
  <c r="R95" i="64"/>
  <c r="R94" i="64"/>
  <c r="R82" i="64"/>
  <c r="R50" i="64"/>
  <c r="R105" i="64"/>
  <c r="R70" i="64"/>
  <c r="R69" i="64"/>
  <c r="R106" i="64"/>
  <c r="R96" i="64"/>
  <c r="R88" i="64"/>
  <c r="R108" i="64"/>
  <c r="R84" i="64"/>
  <c r="R83" i="64"/>
  <c r="R72" i="64"/>
  <c r="R71" i="64"/>
  <c r="R60" i="64"/>
  <c r="R59" i="64"/>
  <c r="R78" i="64"/>
  <c r="R97" i="64"/>
  <c r="R89" i="64"/>
  <c r="R85" i="64"/>
  <c r="R73" i="64"/>
  <c r="R62" i="64"/>
  <c r="R61" i="64"/>
  <c r="R110" i="64"/>
  <c r="R38" i="64"/>
  <c r="R34" i="64"/>
  <c r="R30" i="64"/>
  <c r="R46" i="64"/>
  <c r="R25" i="64"/>
  <c r="R21" i="64"/>
  <c r="R76" i="64"/>
  <c r="R47" i="64"/>
  <c r="R54" i="64"/>
  <c r="R40" i="64"/>
  <c r="R39" i="64"/>
  <c r="R35" i="64"/>
  <c r="R31" i="64"/>
  <c r="R58" i="64"/>
  <c r="R26" i="64"/>
  <c r="R22" i="64"/>
  <c r="R55" i="64"/>
  <c r="R42" i="64"/>
  <c r="R41" i="64"/>
  <c r="R77" i="64"/>
  <c r="R51" i="64"/>
  <c r="R48" i="64"/>
  <c r="R36" i="64"/>
  <c r="R32" i="64"/>
  <c r="X12" i="64"/>
  <c r="R56" i="64"/>
  <c r="R43" i="64"/>
  <c r="R27" i="64"/>
  <c r="R23" i="64"/>
  <c r="R37" i="64"/>
  <c r="R33" i="64"/>
  <c r="R18" i="64"/>
  <c r="R16" i="64"/>
  <c r="R14" i="64"/>
  <c r="R49" i="64"/>
  <c r="R45" i="64"/>
  <c r="R44" i="64"/>
  <c r="R29" i="64"/>
  <c r="R28" i="64"/>
  <c r="R24" i="64"/>
  <c r="R20" i="64"/>
  <c r="P16" i="64"/>
  <c r="R57" i="64"/>
  <c r="R53" i="64"/>
  <c r="J25" i="55"/>
  <c r="J37" i="55"/>
  <c r="J40" i="55"/>
  <c r="V30" i="56"/>
  <c r="V34" i="56"/>
  <c r="V38" i="56"/>
  <c r="F42" i="56"/>
  <c r="F43" i="56"/>
  <c r="J44" i="56"/>
  <c r="V46" i="56"/>
  <c r="J54" i="56"/>
  <c r="V58" i="56"/>
  <c r="J62" i="56"/>
  <c r="R63" i="56"/>
  <c r="V70" i="56"/>
  <c r="D16" i="57"/>
  <c r="J21" i="57"/>
  <c r="R22" i="57"/>
  <c r="J25" i="57"/>
  <c r="R26" i="57"/>
  <c r="F29" i="57"/>
  <c r="F30" i="57"/>
  <c r="F34" i="57"/>
  <c r="F38" i="57"/>
  <c r="V41" i="57"/>
  <c r="J49" i="57"/>
  <c r="V53" i="57"/>
  <c r="J57" i="57"/>
  <c r="V61" i="57"/>
  <c r="J65" i="57"/>
  <c r="V69" i="57"/>
  <c r="F73" i="57"/>
  <c r="F74" i="57"/>
  <c r="R80" i="57"/>
  <c r="X12" i="58"/>
  <c r="J31" i="58"/>
  <c r="R32" i="58"/>
  <c r="J35" i="58"/>
  <c r="R36" i="58"/>
  <c r="J39" i="58"/>
  <c r="R40" i="58"/>
  <c r="R41" i="58"/>
  <c r="V43" i="58"/>
  <c r="J49" i="58"/>
  <c r="R52" i="58"/>
  <c r="R53" i="58"/>
  <c r="V55" i="58"/>
  <c r="R60" i="58"/>
  <c r="X62" i="58"/>
  <c r="Z62" i="58" s="1"/>
  <c r="V67" i="58"/>
  <c r="X70" i="58"/>
  <c r="Z70" i="58" s="1"/>
  <c r="J75" i="58"/>
  <c r="J77" i="58"/>
  <c r="R81" i="58"/>
  <c r="R84" i="58"/>
  <c r="V32" i="59"/>
  <c r="V36" i="59"/>
  <c r="V40" i="59"/>
  <c r="V48" i="59"/>
  <c r="X51" i="59"/>
  <c r="Z51" i="59" s="1"/>
  <c r="V56" i="59"/>
  <c r="V64" i="59"/>
  <c r="R72" i="59"/>
  <c r="R74" i="59"/>
  <c r="F28" i="60"/>
  <c r="F33" i="60"/>
  <c r="V36" i="60"/>
  <c r="Z51" i="60"/>
  <c r="R53" i="60"/>
  <c r="X59" i="60"/>
  <c r="N18" i="64"/>
  <c r="J24" i="55"/>
  <c r="P16" i="56"/>
  <c r="R20" i="56"/>
  <c r="J23" i="56"/>
  <c r="R24" i="56"/>
  <c r="J27" i="56"/>
  <c r="R28" i="56"/>
  <c r="R29" i="56"/>
  <c r="F32" i="56"/>
  <c r="F36" i="56"/>
  <c r="J43" i="56"/>
  <c r="V47" i="56"/>
  <c r="F51" i="56"/>
  <c r="F52" i="56"/>
  <c r="J53" i="56"/>
  <c r="R56" i="56"/>
  <c r="R57" i="56"/>
  <c r="F60" i="56"/>
  <c r="J61" i="56"/>
  <c r="V63" i="56"/>
  <c r="F67" i="56"/>
  <c r="F68" i="56"/>
  <c r="V71" i="56"/>
  <c r="F75" i="56"/>
  <c r="R79" i="56"/>
  <c r="R81" i="56"/>
  <c r="F14" i="57"/>
  <c r="F16" i="57"/>
  <c r="F18" i="57"/>
  <c r="J30" i="57"/>
  <c r="R31" i="57"/>
  <c r="J34" i="57"/>
  <c r="R35" i="57"/>
  <c r="J38" i="57"/>
  <c r="R39" i="57"/>
  <c r="R40" i="57"/>
  <c r="V42" i="57"/>
  <c r="F46" i="57"/>
  <c r="F47" i="57"/>
  <c r="J48" i="57"/>
  <c r="R51" i="57"/>
  <c r="R52" i="57"/>
  <c r="V54" i="57"/>
  <c r="R59" i="57"/>
  <c r="R60" i="57"/>
  <c r="F63" i="57"/>
  <c r="J64" i="57"/>
  <c r="R67" i="57"/>
  <c r="J74" i="57"/>
  <c r="V80" i="57"/>
  <c r="V82" i="57"/>
  <c r="V85" i="57"/>
  <c r="J48" i="58"/>
  <c r="V52" i="58"/>
  <c r="V60" i="58"/>
  <c r="V68" i="58"/>
  <c r="R79" i="58"/>
  <c r="J45" i="59"/>
  <c r="V49" i="59"/>
  <c r="J61" i="59"/>
  <c r="R62" i="59"/>
  <c r="R63" i="59"/>
  <c r="J69" i="59"/>
  <c r="R70" i="59"/>
  <c r="V21" i="60"/>
  <c r="V24" i="60"/>
  <c r="R31" i="60"/>
  <c r="F35" i="60"/>
  <c r="R46" i="60"/>
  <c r="J50" i="60"/>
  <c r="V51" i="60"/>
  <c r="R59" i="60"/>
  <c r="J23" i="55"/>
  <c r="J32" i="56"/>
  <c r="R33" i="56"/>
  <c r="J36" i="56"/>
  <c r="R37" i="56"/>
  <c r="J42" i="56"/>
  <c r="R45" i="56"/>
  <c r="J52" i="56"/>
  <c r="J60" i="56"/>
  <c r="J68" i="56"/>
  <c r="R69" i="56"/>
  <c r="F19" i="57"/>
  <c r="F20" i="57"/>
  <c r="F24" i="57"/>
  <c r="F28" i="57"/>
  <c r="J29" i="57"/>
  <c r="V35" i="57"/>
  <c r="V39" i="57"/>
  <c r="J47" i="57"/>
  <c r="V51" i="57"/>
  <c r="F56" i="57"/>
  <c r="V59" i="57"/>
  <c r="J63" i="57"/>
  <c r="F71" i="57"/>
  <c r="J21" i="58"/>
  <c r="R22" i="58"/>
  <c r="J25" i="58"/>
  <c r="R26" i="58"/>
  <c r="J29" i="58"/>
  <c r="V41" i="58"/>
  <c r="J47" i="58"/>
  <c r="R50" i="58"/>
  <c r="R51" i="58"/>
  <c r="V53" i="58"/>
  <c r="J57" i="58"/>
  <c r="R58" i="58"/>
  <c r="R59" i="58"/>
  <c r="J65" i="58"/>
  <c r="V79" i="58"/>
  <c r="V81" i="58"/>
  <c r="Z12" i="59"/>
  <c r="J20" i="59"/>
  <c r="V22" i="59"/>
  <c r="V26" i="59"/>
  <c r="V30" i="59"/>
  <c r="J34" i="59"/>
  <c r="R35" i="59"/>
  <c r="J38" i="59"/>
  <c r="R39" i="59"/>
  <c r="J44" i="59"/>
  <c r="V46" i="59"/>
  <c r="J54" i="59"/>
  <c r="J60" i="59"/>
  <c r="V62" i="59"/>
  <c r="V70" i="59"/>
  <c r="V72" i="59"/>
  <c r="X29" i="60"/>
  <c r="Z29" i="60" s="1"/>
  <c r="V31" i="60"/>
  <c r="F40" i="60"/>
  <c r="R43" i="60"/>
  <c r="F45" i="60"/>
  <c r="R48" i="60"/>
  <c r="F55" i="60"/>
  <c r="V56" i="60"/>
  <c r="H62" i="61"/>
  <c r="N16" i="61"/>
  <c r="L29" i="61"/>
  <c r="N29" i="61" s="1"/>
  <c r="N40" i="61"/>
  <c r="F23" i="61"/>
  <c r="F27" i="61"/>
  <c r="V30" i="61"/>
  <c r="V34" i="61"/>
  <c r="V38" i="61"/>
  <c r="F42" i="61"/>
  <c r="F43" i="61"/>
  <c r="J44" i="61"/>
  <c r="V50" i="61"/>
  <c r="J54" i="61"/>
  <c r="V58" i="61"/>
  <c r="V60" i="61"/>
  <c r="V62" i="61"/>
  <c r="F66" i="61"/>
  <c r="F69" i="61"/>
  <c r="J108" i="64"/>
  <c r="J84" i="64"/>
  <c r="J78" i="64"/>
  <c r="J72" i="64"/>
  <c r="J60" i="64"/>
  <c r="J52" i="64"/>
  <c r="J46" i="64"/>
  <c r="J97" i="64"/>
  <c r="J89" i="64"/>
  <c r="J85" i="64"/>
  <c r="J73" i="64"/>
  <c r="J110" i="64"/>
  <c r="J62" i="64"/>
  <c r="J79" i="64"/>
  <c r="J115" i="64"/>
  <c r="J112" i="64"/>
  <c r="J98" i="64"/>
  <c r="J90" i="64"/>
  <c r="J86" i="64"/>
  <c r="J74" i="64"/>
  <c r="J64" i="64"/>
  <c r="J99" i="64"/>
  <c r="J91" i="64"/>
  <c r="J65" i="64"/>
  <c r="J55" i="64"/>
  <c r="J49" i="64"/>
  <c r="J100" i="64"/>
  <c r="J92" i="64"/>
  <c r="J80" i="64"/>
  <c r="J66" i="64"/>
  <c r="J93" i="64"/>
  <c r="J87" i="64"/>
  <c r="J81" i="64"/>
  <c r="J103" i="64"/>
  <c r="J102" i="64"/>
  <c r="J94" i="64"/>
  <c r="J82" i="64"/>
  <c r="J68" i="64"/>
  <c r="J104" i="64"/>
  <c r="J95" i="64"/>
  <c r="J69" i="64"/>
  <c r="J105" i="64"/>
  <c r="J96" i="64"/>
  <c r="J88" i="64"/>
  <c r="J76" i="64"/>
  <c r="J70" i="64"/>
  <c r="J58" i="64"/>
  <c r="J106" i="64"/>
  <c r="J83" i="64"/>
  <c r="N14" i="64"/>
  <c r="F23" i="64"/>
  <c r="F27" i="64"/>
  <c r="V30" i="64"/>
  <c r="V34" i="64"/>
  <c r="V38" i="64"/>
  <c r="F42" i="64"/>
  <c r="F43" i="64"/>
  <c r="F56" i="64"/>
  <c r="J61" i="64"/>
  <c r="Z64" i="64"/>
  <c r="V47" i="61"/>
  <c r="F52" i="61"/>
  <c r="J53" i="61"/>
  <c r="F32" i="64"/>
  <c r="F36" i="64"/>
  <c r="J43" i="64"/>
  <c r="V53" i="64"/>
  <c r="F55" i="64"/>
  <c r="J56" i="64"/>
  <c r="J63" i="64"/>
  <c r="Z68" i="64"/>
  <c r="X68" i="64"/>
  <c r="V20" i="61"/>
  <c r="V24" i="61"/>
  <c r="V28" i="61"/>
  <c r="J32" i="61"/>
  <c r="J36" i="61"/>
  <c r="F40" i="61"/>
  <c r="F41" i="61"/>
  <c r="J42" i="61"/>
  <c r="V48" i="61"/>
  <c r="J52" i="61"/>
  <c r="V56" i="61"/>
  <c r="J66" i="61"/>
  <c r="J69" i="61"/>
  <c r="V20" i="64"/>
  <c r="V24" i="64"/>
  <c r="V28" i="64"/>
  <c r="J32" i="64"/>
  <c r="J36" i="64"/>
  <c r="F40" i="64"/>
  <c r="F41" i="64"/>
  <c r="J42" i="64"/>
  <c r="V44" i="64"/>
  <c r="F48" i="64"/>
  <c r="V49" i="64"/>
  <c r="J51" i="64"/>
  <c r="X52" i="64"/>
  <c r="Z52" i="64" s="1"/>
  <c r="V59" i="64"/>
  <c r="J67" i="64"/>
  <c r="J71" i="64"/>
  <c r="Z102" i="64"/>
  <c r="V14" i="61"/>
  <c r="V16" i="61"/>
  <c r="V18" i="61"/>
  <c r="J22" i="61"/>
  <c r="J26" i="61"/>
  <c r="F31" i="61"/>
  <c r="F35" i="61"/>
  <c r="F39" i="61"/>
  <c r="J40" i="61"/>
  <c r="V46" i="61"/>
  <c r="F50" i="61"/>
  <c r="F51" i="61"/>
  <c r="V54" i="61"/>
  <c r="F60" i="61"/>
  <c r="F62" i="61"/>
  <c r="J64" i="61"/>
  <c r="V98" i="64"/>
  <c r="V90" i="64"/>
  <c r="V86" i="64"/>
  <c r="V74" i="64"/>
  <c r="V66" i="64"/>
  <c r="V54" i="64"/>
  <c r="V93" i="64"/>
  <c r="V81" i="64"/>
  <c r="V102" i="64"/>
  <c r="V100" i="64"/>
  <c r="V92" i="64"/>
  <c r="V80" i="64"/>
  <c r="V68" i="64"/>
  <c r="V103" i="64"/>
  <c r="V95" i="64"/>
  <c r="V87" i="64"/>
  <c r="V104" i="64"/>
  <c r="V94" i="64"/>
  <c r="V82" i="64"/>
  <c r="V70" i="64"/>
  <c r="V58" i="64"/>
  <c r="V105" i="64"/>
  <c r="V77" i="64"/>
  <c r="V69" i="64"/>
  <c r="V57" i="64"/>
  <c r="V108" i="64"/>
  <c r="V106" i="64"/>
  <c r="V96" i="64"/>
  <c r="V88" i="64"/>
  <c r="V84" i="64"/>
  <c r="V76" i="64"/>
  <c r="V72" i="64"/>
  <c r="V83" i="64"/>
  <c r="V78" i="64"/>
  <c r="V62" i="64"/>
  <c r="V97" i="64"/>
  <c r="V89" i="64"/>
  <c r="V85" i="64"/>
  <c r="V73" i="64"/>
  <c r="V61" i="64"/>
  <c r="V115" i="64"/>
  <c r="V112" i="64"/>
  <c r="V110" i="64"/>
  <c r="V64" i="64"/>
  <c r="V99" i="64"/>
  <c r="V91" i="64"/>
  <c r="V79" i="64"/>
  <c r="V14" i="64"/>
  <c r="V16" i="64"/>
  <c r="V18" i="64"/>
  <c r="F31" i="64"/>
  <c r="F35" i="64"/>
  <c r="F39" i="64"/>
  <c r="F47" i="64"/>
  <c r="V63" i="64"/>
  <c r="V65" i="64"/>
  <c r="V71" i="64"/>
  <c r="J31" i="61"/>
  <c r="J35" i="61"/>
  <c r="J39" i="61"/>
  <c r="V43" i="61"/>
  <c r="J51" i="61"/>
  <c r="V55" i="61"/>
  <c r="V19" i="64"/>
  <c r="V23" i="64"/>
  <c r="V27" i="64"/>
  <c r="V43" i="64"/>
  <c r="V52" i="64"/>
  <c r="J54" i="64"/>
  <c r="V56" i="64"/>
  <c r="N58" i="64"/>
  <c r="V67" i="64"/>
  <c r="Z12" i="61"/>
  <c r="F21" i="61"/>
  <c r="F25" i="61"/>
  <c r="V32" i="61"/>
  <c r="V36" i="61"/>
  <c r="V44" i="61"/>
  <c r="F48" i="61"/>
  <c r="F49" i="61"/>
  <c r="J50" i="61"/>
  <c r="V52" i="61"/>
  <c r="J60" i="61"/>
  <c r="J62" i="61"/>
  <c r="Z12" i="64"/>
  <c r="F21" i="64"/>
  <c r="F25" i="64"/>
  <c r="V32" i="64"/>
  <c r="V36" i="64"/>
  <c r="J47" i="64"/>
  <c r="V48" i="64"/>
  <c r="F50" i="64"/>
  <c r="V51" i="64"/>
  <c r="N60" i="64"/>
  <c r="F76" i="64"/>
  <c r="F57" i="61"/>
  <c r="F58" i="61"/>
  <c r="D16" i="64"/>
  <c r="F29" i="64"/>
  <c r="F30" i="64"/>
  <c r="F34" i="64"/>
  <c r="F38" i="64"/>
  <c r="V41" i="64"/>
  <c r="F45" i="64"/>
  <c r="F46" i="64"/>
  <c r="N62" i="64"/>
  <c r="F53" i="64"/>
  <c r="V55" i="64"/>
  <c r="F57" i="64"/>
  <c r="N72" i="64"/>
  <c r="X42" i="61"/>
  <c r="Z42" i="61" s="1"/>
  <c r="L48" i="61"/>
  <c r="N48" i="61" s="1"/>
  <c r="F55" i="61"/>
  <c r="F56" i="61"/>
  <c r="F19" i="64"/>
  <c r="F20" i="64"/>
  <c r="F24" i="64"/>
  <c r="F28" i="64"/>
  <c r="V31" i="64"/>
  <c r="V35" i="64"/>
  <c r="V39" i="64"/>
  <c r="F44" i="64"/>
  <c r="J53" i="64"/>
  <c r="J57" i="64"/>
  <c r="Z60" i="64"/>
  <c r="N70" i="64"/>
  <c r="J20" i="61"/>
  <c r="J24" i="61"/>
  <c r="J28" i="61"/>
  <c r="F33" i="61"/>
  <c r="F37" i="61"/>
  <c r="V40" i="61"/>
  <c r="F44" i="61"/>
  <c r="F45" i="61"/>
  <c r="J46" i="61"/>
  <c r="J56" i="61"/>
  <c r="L57" i="61"/>
  <c r="N57" i="61" s="1"/>
  <c r="L29" i="64"/>
  <c r="N29" i="64" s="1"/>
  <c r="F33" i="64"/>
  <c r="F37" i="64"/>
  <c r="V40" i="64"/>
  <c r="L45" i="64"/>
  <c r="N45" i="64" s="1"/>
  <c r="Z47" i="64"/>
  <c r="F49" i="64"/>
  <c r="V50" i="64"/>
  <c r="V60" i="64"/>
  <c r="Z62" i="64"/>
  <c r="J33" i="61"/>
  <c r="J37" i="61"/>
  <c r="J45" i="61"/>
  <c r="F53" i="61"/>
  <c r="F106" i="64"/>
  <c r="F83" i="64"/>
  <c r="F71" i="64"/>
  <c r="F70" i="64"/>
  <c r="F59" i="64"/>
  <c r="F58" i="64"/>
  <c r="F51" i="64"/>
  <c r="F78" i="64"/>
  <c r="F77" i="64"/>
  <c r="F108" i="64"/>
  <c r="F97" i="64"/>
  <c r="F89" i="64"/>
  <c r="F85" i="64"/>
  <c r="F84" i="64"/>
  <c r="F73" i="64"/>
  <c r="F72" i="64"/>
  <c r="F61" i="64"/>
  <c r="F60" i="64"/>
  <c r="F110" i="64"/>
  <c r="F79" i="64"/>
  <c r="F63" i="64"/>
  <c r="F62" i="64"/>
  <c r="F98" i="64"/>
  <c r="F90" i="64"/>
  <c r="F86" i="64"/>
  <c r="F74" i="64"/>
  <c r="F54" i="64"/>
  <c r="F115" i="64"/>
  <c r="F112" i="64"/>
  <c r="F65" i="64"/>
  <c r="F64" i="64"/>
  <c r="F100" i="64"/>
  <c r="F99" i="64"/>
  <c r="F92" i="64"/>
  <c r="F91" i="64"/>
  <c r="F80" i="64"/>
  <c r="F87" i="64"/>
  <c r="F75" i="64"/>
  <c r="F67" i="64"/>
  <c r="F66" i="64"/>
  <c r="F103" i="64"/>
  <c r="F94" i="64"/>
  <c r="F93" i="64"/>
  <c r="F82" i="64"/>
  <c r="F81" i="64"/>
  <c r="F104" i="64"/>
  <c r="F102" i="64"/>
  <c r="F69" i="64"/>
  <c r="F68" i="64"/>
  <c r="F105" i="64"/>
  <c r="F96" i="64"/>
  <c r="F95" i="64"/>
  <c r="F88" i="64"/>
  <c r="V25" i="64"/>
  <c r="V46" i="64"/>
  <c r="V47" i="64"/>
  <c r="J59" i="64"/>
  <c r="Z72" i="64"/>
  <c r="J75" i="64"/>
  <c r="P16" i="68"/>
  <c r="R19" i="68"/>
  <c r="R25" i="68"/>
  <c r="F27" i="68"/>
  <c r="F32" i="68"/>
  <c r="V33" i="68"/>
  <c r="V38" i="68"/>
  <c r="V43" i="68"/>
  <c r="V61" i="68"/>
  <c r="J122" i="69"/>
  <c r="V49" i="70"/>
  <c r="Z68" i="70"/>
  <c r="V70" i="70"/>
  <c r="F51" i="68"/>
  <c r="F50" i="68"/>
  <c r="F39" i="68"/>
  <c r="F35" i="68"/>
  <c r="F31" i="68"/>
  <c r="F57" i="68"/>
  <c r="F41" i="68"/>
  <c r="F40" i="68"/>
  <c r="F59" i="68"/>
  <c r="F58" i="68"/>
  <c r="F43" i="68"/>
  <c r="F42" i="68"/>
  <c r="F28" i="68"/>
  <c r="F55" i="68"/>
  <c r="F47" i="68"/>
  <c r="F46" i="68"/>
  <c r="F65" i="68"/>
  <c r="F63" i="68"/>
  <c r="F38" i="68"/>
  <c r="F34" i="68"/>
  <c r="F30" i="68"/>
  <c r="F29" i="68"/>
  <c r="D16" i="68"/>
  <c r="T16" i="68"/>
  <c r="V18" i="68"/>
  <c r="F21" i="68"/>
  <c r="V22" i="68"/>
  <c r="F24" i="68"/>
  <c r="V25" i="68"/>
  <c r="F37" i="68"/>
  <c r="X46" i="68"/>
  <c r="Z46" i="68" s="1"/>
  <c r="V56" i="68"/>
  <c r="F60" i="68"/>
  <c r="F69" i="68"/>
  <c r="J84" i="69"/>
  <c r="J86" i="69"/>
  <c r="J95" i="69"/>
  <c r="L101" i="69"/>
  <c r="Z127" i="69"/>
  <c r="X127" i="69"/>
  <c r="V25" i="70"/>
  <c r="X24" i="77"/>
  <c r="P12" i="77"/>
  <c r="J40" i="68"/>
  <c r="J26" i="68"/>
  <c r="J58" i="68"/>
  <c r="J52" i="68"/>
  <c r="J42" i="68"/>
  <c r="J36" i="68"/>
  <c r="J32" i="68"/>
  <c r="N12" i="68"/>
  <c r="J60" i="68"/>
  <c r="J54" i="68"/>
  <c r="J44" i="68"/>
  <c r="J65" i="68"/>
  <c r="J63" i="68"/>
  <c r="J55" i="68"/>
  <c r="J47" i="68"/>
  <c r="J29" i="68"/>
  <c r="J48" i="68"/>
  <c r="J38" i="68"/>
  <c r="J34" i="68"/>
  <c r="J67" i="68"/>
  <c r="J49" i="68"/>
  <c r="J25" i="68"/>
  <c r="J21" i="68"/>
  <c r="V16" i="68"/>
  <c r="X18" i="68"/>
  <c r="Z18" i="68" s="1"/>
  <c r="V19" i="68"/>
  <c r="J24" i="68"/>
  <c r="J37" i="68"/>
  <c r="N42" i="68"/>
  <c r="L50" i="68"/>
  <c r="J53" i="68"/>
  <c r="R58" i="68"/>
  <c r="N60" i="68"/>
  <c r="J69" i="68"/>
  <c r="J52" i="69"/>
  <c r="J78" i="69"/>
  <c r="J80" i="69"/>
  <c r="Z122" i="69"/>
  <c r="L12" i="68"/>
  <c r="X19" i="68"/>
  <c r="Z19" i="68" s="1"/>
  <c r="R30" i="68"/>
  <c r="R32" i="68"/>
  <c r="V45" i="68"/>
  <c r="N50" i="68"/>
  <c r="J113" i="69"/>
  <c r="J103" i="69"/>
  <c r="J73" i="69"/>
  <c r="J69" i="69"/>
  <c r="J65" i="69"/>
  <c r="J61" i="69"/>
  <c r="J57" i="69"/>
  <c r="J53" i="69"/>
  <c r="J132" i="69"/>
  <c r="J120" i="69"/>
  <c r="J104" i="69"/>
  <c r="J87" i="69"/>
  <c r="J83" i="69"/>
  <c r="J79" i="69"/>
  <c r="J77" i="69"/>
  <c r="J114" i="69"/>
  <c r="J88" i="69"/>
  <c r="H75" i="69"/>
  <c r="J70" i="69"/>
  <c r="J66" i="69"/>
  <c r="J62" i="69"/>
  <c r="J58" i="69"/>
  <c r="J54" i="69"/>
  <c r="J121" i="69"/>
  <c r="J115" i="69"/>
  <c r="J105" i="69"/>
  <c r="J97" i="69"/>
  <c r="J93" i="69"/>
  <c r="J89" i="69"/>
  <c r="J123" i="69"/>
  <c r="J107" i="69"/>
  <c r="J71" i="69"/>
  <c r="J67" i="69"/>
  <c r="J63" i="69"/>
  <c r="J59" i="69"/>
  <c r="J55" i="69"/>
  <c r="J124" i="69"/>
  <c r="J108" i="69"/>
  <c r="J98" i="69"/>
  <c r="J94" i="69"/>
  <c r="J90" i="69"/>
  <c r="J125" i="69"/>
  <c r="J117" i="69"/>
  <c r="J109" i="69"/>
  <c r="J99" i="69"/>
  <c r="J85" i="69"/>
  <c r="J81" i="69"/>
  <c r="J118" i="69"/>
  <c r="J110" i="69"/>
  <c r="J100" i="69"/>
  <c r="J72" i="69"/>
  <c r="J68" i="69"/>
  <c r="J64" i="69"/>
  <c r="J60" i="69"/>
  <c r="J56" i="69"/>
  <c r="J101" i="69"/>
  <c r="V74" i="70"/>
  <c r="V67" i="70"/>
  <c r="V51" i="70"/>
  <c r="V43" i="70"/>
  <c r="V39" i="70"/>
  <c r="V35" i="70"/>
  <c r="T22" i="70"/>
  <c r="V81" i="70"/>
  <c r="V62" i="70"/>
  <c r="V34" i="70"/>
  <c r="V30" i="70"/>
  <c r="V26" i="70"/>
  <c r="V69" i="70"/>
  <c r="V53" i="70"/>
  <c r="V17" i="70"/>
  <c r="V64" i="70"/>
  <c r="V44" i="70"/>
  <c r="V40" i="70"/>
  <c r="V36" i="70"/>
  <c r="V75" i="70"/>
  <c r="V63" i="70"/>
  <c r="V55" i="70"/>
  <c r="V31" i="70"/>
  <c r="V27" i="70"/>
  <c r="V65" i="70"/>
  <c r="V57" i="70"/>
  <c r="V45" i="70"/>
  <c r="V41" i="70"/>
  <c r="V37" i="70"/>
  <c r="V72" i="70"/>
  <c r="V56" i="70"/>
  <c r="V48" i="70"/>
  <c r="V32" i="70"/>
  <c r="V28" i="70"/>
  <c r="V71" i="70"/>
  <c r="V59" i="70"/>
  <c r="V47" i="70"/>
  <c r="V19" i="70"/>
  <c r="V66" i="70"/>
  <c r="V58" i="70"/>
  <c r="V50" i="70"/>
  <c r="V42" i="70"/>
  <c r="V38" i="70"/>
  <c r="Z12" i="70"/>
  <c r="L61" i="70"/>
  <c r="N61" i="70" s="1"/>
  <c r="V77" i="70"/>
  <c r="T127" i="71"/>
  <c r="R60" i="68"/>
  <c r="R59" i="68"/>
  <c r="R44" i="68"/>
  <c r="R43" i="68"/>
  <c r="R27" i="68"/>
  <c r="R61" i="68"/>
  <c r="R46" i="68"/>
  <c r="R45" i="68"/>
  <c r="R37" i="68"/>
  <c r="R33" i="68"/>
  <c r="R18" i="68"/>
  <c r="R16" i="68"/>
  <c r="R14" i="68"/>
  <c r="R55" i="68"/>
  <c r="R48" i="68"/>
  <c r="R47" i="68"/>
  <c r="R72" i="68"/>
  <c r="R69" i="68"/>
  <c r="R56" i="68"/>
  <c r="R51" i="68"/>
  <c r="R40" i="68"/>
  <c r="R39" i="68"/>
  <c r="R35" i="68"/>
  <c r="R31" i="68"/>
  <c r="R26" i="68"/>
  <c r="R22" i="68"/>
  <c r="R21" i="68"/>
  <c r="V40" i="68"/>
  <c r="F52" i="68"/>
  <c r="J92" i="69"/>
  <c r="J111" i="69"/>
  <c r="N115" i="69"/>
  <c r="L115" i="69"/>
  <c r="Z55" i="70"/>
  <c r="X55" i="70"/>
  <c r="R63" i="70"/>
  <c r="V54" i="68"/>
  <c r="V46" i="68"/>
  <c r="V48" i="68"/>
  <c r="V28" i="68"/>
  <c r="V24" i="68"/>
  <c r="V20" i="68"/>
  <c r="V50" i="68"/>
  <c r="V51" i="68"/>
  <c r="V39" i="68"/>
  <c r="V35" i="68"/>
  <c r="V31" i="68"/>
  <c r="V58" i="68"/>
  <c r="V42" i="68"/>
  <c r="V57" i="68"/>
  <c r="V53" i="68"/>
  <c r="V41" i="68"/>
  <c r="V21" i="68"/>
  <c r="R24" i="68"/>
  <c r="F36" i="68"/>
  <c r="V37" i="68"/>
  <c r="R42" i="68"/>
  <c r="R53" i="68"/>
  <c r="V55" i="68"/>
  <c r="Z60" i="68"/>
  <c r="V69" i="68"/>
  <c r="X14" i="69"/>
  <c r="P12" i="69"/>
  <c r="X88" i="69"/>
  <c r="Z101" i="69"/>
  <c r="X101" i="69"/>
  <c r="J119" i="69"/>
  <c r="J128" i="69"/>
  <c r="Z24" i="70"/>
  <c r="Z61" i="70"/>
  <c r="V73" i="70"/>
  <c r="L72" i="79"/>
  <c r="D67" i="79"/>
  <c r="L67" i="79" s="1"/>
  <c r="X12" i="68"/>
  <c r="F18" i="68"/>
  <c r="F19" i="68"/>
  <c r="J20" i="68"/>
  <c r="J23" i="68"/>
  <c r="R34" i="68"/>
  <c r="L44" i="68"/>
  <c r="N44" i="68" s="1"/>
  <c r="V47" i="68"/>
  <c r="F49" i="68"/>
  <c r="R50" i="68"/>
  <c r="R52" i="68"/>
  <c r="X53" i="68"/>
  <c r="Z53" i="68" s="1"/>
  <c r="J59" i="68"/>
  <c r="V60" i="68"/>
  <c r="F67" i="68"/>
  <c r="N77" i="69"/>
  <c r="J96" i="69"/>
  <c r="Z115" i="69"/>
  <c r="V24" i="70"/>
  <c r="V46" i="70"/>
  <c r="R59" i="70"/>
  <c r="V61" i="70"/>
  <c r="F77" i="73"/>
  <c r="F73" i="73"/>
  <c r="F72" i="73"/>
  <c r="F65" i="73"/>
  <c r="F64" i="73"/>
  <c r="F53" i="73"/>
  <c r="F52" i="73"/>
  <c r="F37" i="73"/>
  <c r="F33" i="73"/>
  <c r="F24" i="73"/>
  <c r="F67" i="73"/>
  <c r="F66" i="73"/>
  <c r="F55" i="73"/>
  <c r="F54" i="73"/>
  <c r="F47" i="73"/>
  <c r="F43" i="73"/>
  <c r="F78" i="73"/>
  <c r="F74" i="73"/>
  <c r="F38" i="73"/>
  <c r="F34" i="73"/>
  <c r="F30" i="73"/>
  <c r="F29" i="73"/>
  <c r="L12" i="73"/>
  <c r="F57" i="73"/>
  <c r="F56" i="73"/>
  <c r="F28" i="73"/>
  <c r="F80" i="73"/>
  <c r="F79" i="73"/>
  <c r="F68" i="73"/>
  <c r="F48" i="73"/>
  <c r="F44" i="73"/>
  <c r="F40" i="73"/>
  <c r="F39" i="73"/>
  <c r="F82" i="73"/>
  <c r="F81" i="73"/>
  <c r="F22" i="73"/>
  <c r="F21" i="73"/>
  <c r="F69" i="73"/>
  <c r="F61" i="73"/>
  <c r="F60" i="73"/>
  <c r="F49" i="73"/>
  <c r="F45" i="73"/>
  <c r="F41" i="73"/>
  <c r="F76" i="73"/>
  <c r="F36" i="73"/>
  <c r="F32" i="73"/>
  <c r="F35" i="73"/>
  <c r="F50" i="73"/>
  <c r="D26" i="73"/>
  <c r="F63" i="73"/>
  <c r="F58" i="73"/>
  <c r="F23" i="73"/>
  <c r="F70" i="73"/>
  <c r="F46" i="73"/>
  <c r="F75" i="73"/>
  <c r="F84" i="73"/>
  <c r="F51" i="73"/>
  <c r="F42" i="73"/>
  <c r="F62" i="73"/>
  <c r="F59" i="73"/>
  <c r="F31" i="73"/>
  <c r="Z12" i="68"/>
  <c r="R29" i="68"/>
  <c r="V34" i="68"/>
  <c r="X44" i="68"/>
  <c r="Z44" i="68" s="1"/>
  <c r="Z50" i="68"/>
  <c r="V52" i="68"/>
  <c r="R57" i="68"/>
  <c r="F72" i="68"/>
  <c r="Z88" i="69"/>
  <c r="J102" i="69"/>
  <c r="L15" i="70"/>
  <c r="D12" i="70"/>
  <c r="V20" i="70"/>
  <c r="R33" i="70"/>
  <c r="X50" i="70"/>
  <c r="L64" i="70"/>
  <c r="N64" i="70" s="1"/>
  <c r="D12" i="71"/>
  <c r="L13" i="71"/>
  <c r="H72" i="68"/>
  <c r="R36" i="68"/>
  <c r="F54" i="68"/>
  <c r="F61" i="68"/>
  <c r="R63" i="68"/>
  <c r="V62" i="76"/>
  <c r="F14" i="68"/>
  <c r="L18" i="68"/>
  <c r="N18" i="68" s="1"/>
  <c r="R20" i="68"/>
  <c r="F22" i="68"/>
  <c r="R23" i="68"/>
  <c r="F25" i="68"/>
  <c r="V29" i="68"/>
  <c r="J33" i="68"/>
  <c r="V36" i="68"/>
  <c r="J43" i="68"/>
  <c r="V44" i="68"/>
  <c r="J46" i="68"/>
  <c r="R49" i="68"/>
  <c r="F56" i="68"/>
  <c r="V59" i="68"/>
  <c r="J61" i="68"/>
  <c r="R67" i="68"/>
  <c r="D12" i="69"/>
  <c r="L13" i="69"/>
  <c r="N13" i="69" s="1"/>
  <c r="J116" i="69"/>
  <c r="L127" i="69"/>
  <c r="R74" i="70"/>
  <c r="R81" i="70"/>
  <c r="R73" i="70"/>
  <c r="R61" i="70"/>
  <c r="R60" i="70"/>
  <c r="R25" i="70"/>
  <c r="R20" i="70"/>
  <c r="R68" i="70"/>
  <c r="R67" i="70"/>
  <c r="R52" i="70"/>
  <c r="R51" i="70"/>
  <c r="R43" i="70"/>
  <c r="R39" i="70"/>
  <c r="R24" i="70"/>
  <c r="R22" i="70"/>
  <c r="R62" i="70"/>
  <c r="R35" i="70"/>
  <c r="R34" i="70"/>
  <c r="R30" i="70"/>
  <c r="R26" i="70"/>
  <c r="P22" i="70"/>
  <c r="R69" i="70"/>
  <c r="R53" i="70"/>
  <c r="R44" i="70"/>
  <c r="R40" i="70"/>
  <c r="R36" i="70"/>
  <c r="R17" i="70"/>
  <c r="R70" i="70"/>
  <c r="R55" i="70"/>
  <c r="R54" i="70"/>
  <c r="R18" i="70"/>
  <c r="R77" i="70"/>
  <c r="R65" i="70"/>
  <c r="R46" i="70"/>
  <c r="R45" i="70"/>
  <c r="R41" i="70"/>
  <c r="R37" i="70"/>
  <c r="R57" i="70"/>
  <c r="R56" i="70"/>
  <c r="R32" i="70"/>
  <c r="R28" i="70"/>
  <c r="R72" i="70"/>
  <c r="R71" i="70"/>
  <c r="R48" i="70"/>
  <c r="R47" i="70"/>
  <c r="R19" i="70"/>
  <c r="V29" i="70"/>
  <c r="R31" i="70"/>
  <c r="Z50" i="70"/>
  <c r="V52" i="70"/>
  <c r="T90" i="73"/>
  <c r="T100" i="74"/>
  <c r="V54" i="74"/>
  <c r="V23" i="68"/>
  <c r="R28" i="68"/>
  <c r="R41" i="68"/>
  <c r="V49" i="68"/>
  <c r="J51" i="68"/>
  <c r="J56" i="68"/>
  <c r="V63" i="68"/>
  <c r="V67" i="68"/>
  <c r="J91" i="69"/>
  <c r="J106" i="69"/>
  <c r="N110" i="69"/>
  <c r="L25" i="70"/>
  <c r="N25" i="70" s="1"/>
  <c r="R66" i="70"/>
  <c r="J14" i="68"/>
  <c r="N16" i="68"/>
  <c r="J35" i="68"/>
  <c r="R38" i="68"/>
  <c r="F45" i="68"/>
  <c r="F48" i="68"/>
  <c r="R54" i="68"/>
  <c r="N58" i="68"/>
  <c r="V72" i="68"/>
  <c r="J112" i="69"/>
  <c r="N118" i="69"/>
  <c r="J127" i="69"/>
  <c r="V22" i="70"/>
  <c r="X25" i="70"/>
  <c r="Z25" i="70" s="1"/>
  <c r="R27" i="70"/>
  <c r="R49" i="70"/>
  <c r="R58" i="70"/>
  <c r="V60" i="70"/>
  <c r="R64" i="70"/>
  <c r="F102" i="74"/>
  <c r="F79" i="74"/>
  <c r="F78" i="74"/>
  <c r="F51" i="74"/>
  <c r="F47" i="74"/>
  <c r="F43" i="74"/>
  <c r="F39" i="74"/>
  <c r="F90" i="74"/>
  <c r="F89" i="74"/>
  <c r="F74" i="74"/>
  <c r="F70" i="74"/>
  <c r="F81" i="74"/>
  <c r="F80" i="74"/>
  <c r="F65" i="74"/>
  <c r="F61" i="74"/>
  <c r="F92" i="74"/>
  <c r="F91" i="74"/>
  <c r="F52" i="74"/>
  <c r="F48" i="74"/>
  <c r="F44" i="74"/>
  <c r="F40" i="74"/>
  <c r="F75" i="74"/>
  <c r="F71" i="74"/>
  <c r="F94" i="74"/>
  <c r="F93" i="74"/>
  <c r="F82" i="74"/>
  <c r="F66" i="74"/>
  <c r="F62" i="74"/>
  <c r="F58" i="74"/>
  <c r="F57" i="74"/>
  <c r="F96" i="74"/>
  <c r="F95" i="74"/>
  <c r="F84" i="74"/>
  <c r="F83" i="74"/>
  <c r="F76" i="74"/>
  <c r="F72" i="74"/>
  <c r="F68" i="74"/>
  <c r="F67" i="74"/>
  <c r="D54" i="74"/>
  <c r="F63" i="74"/>
  <c r="F59" i="74"/>
  <c r="F86" i="74"/>
  <c r="F85" i="74"/>
  <c r="F50" i="74"/>
  <c r="F46" i="74"/>
  <c r="F42" i="74"/>
  <c r="F38" i="74"/>
  <c r="F49" i="74"/>
  <c r="F87" i="74"/>
  <c r="F45" i="74"/>
  <c r="F36" i="74"/>
  <c r="F64" i="74"/>
  <c r="F60" i="74"/>
  <c r="F56" i="74"/>
  <c r="F41" i="74"/>
  <c r="F98" i="74"/>
  <c r="F88" i="74"/>
  <c r="F37" i="74"/>
  <c r="L12" i="74"/>
  <c r="N12" i="74" s="1"/>
  <c r="F77" i="74"/>
  <c r="F73" i="74"/>
  <c r="F54" i="74"/>
  <c r="L67" i="74"/>
  <c r="N67" i="74" s="1"/>
  <c r="J67" i="74"/>
  <c r="X26" i="75"/>
  <c r="P12" i="75"/>
  <c r="Z83" i="75"/>
  <c r="V83" i="75"/>
  <c r="V107" i="77"/>
  <c r="V87" i="77"/>
  <c r="V109" i="77"/>
  <c r="V97" i="77"/>
  <c r="V89" i="77"/>
  <c r="V102" i="77"/>
  <c r="V88" i="77"/>
  <c r="V72" i="77"/>
  <c r="V108" i="77"/>
  <c r="V103" i="77"/>
  <c r="V79" i="77"/>
  <c r="V67" i="77"/>
  <c r="V63" i="77"/>
  <c r="V59" i="77"/>
  <c r="V99" i="77"/>
  <c r="V94" i="77"/>
  <c r="V76" i="77"/>
  <c r="V58" i="77"/>
  <c r="V54" i="77"/>
  <c r="V50" i="77"/>
  <c r="V46" i="77"/>
  <c r="V42" i="77"/>
  <c r="V95" i="77"/>
  <c r="V84" i="77"/>
  <c r="V73" i="77"/>
  <c r="T56" i="77"/>
  <c r="V56" i="77" s="1"/>
  <c r="V114" i="77"/>
  <c r="V91" i="77"/>
  <c r="V90" i="77"/>
  <c r="V85" i="77"/>
  <c r="V68" i="77"/>
  <c r="V64" i="77"/>
  <c r="V60" i="77"/>
  <c r="V80" i="77"/>
  <c r="V51" i="77"/>
  <c r="V47" i="77"/>
  <c r="V43" i="77"/>
  <c r="V104" i="77"/>
  <c r="V81" i="77"/>
  <c r="V77" i="77"/>
  <c r="V70" i="77"/>
  <c r="V110" i="77"/>
  <c r="V106" i="77"/>
  <c r="V100" i="77"/>
  <c r="V96" i="77"/>
  <c r="V74" i="77"/>
  <c r="V69" i="77"/>
  <c r="V65" i="77"/>
  <c r="V61" i="77"/>
  <c r="V92" i="77"/>
  <c r="V71" i="77"/>
  <c r="V78" i="77"/>
  <c r="V52" i="77"/>
  <c r="V48" i="77"/>
  <c r="V44" i="77"/>
  <c r="V83" i="77"/>
  <c r="V98" i="77"/>
  <c r="V66" i="77"/>
  <c r="V62" i="77"/>
  <c r="V75" i="77"/>
  <c r="V41" i="77"/>
  <c r="V101" i="77"/>
  <c r="V82" i="77"/>
  <c r="V40" i="77"/>
  <c r="X39" i="79"/>
  <c r="Z39" i="79" s="1"/>
  <c r="X77" i="81"/>
  <c r="Z77" i="81" s="1"/>
  <c r="T75" i="69"/>
  <c r="V88" i="69"/>
  <c r="V92" i="69"/>
  <c r="V96" i="69"/>
  <c r="V104" i="69"/>
  <c r="V120" i="69"/>
  <c r="V132" i="69"/>
  <c r="J18" i="70"/>
  <c r="J54" i="70"/>
  <c r="J64" i="70"/>
  <c r="J70" i="70"/>
  <c r="X42" i="71"/>
  <c r="Z42" i="71" s="1"/>
  <c r="J70" i="71"/>
  <c r="J72" i="71"/>
  <c r="J77" i="71"/>
  <c r="J92" i="71"/>
  <c r="X93" i="71"/>
  <c r="L95" i="71"/>
  <c r="N95" i="71" s="1"/>
  <c r="J98" i="71"/>
  <c r="J101" i="71"/>
  <c r="J106" i="71"/>
  <c r="D121" i="71"/>
  <c r="L121" i="71" s="1"/>
  <c r="Z39" i="73"/>
  <c r="J52" i="73"/>
  <c r="X57" i="74"/>
  <c r="Z78" i="74"/>
  <c r="R57" i="76"/>
  <c r="Z85" i="77"/>
  <c r="Z87" i="77"/>
  <c r="V53" i="69"/>
  <c r="V57" i="69"/>
  <c r="V61" i="69"/>
  <c r="V65" i="69"/>
  <c r="V69" i="69"/>
  <c r="V73" i="69"/>
  <c r="V75" i="69"/>
  <c r="V77" i="69"/>
  <c r="V113" i="69"/>
  <c r="J17" i="70"/>
  <c r="J27" i="70"/>
  <c r="J31" i="70"/>
  <c r="J63" i="70"/>
  <c r="Z72" i="70"/>
  <c r="J75" i="70"/>
  <c r="X77" i="70"/>
  <c r="J44" i="71"/>
  <c r="J52" i="71"/>
  <c r="H61" i="71"/>
  <c r="V68" i="71"/>
  <c r="J74" i="71"/>
  <c r="J81" i="71"/>
  <c r="Z93" i="71"/>
  <c r="J95" i="71"/>
  <c r="L100" i="71"/>
  <c r="N100" i="71" s="1"/>
  <c r="X106" i="71"/>
  <c r="Z106" i="71" s="1"/>
  <c r="N121" i="71"/>
  <c r="Z67" i="74"/>
  <c r="V53" i="77"/>
  <c r="V78" i="69"/>
  <c r="V82" i="69"/>
  <c r="V86" i="69"/>
  <c r="V102" i="69"/>
  <c r="J36" i="70"/>
  <c r="J40" i="70"/>
  <c r="J44" i="70"/>
  <c r="V72" i="71"/>
  <c r="J86" i="71"/>
  <c r="X98" i="71"/>
  <c r="Z98" i="71" s="1"/>
  <c r="J108" i="71"/>
  <c r="N115" i="71"/>
  <c r="P121" i="71"/>
  <c r="X121" i="71" s="1"/>
  <c r="Z121" i="71" s="1"/>
  <c r="L64" i="73"/>
  <c r="Z57" i="74"/>
  <c r="V57" i="74"/>
  <c r="N95" i="74"/>
  <c r="L95" i="74"/>
  <c r="N57" i="75"/>
  <c r="V91" i="69"/>
  <c r="V95" i="69"/>
  <c r="V103" i="69"/>
  <c r="V111" i="69"/>
  <c r="V119" i="69"/>
  <c r="H22" i="70"/>
  <c r="J35" i="70"/>
  <c r="J53" i="70"/>
  <c r="J69" i="70"/>
  <c r="V42" i="71"/>
  <c r="J49" i="71"/>
  <c r="V50" i="71"/>
  <c r="J57" i="71"/>
  <c r="V58" i="71"/>
  <c r="V77" i="71"/>
  <c r="V92" i="71"/>
  <c r="V113" i="71"/>
  <c r="V124" i="71"/>
  <c r="N64" i="73"/>
  <c r="N81" i="73"/>
  <c r="L81" i="73"/>
  <c r="J81" i="73"/>
  <c r="Z89" i="74"/>
  <c r="X89" i="74"/>
  <c r="V89" i="74"/>
  <c r="R59" i="76"/>
  <c r="V49" i="77"/>
  <c r="L52" i="79"/>
  <c r="N52" i="79" s="1"/>
  <c r="N91" i="71"/>
  <c r="P12" i="73"/>
  <c r="X13" i="73"/>
  <c r="L83" i="74"/>
  <c r="N83" i="74" s="1"/>
  <c r="V81" i="69"/>
  <c r="V85" i="69"/>
  <c r="V101" i="69"/>
  <c r="V109" i="69"/>
  <c r="V117" i="69"/>
  <c r="V125" i="69"/>
  <c r="V127" i="69"/>
  <c r="J25" i="70"/>
  <c r="J39" i="70"/>
  <c r="J43" i="70"/>
  <c r="J51" i="70"/>
  <c r="J61" i="70"/>
  <c r="J67" i="70"/>
  <c r="J81" i="70"/>
  <c r="J119" i="71"/>
  <c r="J111" i="71"/>
  <c r="J87" i="71"/>
  <c r="J59" i="71"/>
  <c r="J55" i="71"/>
  <c r="J51" i="71"/>
  <c r="J47" i="71"/>
  <c r="J43" i="71"/>
  <c r="J112" i="71"/>
  <c r="J88" i="71"/>
  <c r="J82" i="71"/>
  <c r="J78" i="71"/>
  <c r="J64" i="71"/>
  <c r="J122" i="71"/>
  <c r="J121" i="71"/>
  <c r="J113" i="71"/>
  <c r="J105" i="71"/>
  <c r="J97" i="71"/>
  <c r="J89" i="71"/>
  <c r="J73" i="71"/>
  <c r="J69" i="71"/>
  <c r="J65" i="71"/>
  <c r="J63" i="71"/>
  <c r="J61" i="71"/>
  <c r="J123" i="71"/>
  <c r="J124" i="71"/>
  <c r="J107" i="71"/>
  <c r="J99" i="71"/>
  <c r="J83" i="71"/>
  <c r="J79" i="71"/>
  <c r="J129" i="71"/>
  <c r="J117" i="71"/>
  <c r="J103" i="71"/>
  <c r="J93" i="71"/>
  <c r="J71" i="71"/>
  <c r="J67" i="71"/>
  <c r="J118" i="71"/>
  <c r="J110" i="71"/>
  <c r="J94" i="71"/>
  <c r="J46" i="71"/>
  <c r="J54" i="71"/>
  <c r="J80" i="71"/>
  <c r="V81" i="71"/>
  <c r="V89" i="71"/>
  <c r="J91" i="71"/>
  <c r="X95" i="71"/>
  <c r="Z95" i="71" s="1"/>
  <c r="V97" i="71"/>
  <c r="N56" i="73"/>
  <c r="T123" i="75"/>
  <c r="T32" i="76"/>
  <c r="Z30" i="76"/>
  <c r="V45" i="77"/>
  <c r="N59" i="77"/>
  <c r="V98" i="69"/>
  <c r="V110" i="69"/>
  <c r="V118" i="69"/>
  <c r="J20" i="70"/>
  <c r="J50" i="70"/>
  <c r="J60" i="70"/>
  <c r="J73" i="70"/>
  <c r="V65" i="71"/>
  <c r="L91" i="71"/>
  <c r="V105" i="71"/>
  <c r="V108" i="71"/>
  <c r="V110" i="71"/>
  <c r="H26" i="73"/>
  <c r="N21" i="73"/>
  <c r="L21" i="73"/>
  <c r="X56" i="74"/>
  <c r="Z56" i="74" s="1"/>
  <c r="V80" i="75"/>
  <c r="R62" i="76"/>
  <c r="R61" i="76"/>
  <c r="R53" i="76"/>
  <c r="R49" i="76"/>
  <c r="R34" i="76"/>
  <c r="R30" i="76"/>
  <c r="R85" i="76"/>
  <c r="R84" i="76"/>
  <c r="R73" i="76"/>
  <c r="R72" i="76"/>
  <c r="R45" i="76"/>
  <c r="R44" i="76"/>
  <c r="R40" i="76"/>
  <c r="R36" i="76"/>
  <c r="P32" i="76"/>
  <c r="R32" i="76" s="1"/>
  <c r="X12" i="76"/>
  <c r="R79" i="76"/>
  <c r="R64" i="76"/>
  <c r="R63" i="76"/>
  <c r="R86" i="76"/>
  <c r="R74" i="76"/>
  <c r="R54" i="76"/>
  <c r="R50" i="76"/>
  <c r="R46" i="76"/>
  <c r="R89" i="76"/>
  <c r="R88" i="76"/>
  <c r="R66" i="76"/>
  <c r="R65" i="76"/>
  <c r="R41" i="76"/>
  <c r="R37" i="76"/>
  <c r="R90" i="76"/>
  <c r="R80" i="76"/>
  <c r="R76" i="76"/>
  <c r="R75" i="76"/>
  <c r="R68" i="76"/>
  <c r="R67" i="76"/>
  <c r="R56" i="76"/>
  <c r="R55" i="76"/>
  <c r="R51" i="76"/>
  <c r="R47" i="76"/>
  <c r="R42" i="76"/>
  <c r="R38" i="76"/>
  <c r="R94" i="76"/>
  <c r="R52" i="76"/>
  <c r="R48" i="76"/>
  <c r="R83" i="76"/>
  <c r="R78" i="76"/>
  <c r="R58" i="76"/>
  <c r="R70" i="76"/>
  <c r="R81" i="76"/>
  <c r="R39" i="76"/>
  <c r="R35" i="76"/>
  <c r="R82" i="76"/>
  <c r="R71" i="76"/>
  <c r="J56" i="76"/>
  <c r="V55" i="69"/>
  <c r="V59" i="69"/>
  <c r="V63" i="69"/>
  <c r="V67" i="69"/>
  <c r="V71" i="69"/>
  <c r="V99" i="69"/>
  <c r="V107" i="69"/>
  <c r="V123" i="69"/>
  <c r="J29" i="70"/>
  <c r="J33" i="70"/>
  <c r="J49" i="70"/>
  <c r="J59" i="70"/>
  <c r="P12" i="71"/>
  <c r="J48" i="71"/>
  <c r="J56" i="71"/>
  <c r="L63" i="71"/>
  <c r="V76" i="71"/>
  <c r="V86" i="71"/>
  <c r="V94" i="71"/>
  <c r="J96" i="71"/>
  <c r="J102" i="71"/>
  <c r="J114" i="71"/>
  <c r="J21" i="73"/>
  <c r="Z64" i="73"/>
  <c r="N72" i="73"/>
  <c r="N36" i="74"/>
  <c r="V56" i="74"/>
  <c r="N94" i="75"/>
  <c r="Z110" i="75"/>
  <c r="L56" i="84"/>
  <c r="N56" i="84" s="1"/>
  <c r="J38" i="70"/>
  <c r="J42" i="70"/>
  <c r="J48" i="70"/>
  <c r="J58" i="70"/>
  <c r="J66" i="70"/>
  <c r="J72" i="70"/>
  <c r="L77" i="70"/>
  <c r="V127" i="71"/>
  <c r="V125" i="71"/>
  <c r="V115" i="71"/>
  <c r="V107" i="71"/>
  <c r="V99" i="71"/>
  <c r="V91" i="71"/>
  <c r="V83" i="71"/>
  <c r="V79" i="71"/>
  <c r="V75" i="71"/>
  <c r="V114" i="71"/>
  <c r="V102" i="71"/>
  <c r="V90" i="71"/>
  <c r="V74" i="71"/>
  <c r="V70" i="71"/>
  <c r="V66" i="71"/>
  <c r="V117" i="71"/>
  <c r="V109" i="71"/>
  <c r="V101" i="71"/>
  <c r="V93" i="71"/>
  <c r="V57" i="71"/>
  <c r="V53" i="71"/>
  <c r="V49" i="71"/>
  <c r="V45" i="71"/>
  <c r="V116" i="71"/>
  <c r="V129" i="71"/>
  <c r="V103" i="71"/>
  <c r="V95" i="71"/>
  <c r="V71" i="71"/>
  <c r="V67" i="71"/>
  <c r="V121" i="71"/>
  <c r="V119" i="71"/>
  <c r="V111" i="71"/>
  <c r="V87" i="71"/>
  <c r="V63" i="71"/>
  <c r="V61" i="71"/>
  <c r="V59" i="71"/>
  <c r="V55" i="71"/>
  <c r="V51" i="71"/>
  <c r="V47" i="71"/>
  <c r="V43" i="71"/>
  <c r="V122" i="71"/>
  <c r="V106" i="71"/>
  <c r="V98" i="71"/>
  <c r="V82" i="71"/>
  <c r="V78" i="71"/>
  <c r="N63" i="71"/>
  <c r="V69" i="71"/>
  <c r="N75" i="71"/>
  <c r="V80" i="71"/>
  <c r="J84" i="71"/>
  <c r="V85" i="71"/>
  <c r="Z86" i="71"/>
  <c r="V100" i="71"/>
  <c r="Z79" i="73"/>
  <c r="L78" i="74"/>
  <c r="N78" i="74" s="1"/>
  <c r="N59" i="80"/>
  <c r="L59" i="80"/>
  <c r="V89" i="69"/>
  <c r="V93" i="69"/>
  <c r="V97" i="69"/>
  <c r="V105" i="69"/>
  <c r="J19" i="70"/>
  <c r="J47" i="70"/>
  <c r="J57" i="70"/>
  <c r="J71" i="70"/>
  <c r="J42" i="71"/>
  <c r="J45" i="71"/>
  <c r="V46" i="71"/>
  <c r="J53" i="71"/>
  <c r="V54" i="71"/>
  <c r="V73" i="71"/>
  <c r="J75" i="71"/>
  <c r="J90" i="71"/>
  <c r="V96" i="71"/>
  <c r="J104" i="71"/>
  <c r="V112" i="71"/>
  <c r="J125" i="71"/>
  <c r="Z58" i="73"/>
  <c r="X58" i="73"/>
  <c r="X36" i="74"/>
  <c r="Z36" i="74" s="1"/>
  <c r="J78" i="74"/>
  <c r="D12" i="75"/>
  <c r="R43" i="76"/>
  <c r="N68" i="76"/>
  <c r="T27" i="79"/>
  <c r="J59" i="80"/>
  <c r="V39" i="73"/>
  <c r="V43" i="73"/>
  <c r="V47" i="73"/>
  <c r="V55" i="73"/>
  <c r="J63" i="73"/>
  <c r="V67" i="73"/>
  <c r="J71" i="73"/>
  <c r="V79" i="73"/>
  <c r="P12" i="74"/>
  <c r="J69" i="74"/>
  <c r="J73" i="74"/>
  <c r="J77" i="74"/>
  <c r="V81" i="74"/>
  <c r="J87" i="74"/>
  <c r="V93" i="74"/>
  <c r="J40" i="75"/>
  <c r="J52" i="75"/>
  <c r="N67" i="75"/>
  <c r="J80" i="75"/>
  <c r="N85" i="75"/>
  <c r="J94" i="75"/>
  <c r="X97" i="75"/>
  <c r="P118" i="75"/>
  <c r="X118" i="75" s="1"/>
  <c r="N45" i="76"/>
  <c r="N73" i="76"/>
  <c r="V24" i="73"/>
  <c r="V26" i="73"/>
  <c r="V28" i="73"/>
  <c r="J32" i="73"/>
  <c r="J36" i="73"/>
  <c r="J50" i="73"/>
  <c r="V56" i="73"/>
  <c r="J62" i="73"/>
  <c r="J70" i="73"/>
  <c r="J76" i="73"/>
  <c r="J84" i="73"/>
  <c r="J38" i="74"/>
  <c r="J42" i="74"/>
  <c r="J46" i="74"/>
  <c r="J50" i="74"/>
  <c r="V70" i="74"/>
  <c r="V74" i="74"/>
  <c r="J86" i="74"/>
  <c r="V90" i="74"/>
  <c r="J98" i="74"/>
  <c r="V102" i="74"/>
  <c r="X36" i="75"/>
  <c r="Z36" i="75" s="1"/>
  <c r="J47" i="75"/>
  <c r="X67" i="75"/>
  <c r="Z67" i="75" s="1"/>
  <c r="J74" i="75"/>
  <c r="J85" i="75"/>
  <c r="J88" i="75"/>
  <c r="X92" i="75"/>
  <c r="Z92" i="75" s="1"/>
  <c r="J104" i="75"/>
  <c r="Z118" i="75"/>
  <c r="H32" i="76"/>
  <c r="L68" i="76"/>
  <c r="P27" i="79"/>
  <c r="Z25" i="80"/>
  <c r="R59" i="80"/>
  <c r="X69" i="81"/>
  <c r="Z69" i="81" s="1"/>
  <c r="J63" i="74"/>
  <c r="J85" i="74"/>
  <c r="X80" i="75"/>
  <c r="Z80" i="75" s="1"/>
  <c r="Z97" i="75"/>
  <c r="N101" i="75"/>
  <c r="L56" i="76"/>
  <c r="N56" i="76" s="1"/>
  <c r="N94" i="84"/>
  <c r="H96" i="84"/>
  <c r="H54" i="74"/>
  <c r="J83" i="74"/>
  <c r="J95" i="74"/>
  <c r="J120" i="75"/>
  <c r="J109" i="75"/>
  <c r="J105" i="75"/>
  <c r="J89" i="75"/>
  <c r="J81" i="75"/>
  <c r="J65" i="75"/>
  <c r="J61" i="75"/>
  <c r="J121" i="75"/>
  <c r="J110" i="75"/>
  <c r="J111" i="75"/>
  <c r="J99" i="75"/>
  <c r="J91" i="75"/>
  <c r="J75" i="75"/>
  <c r="J71" i="75"/>
  <c r="J57" i="75"/>
  <c r="J112" i="75"/>
  <c r="J106" i="75"/>
  <c r="J92" i="75"/>
  <c r="J82" i="75"/>
  <c r="J66" i="75"/>
  <c r="J62" i="75"/>
  <c r="J58" i="75"/>
  <c r="J56" i="75"/>
  <c r="J36" i="75"/>
  <c r="J125" i="75"/>
  <c r="J113" i="75"/>
  <c r="J93" i="75"/>
  <c r="J83" i="75"/>
  <c r="J67" i="75"/>
  <c r="H54" i="75"/>
  <c r="J49" i="75"/>
  <c r="J45" i="75"/>
  <c r="J41" i="75"/>
  <c r="J37" i="75"/>
  <c r="J115" i="75"/>
  <c r="J102" i="75"/>
  <c r="J86" i="75"/>
  <c r="J50" i="75"/>
  <c r="J46" i="75"/>
  <c r="J42" i="75"/>
  <c r="J38" i="75"/>
  <c r="J116" i="75"/>
  <c r="J108" i="75"/>
  <c r="J96" i="75"/>
  <c r="J78" i="75"/>
  <c r="J64" i="75"/>
  <c r="J60" i="75"/>
  <c r="J44" i="75"/>
  <c r="J84" i="75"/>
  <c r="J98" i="75"/>
  <c r="Z104" i="75"/>
  <c r="N114" i="75"/>
  <c r="N61" i="79"/>
  <c r="V32" i="73"/>
  <c r="V36" i="73"/>
  <c r="J40" i="73"/>
  <c r="J44" i="73"/>
  <c r="J48" i="73"/>
  <c r="V52" i="73"/>
  <c r="J58" i="73"/>
  <c r="V64" i="73"/>
  <c r="J68" i="73"/>
  <c r="V72" i="73"/>
  <c r="V76" i="73"/>
  <c r="J80" i="73"/>
  <c r="J36" i="74"/>
  <c r="V38" i="74"/>
  <c r="V42" i="74"/>
  <c r="V46" i="74"/>
  <c r="V50" i="74"/>
  <c r="J54" i="74"/>
  <c r="J56" i="74"/>
  <c r="J58" i="74"/>
  <c r="J62" i="74"/>
  <c r="J66" i="74"/>
  <c r="V78" i="74"/>
  <c r="J82" i="74"/>
  <c r="V86" i="74"/>
  <c r="J94" i="74"/>
  <c r="J39" i="75"/>
  <c r="J51" i="75"/>
  <c r="X85" i="75"/>
  <c r="Z85" i="75" s="1"/>
  <c r="Z88" i="75"/>
  <c r="J90" i="75"/>
  <c r="J100" i="75"/>
  <c r="J103" i="75"/>
  <c r="V104" i="75"/>
  <c r="J114" i="75"/>
  <c r="J119" i="75"/>
  <c r="L34" i="76"/>
  <c r="Z35" i="76"/>
  <c r="Z66" i="76"/>
  <c r="L76" i="76"/>
  <c r="N76" i="76" s="1"/>
  <c r="D88" i="76"/>
  <c r="L88" i="76" s="1"/>
  <c r="N88" i="76" s="1"/>
  <c r="L61" i="79"/>
  <c r="V69" i="73"/>
  <c r="J71" i="74"/>
  <c r="J75" i="74"/>
  <c r="J93" i="74"/>
  <c r="J73" i="75"/>
  <c r="J107" i="75"/>
  <c r="N34" i="76"/>
  <c r="X68" i="76"/>
  <c r="Z68" i="76" s="1"/>
  <c r="D12" i="77"/>
  <c r="D12" i="79"/>
  <c r="Z59" i="79"/>
  <c r="P67" i="79"/>
  <c r="X67" i="79" s="1"/>
  <c r="Z67" i="79" s="1"/>
  <c r="N12" i="73"/>
  <c r="V22" i="73"/>
  <c r="J26" i="73"/>
  <c r="J28" i="73"/>
  <c r="J30" i="73"/>
  <c r="J34" i="73"/>
  <c r="J38" i="73"/>
  <c r="V50" i="73"/>
  <c r="J56" i="73"/>
  <c r="V62" i="73"/>
  <c r="V70" i="73"/>
  <c r="J74" i="73"/>
  <c r="J78" i="73"/>
  <c r="V82" i="73"/>
  <c r="V84" i="73"/>
  <c r="V86" i="73"/>
  <c r="J40" i="74"/>
  <c r="J44" i="74"/>
  <c r="J48" i="74"/>
  <c r="J52" i="74"/>
  <c r="V68" i="74"/>
  <c r="V72" i="74"/>
  <c r="V76" i="74"/>
  <c r="V84" i="74"/>
  <c r="J92" i="74"/>
  <c r="V96" i="74"/>
  <c r="V98" i="74"/>
  <c r="X56" i="75"/>
  <c r="Z56" i="75" s="1"/>
  <c r="J68" i="75"/>
  <c r="N78" i="75"/>
  <c r="L83" i="75"/>
  <c r="J95" i="75"/>
  <c r="Z112" i="75"/>
  <c r="L30" i="76"/>
  <c r="X34" i="76"/>
  <c r="Z34" i="76" s="1"/>
  <c r="Z56" i="76"/>
  <c r="X56" i="76"/>
  <c r="J76" i="76"/>
  <c r="D106" i="77"/>
  <c r="L106" i="77" s="1"/>
  <c r="N106" i="77" s="1"/>
  <c r="J67" i="80"/>
  <c r="J49" i="80"/>
  <c r="J84" i="80"/>
  <c r="J50" i="80"/>
  <c r="J42" i="80"/>
  <c r="J38" i="80"/>
  <c r="J73" i="80"/>
  <c r="J61" i="80"/>
  <c r="J51" i="80"/>
  <c r="J33" i="80"/>
  <c r="J29" i="80"/>
  <c r="J53" i="80"/>
  <c r="J43" i="80"/>
  <c r="J39" i="80"/>
  <c r="J35" i="80"/>
  <c r="J25" i="80"/>
  <c r="J74" i="80"/>
  <c r="J62" i="80"/>
  <c r="J54" i="80"/>
  <c r="J30" i="80"/>
  <c r="J26" i="80"/>
  <c r="J24" i="80"/>
  <c r="J75" i="80"/>
  <c r="J76" i="80"/>
  <c r="J70" i="80"/>
  <c r="J64" i="80"/>
  <c r="J56" i="80"/>
  <c r="J44" i="80"/>
  <c r="J40" i="80"/>
  <c r="J36" i="80"/>
  <c r="J77" i="80"/>
  <c r="J71" i="80"/>
  <c r="J57" i="80"/>
  <c r="J45" i="80"/>
  <c r="J31" i="80"/>
  <c r="J27" i="80"/>
  <c r="J17" i="80"/>
  <c r="J78" i="80"/>
  <c r="J58" i="80"/>
  <c r="J46" i="80"/>
  <c r="J37" i="80"/>
  <c r="J55" i="80"/>
  <c r="J20" i="80"/>
  <c r="J80" i="80"/>
  <c r="J48" i="80"/>
  <c r="J18" i="80"/>
  <c r="J60" i="80"/>
  <c r="J69" i="80"/>
  <c r="J65" i="80"/>
  <c r="J34" i="80"/>
  <c r="J63" i="80"/>
  <c r="H22" i="80"/>
  <c r="J22" i="80" s="1"/>
  <c r="J32" i="80"/>
  <c r="J28" i="80"/>
  <c r="Z77" i="80"/>
  <c r="N59" i="81"/>
  <c r="V35" i="73"/>
  <c r="V59" i="73"/>
  <c r="J67" i="73"/>
  <c r="V75" i="73"/>
  <c r="J61" i="74"/>
  <c r="J65" i="74"/>
  <c r="J81" i="74"/>
  <c r="V85" i="74"/>
  <c r="J48" i="75"/>
  <c r="L97" i="75"/>
  <c r="N97" i="75" s="1"/>
  <c r="L62" i="76"/>
  <c r="N62" i="76" s="1"/>
  <c r="Z70" i="76"/>
  <c r="N40" i="77"/>
  <c r="Z58" i="77"/>
  <c r="J91" i="77"/>
  <c r="L95" i="77"/>
  <c r="R65" i="79"/>
  <c r="R30" i="79"/>
  <c r="R68" i="79"/>
  <c r="R57" i="79"/>
  <c r="R56" i="79"/>
  <c r="R48" i="79"/>
  <c r="R44" i="79"/>
  <c r="R40" i="79"/>
  <c r="R29" i="79"/>
  <c r="R27" i="79"/>
  <c r="R70" i="79"/>
  <c r="R59" i="79"/>
  <c r="R58" i="79"/>
  <c r="R22" i="79"/>
  <c r="X12" i="79"/>
  <c r="Z12" i="79" s="1"/>
  <c r="R71" i="79"/>
  <c r="R50" i="79"/>
  <c r="R49" i="79"/>
  <c r="R45" i="79"/>
  <c r="R41" i="79"/>
  <c r="R52" i="79"/>
  <c r="R51" i="79"/>
  <c r="R23" i="79"/>
  <c r="R62" i="79"/>
  <c r="R46" i="79"/>
  <c r="R42" i="79"/>
  <c r="R19" i="79"/>
  <c r="R34" i="79"/>
  <c r="R24" i="79"/>
  <c r="R69" i="79"/>
  <c r="R72" i="79"/>
  <c r="R37" i="79"/>
  <c r="R32" i="79"/>
  <c r="R76" i="79"/>
  <c r="R63" i="79"/>
  <c r="R60" i="79"/>
  <c r="R55" i="79"/>
  <c r="R47" i="79"/>
  <c r="R35" i="79"/>
  <c r="R25" i="79"/>
  <c r="R20" i="79"/>
  <c r="R61" i="79"/>
  <c r="R64" i="79"/>
  <c r="R43" i="79"/>
  <c r="R38" i="79"/>
  <c r="R33" i="79"/>
  <c r="R53" i="79"/>
  <c r="R39" i="79"/>
  <c r="R36" i="79"/>
  <c r="R68" i="80"/>
  <c r="R53" i="80"/>
  <c r="R52" i="80"/>
  <c r="R25" i="80"/>
  <c r="R43" i="80"/>
  <c r="R39" i="80"/>
  <c r="R35" i="80"/>
  <c r="R24" i="80"/>
  <c r="R75" i="80"/>
  <c r="R74" i="80"/>
  <c r="R63" i="80"/>
  <c r="R62" i="80"/>
  <c r="R55" i="80"/>
  <c r="R54" i="80"/>
  <c r="R30" i="80"/>
  <c r="R26" i="80"/>
  <c r="P22" i="80"/>
  <c r="R22" i="80" s="1"/>
  <c r="R77" i="80"/>
  <c r="R76" i="80"/>
  <c r="R64" i="80"/>
  <c r="R57" i="80"/>
  <c r="R56" i="80"/>
  <c r="R45" i="80"/>
  <c r="R44" i="80"/>
  <c r="R40" i="80"/>
  <c r="R36" i="80"/>
  <c r="R17" i="80"/>
  <c r="R71" i="80"/>
  <c r="R31" i="80"/>
  <c r="R27" i="80"/>
  <c r="R78" i="80"/>
  <c r="R80" i="80"/>
  <c r="R66" i="80"/>
  <c r="R65" i="80"/>
  <c r="R41" i="80"/>
  <c r="R37" i="80"/>
  <c r="R72" i="80"/>
  <c r="R60" i="80"/>
  <c r="R49" i="80"/>
  <c r="R48" i="80"/>
  <c r="R32" i="80"/>
  <c r="R28" i="80"/>
  <c r="R67" i="80"/>
  <c r="R18" i="80"/>
  <c r="R69" i="80"/>
  <c r="R46" i="80"/>
  <c r="R84" i="80"/>
  <c r="R51" i="80"/>
  <c r="R42" i="80"/>
  <c r="R38" i="80"/>
  <c r="R34" i="80"/>
  <c r="R58" i="80"/>
  <c r="R19" i="80"/>
  <c r="R70" i="80"/>
  <c r="R47" i="80"/>
  <c r="R61" i="80"/>
  <c r="R73" i="80"/>
  <c r="V40" i="73"/>
  <c r="V44" i="73"/>
  <c r="V48" i="73"/>
  <c r="J54" i="73"/>
  <c r="V60" i="73"/>
  <c r="J66" i="73"/>
  <c r="V68" i="73"/>
  <c r="J70" i="74"/>
  <c r="J74" i="74"/>
  <c r="J80" i="74"/>
  <c r="V82" i="74"/>
  <c r="J90" i="74"/>
  <c r="J43" i="75"/>
  <c r="J63" i="75"/>
  <c r="J70" i="75"/>
  <c r="N83" i="75"/>
  <c r="D12" i="76"/>
  <c r="L13" i="76"/>
  <c r="N13" i="76" s="1"/>
  <c r="X30" i="76"/>
  <c r="X62" i="76"/>
  <c r="Z62" i="76" s="1"/>
  <c r="X93" i="77"/>
  <c r="N95" i="77"/>
  <c r="X78" i="85"/>
  <c r="Z78" i="85" s="1"/>
  <c r="V78" i="85"/>
  <c r="V36" i="75"/>
  <c r="V40" i="75"/>
  <c r="V44" i="75"/>
  <c r="V48" i="75"/>
  <c r="V52" i="75"/>
  <c r="V54" i="75"/>
  <c r="V56" i="75"/>
  <c r="V92" i="75"/>
  <c r="V112" i="75"/>
  <c r="V35" i="76"/>
  <c r="V39" i="76"/>
  <c r="V43" i="76"/>
  <c r="J47" i="76"/>
  <c r="J51" i="76"/>
  <c r="J55" i="76"/>
  <c r="V59" i="76"/>
  <c r="J67" i="76"/>
  <c r="V71" i="76"/>
  <c r="J75" i="76"/>
  <c r="V83" i="76"/>
  <c r="J90" i="76"/>
  <c r="J43" i="77"/>
  <c r="J47" i="77"/>
  <c r="J51" i="77"/>
  <c r="H56" i="77"/>
  <c r="J80" i="77"/>
  <c r="N85" i="77"/>
  <c r="J104" i="77"/>
  <c r="L30" i="79"/>
  <c r="N30" i="79" s="1"/>
  <c r="J50" i="79"/>
  <c r="J61" i="79"/>
  <c r="N67" i="79"/>
  <c r="V75" i="80"/>
  <c r="V63" i="80"/>
  <c r="V55" i="80"/>
  <c r="V43" i="80"/>
  <c r="V39" i="80"/>
  <c r="V35" i="80"/>
  <c r="V74" i="80"/>
  <c r="V70" i="80"/>
  <c r="V62" i="80"/>
  <c r="V54" i="80"/>
  <c r="V30" i="80"/>
  <c r="V26" i="80"/>
  <c r="V77" i="80"/>
  <c r="V69" i="80"/>
  <c r="V57" i="80"/>
  <c r="V45" i="80"/>
  <c r="V17" i="80"/>
  <c r="V71" i="80"/>
  <c r="V59" i="80"/>
  <c r="V47" i="80"/>
  <c r="V31" i="80"/>
  <c r="V27" i="80"/>
  <c r="V80" i="80"/>
  <c r="V78" i="80"/>
  <c r="V66" i="80"/>
  <c r="V58" i="80"/>
  <c r="V46" i="80"/>
  <c r="V18" i="80"/>
  <c r="V72" i="80"/>
  <c r="V60" i="80"/>
  <c r="V48" i="80"/>
  <c r="V32" i="80"/>
  <c r="V28" i="80"/>
  <c r="V67" i="80"/>
  <c r="V51" i="80"/>
  <c r="V19" i="80"/>
  <c r="V84" i="80"/>
  <c r="V50" i="80"/>
  <c r="V42" i="80"/>
  <c r="V38" i="80"/>
  <c r="V20" i="80"/>
  <c r="V25" i="80"/>
  <c r="V37" i="80"/>
  <c r="N47" i="80"/>
  <c r="L47" i="80"/>
  <c r="J72" i="81"/>
  <c r="J76" i="81"/>
  <c r="V77" i="81"/>
  <c r="N76" i="88"/>
  <c r="L76" i="88"/>
  <c r="V70" i="75"/>
  <c r="V74" i="75"/>
  <c r="V90" i="75"/>
  <c r="V98" i="75"/>
  <c r="V110" i="75"/>
  <c r="V120" i="75"/>
  <c r="J37" i="76"/>
  <c r="J41" i="76"/>
  <c r="V57" i="76"/>
  <c r="J65" i="76"/>
  <c r="V69" i="76"/>
  <c r="V77" i="76"/>
  <c r="V81" i="76"/>
  <c r="J59" i="77"/>
  <c r="J73" i="77"/>
  <c r="V23" i="79"/>
  <c r="J35" i="79"/>
  <c r="V39" i="79"/>
  <c r="J52" i="79"/>
  <c r="J60" i="79"/>
  <c r="Z12" i="80"/>
  <c r="V24" i="80"/>
  <c r="N63" i="80"/>
  <c r="F17" i="81"/>
  <c r="X25" i="81"/>
  <c r="Z25" i="81" s="1"/>
  <c r="J28" i="81"/>
  <c r="F33" i="81"/>
  <c r="F37" i="81"/>
  <c r="F41" i="81"/>
  <c r="J45" i="81"/>
  <c r="F54" i="81"/>
  <c r="Z57" i="81"/>
  <c r="Z59" i="81"/>
  <c r="X61" i="81"/>
  <c r="Z61" i="81" s="1"/>
  <c r="J46" i="76"/>
  <c r="J50" i="76"/>
  <c r="J54" i="76"/>
  <c r="J64" i="76"/>
  <c r="J74" i="76"/>
  <c r="J86" i="76"/>
  <c r="L51" i="80"/>
  <c r="N51" i="80" s="1"/>
  <c r="J37" i="81"/>
  <c r="J41" i="81"/>
  <c r="J56" i="81"/>
  <c r="J85" i="76"/>
  <c r="D12" i="80"/>
  <c r="J75" i="81"/>
  <c r="J71" i="81"/>
  <c r="J65" i="81"/>
  <c r="J57" i="81"/>
  <c r="J47" i="81"/>
  <c r="J19" i="81"/>
  <c r="J66" i="81"/>
  <c r="J58" i="81"/>
  <c r="J48" i="81"/>
  <c r="J42" i="81"/>
  <c r="J38" i="81"/>
  <c r="J59" i="81"/>
  <c r="J49" i="81"/>
  <c r="J33" i="81"/>
  <c r="J29" i="81"/>
  <c r="J77" i="81"/>
  <c r="J67" i="81"/>
  <c r="J61" i="81"/>
  <c r="J51" i="81"/>
  <c r="J43" i="81"/>
  <c r="J39" i="81"/>
  <c r="J25" i="81"/>
  <c r="J78" i="81"/>
  <c r="J62" i="81"/>
  <c r="J52" i="81"/>
  <c r="J34" i="81"/>
  <c r="J30" i="81"/>
  <c r="J26" i="81"/>
  <c r="J24" i="81"/>
  <c r="J79" i="81"/>
  <c r="J73" i="81"/>
  <c r="J53" i="81"/>
  <c r="J35" i="81"/>
  <c r="H22" i="81"/>
  <c r="J80" i="81"/>
  <c r="J68" i="81"/>
  <c r="J44" i="81"/>
  <c r="J40" i="81"/>
  <c r="J36" i="81"/>
  <c r="J69" i="81"/>
  <c r="J63" i="81"/>
  <c r="J31" i="81"/>
  <c r="J27" i="81"/>
  <c r="J17" i="81"/>
  <c r="J82" i="81"/>
  <c r="J74" i="81"/>
  <c r="J70" i="81"/>
  <c r="J54" i="81"/>
  <c r="J18" i="81"/>
  <c r="J60" i="81"/>
  <c r="V48" i="84"/>
  <c r="V69" i="75"/>
  <c r="V73" i="75"/>
  <c r="V77" i="75"/>
  <c r="V97" i="75"/>
  <c r="J30" i="76"/>
  <c r="J32" i="76"/>
  <c r="J34" i="76"/>
  <c r="J36" i="76"/>
  <c r="J40" i="76"/>
  <c r="J44" i="76"/>
  <c r="V56" i="76"/>
  <c r="J62" i="76"/>
  <c r="V68" i="76"/>
  <c r="J72" i="76"/>
  <c r="V76" i="76"/>
  <c r="V80" i="76"/>
  <c r="J84" i="76"/>
  <c r="V90" i="76"/>
  <c r="J72" i="77"/>
  <c r="J88" i="77"/>
  <c r="J98" i="77"/>
  <c r="J102" i="77"/>
  <c r="L108" i="77"/>
  <c r="V20" i="79"/>
  <c r="V25" i="79"/>
  <c r="J29" i="79"/>
  <c r="V30" i="79"/>
  <c r="J42" i="79"/>
  <c r="V47" i="79"/>
  <c r="X52" i="79"/>
  <c r="Z52" i="79" s="1"/>
  <c r="L59" i="79"/>
  <c r="N59" i="79" s="1"/>
  <c r="T22" i="80"/>
  <c r="X34" i="80"/>
  <c r="V40" i="80"/>
  <c r="V44" i="80"/>
  <c r="V79" i="81"/>
  <c r="V67" i="81"/>
  <c r="V51" i="81"/>
  <c r="V43" i="81"/>
  <c r="V39" i="81"/>
  <c r="V35" i="81"/>
  <c r="T22" i="81"/>
  <c r="V78" i="81"/>
  <c r="V62" i="81"/>
  <c r="V34" i="81"/>
  <c r="V30" i="81"/>
  <c r="V26" i="81"/>
  <c r="V73" i="81"/>
  <c r="V69" i="81"/>
  <c r="V53" i="81"/>
  <c r="V17" i="81"/>
  <c r="V63" i="81"/>
  <c r="V55" i="81"/>
  <c r="V31" i="81"/>
  <c r="V27" i="81"/>
  <c r="V74" i="81"/>
  <c r="V70" i="81"/>
  <c r="V54" i="81"/>
  <c r="V46" i="81"/>
  <c r="V18" i="81"/>
  <c r="V65" i="81"/>
  <c r="V57" i="81"/>
  <c r="V45" i="81"/>
  <c r="V41" i="81"/>
  <c r="V37" i="81"/>
  <c r="V86" i="81"/>
  <c r="V64" i="81"/>
  <c r="V56" i="81"/>
  <c r="V48" i="81"/>
  <c r="V32" i="81"/>
  <c r="V28" i="81"/>
  <c r="V75" i="81"/>
  <c r="V71" i="81"/>
  <c r="V59" i="81"/>
  <c r="V47" i="81"/>
  <c r="V19" i="81"/>
  <c r="V66" i="81"/>
  <c r="V58" i="81"/>
  <c r="V50" i="81"/>
  <c r="V42" i="81"/>
  <c r="V38" i="81"/>
  <c r="Z12" i="81"/>
  <c r="Z17" i="81"/>
  <c r="J20" i="81"/>
  <c r="J50" i="81"/>
  <c r="J86" i="81"/>
  <c r="N35" i="84"/>
  <c r="V38" i="75"/>
  <c r="V42" i="75"/>
  <c r="V46" i="75"/>
  <c r="V50" i="75"/>
  <c r="V78" i="75"/>
  <c r="V86" i="75"/>
  <c r="V102" i="75"/>
  <c r="J35" i="76"/>
  <c r="V37" i="76"/>
  <c r="V41" i="76"/>
  <c r="J49" i="76"/>
  <c r="J53" i="76"/>
  <c r="J61" i="76"/>
  <c r="V65" i="76"/>
  <c r="X76" i="76"/>
  <c r="Z76" i="76" s="1"/>
  <c r="V89" i="76"/>
  <c r="J41" i="77"/>
  <c r="J45" i="77"/>
  <c r="J49" i="77"/>
  <c r="J53" i="77"/>
  <c r="X91" i="77"/>
  <c r="L98" i="77"/>
  <c r="N98" i="77" s="1"/>
  <c r="J76" i="79"/>
  <c r="J54" i="79"/>
  <c r="J63" i="79"/>
  <c r="J55" i="79"/>
  <c r="J47" i="79"/>
  <c r="J43" i="79"/>
  <c r="J65" i="79"/>
  <c r="J39" i="79"/>
  <c r="J25" i="79"/>
  <c r="J21" i="79"/>
  <c r="J56" i="79"/>
  <c r="J48" i="79"/>
  <c r="J44" i="79"/>
  <c r="J40" i="79"/>
  <c r="J30" i="79"/>
  <c r="J69" i="79"/>
  <c r="J58" i="79"/>
  <c r="H27" i="79"/>
  <c r="J22" i="79"/>
  <c r="J70" i="79"/>
  <c r="J59" i="79"/>
  <c r="J49" i="79"/>
  <c r="J45" i="79"/>
  <c r="J41" i="79"/>
  <c r="J19" i="79"/>
  <c r="J24" i="79"/>
  <c r="X30" i="79"/>
  <c r="Z30" i="79" s="1"/>
  <c r="J34" i="79"/>
  <c r="J51" i="79"/>
  <c r="V55" i="79"/>
  <c r="V63" i="79"/>
  <c r="V76" i="79"/>
  <c r="V22" i="80"/>
  <c r="Z49" i="80"/>
  <c r="V65" i="80"/>
  <c r="R77" i="81"/>
  <c r="R76" i="81"/>
  <c r="R72" i="81"/>
  <c r="R61" i="81"/>
  <c r="R60" i="81"/>
  <c r="R25" i="81"/>
  <c r="R20" i="81"/>
  <c r="R67" i="81"/>
  <c r="R52" i="81"/>
  <c r="R51" i="81"/>
  <c r="R43" i="81"/>
  <c r="R39" i="81"/>
  <c r="R24" i="81"/>
  <c r="R79" i="81"/>
  <c r="R78" i="81"/>
  <c r="R62" i="81"/>
  <c r="R35" i="81"/>
  <c r="R34" i="81"/>
  <c r="R30" i="81"/>
  <c r="R26" i="81"/>
  <c r="P22" i="81"/>
  <c r="R80" i="81"/>
  <c r="R69" i="81"/>
  <c r="R68" i="81"/>
  <c r="R44" i="81"/>
  <c r="R40" i="81"/>
  <c r="R36" i="81"/>
  <c r="R17" i="81"/>
  <c r="R82" i="81"/>
  <c r="R63" i="81"/>
  <c r="R31" i="81"/>
  <c r="R27" i="81"/>
  <c r="R74" i="81"/>
  <c r="R70" i="81"/>
  <c r="R55" i="81"/>
  <c r="R54" i="81"/>
  <c r="R18" i="81"/>
  <c r="R46" i="81"/>
  <c r="R45" i="81"/>
  <c r="R41" i="81"/>
  <c r="R37" i="81"/>
  <c r="R86" i="81"/>
  <c r="R65" i="81"/>
  <c r="R64" i="81"/>
  <c r="R57" i="81"/>
  <c r="R56" i="81"/>
  <c r="R32" i="81"/>
  <c r="R28" i="81"/>
  <c r="R75" i="81"/>
  <c r="R71" i="81"/>
  <c r="R48" i="81"/>
  <c r="R47" i="81"/>
  <c r="R19" i="81"/>
  <c r="F29" i="81"/>
  <c r="V33" i="81"/>
  <c r="X50" i="81"/>
  <c r="R58" i="81"/>
  <c r="H32" i="83"/>
  <c r="J24" i="88"/>
  <c r="V59" i="75"/>
  <c r="V63" i="75"/>
  <c r="V95" i="75"/>
  <c r="V107" i="75"/>
  <c r="V115" i="75"/>
  <c r="V46" i="76"/>
  <c r="V50" i="76"/>
  <c r="V54" i="76"/>
  <c r="J60" i="76"/>
  <c r="V66" i="76"/>
  <c r="V74" i="76"/>
  <c r="J78" i="76"/>
  <c r="V86" i="76"/>
  <c r="V88" i="76"/>
  <c r="J101" i="77"/>
  <c r="J93" i="77"/>
  <c r="J81" i="77"/>
  <c r="J103" i="77"/>
  <c r="J95" i="77"/>
  <c r="J83" i="77"/>
  <c r="J77" i="77"/>
  <c r="J108" i="77"/>
  <c r="J40" i="77"/>
  <c r="J62" i="77"/>
  <c r="J66" i="77"/>
  <c r="J75" i="77"/>
  <c r="J82" i="77"/>
  <c r="J97" i="77"/>
  <c r="J107" i="77"/>
  <c r="X108" i="77"/>
  <c r="P106" i="77"/>
  <c r="X106" i="77" s="1"/>
  <c r="Z106" i="77" s="1"/>
  <c r="Z34" i="80"/>
  <c r="V49" i="80"/>
  <c r="F18" i="81"/>
  <c r="R50" i="81"/>
  <c r="V52" i="81"/>
  <c r="V60" i="81"/>
  <c r="L14" i="83"/>
  <c r="D12" i="83"/>
  <c r="H130" i="85"/>
  <c r="J130" i="85" s="1"/>
  <c r="J54" i="85"/>
  <c r="T100" i="88"/>
  <c r="J39" i="76"/>
  <c r="J43" i="76"/>
  <c r="J59" i="76"/>
  <c r="J71" i="76"/>
  <c r="J83" i="76"/>
  <c r="J78" i="77"/>
  <c r="J87" i="77"/>
  <c r="J92" i="77"/>
  <c r="V34" i="80"/>
  <c r="F86" i="81"/>
  <c r="F64" i="81"/>
  <c r="F56" i="81"/>
  <c r="F55" i="81"/>
  <c r="F32" i="81"/>
  <c r="F28" i="81"/>
  <c r="F75" i="81"/>
  <c r="F71" i="81"/>
  <c r="F47" i="81"/>
  <c r="F46" i="81"/>
  <c r="F19" i="81"/>
  <c r="F66" i="81"/>
  <c r="F65" i="81"/>
  <c r="F58" i="81"/>
  <c r="F57" i="81"/>
  <c r="F42" i="81"/>
  <c r="F38" i="81"/>
  <c r="L12" i="81"/>
  <c r="N12" i="81" s="1"/>
  <c r="F76" i="81"/>
  <c r="F72" i="81"/>
  <c r="F60" i="81"/>
  <c r="F59" i="81"/>
  <c r="F20" i="81"/>
  <c r="F67" i="81"/>
  <c r="F51" i="81"/>
  <c r="F50" i="81"/>
  <c r="F43" i="81"/>
  <c r="F39" i="81"/>
  <c r="F78" i="81"/>
  <c r="F77" i="81"/>
  <c r="F62" i="81"/>
  <c r="F61" i="81"/>
  <c r="F34" i="81"/>
  <c r="F30" i="81"/>
  <c r="F26" i="81"/>
  <c r="F25" i="81"/>
  <c r="F73" i="81"/>
  <c r="F53" i="81"/>
  <c r="F52" i="81"/>
  <c r="F24" i="81"/>
  <c r="F80" i="81"/>
  <c r="F79" i="81"/>
  <c r="F68" i="81"/>
  <c r="F44" i="81"/>
  <c r="F40" i="81"/>
  <c r="F36" i="81"/>
  <c r="F35" i="81"/>
  <c r="D22" i="81"/>
  <c r="F22" i="81" s="1"/>
  <c r="F63" i="81"/>
  <c r="F31" i="81"/>
  <c r="F27" i="81"/>
  <c r="Z50" i="81"/>
  <c r="F69" i="81"/>
  <c r="F82" i="81"/>
  <c r="V41" i="75"/>
  <c r="V45" i="75"/>
  <c r="V49" i="75"/>
  <c r="V85" i="75"/>
  <c r="V93" i="75"/>
  <c r="V101" i="75"/>
  <c r="V113" i="75"/>
  <c r="V125" i="75"/>
  <c r="Z12" i="76"/>
  <c r="V36" i="76"/>
  <c r="V40" i="76"/>
  <c r="V44" i="76"/>
  <c r="J48" i="76"/>
  <c r="J52" i="76"/>
  <c r="J58" i="76"/>
  <c r="V64" i="76"/>
  <c r="J70" i="76"/>
  <c r="V72" i="76"/>
  <c r="J82" i="76"/>
  <c r="J44" i="77"/>
  <c r="J48" i="77"/>
  <c r="J52" i="77"/>
  <c r="J70" i="77"/>
  <c r="Z89" i="77"/>
  <c r="J106" i="77"/>
  <c r="V68" i="79"/>
  <c r="V56" i="79"/>
  <c r="V48" i="79"/>
  <c r="V44" i="79"/>
  <c r="V40" i="79"/>
  <c r="V69" i="79"/>
  <c r="V59" i="79"/>
  <c r="V35" i="79"/>
  <c r="V31" i="79"/>
  <c r="V71" i="79"/>
  <c r="V61" i="79"/>
  <c r="V49" i="79"/>
  <c r="V45" i="79"/>
  <c r="V41" i="79"/>
  <c r="V72" i="79"/>
  <c r="V60" i="79"/>
  <c r="V52" i="79"/>
  <c r="V36" i="79"/>
  <c r="V32" i="79"/>
  <c r="V62" i="79"/>
  <c r="V54" i="79"/>
  <c r="V46" i="79"/>
  <c r="V42" i="79"/>
  <c r="V53" i="79"/>
  <c r="V37" i="79"/>
  <c r="V33" i="79"/>
  <c r="X19" i="79"/>
  <c r="Z19" i="79" s="1"/>
  <c r="J27" i="79"/>
  <c r="J31" i="79"/>
  <c r="J36" i="79"/>
  <c r="N39" i="79"/>
  <c r="L50" i="79"/>
  <c r="V51" i="79"/>
  <c r="J53" i="79"/>
  <c r="J68" i="79"/>
  <c r="J71" i="79"/>
  <c r="L17" i="80"/>
  <c r="N17" i="80" s="1"/>
  <c r="L24" i="80"/>
  <c r="N24" i="80" s="1"/>
  <c r="Z53" i="80"/>
  <c r="X53" i="80"/>
  <c r="V29" i="81"/>
  <c r="V44" i="81"/>
  <c r="N55" i="81"/>
  <c r="L55" i="81"/>
  <c r="N69" i="81"/>
  <c r="R73" i="81"/>
  <c r="T100" i="84"/>
  <c r="V100" i="84" s="1"/>
  <c r="Z70" i="84"/>
  <c r="Z99" i="85"/>
  <c r="Z16" i="86"/>
  <c r="F78" i="89"/>
  <c r="F77" i="89"/>
  <c r="F86" i="89"/>
  <c r="F73" i="89"/>
  <c r="F61" i="89"/>
  <c r="F60" i="89"/>
  <c r="F21" i="89"/>
  <c r="F90" i="89"/>
  <c r="F68" i="89"/>
  <c r="F52" i="89"/>
  <c r="F51" i="89"/>
  <c r="F44" i="89"/>
  <c r="F40" i="89"/>
  <c r="F79" i="89"/>
  <c r="F63" i="89"/>
  <c r="F62" i="89"/>
  <c r="F35" i="89"/>
  <c r="F31" i="89"/>
  <c r="F27" i="89"/>
  <c r="F26" i="89"/>
  <c r="F74" i="89"/>
  <c r="F54" i="89"/>
  <c r="F53" i="89"/>
  <c r="F25" i="89"/>
  <c r="F81" i="89"/>
  <c r="F80" i="89"/>
  <c r="F69" i="89"/>
  <c r="F45" i="89"/>
  <c r="F41" i="89"/>
  <c r="F37" i="89"/>
  <c r="F36" i="89"/>
  <c r="D23" i="89"/>
  <c r="F23" i="89" s="1"/>
  <c r="F83" i="89"/>
  <c r="F82" i="89"/>
  <c r="F75" i="89"/>
  <c r="F71" i="89"/>
  <c r="F70" i="89"/>
  <c r="F55" i="89"/>
  <c r="F19" i="89"/>
  <c r="F18" i="89"/>
  <c r="F46" i="89"/>
  <c r="F42" i="89"/>
  <c r="F38" i="89"/>
  <c r="F65" i="89"/>
  <c r="F57" i="89"/>
  <c r="F56" i="89"/>
  <c r="F33" i="89"/>
  <c r="F29" i="89"/>
  <c r="F72" i="89"/>
  <c r="F76" i="89"/>
  <c r="F34" i="89"/>
  <c r="F49" i="89"/>
  <c r="F20" i="89"/>
  <c r="L12" i="89"/>
  <c r="N12" i="89" s="1"/>
  <c r="F58" i="89"/>
  <c r="F47" i="89"/>
  <c r="F67" i="89"/>
  <c r="F50" i="89"/>
  <c r="F43" i="89"/>
  <c r="F39" i="89"/>
  <c r="F48" i="89"/>
  <c r="P12" i="89"/>
  <c r="X15" i="89"/>
  <c r="Z15" i="89" s="1"/>
  <c r="Z64" i="92"/>
  <c r="X64" i="92"/>
  <c r="X14" i="81"/>
  <c r="Z14" i="81" s="1"/>
  <c r="D12" i="84"/>
  <c r="R20" i="84"/>
  <c r="N24" i="84"/>
  <c r="X70" i="84"/>
  <c r="R80" i="84"/>
  <c r="R86" i="84"/>
  <c r="D12" i="85"/>
  <c r="Z56" i="85"/>
  <c r="X56" i="85"/>
  <c r="N67" i="85"/>
  <c r="L104" i="85"/>
  <c r="Z118" i="85"/>
  <c r="L13" i="89"/>
  <c r="N13" i="89" s="1"/>
  <c r="T28" i="83"/>
  <c r="V28" i="83" s="1"/>
  <c r="R38" i="84"/>
  <c r="R45" i="84"/>
  <c r="X52" i="84"/>
  <c r="Z56" i="84"/>
  <c r="V94" i="84"/>
  <c r="N104" i="85"/>
  <c r="V118" i="85"/>
  <c r="D12" i="88"/>
  <c r="L13" i="88"/>
  <c r="N13" i="88" s="1"/>
  <c r="F59" i="89"/>
  <c r="Z52" i="84"/>
  <c r="N14" i="92"/>
  <c r="L14" i="92"/>
  <c r="H16" i="92"/>
  <c r="L26" i="83"/>
  <c r="R94" i="84"/>
  <c r="R83" i="84"/>
  <c r="R79" i="84"/>
  <c r="R67" i="84"/>
  <c r="R56" i="84"/>
  <c r="R55" i="84"/>
  <c r="R48" i="84"/>
  <c r="R47" i="84"/>
  <c r="R19" i="84"/>
  <c r="R73" i="84"/>
  <c r="R58" i="84"/>
  <c r="R57" i="84"/>
  <c r="R50" i="84"/>
  <c r="R49" i="84"/>
  <c r="R33" i="84"/>
  <c r="R29" i="84"/>
  <c r="R60" i="84"/>
  <c r="R59" i="84"/>
  <c r="R52" i="84"/>
  <c r="R51" i="84"/>
  <c r="R43" i="84"/>
  <c r="R39" i="84"/>
  <c r="R24" i="84"/>
  <c r="R81" i="84"/>
  <c r="R70" i="84"/>
  <c r="R69" i="84"/>
  <c r="R62" i="84"/>
  <c r="R61" i="84"/>
  <c r="R53" i="84"/>
  <c r="R89" i="84"/>
  <c r="R88" i="84"/>
  <c r="R77" i="84"/>
  <c r="R76" i="84"/>
  <c r="R44" i="84"/>
  <c r="R71" i="84"/>
  <c r="R64" i="84"/>
  <c r="R63" i="84"/>
  <c r="R31" i="84"/>
  <c r="R27" i="84"/>
  <c r="R91" i="84"/>
  <c r="R90" i="84"/>
  <c r="R82" i="84"/>
  <c r="R78" i="84"/>
  <c r="R54" i="84"/>
  <c r="R18" i="84"/>
  <c r="Z24" i="84"/>
  <c r="R40" i="84"/>
  <c r="N75" i="84"/>
  <c r="L87" i="84"/>
  <c r="P32" i="86"/>
  <c r="X20" i="86"/>
  <c r="R73" i="88"/>
  <c r="R66" i="88"/>
  <c r="R65" i="88"/>
  <c r="R46" i="88"/>
  <c r="R45" i="88"/>
  <c r="R41" i="88"/>
  <c r="R37" i="88"/>
  <c r="R102" i="88"/>
  <c r="R89" i="88"/>
  <c r="R88" i="88"/>
  <c r="R84" i="88"/>
  <c r="R80" i="88"/>
  <c r="R32" i="88"/>
  <c r="R28" i="88"/>
  <c r="R85" i="88"/>
  <c r="R81" i="88"/>
  <c r="R58" i="88"/>
  <c r="R57" i="88"/>
  <c r="R50" i="88"/>
  <c r="R49" i="88"/>
  <c r="R33" i="88"/>
  <c r="R29" i="88"/>
  <c r="R76" i="88"/>
  <c r="R75" i="88"/>
  <c r="R60" i="88"/>
  <c r="R59" i="88"/>
  <c r="R52" i="88"/>
  <c r="R51" i="88"/>
  <c r="R43" i="88"/>
  <c r="R39" i="88"/>
  <c r="R95" i="88"/>
  <c r="R94" i="88"/>
  <c r="R86" i="88"/>
  <c r="R82" i="88"/>
  <c r="R35" i="88"/>
  <c r="R34" i="88"/>
  <c r="R30" i="88"/>
  <c r="R26" i="88"/>
  <c r="R77" i="88"/>
  <c r="R70" i="88"/>
  <c r="R69" i="88"/>
  <c r="R62" i="88"/>
  <c r="R61" i="88"/>
  <c r="R53" i="88"/>
  <c r="R44" i="88"/>
  <c r="R19" i="88"/>
  <c r="R47" i="88"/>
  <c r="R42" i="88"/>
  <c r="X12" i="88"/>
  <c r="Z12" i="88" s="1"/>
  <c r="R40" i="88"/>
  <c r="R98" i="88"/>
  <c r="R92" i="88"/>
  <c r="R68" i="88"/>
  <c r="R63" i="88"/>
  <c r="R55" i="88"/>
  <c r="R20" i="88"/>
  <c r="R78" i="88"/>
  <c r="R31" i="88"/>
  <c r="R87" i="88"/>
  <c r="R79" i="88"/>
  <c r="R71" i="88"/>
  <c r="R48" i="88"/>
  <c r="R38" i="88"/>
  <c r="R36" i="88"/>
  <c r="R27" i="88"/>
  <c r="R93" i="88"/>
  <c r="R83" i="88"/>
  <c r="R56" i="88"/>
  <c r="R24" i="88"/>
  <c r="P22" i="88"/>
  <c r="R64" i="88"/>
  <c r="R25" i="88"/>
  <c r="R17" i="88"/>
  <c r="R90" i="88"/>
  <c r="R96" i="88"/>
  <c r="R72" i="88"/>
  <c r="R18" i="88"/>
  <c r="N25" i="88"/>
  <c r="R54" i="88"/>
  <c r="R91" i="88"/>
  <c r="F32" i="89"/>
  <c r="R17" i="84"/>
  <c r="R42" i="84"/>
  <c r="N62" i="84"/>
  <c r="N77" i="84"/>
  <c r="N57" i="85"/>
  <c r="R20" i="86"/>
  <c r="J25" i="88"/>
  <c r="Z91" i="88"/>
  <c r="F30" i="89"/>
  <c r="Z128" i="85"/>
  <c r="X128" i="85"/>
  <c r="X25" i="86"/>
  <c r="F28" i="89"/>
  <c r="L61" i="93"/>
  <c r="N61" i="93" s="1"/>
  <c r="R26" i="84"/>
  <c r="R34" i="84"/>
  <c r="R37" i="84"/>
  <c r="N46" i="84"/>
  <c r="N48" i="84"/>
  <c r="Z60" i="84"/>
  <c r="N66" i="84"/>
  <c r="R85" i="84"/>
  <c r="N93" i="85"/>
  <c r="V128" i="85"/>
  <c r="N22" i="86"/>
  <c r="N17" i="88"/>
  <c r="Z52" i="88"/>
  <c r="F84" i="89"/>
  <c r="N41" i="92"/>
  <c r="P12" i="83"/>
  <c r="P22" i="84"/>
  <c r="R22" i="84" s="1"/>
  <c r="Z62" i="84"/>
  <c r="L70" i="84"/>
  <c r="R87" i="84"/>
  <c r="R98" i="84"/>
  <c r="Z57" i="85"/>
  <c r="L78" i="85"/>
  <c r="N78" i="85" s="1"/>
  <c r="N80" i="85"/>
  <c r="T130" i="85"/>
  <c r="Z25" i="86"/>
  <c r="V25" i="86"/>
  <c r="H100" i="88"/>
  <c r="L64" i="88"/>
  <c r="N82" i="89"/>
  <c r="L82" i="89"/>
  <c r="R46" i="84"/>
  <c r="X48" i="84"/>
  <c r="Z48" i="84" s="1"/>
  <c r="N50" i="84"/>
  <c r="Z64" i="84"/>
  <c r="R66" i="84"/>
  <c r="R68" i="84"/>
  <c r="N70" i="84"/>
  <c r="P12" i="85"/>
  <c r="L56" i="85"/>
  <c r="N56" i="85" s="1"/>
  <c r="X87" i="85"/>
  <c r="Z87" i="85" s="1"/>
  <c r="Z89" i="85"/>
  <c r="L24" i="88"/>
  <c r="N24" i="88" s="1"/>
  <c r="N64" i="88"/>
  <c r="F66" i="89"/>
  <c r="J35" i="84"/>
  <c r="V37" i="84"/>
  <c r="V41" i="84"/>
  <c r="V45" i="84"/>
  <c r="J53" i="84"/>
  <c r="J61" i="84"/>
  <c r="V65" i="84"/>
  <c r="J69" i="84"/>
  <c r="J75" i="84"/>
  <c r="J81" i="84"/>
  <c r="J87" i="84"/>
  <c r="J57" i="85"/>
  <c r="V59" i="85"/>
  <c r="V63" i="85"/>
  <c r="J71" i="85"/>
  <c r="J75" i="85"/>
  <c r="V87" i="85"/>
  <c r="J93" i="85"/>
  <c r="V99" i="85"/>
  <c r="J103" i="85"/>
  <c r="J115" i="85"/>
  <c r="J121" i="85"/>
  <c r="D12" i="86"/>
  <c r="R18" i="86"/>
  <c r="T20" i="86"/>
  <c r="R23" i="86"/>
  <c r="H32" i="86"/>
  <c r="J22" i="88"/>
  <c r="V54" i="88"/>
  <c r="J61" i="88"/>
  <c r="Z62" i="88"/>
  <c r="J64" i="88"/>
  <c r="J76" i="88"/>
  <c r="N79" i="88"/>
  <c r="N93" i="88"/>
  <c r="L93" i="88"/>
  <c r="Z60" i="89"/>
  <c r="X60" i="89"/>
  <c r="V70" i="89"/>
  <c r="X80" i="89"/>
  <c r="Z82" i="89"/>
  <c r="V39" i="92"/>
  <c r="Z83" i="92"/>
  <c r="X83" i="92"/>
  <c r="V92" i="92"/>
  <c r="J33" i="93"/>
  <c r="F42" i="93"/>
  <c r="R50" i="93"/>
  <c r="V20" i="83"/>
  <c r="V22" i="83"/>
  <c r="V24" i="83"/>
  <c r="V26" i="83"/>
  <c r="V18" i="84"/>
  <c r="J22" i="84"/>
  <c r="J24" i="84"/>
  <c r="J26" i="84"/>
  <c r="J30" i="84"/>
  <c r="J34" i="84"/>
  <c r="V46" i="84"/>
  <c r="J52" i="84"/>
  <c r="V54" i="84"/>
  <c r="J60" i="84"/>
  <c r="V66" i="84"/>
  <c r="J74" i="84"/>
  <c r="V78" i="84"/>
  <c r="V82" i="84"/>
  <c r="J86" i="84"/>
  <c r="V90" i="84"/>
  <c r="J36" i="85"/>
  <c r="J40" i="85"/>
  <c r="J44" i="85"/>
  <c r="J48" i="85"/>
  <c r="J52" i="85"/>
  <c r="V68" i="85"/>
  <c r="V72" i="85"/>
  <c r="V76" i="85"/>
  <c r="V84" i="85"/>
  <c r="J92" i="85"/>
  <c r="V96" i="85"/>
  <c r="V112" i="85"/>
  <c r="V116" i="85"/>
  <c r="J120" i="85"/>
  <c r="V124" i="85"/>
  <c r="J16" i="86"/>
  <c r="V18" i="86"/>
  <c r="V20" i="86"/>
  <c r="V22" i="86"/>
  <c r="J30" i="86"/>
  <c r="J32" i="86"/>
  <c r="V39" i="88"/>
  <c r="J43" i="88"/>
  <c r="J45" i="88"/>
  <c r="Z46" i="88"/>
  <c r="V51" i="88"/>
  <c r="L58" i="88"/>
  <c r="X64" i="88"/>
  <c r="Z72" i="88"/>
  <c r="J79" i="88"/>
  <c r="J93" i="88"/>
  <c r="Z26" i="89"/>
  <c r="Z36" i="89"/>
  <c r="Z62" i="89"/>
  <c r="Z66" i="89"/>
  <c r="V82" i="89"/>
  <c r="V35" i="92"/>
  <c r="L50" i="92"/>
  <c r="N50" i="92" s="1"/>
  <c r="L54" i="92"/>
  <c r="V63" i="92"/>
  <c r="V75" i="92"/>
  <c r="V83" i="92"/>
  <c r="V87" i="92"/>
  <c r="J59" i="84"/>
  <c r="V63" i="84"/>
  <c r="V71" i="84"/>
  <c r="J85" i="84"/>
  <c r="V91" i="84"/>
  <c r="J61" i="85"/>
  <c r="J65" i="85"/>
  <c r="J81" i="85"/>
  <c r="V85" i="85"/>
  <c r="J91" i="85"/>
  <c r="V97" i="85"/>
  <c r="V105" i="85"/>
  <c r="J109" i="85"/>
  <c r="V125" i="85"/>
  <c r="R34" i="86"/>
  <c r="L50" i="88"/>
  <c r="J53" i="88"/>
  <c r="V90" i="88"/>
  <c r="Z80" i="89"/>
  <c r="V14" i="92"/>
  <c r="N52" i="92"/>
  <c r="V59" i="92"/>
  <c r="V71" i="92"/>
  <c r="F77" i="93"/>
  <c r="F73" i="93"/>
  <c r="F72" i="93"/>
  <c r="F65" i="93"/>
  <c r="F84" i="93"/>
  <c r="F83" i="93"/>
  <c r="F56" i="93"/>
  <c r="F48" i="93"/>
  <c r="F47" i="93"/>
  <c r="F67" i="93"/>
  <c r="F66" i="93"/>
  <c r="F86" i="93"/>
  <c r="F85" i="93"/>
  <c r="F78" i="93"/>
  <c r="F74" i="93"/>
  <c r="F58" i="93"/>
  <c r="F57" i="93"/>
  <c r="F50" i="93"/>
  <c r="F49" i="93"/>
  <c r="F34" i="93"/>
  <c r="F30" i="93"/>
  <c r="F60" i="93"/>
  <c r="F59" i="93"/>
  <c r="F52" i="93"/>
  <c r="F51" i="93"/>
  <c r="F44" i="93"/>
  <c r="F40" i="93"/>
  <c r="F88" i="93"/>
  <c r="F92" i="93"/>
  <c r="F70" i="93"/>
  <c r="F62" i="93"/>
  <c r="F61" i="93"/>
  <c r="F54" i="93"/>
  <c r="F53" i="93"/>
  <c r="F80" i="93"/>
  <c r="F76" i="93"/>
  <c r="F64" i="93"/>
  <c r="F63" i="93"/>
  <c r="F32" i="93"/>
  <c r="F28" i="93"/>
  <c r="L12" i="93"/>
  <c r="F55" i="93"/>
  <c r="F27" i="93"/>
  <c r="F68" i="93"/>
  <c r="F45" i="93"/>
  <c r="F21" i="93"/>
  <c r="F43" i="93"/>
  <c r="F38" i="93"/>
  <c r="F19" i="93"/>
  <c r="F18" i="93"/>
  <c r="F82" i="93"/>
  <c r="F69" i="93"/>
  <c r="F75" i="93"/>
  <c r="F71" i="93"/>
  <c r="F41" i="93"/>
  <c r="F35" i="93"/>
  <c r="F39" i="93"/>
  <c r="F33" i="93"/>
  <c r="F79" i="93"/>
  <c r="F31" i="93"/>
  <c r="F25" i="93"/>
  <c r="F81" i="93"/>
  <c r="F36" i="93"/>
  <c r="F20" i="93"/>
  <c r="J18" i="83"/>
  <c r="J32" i="83"/>
  <c r="J20" i="84"/>
  <c r="V36" i="84"/>
  <c r="V40" i="84"/>
  <c r="V44" i="84"/>
  <c r="J50" i="84"/>
  <c r="J58" i="84"/>
  <c r="V64" i="84"/>
  <c r="J68" i="84"/>
  <c r="V76" i="84"/>
  <c r="J80" i="84"/>
  <c r="J84" i="84"/>
  <c r="V88" i="84"/>
  <c r="J98" i="84"/>
  <c r="V58" i="85"/>
  <c r="V62" i="85"/>
  <c r="V66" i="85"/>
  <c r="J70" i="85"/>
  <c r="J74" i="85"/>
  <c r="J80" i="85"/>
  <c r="V82" i="85"/>
  <c r="J90" i="85"/>
  <c r="V94" i="85"/>
  <c r="J102" i="85"/>
  <c r="J108" i="85"/>
  <c r="V110" i="85"/>
  <c r="J114" i="85"/>
  <c r="V122" i="85"/>
  <c r="J132" i="85"/>
  <c r="R17" i="86"/>
  <c r="J96" i="88"/>
  <c r="J70" i="88"/>
  <c r="J62" i="88"/>
  <c r="J44" i="88"/>
  <c r="J40" i="88"/>
  <c r="J36" i="88"/>
  <c r="J87" i="88"/>
  <c r="J83" i="88"/>
  <c r="J71" i="88"/>
  <c r="J63" i="88"/>
  <c r="J31" i="88"/>
  <c r="J27" i="88"/>
  <c r="J102" i="88"/>
  <c r="J88" i="88"/>
  <c r="J84" i="88"/>
  <c r="J80" i="88"/>
  <c r="J66" i="88"/>
  <c r="J46" i="88"/>
  <c r="J32" i="88"/>
  <c r="J28" i="88"/>
  <c r="J90" i="88"/>
  <c r="J74" i="88"/>
  <c r="J56" i="88"/>
  <c r="J48" i="88"/>
  <c r="J42" i="88"/>
  <c r="J38" i="88"/>
  <c r="J91" i="88"/>
  <c r="J85" i="88"/>
  <c r="J81" i="88"/>
  <c r="J57" i="88"/>
  <c r="J49" i="88"/>
  <c r="J33" i="88"/>
  <c r="J29" i="88"/>
  <c r="J92" i="88"/>
  <c r="J68" i="88"/>
  <c r="J58" i="88"/>
  <c r="J50" i="88"/>
  <c r="J20" i="88"/>
  <c r="J55" i="88"/>
  <c r="N58" i="88"/>
  <c r="Z64" i="88"/>
  <c r="J73" i="88"/>
  <c r="J95" i="88"/>
  <c r="V51" i="89"/>
  <c r="V59" i="89"/>
  <c r="X43" i="92"/>
  <c r="Z43" i="92" s="1"/>
  <c r="J89" i="88"/>
  <c r="J98" i="88"/>
  <c r="L77" i="89"/>
  <c r="N77" i="89" s="1"/>
  <c r="V43" i="92"/>
  <c r="X48" i="92"/>
  <c r="V50" i="92"/>
  <c r="N56" i="92"/>
  <c r="V82" i="92"/>
  <c r="J84" i="93"/>
  <c r="J66" i="93"/>
  <c r="J56" i="93"/>
  <c r="J48" i="93"/>
  <c r="J85" i="93"/>
  <c r="J67" i="93"/>
  <c r="J57" i="93"/>
  <c r="J49" i="93"/>
  <c r="J43" i="93"/>
  <c r="J39" i="93"/>
  <c r="J86" i="93"/>
  <c r="J78" i="93"/>
  <c r="J74" i="93"/>
  <c r="J68" i="93"/>
  <c r="J58" i="93"/>
  <c r="J69" i="93"/>
  <c r="J59" i="93"/>
  <c r="J51" i="93"/>
  <c r="J21" i="93"/>
  <c r="J88" i="93"/>
  <c r="J79" i="93"/>
  <c r="J75" i="93"/>
  <c r="J61" i="93"/>
  <c r="J53" i="93"/>
  <c r="J35" i="93"/>
  <c r="J31" i="93"/>
  <c r="J27" i="93"/>
  <c r="J25" i="93"/>
  <c r="J92" i="93"/>
  <c r="J63" i="93"/>
  <c r="J45" i="93"/>
  <c r="J41" i="93"/>
  <c r="J37" i="93"/>
  <c r="J80" i="93"/>
  <c r="J76" i="93"/>
  <c r="J64" i="93"/>
  <c r="J81" i="93"/>
  <c r="J71" i="93"/>
  <c r="J55" i="93"/>
  <c r="J19" i="93"/>
  <c r="J40" i="93"/>
  <c r="J50" i="93"/>
  <c r="J34" i="93"/>
  <c r="J18" i="93"/>
  <c r="J38" i="93"/>
  <c r="J32" i="93"/>
  <c r="J82" i="93"/>
  <c r="J62" i="93"/>
  <c r="J73" i="93"/>
  <c r="J30" i="93"/>
  <c r="H23" i="93"/>
  <c r="J60" i="93"/>
  <c r="J46" i="93"/>
  <c r="J28" i="93"/>
  <c r="J77" i="93"/>
  <c r="J54" i="93"/>
  <c r="J44" i="93"/>
  <c r="J36" i="93"/>
  <c r="J65" i="93"/>
  <c r="J47" i="93"/>
  <c r="J26" i="93"/>
  <c r="J20" i="93"/>
  <c r="J52" i="93"/>
  <c r="J42" i="93"/>
  <c r="J29" i="93"/>
  <c r="J30" i="83"/>
  <c r="V26" i="84"/>
  <c r="V30" i="84"/>
  <c r="V34" i="84"/>
  <c r="J38" i="84"/>
  <c r="J42" i="84"/>
  <c r="J48" i="84"/>
  <c r="J56" i="84"/>
  <c r="V62" i="84"/>
  <c r="V70" i="84"/>
  <c r="V74" i="84"/>
  <c r="V86" i="84"/>
  <c r="J94" i="84"/>
  <c r="J96" i="84"/>
  <c r="V36" i="85"/>
  <c r="V40" i="85"/>
  <c r="V44" i="85"/>
  <c r="V48" i="85"/>
  <c r="V52" i="85"/>
  <c r="V54" i="85"/>
  <c r="V56" i="85"/>
  <c r="J60" i="85"/>
  <c r="J64" i="85"/>
  <c r="J78" i="85"/>
  <c r="J88" i="85"/>
  <c r="V92" i="85"/>
  <c r="J100" i="85"/>
  <c r="V104" i="85"/>
  <c r="J118" i="85"/>
  <c r="V120" i="85"/>
  <c r="J128" i="85"/>
  <c r="R16" i="86"/>
  <c r="J26" i="86"/>
  <c r="R30" i="86"/>
  <c r="R32" i="86"/>
  <c r="X15" i="88"/>
  <c r="X24" i="88"/>
  <c r="Z24" i="88" s="1"/>
  <c r="V27" i="88"/>
  <c r="V29" i="88"/>
  <c r="V38" i="88"/>
  <c r="J47" i="88"/>
  <c r="X50" i="88"/>
  <c r="Z58" i="88"/>
  <c r="J60" i="88"/>
  <c r="J65" i="88"/>
  <c r="V66" i="88"/>
  <c r="V71" i="88"/>
  <c r="V73" i="88"/>
  <c r="Z79" i="88"/>
  <c r="V37" i="89"/>
  <c r="J77" i="89"/>
  <c r="V16" i="92"/>
  <c r="V23" i="92"/>
  <c r="Z54" i="92"/>
  <c r="N12" i="93"/>
  <c r="R88" i="93"/>
  <c r="R69" i="93"/>
  <c r="R61" i="93"/>
  <c r="R60" i="93"/>
  <c r="R53" i="93"/>
  <c r="R52" i="93"/>
  <c r="R44" i="93"/>
  <c r="R40" i="93"/>
  <c r="R79" i="93"/>
  <c r="R75" i="93"/>
  <c r="R92" i="93"/>
  <c r="R70" i="93"/>
  <c r="R63" i="93"/>
  <c r="R62" i="93"/>
  <c r="R54" i="93"/>
  <c r="R81" i="93"/>
  <c r="R80" i="93"/>
  <c r="R76" i="93"/>
  <c r="R64" i="93"/>
  <c r="R32" i="93"/>
  <c r="R28" i="93"/>
  <c r="X12" i="93"/>
  <c r="Z12" i="93" s="1"/>
  <c r="R83" i="93"/>
  <c r="R82" i="93"/>
  <c r="R47" i="93"/>
  <c r="R46" i="93"/>
  <c r="R42" i="93"/>
  <c r="R38" i="93"/>
  <c r="R77" i="93"/>
  <c r="R73" i="93"/>
  <c r="R66" i="93"/>
  <c r="R65" i="93"/>
  <c r="R85" i="93"/>
  <c r="R84" i="93"/>
  <c r="R57" i="93"/>
  <c r="R56" i="93"/>
  <c r="R49" i="93"/>
  <c r="R48" i="93"/>
  <c r="R20" i="93"/>
  <c r="R86" i="93"/>
  <c r="R19" i="93"/>
  <c r="R78" i="93"/>
  <c r="R51" i="93"/>
  <c r="R30" i="93"/>
  <c r="R41" i="93"/>
  <c r="R35" i="93"/>
  <c r="P23" i="93"/>
  <c r="R71" i="93"/>
  <c r="R58" i="93"/>
  <c r="R39" i="93"/>
  <c r="R36" i="93"/>
  <c r="R33" i="93"/>
  <c r="R25" i="93"/>
  <c r="R67" i="93"/>
  <c r="R26" i="93"/>
  <c r="R37" i="93"/>
  <c r="R29" i="93"/>
  <c r="R72" i="93"/>
  <c r="R68" i="93"/>
  <c r="R59" i="93"/>
  <c r="R18" i="93"/>
  <c r="D23" i="93"/>
  <c r="F29" i="93"/>
  <c r="X104" i="85"/>
  <c r="Z104" i="85" s="1"/>
  <c r="L118" i="85"/>
  <c r="N118" i="85" s="1"/>
  <c r="V121" i="85"/>
  <c r="L128" i="85"/>
  <c r="X12" i="86"/>
  <c r="R28" i="86"/>
  <c r="L60" i="88"/>
  <c r="N60" i="88" s="1"/>
  <c r="X66" i="88"/>
  <c r="Z66" i="88" s="1"/>
  <c r="V79" i="89"/>
  <c r="Z48" i="92"/>
  <c r="R74" i="93"/>
  <c r="V18" i="83"/>
  <c r="J22" i="83"/>
  <c r="J24" i="83"/>
  <c r="J26" i="83"/>
  <c r="J28" i="83"/>
  <c r="V20" i="84"/>
  <c r="V22" i="84"/>
  <c r="V24" i="84"/>
  <c r="J28" i="84"/>
  <c r="J32" i="84"/>
  <c r="J46" i="84"/>
  <c r="V52" i="84"/>
  <c r="V60" i="84"/>
  <c r="J66" i="84"/>
  <c r="V68" i="84"/>
  <c r="J72" i="84"/>
  <c r="V80" i="84"/>
  <c r="V84" i="84"/>
  <c r="J92" i="84"/>
  <c r="V98" i="84"/>
  <c r="J38" i="85"/>
  <c r="J42" i="85"/>
  <c r="J46" i="85"/>
  <c r="J50" i="85"/>
  <c r="V70" i="85"/>
  <c r="V74" i="85"/>
  <c r="J86" i="85"/>
  <c r="V90" i="85"/>
  <c r="J98" i="85"/>
  <c r="V102" i="85"/>
  <c r="J106" i="85"/>
  <c r="V114" i="85"/>
  <c r="J126" i="85"/>
  <c r="V132" i="85"/>
  <c r="Z12" i="86"/>
  <c r="V16" i="86"/>
  <c r="J20" i="86"/>
  <c r="J22" i="86"/>
  <c r="J24" i="86"/>
  <c r="V28" i="86"/>
  <c r="V30" i="86"/>
  <c r="V102" i="88"/>
  <c r="V88" i="88"/>
  <c r="V84" i="88"/>
  <c r="V80" i="88"/>
  <c r="V56" i="88"/>
  <c r="V48" i="88"/>
  <c r="V32" i="88"/>
  <c r="V28" i="88"/>
  <c r="V91" i="88"/>
  <c r="V67" i="88"/>
  <c r="V55" i="88"/>
  <c r="V47" i="88"/>
  <c r="V93" i="88"/>
  <c r="V92" i="88"/>
  <c r="V76" i="88"/>
  <c r="V68" i="88"/>
  <c r="V60" i="88"/>
  <c r="V52" i="88"/>
  <c r="V24" i="88"/>
  <c r="V22" i="88"/>
  <c r="V20" i="88"/>
  <c r="V94" i="88"/>
  <c r="V86" i="88"/>
  <c r="V82" i="88"/>
  <c r="V70" i="88"/>
  <c r="V62" i="88"/>
  <c r="V34" i="88"/>
  <c r="V30" i="88"/>
  <c r="V26" i="88"/>
  <c r="V77" i="88"/>
  <c r="V69" i="88"/>
  <c r="V61" i="88"/>
  <c r="V53" i="88"/>
  <c r="V100" i="88"/>
  <c r="V98" i="88"/>
  <c r="V96" i="88"/>
  <c r="V72" i="88"/>
  <c r="V64" i="88"/>
  <c r="V44" i="88"/>
  <c r="V40" i="88"/>
  <c r="V36" i="88"/>
  <c r="V50" i="88"/>
  <c r="J52" i="88"/>
  <c r="V63" i="88"/>
  <c r="V65" i="88"/>
  <c r="J77" i="88"/>
  <c r="H23" i="89"/>
  <c r="L18" i="89"/>
  <c r="N18" i="89" s="1"/>
  <c r="J18" i="89"/>
  <c r="V27" i="89"/>
  <c r="V43" i="89"/>
  <c r="V45" i="89"/>
  <c r="V63" i="89"/>
  <c r="Z19" i="92"/>
  <c r="X19" i="92"/>
  <c r="L30" i="92"/>
  <c r="V42" i="92"/>
  <c r="N60" i="92"/>
  <c r="N72" i="92"/>
  <c r="D92" i="92"/>
  <c r="L92" i="92" s="1"/>
  <c r="N92" i="92" s="1"/>
  <c r="L94" i="92"/>
  <c r="J65" i="84"/>
  <c r="V73" i="84"/>
  <c r="V85" i="84"/>
  <c r="J91" i="84"/>
  <c r="J59" i="85"/>
  <c r="J63" i="85"/>
  <c r="V79" i="85"/>
  <c r="J85" i="85"/>
  <c r="V91" i="85"/>
  <c r="J97" i="85"/>
  <c r="V107" i="85"/>
  <c r="V119" i="85"/>
  <c r="J125" i="85"/>
  <c r="R26" i="86"/>
  <c r="J26" i="88"/>
  <c r="J37" i="88"/>
  <c r="L52" i="88"/>
  <c r="N52" i="88" s="1"/>
  <c r="J67" i="88"/>
  <c r="L72" i="88"/>
  <c r="J82" i="88"/>
  <c r="J86" i="88"/>
  <c r="V89" i="88"/>
  <c r="J94" i="88"/>
  <c r="V95" i="88"/>
  <c r="V81" i="89"/>
  <c r="V69" i="89"/>
  <c r="V64" i="89"/>
  <c r="V56" i="89"/>
  <c r="V32" i="89"/>
  <c r="V28" i="89"/>
  <c r="V83" i="89"/>
  <c r="V75" i="89"/>
  <c r="V71" i="89"/>
  <c r="V55" i="89"/>
  <c r="V47" i="89"/>
  <c r="V19" i="89"/>
  <c r="V66" i="89"/>
  <c r="V58" i="89"/>
  <c r="V46" i="89"/>
  <c r="V42" i="89"/>
  <c r="V38" i="89"/>
  <c r="V77" i="89"/>
  <c r="V65" i="89"/>
  <c r="V57" i="89"/>
  <c r="V49" i="89"/>
  <c r="V33" i="89"/>
  <c r="V29" i="89"/>
  <c r="V86" i="89"/>
  <c r="V84" i="89"/>
  <c r="V76" i="89"/>
  <c r="V72" i="89"/>
  <c r="V60" i="89"/>
  <c r="V48" i="89"/>
  <c r="V20" i="89"/>
  <c r="V78" i="89"/>
  <c r="V62" i="89"/>
  <c r="V50" i="89"/>
  <c r="V34" i="89"/>
  <c r="V30" i="89"/>
  <c r="V26" i="89"/>
  <c r="V73" i="89"/>
  <c r="V61" i="89"/>
  <c r="V53" i="89"/>
  <c r="V25" i="89"/>
  <c r="V21" i="89"/>
  <c r="V90" i="89"/>
  <c r="V80" i="89"/>
  <c r="V68" i="89"/>
  <c r="V52" i="89"/>
  <c r="V44" i="89"/>
  <c r="V40" i="89"/>
  <c r="V36" i="89"/>
  <c r="T23" i="89"/>
  <c r="V23" i="89" s="1"/>
  <c r="N49" i="89"/>
  <c r="V54" i="89"/>
  <c r="V85" i="92"/>
  <c r="V77" i="92"/>
  <c r="V73" i="92"/>
  <c r="V61" i="92"/>
  <c r="V49" i="92"/>
  <c r="V37" i="92"/>
  <c r="V33" i="92"/>
  <c r="T16" i="92"/>
  <c r="V98" i="92"/>
  <c r="V84" i="92"/>
  <c r="V52" i="92"/>
  <c r="V44" i="92"/>
  <c r="V28" i="92"/>
  <c r="V24" i="92"/>
  <c r="V20" i="92"/>
  <c r="V93" i="92"/>
  <c r="V67" i="92"/>
  <c r="V51" i="92"/>
  <c r="V100" i="92"/>
  <c r="V86" i="92"/>
  <c r="V78" i="92"/>
  <c r="V74" i="92"/>
  <c r="V62" i="92"/>
  <c r="V54" i="92"/>
  <c r="V38" i="92"/>
  <c r="V34" i="92"/>
  <c r="V30" i="92"/>
  <c r="V53" i="92"/>
  <c r="V45" i="92"/>
  <c r="V29" i="92"/>
  <c r="V25" i="92"/>
  <c r="V21" i="92"/>
  <c r="V103" i="92"/>
  <c r="V94" i="92"/>
  <c r="V68" i="92"/>
  <c r="V64" i="92"/>
  <c r="V56" i="92"/>
  <c r="V96" i="92"/>
  <c r="V70" i="92"/>
  <c r="V58" i="92"/>
  <c r="V46" i="92"/>
  <c r="V26" i="92"/>
  <c r="V22" i="92"/>
  <c r="V89" i="92"/>
  <c r="V81" i="92"/>
  <c r="V69" i="92"/>
  <c r="V65" i="92"/>
  <c r="V57" i="92"/>
  <c r="V41" i="92"/>
  <c r="V88" i="92"/>
  <c r="V80" i="92"/>
  <c r="V76" i="92"/>
  <c r="V72" i="92"/>
  <c r="V60" i="92"/>
  <c r="V48" i="92"/>
  <c r="V40" i="92"/>
  <c r="V36" i="92"/>
  <c r="V32" i="92"/>
  <c r="Z12" i="92"/>
  <c r="L18" i="92"/>
  <c r="N18" i="92" s="1"/>
  <c r="V19" i="92"/>
  <c r="X56" i="92"/>
  <c r="Z56" i="92" s="1"/>
  <c r="X60" i="92"/>
  <c r="Z60" i="92" s="1"/>
  <c r="X72" i="92"/>
  <c r="Z72" i="92" s="1"/>
  <c r="V90" i="92"/>
  <c r="R45" i="93"/>
  <c r="J72" i="93"/>
  <c r="V30" i="83"/>
  <c r="J18" i="84"/>
  <c r="V38" i="84"/>
  <c r="V42" i="84"/>
  <c r="V50" i="84"/>
  <c r="J54" i="84"/>
  <c r="J64" i="84"/>
  <c r="J78" i="84"/>
  <c r="J82" i="84"/>
  <c r="V60" i="85"/>
  <c r="V64" i="85"/>
  <c r="J68" i="85"/>
  <c r="J72" i="85"/>
  <c r="J76" i="85"/>
  <c r="V80" i="85"/>
  <c r="J84" i="85"/>
  <c r="V88" i="85"/>
  <c r="J96" i="85"/>
  <c r="V100" i="85"/>
  <c r="J112" i="85"/>
  <c r="J116" i="85"/>
  <c r="J18" i="88"/>
  <c r="J30" i="88"/>
  <c r="J54" i="88"/>
  <c r="J59" i="88"/>
  <c r="N72" i="88"/>
  <c r="J100" i="88"/>
  <c r="Z18" i="89"/>
  <c r="N36" i="89"/>
  <c r="J49" i="89"/>
  <c r="L66" i="89"/>
  <c r="N66" i="89" s="1"/>
  <c r="N70" i="89"/>
  <c r="L70" i="89"/>
  <c r="Z86" i="89"/>
  <c r="X86" i="89"/>
  <c r="X12" i="92"/>
  <c r="N30" i="92"/>
  <c r="R27" i="93"/>
  <c r="R43" i="93"/>
  <c r="J70" i="93"/>
  <c r="J48" i="89"/>
  <c r="J58" i="89"/>
  <c r="J66" i="89"/>
  <c r="J72" i="89"/>
  <c r="J76" i="89"/>
  <c r="J84" i="89"/>
  <c r="F21" i="92"/>
  <c r="F25" i="92"/>
  <c r="F29" i="92"/>
  <c r="J30" i="92"/>
  <c r="F45" i="92"/>
  <c r="F52" i="92"/>
  <c r="F53" i="92"/>
  <c r="J54" i="92"/>
  <c r="R57" i="92"/>
  <c r="R58" i="92"/>
  <c r="R65" i="92"/>
  <c r="J68" i="92"/>
  <c r="R69" i="92"/>
  <c r="R70" i="92"/>
  <c r="R96" i="92"/>
  <c r="F100" i="92"/>
  <c r="J103" i="92"/>
  <c r="V21" i="93"/>
  <c r="V27" i="93"/>
  <c r="V34" i="93"/>
  <c r="V40" i="93"/>
  <c r="V50" i="93"/>
  <c r="Z57" i="93"/>
  <c r="X18" i="94"/>
  <c r="R70" i="94"/>
  <c r="J29" i="89"/>
  <c r="J33" i="89"/>
  <c r="J47" i="89"/>
  <c r="J57" i="89"/>
  <c r="J65" i="89"/>
  <c r="D16" i="92"/>
  <c r="J21" i="92"/>
  <c r="R22" i="92"/>
  <c r="J25" i="92"/>
  <c r="R26" i="92"/>
  <c r="J29" i="92"/>
  <c r="F34" i="92"/>
  <c r="F38" i="92"/>
  <c r="J45" i="92"/>
  <c r="R46" i="92"/>
  <c r="J53" i="92"/>
  <c r="F62" i="92"/>
  <c r="F74" i="92"/>
  <c r="F78" i="92"/>
  <c r="F85" i="92"/>
  <c r="F86" i="92"/>
  <c r="V92" i="93"/>
  <c r="V60" i="93"/>
  <c r="V52" i="93"/>
  <c r="V44" i="93"/>
  <c r="V79" i="93"/>
  <c r="V75" i="93"/>
  <c r="V63" i="93"/>
  <c r="V35" i="93"/>
  <c r="V31" i="93"/>
  <c r="V70" i="93"/>
  <c r="V62" i="93"/>
  <c r="V81" i="93"/>
  <c r="V45" i="93"/>
  <c r="V41" i="93"/>
  <c r="V37" i="93"/>
  <c r="V80" i="93"/>
  <c r="V76" i="93"/>
  <c r="V83" i="93"/>
  <c r="V71" i="93"/>
  <c r="V55" i="93"/>
  <c r="V47" i="93"/>
  <c r="V19" i="93"/>
  <c r="V85" i="93"/>
  <c r="V77" i="93"/>
  <c r="V73" i="93"/>
  <c r="V65" i="93"/>
  <c r="V57" i="93"/>
  <c r="V49" i="93"/>
  <c r="V33" i="93"/>
  <c r="V29" i="93"/>
  <c r="V84" i="93"/>
  <c r="V68" i="93"/>
  <c r="V67" i="93"/>
  <c r="V59" i="93"/>
  <c r="V51" i="93"/>
  <c r="V43" i="93"/>
  <c r="V39" i="93"/>
  <c r="N63" i="93"/>
  <c r="L81" i="93"/>
  <c r="N81" i="93" s="1"/>
  <c r="Z18" i="94"/>
  <c r="N55" i="94"/>
  <c r="L55" i="94"/>
  <c r="V70" i="94"/>
  <c r="R84" i="95"/>
  <c r="R88" i="95"/>
  <c r="R77" i="95"/>
  <c r="R73" i="95"/>
  <c r="R78" i="95"/>
  <c r="R75" i="95"/>
  <c r="R66" i="95"/>
  <c r="R58" i="95"/>
  <c r="R57" i="95"/>
  <c r="R33" i="95"/>
  <c r="R29" i="95"/>
  <c r="R79" i="95"/>
  <c r="R67" i="95"/>
  <c r="R49" i="95"/>
  <c r="R48" i="95"/>
  <c r="R20" i="95"/>
  <c r="R60" i="95"/>
  <c r="R59" i="95"/>
  <c r="R43" i="95"/>
  <c r="R39" i="95"/>
  <c r="R51" i="95"/>
  <c r="R50" i="95"/>
  <c r="R34" i="95"/>
  <c r="R30" i="95"/>
  <c r="R76" i="95"/>
  <c r="R62" i="95"/>
  <c r="R61" i="95"/>
  <c r="R26" i="95"/>
  <c r="R21" i="95"/>
  <c r="R80" i="95"/>
  <c r="R68" i="95"/>
  <c r="R53" i="95"/>
  <c r="R52" i="95"/>
  <c r="R44" i="95"/>
  <c r="R40" i="95"/>
  <c r="R69" i="95"/>
  <c r="R63" i="95"/>
  <c r="R36" i="95"/>
  <c r="R35" i="95"/>
  <c r="R31" i="95"/>
  <c r="R27" i="95"/>
  <c r="P23" i="95"/>
  <c r="R81" i="95"/>
  <c r="R74" i="95"/>
  <c r="R54" i="95"/>
  <c r="R71" i="95"/>
  <c r="R70" i="95"/>
  <c r="R45" i="95"/>
  <c r="R41" i="95"/>
  <c r="R37" i="95"/>
  <c r="R18" i="95"/>
  <c r="R64" i="95"/>
  <c r="R32" i="95"/>
  <c r="R28" i="95"/>
  <c r="R55" i="95"/>
  <c r="R72" i="95"/>
  <c r="R38" i="95"/>
  <c r="X12" i="95"/>
  <c r="R19" i="95"/>
  <c r="R42" i="95"/>
  <c r="R82" i="95"/>
  <c r="R56" i="95"/>
  <c r="R46" i="95"/>
  <c r="R25" i="95"/>
  <c r="J38" i="89"/>
  <c r="J42" i="89"/>
  <c r="J46" i="89"/>
  <c r="J56" i="89"/>
  <c r="F14" i="92"/>
  <c r="F16" i="92"/>
  <c r="F18" i="92"/>
  <c r="R31" i="92"/>
  <c r="J34" i="92"/>
  <c r="R35" i="92"/>
  <c r="J38" i="92"/>
  <c r="R39" i="92"/>
  <c r="F50" i="92"/>
  <c r="F51" i="92"/>
  <c r="J52" i="92"/>
  <c r="R55" i="92"/>
  <c r="R56" i="92"/>
  <c r="J62" i="92"/>
  <c r="R63" i="92"/>
  <c r="R64" i="92"/>
  <c r="F67" i="92"/>
  <c r="J74" i="92"/>
  <c r="R75" i="92"/>
  <c r="J78" i="92"/>
  <c r="R79" i="92"/>
  <c r="J86" i="92"/>
  <c r="R87" i="92"/>
  <c r="F92" i="92"/>
  <c r="J93" i="92"/>
  <c r="J100" i="92"/>
  <c r="V18" i="93"/>
  <c r="N25" i="93"/>
  <c r="Z59" i="93"/>
  <c r="X59" i="93"/>
  <c r="V18" i="94"/>
  <c r="J55" i="94"/>
  <c r="J28" i="89"/>
  <c r="J32" i="89"/>
  <c r="J64" i="89"/>
  <c r="J70" i="89"/>
  <c r="J82" i="89"/>
  <c r="J14" i="92"/>
  <c r="J16" i="92"/>
  <c r="J18" i="92"/>
  <c r="J20" i="92"/>
  <c r="R21" i="92"/>
  <c r="J24" i="92"/>
  <c r="R25" i="92"/>
  <c r="J28" i="92"/>
  <c r="R29" i="92"/>
  <c r="R30" i="92"/>
  <c r="F33" i="92"/>
  <c r="F37" i="92"/>
  <c r="J44" i="92"/>
  <c r="R45" i="92"/>
  <c r="F48" i="92"/>
  <c r="F49" i="92"/>
  <c r="J50" i="92"/>
  <c r="R53" i="92"/>
  <c r="R54" i="92"/>
  <c r="F60" i="92"/>
  <c r="F61" i="92"/>
  <c r="F72" i="92"/>
  <c r="F73" i="92"/>
  <c r="J84" i="92"/>
  <c r="J92" i="92"/>
  <c r="V20" i="93"/>
  <c r="Z47" i="93"/>
  <c r="V56" i="93"/>
  <c r="X88" i="93"/>
  <c r="R21" i="94"/>
  <c r="X63" i="94"/>
  <c r="Z63" i="94" s="1"/>
  <c r="R47" i="95"/>
  <c r="R65" i="95"/>
  <c r="J69" i="89"/>
  <c r="J81" i="89"/>
  <c r="F93" i="92"/>
  <c r="F98" i="92"/>
  <c r="J19" i="92"/>
  <c r="J33" i="92"/>
  <c r="R34" i="92"/>
  <c r="J37" i="92"/>
  <c r="R38" i="92"/>
  <c r="F41" i="92"/>
  <c r="F42" i="92"/>
  <c r="J43" i="92"/>
  <c r="J49" i="92"/>
  <c r="J61" i="92"/>
  <c r="R62" i="92"/>
  <c r="F66" i="92"/>
  <c r="J73" i="92"/>
  <c r="R74" i="92"/>
  <c r="J77" i="92"/>
  <c r="R78" i="92"/>
  <c r="F81" i="92"/>
  <c r="F82" i="92"/>
  <c r="J83" i="92"/>
  <c r="R86" i="92"/>
  <c r="F89" i="92"/>
  <c r="F90" i="92"/>
  <c r="J98" i="92"/>
  <c r="R100" i="92"/>
  <c r="V54" i="93"/>
  <c r="V41" i="94"/>
  <c r="X83" i="94"/>
  <c r="P82" i="94"/>
  <c r="X82" i="94" s="1"/>
  <c r="J74" i="89"/>
  <c r="J80" i="89"/>
  <c r="J42" i="92"/>
  <c r="F47" i="92"/>
  <c r="J48" i="92"/>
  <c r="R51" i="92"/>
  <c r="R52" i="92"/>
  <c r="F58" i="92"/>
  <c r="F59" i="92"/>
  <c r="J60" i="92"/>
  <c r="J66" i="92"/>
  <c r="R67" i="92"/>
  <c r="F70" i="92"/>
  <c r="F71" i="92"/>
  <c r="J72" i="92"/>
  <c r="J82" i="92"/>
  <c r="J90" i="92"/>
  <c r="R93" i="92"/>
  <c r="V26" i="93"/>
  <c r="X49" i="93"/>
  <c r="Z49" i="93" s="1"/>
  <c r="L51" i="93"/>
  <c r="N51" i="93" s="1"/>
  <c r="V58" i="93"/>
  <c r="X83" i="93"/>
  <c r="Z83" i="93" s="1"/>
  <c r="V88" i="93"/>
  <c r="V49" i="94"/>
  <c r="J23" i="89"/>
  <c r="J25" i="89"/>
  <c r="J27" i="89"/>
  <c r="J31" i="89"/>
  <c r="J35" i="89"/>
  <c r="J53" i="89"/>
  <c r="J63" i="89"/>
  <c r="J79" i="89"/>
  <c r="L12" i="92"/>
  <c r="P16" i="92"/>
  <c r="R20" i="92"/>
  <c r="J23" i="92"/>
  <c r="R24" i="92"/>
  <c r="J27" i="92"/>
  <c r="R28" i="92"/>
  <c r="F32" i="92"/>
  <c r="F36" i="92"/>
  <c r="F40" i="92"/>
  <c r="J41" i="92"/>
  <c r="R44" i="92"/>
  <c r="J47" i="92"/>
  <c r="J59" i="92"/>
  <c r="J71" i="92"/>
  <c r="F76" i="92"/>
  <c r="F80" i="92"/>
  <c r="J81" i="92"/>
  <c r="R84" i="92"/>
  <c r="R85" i="92"/>
  <c r="F88" i="92"/>
  <c r="J89" i="92"/>
  <c r="P92" i="92"/>
  <c r="X92" i="92" s="1"/>
  <c r="Z92" i="92" s="1"/>
  <c r="F96" i="92"/>
  <c r="V25" i="93"/>
  <c r="V28" i="93"/>
  <c r="V36" i="93"/>
  <c r="V46" i="93"/>
  <c r="N53" i="93"/>
  <c r="V69" i="93"/>
  <c r="R71" i="94"/>
  <c r="R67" i="94"/>
  <c r="R79" i="94"/>
  <c r="R78" i="94"/>
  <c r="R51" i="94"/>
  <c r="R50" i="94"/>
  <c r="R34" i="94"/>
  <c r="R30" i="94"/>
  <c r="R61" i="94"/>
  <c r="R74" i="94"/>
  <c r="R73" i="94"/>
  <c r="R69" i="94"/>
  <c r="R45" i="94"/>
  <c r="R41" i="94"/>
  <c r="R37" i="94"/>
  <c r="R18" i="94"/>
  <c r="R64" i="94"/>
  <c r="R57" i="94"/>
  <c r="R56" i="94"/>
  <c r="R32" i="94"/>
  <c r="R28" i="94"/>
  <c r="R48" i="94"/>
  <c r="R76" i="94"/>
  <c r="R68" i="94"/>
  <c r="R60" i="94"/>
  <c r="R53" i="94"/>
  <c r="R49" i="94"/>
  <c r="R39" i="94"/>
  <c r="R36" i="94"/>
  <c r="R80" i="94"/>
  <c r="R66" i="94"/>
  <c r="R33" i="94"/>
  <c r="R19" i="94"/>
  <c r="R77" i="94"/>
  <c r="R42" i="94"/>
  <c r="P23" i="94"/>
  <c r="R31" i="94"/>
  <c r="R25" i="94"/>
  <c r="R82" i="94"/>
  <c r="R58" i="94"/>
  <c r="R54" i="94"/>
  <c r="R43" i="94"/>
  <c r="R40" i="94"/>
  <c r="R26" i="94"/>
  <c r="R20" i="94"/>
  <c r="R55" i="94"/>
  <c r="R46" i="94"/>
  <c r="R29" i="94"/>
  <c r="R75" i="94"/>
  <c r="R59" i="94"/>
  <c r="R47" i="94"/>
  <c r="R72" i="94"/>
  <c r="R38" i="94"/>
  <c r="R27" i="94"/>
  <c r="X12" i="94"/>
  <c r="R62" i="94"/>
  <c r="J26" i="89"/>
  <c r="J40" i="89"/>
  <c r="J44" i="89"/>
  <c r="J52" i="89"/>
  <c r="J62" i="89"/>
  <c r="J68" i="89"/>
  <c r="N12" i="92"/>
  <c r="R14" i="92"/>
  <c r="R16" i="92"/>
  <c r="R18" i="92"/>
  <c r="J32" i="92"/>
  <c r="R33" i="92"/>
  <c r="J36" i="92"/>
  <c r="R37" i="92"/>
  <c r="J40" i="92"/>
  <c r="R49" i="92"/>
  <c r="R50" i="92"/>
  <c r="F56" i="92"/>
  <c r="F57" i="92"/>
  <c r="J58" i="92"/>
  <c r="R61" i="92"/>
  <c r="F64" i="92"/>
  <c r="F65" i="92"/>
  <c r="F69" i="92"/>
  <c r="J70" i="92"/>
  <c r="R73" i="92"/>
  <c r="J76" i="92"/>
  <c r="R77" i="92"/>
  <c r="J80" i="92"/>
  <c r="L81" i="92"/>
  <c r="N81" i="92" s="1"/>
  <c r="J88" i="92"/>
  <c r="L89" i="92"/>
  <c r="N89" i="92" s="1"/>
  <c r="R92" i="92"/>
  <c r="X25" i="93"/>
  <c r="Z25" i="93" s="1"/>
  <c r="V78" i="94"/>
  <c r="V61" i="94"/>
  <c r="V53" i="94"/>
  <c r="V25" i="94"/>
  <c r="V23" i="94"/>
  <c r="V21" i="94"/>
  <c r="V82" i="94"/>
  <c r="V80" i="94"/>
  <c r="V72" i="94"/>
  <c r="V68" i="94"/>
  <c r="V64" i="94"/>
  <c r="V56" i="94"/>
  <c r="V32" i="94"/>
  <c r="V28" i="94"/>
  <c r="Z12" i="94"/>
  <c r="V87" i="94"/>
  <c r="V75" i="94"/>
  <c r="V59" i="94"/>
  <c r="V47" i="94"/>
  <c r="V19" i="94"/>
  <c r="V76" i="94"/>
  <c r="V66" i="94"/>
  <c r="V60" i="94"/>
  <c r="V57" i="94"/>
  <c r="V39" i="94"/>
  <c r="V77" i="94"/>
  <c r="V73" i="94"/>
  <c r="V33" i="94"/>
  <c r="T23" i="94"/>
  <c r="V74" i="94"/>
  <c r="V45" i="94"/>
  <c r="V42" i="94"/>
  <c r="V71" i="94"/>
  <c r="V31" i="94"/>
  <c r="V50" i="94"/>
  <c r="V37" i="94"/>
  <c r="V26" i="94"/>
  <c r="V69" i="94"/>
  <c r="V58" i="94"/>
  <c r="V55" i="94"/>
  <c r="V54" i="94"/>
  <c r="V51" i="94"/>
  <c r="V43" i="94"/>
  <c r="V40" i="94"/>
  <c r="V20" i="94"/>
  <c r="V46" i="94"/>
  <c r="V34" i="94"/>
  <c r="V29" i="94"/>
  <c r="V67" i="94"/>
  <c r="V79" i="94"/>
  <c r="V38" i="94"/>
  <c r="V27" i="94"/>
  <c r="V83" i="94"/>
  <c r="V65" i="94"/>
  <c r="V63" i="94"/>
  <c r="V62" i="94"/>
  <c r="R19" i="92"/>
  <c r="R42" i="92"/>
  <c r="R43" i="92"/>
  <c r="F46" i="92"/>
  <c r="J57" i="92"/>
  <c r="J65" i="92"/>
  <c r="R66" i="92"/>
  <c r="J69" i="92"/>
  <c r="R82" i="92"/>
  <c r="R83" i="92"/>
  <c r="R90" i="92"/>
  <c r="J96" i="92"/>
  <c r="T23" i="93"/>
  <c r="V30" i="93"/>
  <c r="V48" i="93"/>
  <c r="Z51" i="93"/>
  <c r="V64" i="93"/>
  <c r="L72" i="93"/>
  <c r="N72" i="93" s="1"/>
  <c r="V78" i="93"/>
  <c r="V82" i="93"/>
  <c r="N25" i="94"/>
  <c r="R44" i="94"/>
  <c r="J20" i="94"/>
  <c r="J34" i="94"/>
  <c r="J43" i="94"/>
  <c r="X47" i="94"/>
  <c r="Z47" i="94" s="1"/>
  <c r="X59" i="94"/>
  <c r="J67" i="94"/>
  <c r="J78" i="94"/>
  <c r="Z47" i="95"/>
  <c r="V49" i="95"/>
  <c r="V67" i="95"/>
  <c r="V79" i="95"/>
  <c r="J54" i="94"/>
  <c r="J61" i="94"/>
  <c r="J69" i="94"/>
  <c r="J82" i="94"/>
  <c r="N25" i="95"/>
  <c r="J25" i="95"/>
  <c r="V33" i="95"/>
  <c r="L22" i="96"/>
  <c r="N22" i="96" s="1"/>
  <c r="D12" i="94"/>
  <c r="J37" i="94"/>
  <c r="J50" i="94"/>
  <c r="J74" i="94"/>
  <c r="X16" i="95"/>
  <c r="H103" i="96"/>
  <c r="J22" i="96"/>
  <c r="J42" i="94"/>
  <c r="J64" i="94"/>
  <c r="J71" i="94"/>
  <c r="N77" i="94"/>
  <c r="L77" i="94"/>
  <c r="Z58" i="95"/>
  <c r="X58" i="95"/>
  <c r="J19" i="94"/>
  <c r="H23" i="94"/>
  <c r="J45" i="94"/>
  <c r="N49" i="94"/>
  <c r="J57" i="94"/>
  <c r="J77" i="94"/>
  <c r="Z25" i="95"/>
  <c r="V46" i="95"/>
  <c r="Z56" i="95"/>
  <c r="V58" i="95"/>
  <c r="J28" i="94"/>
  <c r="N36" i="94"/>
  <c r="J39" i="94"/>
  <c r="J49" i="94"/>
  <c r="X55" i="94"/>
  <c r="Z55" i="94" s="1"/>
  <c r="N66" i="94"/>
  <c r="J73" i="94"/>
  <c r="V76" i="95"/>
  <c r="V72" i="95"/>
  <c r="V64" i="95"/>
  <c r="V78" i="95"/>
  <c r="V74" i="95"/>
  <c r="V60" i="95"/>
  <c r="V48" i="95"/>
  <c r="V20" i="95"/>
  <c r="V59" i="95"/>
  <c r="V51" i="95"/>
  <c r="V43" i="95"/>
  <c r="V39" i="95"/>
  <c r="V84" i="95"/>
  <c r="V62" i="95"/>
  <c r="V50" i="95"/>
  <c r="V34" i="95"/>
  <c r="V30" i="95"/>
  <c r="V26" i="95"/>
  <c r="V88" i="95"/>
  <c r="V73" i="95"/>
  <c r="V61" i="95"/>
  <c r="V53" i="95"/>
  <c r="V25" i="95"/>
  <c r="V21" i="95"/>
  <c r="V80" i="95"/>
  <c r="V69" i="95"/>
  <c r="V68" i="95"/>
  <c r="V52" i="95"/>
  <c r="V44" i="95"/>
  <c r="V40" i="95"/>
  <c r="V36" i="95"/>
  <c r="T23" i="95"/>
  <c r="V81" i="95"/>
  <c r="V63" i="95"/>
  <c r="V35" i="95"/>
  <c r="V31" i="95"/>
  <c r="V71" i="95"/>
  <c r="V54" i="95"/>
  <c r="V70" i="95"/>
  <c r="V45" i="95"/>
  <c r="V41" i="95"/>
  <c r="V37" i="95"/>
  <c r="V77" i="95"/>
  <c r="V65" i="95"/>
  <c r="V56" i="95"/>
  <c r="V32" i="95"/>
  <c r="V28" i="95"/>
  <c r="Z12" i="95"/>
  <c r="V55" i="95"/>
  <c r="V47" i="95"/>
  <c r="N36" i="95"/>
  <c r="L36" i="95"/>
  <c r="V42" i="95"/>
  <c r="J18" i="94"/>
  <c r="J36" i="94"/>
  <c r="X66" i="94"/>
  <c r="Z66" i="94" s="1"/>
  <c r="Z74" i="94"/>
  <c r="V19" i="95"/>
  <c r="J87" i="94"/>
  <c r="J70" i="94"/>
  <c r="J58" i="94"/>
  <c r="J65" i="94"/>
  <c r="J59" i="94"/>
  <c r="J47" i="94"/>
  <c r="J33" i="94"/>
  <c r="J29" i="94"/>
  <c r="J76" i="94"/>
  <c r="J66" i="94"/>
  <c r="J60" i="94"/>
  <c r="J80" i="94"/>
  <c r="J72" i="94"/>
  <c r="J68" i="94"/>
  <c r="J52" i="94"/>
  <c r="J44" i="94"/>
  <c r="J40" i="94"/>
  <c r="J26" i="94"/>
  <c r="J53" i="94"/>
  <c r="J35" i="94"/>
  <c r="J31" i="94"/>
  <c r="J27" i="94"/>
  <c r="J25" i="94"/>
  <c r="J23" i="94"/>
  <c r="J30" i="94"/>
  <c r="J63" i="94"/>
  <c r="J21" i="94"/>
  <c r="J56" i="94"/>
  <c r="J62" i="94"/>
  <c r="J79" i="94"/>
  <c r="J83" i="94"/>
  <c r="D12" i="95"/>
  <c r="N53" i="95"/>
  <c r="J53" i="95"/>
  <c r="F98" i="96"/>
  <c r="F97" i="96"/>
  <c r="F74" i="96"/>
  <c r="F34" i="96"/>
  <c r="F30" i="96"/>
  <c r="F26" i="96"/>
  <c r="F25" i="96"/>
  <c r="F89" i="96"/>
  <c r="F85" i="96"/>
  <c r="F81" i="96"/>
  <c r="F80" i="96"/>
  <c r="F69" i="96"/>
  <c r="F61" i="96"/>
  <c r="F60" i="96"/>
  <c r="F53" i="96"/>
  <c r="F52" i="96"/>
  <c r="F24" i="96"/>
  <c r="F22" i="96"/>
  <c r="F101" i="96"/>
  <c r="F44" i="96"/>
  <c r="F40" i="96"/>
  <c r="F36" i="96"/>
  <c r="F35" i="96"/>
  <c r="F91" i="96"/>
  <c r="F90" i="96"/>
  <c r="F75" i="96"/>
  <c r="F63" i="96"/>
  <c r="F62" i="96"/>
  <c r="F86" i="96"/>
  <c r="F82" i="96"/>
  <c r="F70" i="96"/>
  <c r="F54" i="96"/>
  <c r="F18" i="96"/>
  <c r="F17" i="96"/>
  <c r="F105" i="96"/>
  <c r="F93" i="96"/>
  <c r="F92" i="96"/>
  <c r="F65" i="96"/>
  <c r="F64" i="96"/>
  <c r="F45" i="96"/>
  <c r="F41" i="96"/>
  <c r="F37" i="96"/>
  <c r="F76" i="96"/>
  <c r="F72" i="96"/>
  <c r="F71" i="96"/>
  <c r="F32" i="96"/>
  <c r="F28" i="96"/>
  <c r="F95" i="96"/>
  <c r="F94" i="96"/>
  <c r="F87" i="96"/>
  <c r="F83" i="96"/>
  <c r="F67" i="96"/>
  <c r="F66" i="96"/>
  <c r="F55" i="96"/>
  <c r="F47" i="96"/>
  <c r="F46" i="96"/>
  <c r="F19" i="96"/>
  <c r="F78" i="96"/>
  <c r="F77" i="96"/>
  <c r="F42" i="96"/>
  <c r="F38" i="96"/>
  <c r="F73" i="96"/>
  <c r="F57" i="96"/>
  <c r="F56" i="96"/>
  <c r="F49" i="96"/>
  <c r="F48" i="96"/>
  <c r="F33" i="96"/>
  <c r="F29" i="96"/>
  <c r="F68" i="96"/>
  <c r="F79" i="96"/>
  <c r="F58" i="96"/>
  <c r="F96" i="96"/>
  <c r="F88" i="96"/>
  <c r="F51" i="96"/>
  <c r="F20" i="96"/>
  <c r="F43" i="96"/>
  <c r="F39" i="96"/>
  <c r="F31" i="96"/>
  <c r="F27" i="96"/>
  <c r="F59" i="96"/>
  <c r="L12" i="96"/>
  <c r="N50" i="96"/>
  <c r="L50" i="96"/>
  <c r="J38" i="94"/>
  <c r="J41" i="94"/>
  <c r="Z49" i="94"/>
  <c r="X77" i="94"/>
  <c r="Z77" i="94" s="1"/>
  <c r="H86" i="95"/>
  <c r="J23" i="95"/>
  <c r="V57" i="95"/>
  <c r="L69" i="95"/>
  <c r="N69" i="95"/>
  <c r="J69" i="95"/>
  <c r="N97" i="96"/>
  <c r="L97" i="96"/>
  <c r="R33" i="98"/>
  <c r="R47" i="98"/>
  <c r="R54" i="98"/>
  <c r="J26" i="95"/>
  <c r="J40" i="95"/>
  <c r="J44" i="95"/>
  <c r="J52" i="95"/>
  <c r="J62" i="95"/>
  <c r="X81" i="95"/>
  <c r="T107" i="96"/>
  <c r="V107" i="96" s="1"/>
  <c r="N48" i="96"/>
  <c r="N52" i="96"/>
  <c r="Z62" i="96"/>
  <c r="J97" i="96"/>
  <c r="L12" i="98"/>
  <c r="N12" i="98" s="1"/>
  <c r="D23" i="98"/>
  <c r="F36" i="98"/>
  <c r="J21" i="95"/>
  <c r="J51" i="95"/>
  <c r="J61" i="95"/>
  <c r="J25" i="96"/>
  <c r="Z46" i="96"/>
  <c r="N36" i="98"/>
  <c r="R38" i="98"/>
  <c r="X45" i="99"/>
  <c r="R45" i="99"/>
  <c r="Z81" i="95"/>
  <c r="X64" i="96"/>
  <c r="Z64" i="96" s="1"/>
  <c r="H23" i="98"/>
  <c r="L18" i="98"/>
  <c r="N18" i="98" s="1"/>
  <c r="R29" i="98"/>
  <c r="X71" i="96"/>
  <c r="Z71" i="96" s="1"/>
  <c r="J18" i="98"/>
  <c r="N25" i="98"/>
  <c r="Z36" i="98"/>
  <c r="L49" i="95"/>
  <c r="N49" i="95" s="1"/>
  <c r="J58" i="95"/>
  <c r="V71" i="96"/>
  <c r="F64" i="98"/>
  <c r="F63" i="98"/>
  <c r="F96" i="98"/>
  <c r="F87" i="98"/>
  <c r="F83" i="98"/>
  <c r="F71" i="98"/>
  <c r="F55" i="98"/>
  <c r="F100" i="98"/>
  <c r="F78" i="98"/>
  <c r="F66" i="98"/>
  <c r="F65" i="98"/>
  <c r="F89" i="98"/>
  <c r="F88" i="98"/>
  <c r="F73" i="98"/>
  <c r="F72" i="98"/>
  <c r="F84" i="98"/>
  <c r="F80" i="98"/>
  <c r="F79" i="98"/>
  <c r="F56" i="98"/>
  <c r="F48" i="98"/>
  <c r="F47" i="98"/>
  <c r="F91" i="98"/>
  <c r="F90" i="98"/>
  <c r="F67" i="98"/>
  <c r="F93" i="98"/>
  <c r="F92" i="98"/>
  <c r="F85" i="98"/>
  <c r="F81" i="98"/>
  <c r="F69" i="98"/>
  <c r="F68" i="98"/>
  <c r="F75" i="98"/>
  <c r="F77" i="98"/>
  <c r="F70" i="98"/>
  <c r="F19" i="98"/>
  <c r="F18" i="98"/>
  <c r="F54" i="98"/>
  <c r="F44" i="98"/>
  <c r="F41" i="98"/>
  <c r="F38" i="98"/>
  <c r="F57" i="98"/>
  <c r="F51" i="98"/>
  <c r="F33" i="98"/>
  <c r="F29" i="98"/>
  <c r="F20" i="98"/>
  <c r="F58" i="98"/>
  <c r="F52" i="98"/>
  <c r="F61" i="98"/>
  <c r="F42" i="98"/>
  <c r="F39" i="98"/>
  <c r="F34" i="98"/>
  <c r="F30" i="98"/>
  <c r="F82" i="98"/>
  <c r="F76" i="98"/>
  <c r="F74" i="98"/>
  <c r="F21" i="98"/>
  <c r="F45" i="98"/>
  <c r="F94" i="98"/>
  <c r="F59" i="98"/>
  <c r="F35" i="98"/>
  <c r="F31" i="98"/>
  <c r="F27" i="98"/>
  <c r="F26" i="98"/>
  <c r="F86" i="98"/>
  <c r="F62" i="98"/>
  <c r="F49" i="98"/>
  <c r="F43" i="98"/>
  <c r="F40" i="98"/>
  <c r="F25" i="98"/>
  <c r="F23" i="98"/>
  <c r="F53" i="98"/>
  <c r="X36" i="95"/>
  <c r="Z36" i="95" s="1"/>
  <c r="J47" i="95"/>
  <c r="L58" i="95"/>
  <c r="J66" i="95"/>
  <c r="X69" i="95"/>
  <c r="J75" i="95"/>
  <c r="J24" i="96"/>
  <c r="R84" i="98"/>
  <c r="R80" i="98"/>
  <c r="R57" i="98"/>
  <c r="R92" i="98"/>
  <c r="R91" i="98"/>
  <c r="R68" i="98"/>
  <c r="R67" i="98"/>
  <c r="R43" i="98"/>
  <c r="R39" i="98"/>
  <c r="R74" i="98"/>
  <c r="R93" i="98"/>
  <c r="R85" i="98"/>
  <c r="R81" i="98"/>
  <c r="R69" i="98"/>
  <c r="R61" i="98"/>
  <c r="R60" i="98"/>
  <c r="R53" i="98"/>
  <c r="R52" i="98"/>
  <c r="R44" i="98"/>
  <c r="R76" i="98"/>
  <c r="R75" i="98"/>
  <c r="R94" i="98"/>
  <c r="R86" i="98"/>
  <c r="R82" i="98"/>
  <c r="R96" i="98"/>
  <c r="R77" i="98"/>
  <c r="R45" i="98"/>
  <c r="R41" i="98"/>
  <c r="R88" i="98"/>
  <c r="R87" i="98"/>
  <c r="R83" i="98"/>
  <c r="R89" i="98"/>
  <c r="R64" i="98"/>
  <c r="R58" i="98"/>
  <c r="R34" i="98"/>
  <c r="R30" i="98"/>
  <c r="R42" i="98"/>
  <c r="R26" i="98"/>
  <c r="R21" i="98"/>
  <c r="R78" i="98"/>
  <c r="R71" i="98"/>
  <c r="R55" i="98"/>
  <c r="R48" i="98"/>
  <c r="R25" i="98"/>
  <c r="R100" i="98"/>
  <c r="R90" i="98"/>
  <c r="R59" i="98"/>
  <c r="R49" i="98"/>
  <c r="R36" i="98"/>
  <c r="R35" i="98"/>
  <c r="R31" i="98"/>
  <c r="R27" i="98"/>
  <c r="P23" i="98"/>
  <c r="R23" i="98" s="1"/>
  <c r="R72" i="98"/>
  <c r="R65" i="98"/>
  <c r="R40" i="98"/>
  <c r="R62" i="98"/>
  <c r="R37" i="98"/>
  <c r="R18" i="98"/>
  <c r="R50" i="98"/>
  <c r="R32" i="98"/>
  <c r="R28" i="98"/>
  <c r="X12" i="98"/>
  <c r="R63" i="98"/>
  <c r="R56" i="98"/>
  <c r="R46" i="98"/>
  <c r="R19" i="98"/>
  <c r="R79" i="98"/>
  <c r="R70" i="98"/>
  <c r="R66" i="98"/>
  <c r="R57" i="100"/>
  <c r="R37" i="100"/>
  <c r="R33" i="100"/>
  <c r="R49" i="100"/>
  <c r="R48" i="100"/>
  <c r="R53" i="100"/>
  <c r="R52" i="100"/>
  <c r="R41" i="100"/>
  <c r="R14" i="100"/>
  <c r="R45" i="100"/>
  <c r="R24" i="100"/>
  <c r="R38" i="100"/>
  <c r="R35" i="100"/>
  <c r="R28" i="100"/>
  <c r="R20" i="100"/>
  <c r="R15" i="100"/>
  <c r="R46" i="100"/>
  <c r="R32" i="100"/>
  <c r="R19" i="100"/>
  <c r="R17" i="100"/>
  <c r="R42" i="100"/>
  <c r="R25" i="100"/>
  <c r="R21" i="100"/>
  <c r="P17" i="100"/>
  <c r="R50" i="100"/>
  <c r="R47" i="100"/>
  <c r="R59" i="100"/>
  <c r="R55" i="100"/>
  <c r="R43" i="100"/>
  <c r="R39" i="100"/>
  <c r="R36" i="100"/>
  <c r="R30" i="100"/>
  <c r="R29" i="100"/>
  <c r="R26" i="100"/>
  <c r="R22" i="100"/>
  <c r="X12" i="100"/>
  <c r="R23" i="100"/>
  <c r="R62" i="100"/>
  <c r="R27" i="100"/>
  <c r="R31" i="100"/>
  <c r="J80" i="95"/>
  <c r="J68" i="95"/>
  <c r="J86" i="95"/>
  <c r="J84" i="95"/>
  <c r="J76" i="95"/>
  <c r="J72" i="95"/>
  <c r="J88" i="95"/>
  <c r="J38" i="95"/>
  <c r="J42" i="95"/>
  <c r="J46" i="95"/>
  <c r="J56" i="95"/>
  <c r="J65" i="95"/>
  <c r="X67" i="95"/>
  <c r="Z67" i="95" s="1"/>
  <c r="J82" i="95"/>
  <c r="P12" i="96"/>
  <c r="X13" i="96"/>
  <c r="L17" i="96"/>
  <c r="N17" i="96" s="1"/>
  <c r="L24" i="96"/>
  <c r="N24" i="96" s="1"/>
  <c r="Z90" i="96"/>
  <c r="X15" i="98"/>
  <c r="Z15" i="98" s="1"/>
  <c r="F60" i="98"/>
  <c r="V44" i="100"/>
  <c r="V28" i="100"/>
  <c r="V46" i="100"/>
  <c r="V38" i="100"/>
  <c r="V34" i="100"/>
  <c r="V48" i="100"/>
  <c r="V39" i="100"/>
  <c r="V35" i="100"/>
  <c r="V31" i="100"/>
  <c r="V57" i="100"/>
  <c r="V53" i="100"/>
  <c r="V49" i="100"/>
  <c r="V24" i="100"/>
  <c r="V20" i="100"/>
  <c r="V19" i="100"/>
  <c r="V17" i="100"/>
  <c r="V15" i="100"/>
  <c r="V32" i="100"/>
  <c r="T17" i="100"/>
  <c r="V47" i="100"/>
  <c r="V42" i="100"/>
  <c r="V25" i="100"/>
  <c r="V21" i="100"/>
  <c r="V50" i="100"/>
  <c r="V43" i="100"/>
  <c r="V59" i="100"/>
  <c r="V55" i="100"/>
  <c r="V30" i="100"/>
  <c r="V36" i="100"/>
  <c r="V33" i="100"/>
  <c r="V29" i="100"/>
  <c r="V26" i="100"/>
  <c r="V22" i="100"/>
  <c r="V52" i="100"/>
  <c r="Z12" i="100"/>
  <c r="V27" i="100"/>
  <c r="V23" i="100"/>
  <c r="V41" i="100"/>
  <c r="V62" i="100"/>
  <c r="V14" i="100"/>
  <c r="V45" i="100"/>
  <c r="V37" i="100"/>
  <c r="L81" i="95"/>
  <c r="L58" i="96"/>
  <c r="N58" i="96" s="1"/>
  <c r="F28" i="98"/>
  <c r="Z92" i="96"/>
  <c r="X92" i="96"/>
  <c r="R44" i="100"/>
  <c r="J20" i="96"/>
  <c r="V44" i="96"/>
  <c r="J50" i="96"/>
  <c r="J58" i="96"/>
  <c r="V64" i="96"/>
  <c r="J68" i="96"/>
  <c r="J84" i="96"/>
  <c r="J88" i="96"/>
  <c r="V92" i="96"/>
  <c r="J96" i="96"/>
  <c r="V29" i="98"/>
  <c r="V33" i="98"/>
  <c r="J37" i="98"/>
  <c r="V38" i="98"/>
  <c r="V41" i="98"/>
  <c r="F40" i="99"/>
  <c r="J49" i="96"/>
  <c r="J57" i="96"/>
  <c r="V61" i="96"/>
  <c r="V69" i="96"/>
  <c r="J73" i="96"/>
  <c r="V81" i="96"/>
  <c r="V85" i="96"/>
  <c r="V89" i="96"/>
  <c r="V101" i="96"/>
  <c r="V103" i="96"/>
  <c r="V91" i="98"/>
  <c r="V67" i="98"/>
  <c r="V59" i="98"/>
  <c r="V74" i="98"/>
  <c r="V58" i="98"/>
  <c r="V50" i="98"/>
  <c r="V93" i="98"/>
  <c r="V85" i="98"/>
  <c r="V81" i="98"/>
  <c r="V69" i="98"/>
  <c r="V76" i="98"/>
  <c r="V75" i="98"/>
  <c r="V63" i="98"/>
  <c r="V96" i="98"/>
  <c r="V94" i="98"/>
  <c r="V86" i="98"/>
  <c r="V82" i="98"/>
  <c r="V70" i="98"/>
  <c r="V62" i="98"/>
  <c r="V54" i="98"/>
  <c r="V77" i="98"/>
  <c r="V88" i="98"/>
  <c r="V72" i="98"/>
  <c r="V64" i="98"/>
  <c r="V100" i="98"/>
  <c r="V90" i="98"/>
  <c r="V78" i="98"/>
  <c r="J36" i="98"/>
  <c r="J40" i="98"/>
  <c r="J43" i="98"/>
  <c r="V47" i="98"/>
  <c r="V51" i="98"/>
  <c r="J53" i="98"/>
  <c r="V57" i="98"/>
  <c r="J62" i="98"/>
  <c r="Z79" i="98"/>
  <c r="X16" i="99"/>
  <c r="L13" i="101"/>
  <c r="N13" i="101" s="1"/>
  <c r="D12" i="101"/>
  <c r="N12" i="96"/>
  <c r="V34" i="96"/>
  <c r="J38" i="96"/>
  <c r="J42" i="96"/>
  <c r="J48" i="96"/>
  <c r="J56" i="96"/>
  <c r="V62" i="96"/>
  <c r="V74" i="96"/>
  <c r="J78" i="96"/>
  <c r="V90" i="96"/>
  <c r="V98" i="96"/>
  <c r="V100" i="96"/>
  <c r="V19" i="98"/>
  <c r="J25" i="98"/>
  <c r="V46" i="98"/>
  <c r="V56" i="98"/>
  <c r="V79" i="98"/>
  <c r="F51" i="99"/>
  <c r="F42" i="99"/>
  <c r="F41" i="99"/>
  <c r="F34" i="99"/>
  <c r="D20" i="99"/>
  <c r="F55" i="99"/>
  <c r="F29" i="99"/>
  <c r="F25" i="99"/>
  <c r="F44" i="99"/>
  <c r="F43" i="99"/>
  <c r="L12" i="99"/>
  <c r="F35" i="99"/>
  <c r="F46" i="99"/>
  <c r="F45" i="99"/>
  <c r="F30" i="99"/>
  <c r="F26" i="99"/>
  <c r="F17" i="99"/>
  <c r="F16" i="99"/>
  <c r="F36" i="99"/>
  <c r="F47" i="99"/>
  <c r="F31" i="99"/>
  <c r="F27" i="99"/>
  <c r="F49" i="99"/>
  <c r="F48" i="99"/>
  <c r="F33" i="99"/>
  <c r="F32" i="99"/>
  <c r="F23" i="99"/>
  <c r="N51" i="99"/>
  <c r="L51" i="99"/>
  <c r="D55" i="100"/>
  <c r="L17" i="100"/>
  <c r="Z17" i="96"/>
  <c r="J19" i="96"/>
  <c r="V35" i="96"/>
  <c r="V39" i="96"/>
  <c r="V43" i="96"/>
  <c r="J47" i="96"/>
  <c r="V51" i="96"/>
  <c r="J55" i="96"/>
  <c r="V59" i="96"/>
  <c r="J67" i="96"/>
  <c r="J77" i="96"/>
  <c r="V79" i="96"/>
  <c r="J83" i="96"/>
  <c r="J87" i="96"/>
  <c r="J95" i="96"/>
  <c r="Z12" i="98"/>
  <c r="J26" i="98"/>
  <c r="V28" i="98"/>
  <c r="V32" i="98"/>
  <c r="J45" i="98"/>
  <c r="J55" i="98"/>
  <c r="J59" i="98"/>
  <c r="J69" i="98"/>
  <c r="N90" i="98"/>
  <c r="V20" i="96"/>
  <c r="V22" i="96"/>
  <c r="V24" i="96"/>
  <c r="J28" i="96"/>
  <c r="J32" i="96"/>
  <c r="J46" i="96"/>
  <c r="V52" i="96"/>
  <c r="V60" i="96"/>
  <c r="J66" i="96"/>
  <c r="V68" i="96"/>
  <c r="J72" i="96"/>
  <c r="J76" i="96"/>
  <c r="V80" i="96"/>
  <c r="V84" i="96"/>
  <c r="V88" i="96"/>
  <c r="J94" i="96"/>
  <c r="V96" i="96"/>
  <c r="J21" i="98"/>
  <c r="V37" i="98"/>
  <c r="V43" i="98"/>
  <c r="J48" i="98"/>
  <c r="V84" i="98"/>
  <c r="V37" i="99"/>
  <c r="V17" i="99"/>
  <c r="V48" i="99"/>
  <c r="V36" i="99"/>
  <c r="V32" i="99"/>
  <c r="V47" i="99"/>
  <c r="V39" i="99"/>
  <c r="V31" i="99"/>
  <c r="V27" i="99"/>
  <c r="V23" i="99"/>
  <c r="V38" i="99"/>
  <c r="V22" i="99"/>
  <c r="V20" i="99"/>
  <c r="V18" i="99"/>
  <c r="V53" i="99"/>
  <c r="V51" i="99"/>
  <c r="V49" i="99"/>
  <c r="V41" i="99"/>
  <c r="V33" i="99"/>
  <c r="T20" i="99"/>
  <c r="V40" i="99"/>
  <c r="V28" i="99"/>
  <c r="V24" i="99"/>
  <c r="V43" i="99"/>
  <c r="V42" i="99"/>
  <c r="V34" i="99"/>
  <c r="V60" i="99"/>
  <c r="V57" i="99"/>
  <c r="V55" i="99"/>
  <c r="V45" i="99"/>
  <c r="V44" i="99"/>
  <c r="V16" i="99"/>
  <c r="Z12" i="99"/>
  <c r="F37" i="99"/>
  <c r="H62" i="100"/>
  <c r="J37" i="96"/>
  <c r="J41" i="96"/>
  <c r="J45" i="96"/>
  <c r="V49" i="96"/>
  <c r="V57" i="96"/>
  <c r="J65" i="96"/>
  <c r="J71" i="96"/>
  <c r="V73" i="96"/>
  <c r="J93" i="96"/>
  <c r="V97" i="96"/>
  <c r="D100" i="96"/>
  <c r="L100" i="96" s="1"/>
  <c r="J105" i="96"/>
  <c r="V18" i="98"/>
  <c r="J30" i="98"/>
  <c r="J34" i="98"/>
  <c r="J39" i="98"/>
  <c r="V40" i="98"/>
  <c r="V53" i="98"/>
  <c r="J64" i="98"/>
  <c r="Z72" i="98"/>
  <c r="L76" i="98"/>
  <c r="N76" i="98" s="1"/>
  <c r="Z88" i="98"/>
  <c r="V92" i="98"/>
  <c r="X12" i="99"/>
  <c r="R46" i="99"/>
  <c r="R30" i="99"/>
  <c r="R26" i="99"/>
  <c r="R17" i="99"/>
  <c r="R37" i="99"/>
  <c r="R36" i="99"/>
  <c r="R48" i="99"/>
  <c r="R47" i="99"/>
  <c r="R32" i="99"/>
  <c r="R31" i="99"/>
  <c r="R27" i="99"/>
  <c r="R39" i="99"/>
  <c r="R38" i="99"/>
  <c r="R23" i="99"/>
  <c r="R18" i="99"/>
  <c r="R49" i="99"/>
  <c r="R33" i="99"/>
  <c r="R22" i="99"/>
  <c r="R51" i="99"/>
  <c r="R41" i="99"/>
  <c r="R40" i="99"/>
  <c r="R28" i="99"/>
  <c r="R24" i="99"/>
  <c r="P20" i="99"/>
  <c r="R20" i="99" s="1"/>
  <c r="R43" i="99"/>
  <c r="R42" i="99"/>
  <c r="R55" i="99"/>
  <c r="R29" i="99"/>
  <c r="R25" i="99"/>
  <c r="V25" i="99"/>
  <c r="V29" i="99"/>
  <c r="R35" i="99"/>
  <c r="R44" i="99"/>
  <c r="V46" i="99"/>
  <c r="J54" i="96"/>
  <c r="J64" i="96"/>
  <c r="J70" i="96"/>
  <c r="V78" i="96"/>
  <c r="J82" i="96"/>
  <c r="J86" i="96"/>
  <c r="J92" i="96"/>
  <c r="V27" i="98"/>
  <c r="V31" i="98"/>
  <c r="V35" i="98"/>
  <c r="V45" i="98"/>
  <c r="J61" i="98"/>
  <c r="V65" i="98"/>
  <c r="V80" i="98"/>
  <c r="F22" i="99"/>
  <c r="V35" i="99"/>
  <c r="F39" i="99"/>
  <c r="Z14" i="100"/>
  <c r="X14" i="100"/>
  <c r="J27" i="96"/>
  <c r="J31" i="96"/>
  <c r="V55" i="96"/>
  <c r="J63" i="96"/>
  <c r="V67" i="96"/>
  <c r="J75" i="96"/>
  <c r="V83" i="96"/>
  <c r="V87" i="96"/>
  <c r="J91" i="96"/>
  <c r="V95" i="96"/>
  <c r="J103" i="96"/>
  <c r="T23" i="98"/>
  <c r="V36" i="98"/>
  <c r="V48" i="98"/>
  <c r="V49" i="98"/>
  <c r="V52" i="98"/>
  <c r="V55" i="98"/>
  <c r="V71" i="98"/>
  <c r="Z76" i="98"/>
  <c r="X90" i="98"/>
  <c r="Z90" i="98" s="1"/>
  <c r="J96" i="98"/>
  <c r="N41" i="99"/>
  <c r="L41" i="99"/>
  <c r="Z41" i="100"/>
  <c r="X41" i="100"/>
  <c r="V28" i="96"/>
  <c r="V32" i="96"/>
  <c r="J36" i="96"/>
  <c r="J40" i="96"/>
  <c r="J44" i="96"/>
  <c r="V48" i="96"/>
  <c r="V56" i="96"/>
  <c r="J62" i="96"/>
  <c r="V72" i="96"/>
  <c r="V76" i="96"/>
  <c r="J90" i="96"/>
  <c r="J100" i="96"/>
  <c r="J101" i="96"/>
  <c r="V21" i="98"/>
  <c r="V23" i="98"/>
  <c r="V25" i="98"/>
  <c r="J29" i="98"/>
  <c r="J33" i="98"/>
  <c r="V39" i="98"/>
  <c r="V42" i="98"/>
  <c r="X49" i="98"/>
  <c r="Z49" i="98" s="1"/>
  <c r="N68" i="98"/>
  <c r="V87" i="98"/>
  <c r="F18" i="99"/>
  <c r="F24" i="99"/>
  <c r="F28" i="99"/>
  <c r="H53" i="99"/>
  <c r="N19" i="100"/>
  <c r="J35" i="96"/>
  <c r="J53" i="96"/>
  <c r="J61" i="96"/>
  <c r="V65" i="96"/>
  <c r="J69" i="96"/>
  <c r="V77" i="96"/>
  <c r="J81" i="96"/>
  <c r="J85" i="96"/>
  <c r="V93" i="96"/>
  <c r="V105" i="96"/>
  <c r="J87" i="98"/>
  <c r="J83" i="98"/>
  <c r="J71" i="98"/>
  <c r="J65" i="98"/>
  <c r="J100" i="98"/>
  <c r="J88" i="98"/>
  <c r="J78" i="98"/>
  <c r="J72" i="98"/>
  <c r="J66" i="98"/>
  <c r="J46" i="98"/>
  <c r="J42" i="98"/>
  <c r="J38" i="98"/>
  <c r="J89" i="98"/>
  <c r="J79" i="98"/>
  <c r="J73" i="98"/>
  <c r="J90" i="98"/>
  <c r="J84" i="98"/>
  <c r="J80" i="98"/>
  <c r="J91" i="98"/>
  <c r="J67" i="98"/>
  <c r="J57" i="98"/>
  <c r="J49" i="98"/>
  <c r="J92" i="98"/>
  <c r="J74" i="98"/>
  <c r="J68" i="98"/>
  <c r="J58" i="98"/>
  <c r="J50" i="98"/>
  <c r="J93" i="98"/>
  <c r="J85" i="98"/>
  <c r="J81" i="98"/>
  <c r="J60" i="98"/>
  <c r="J52" i="98"/>
  <c r="J44" i="98"/>
  <c r="J94" i="98"/>
  <c r="J86" i="98"/>
  <c r="J82" i="98"/>
  <c r="J76" i="98"/>
  <c r="V26" i="98"/>
  <c r="V30" i="98"/>
  <c r="V34" i="98"/>
  <c r="J41" i="98"/>
  <c r="J51" i="98"/>
  <c r="J54" i="98"/>
  <c r="Z61" i="98"/>
  <c r="J63" i="98"/>
  <c r="J75" i="98"/>
  <c r="L22" i="99"/>
  <c r="J40" i="99"/>
  <c r="J43" i="100"/>
  <c r="N47" i="100"/>
  <c r="F50" i="100"/>
  <c r="X52" i="100"/>
  <c r="Z52" i="100" s="1"/>
  <c r="J55" i="100"/>
  <c r="F59" i="100"/>
  <c r="P12" i="101"/>
  <c r="X13" i="101"/>
  <c r="Z13" i="101" s="1"/>
  <c r="Z25" i="101"/>
  <c r="J80" i="101"/>
  <c r="H84" i="101"/>
  <c r="J84" i="101" s="1"/>
  <c r="J18" i="99"/>
  <c r="J32" i="99"/>
  <c r="J38" i="99"/>
  <c r="J48" i="99"/>
  <c r="J17" i="100"/>
  <c r="J19" i="100"/>
  <c r="J21" i="100"/>
  <c r="J25" i="100"/>
  <c r="F42" i="100"/>
  <c r="F46" i="100"/>
  <c r="Z18" i="101"/>
  <c r="Z35" i="101"/>
  <c r="N67" i="101"/>
  <c r="Z27" i="102"/>
  <c r="J27" i="99"/>
  <c r="J31" i="99"/>
  <c r="J37" i="99"/>
  <c r="J47" i="99"/>
  <c r="J20" i="100"/>
  <c r="F32" i="100"/>
  <c r="F35" i="100"/>
  <c r="F38" i="100"/>
  <c r="J46" i="100"/>
  <c r="F49" i="100"/>
  <c r="V37" i="101"/>
  <c r="Z46" i="101"/>
  <c r="X46" i="101"/>
  <c r="D12" i="102"/>
  <c r="L13" i="102"/>
  <c r="N13" i="102" s="1"/>
  <c r="J36" i="99"/>
  <c r="J15" i="100"/>
  <c r="N17" i="100"/>
  <c r="F24" i="100"/>
  <c r="J28" i="100"/>
  <c r="J35" i="100"/>
  <c r="J38" i="100"/>
  <c r="F41" i="100"/>
  <c r="F45" i="100"/>
  <c r="V41" i="101"/>
  <c r="V46" i="101"/>
  <c r="V48" i="101"/>
  <c r="N50" i="101"/>
  <c r="Z54" i="101"/>
  <c r="V69" i="101"/>
  <c r="X78" i="102"/>
  <c r="Z78" i="102" s="1"/>
  <c r="J17" i="99"/>
  <c r="J14" i="100"/>
  <c r="J24" i="100"/>
  <c r="X30" i="100"/>
  <c r="Z30" i="100" s="1"/>
  <c r="J49" i="100"/>
  <c r="T23" i="101"/>
  <c r="V45" i="101"/>
  <c r="Z65" i="101"/>
  <c r="X65" i="101"/>
  <c r="X39" i="102"/>
  <c r="Z39" i="102" s="1"/>
  <c r="J16" i="99"/>
  <c r="J26" i="99"/>
  <c r="J30" i="99"/>
  <c r="J46" i="99"/>
  <c r="F52" i="100"/>
  <c r="F57" i="100"/>
  <c r="F44" i="100"/>
  <c r="F43" i="100"/>
  <c r="F28" i="100"/>
  <c r="J41" i="100"/>
  <c r="N49" i="100"/>
  <c r="V23" i="101"/>
  <c r="L69" i="102"/>
  <c r="N69" i="102" s="1"/>
  <c r="J35" i="99"/>
  <c r="J45" i="99"/>
  <c r="J57" i="99"/>
  <c r="J60" i="99"/>
  <c r="J53" i="100"/>
  <c r="J52" i="100"/>
  <c r="J40" i="100"/>
  <c r="J36" i="100"/>
  <c r="J32" i="100"/>
  <c r="J42" i="100"/>
  <c r="J44" i="100"/>
  <c r="J62" i="100"/>
  <c r="J59" i="100"/>
  <c r="J45" i="100"/>
  <c r="J48" i="100"/>
  <c r="F23" i="100"/>
  <c r="F27" i="100"/>
  <c r="F31" i="100"/>
  <c r="F34" i="100"/>
  <c r="F37" i="100"/>
  <c r="F40" i="100"/>
  <c r="F62" i="100"/>
  <c r="V71" i="101"/>
  <c r="V67" i="101"/>
  <c r="V59" i="101"/>
  <c r="V47" i="101"/>
  <c r="V19" i="101"/>
  <c r="V82" i="101"/>
  <c r="V66" i="101"/>
  <c r="V50" i="101"/>
  <c r="V42" i="101"/>
  <c r="V38" i="101"/>
  <c r="V73" i="101"/>
  <c r="V61" i="101"/>
  <c r="V49" i="101"/>
  <c r="V33" i="101"/>
  <c r="V29" i="101"/>
  <c r="V72" i="101"/>
  <c r="V68" i="101"/>
  <c r="V60" i="101"/>
  <c r="V51" i="101"/>
  <c r="V43" i="101"/>
  <c r="V39" i="101"/>
  <c r="V35" i="101"/>
  <c r="V74" i="101"/>
  <c r="V62" i="101"/>
  <c r="V54" i="101"/>
  <c r="V34" i="101"/>
  <c r="V30" i="101"/>
  <c r="V26" i="101"/>
  <c r="V56" i="101"/>
  <c r="V44" i="101"/>
  <c r="V40" i="101"/>
  <c r="V36" i="101"/>
  <c r="V77" i="101"/>
  <c r="V75" i="101"/>
  <c r="V63" i="101"/>
  <c r="V55" i="101"/>
  <c r="V31" i="101"/>
  <c r="V27" i="101"/>
  <c r="V78" i="101"/>
  <c r="V70" i="101"/>
  <c r="V65" i="101"/>
  <c r="N52" i="101"/>
  <c r="L52" i="101"/>
  <c r="L50" i="102"/>
  <c r="N50" i="102" s="1"/>
  <c r="N12" i="99"/>
  <c r="J44" i="99"/>
  <c r="L12" i="100"/>
  <c r="J23" i="100"/>
  <c r="J27" i="100"/>
  <c r="F30" i="100"/>
  <c r="J31" i="100"/>
  <c r="J34" i="100"/>
  <c r="J37" i="100"/>
  <c r="J52" i="101"/>
  <c r="V64" i="101"/>
  <c r="J25" i="99"/>
  <c r="J29" i="99"/>
  <c r="J43" i="99"/>
  <c r="N12" i="100"/>
  <c r="F48" i="100"/>
  <c r="V21" i="101"/>
  <c r="V28" i="101"/>
  <c r="N35" i="101"/>
  <c r="P16" i="103"/>
  <c r="X14" i="103"/>
  <c r="V39" i="102"/>
  <c r="V43" i="102"/>
  <c r="V47" i="102"/>
  <c r="J50" i="102"/>
  <c r="Z52" i="102"/>
  <c r="J69" i="102"/>
  <c r="V70" i="102"/>
  <c r="N72" i="102"/>
  <c r="V78" i="102"/>
  <c r="J82" i="102"/>
  <c r="Z19" i="103"/>
  <c r="Z40" i="103"/>
  <c r="V20" i="102"/>
  <c r="J32" i="102"/>
  <c r="J36" i="102"/>
  <c r="V52" i="102"/>
  <c r="J59" i="102"/>
  <c r="V75" i="102"/>
  <c r="X56" i="103"/>
  <c r="Z56" i="103" s="1"/>
  <c r="N61" i="103"/>
  <c r="L26" i="104"/>
  <c r="N26" i="104" s="1"/>
  <c r="Z52" i="106"/>
  <c r="J39" i="101"/>
  <c r="J43" i="101"/>
  <c r="J51" i="101"/>
  <c r="X58" i="101"/>
  <c r="Z58" i="101" s="1"/>
  <c r="J61" i="101"/>
  <c r="J73" i="101"/>
  <c r="X20" i="102"/>
  <c r="Z20" i="102" s="1"/>
  <c r="V29" i="102"/>
  <c r="V33" i="102"/>
  <c r="V37" i="102"/>
  <c r="J41" i="102"/>
  <c r="J45" i="102"/>
  <c r="J49" i="102"/>
  <c r="V51" i="102"/>
  <c r="L59" i="102"/>
  <c r="J62" i="102"/>
  <c r="X63" i="102"/>
  <c r="X44" i="103"/>
  <c r="R66" i="104"/>
  <c r="R82" i="104"/>
  <c r="R81" i="104"/>
  <c r="R77" i="104"/>
  <c r="R58" i="104"/>
  <c r="R57" i="104"/>
  <c r="R33" i="104"/>
  <c r="R29" i="104"/>
  <c r="R94" i="104"/>
  <c r="R73" i="104"/>
  <c r="R72" i="104"/>
  <c r="R84" i="104"/>
  <c r="R83" i="104"/>
  <c r="R68" i="104"/>
  <c r="R67" i="104"/>
  <c r="R60" i="104"/>
  <c r="R59" i="104"/>
  <c r="R78" i="104"/>
  <c r="R74" i="104"/>
  <c r="R34" i="104"/>
  <c r="R30" i="104"/>
  <c r="R86" i="104"/>
  <c r="R85" i="104"/>
  <c r="R69" i="104"/>
  <c r="R62" i="104"/>
  <c r="R61" i="104"/>
  <c r="R50" i="104"/>
  <c r="R49" i="104"/>
  <c r="R87" i="104"/>
  <c r="R79" i="104"/>
  <c r="R75" i="104"/>
  <c r="R70" i="104"/>
  <c r="R20" i="104"/>
  <c r="R65" i="104"/>
  <c r="R54" i="104"/>
  <c r="R46" i="104"/>
  <c r="R43" i="104"/>
  <c r="R40" i="104"/>
  <c r="R36" i="104"/>
  <c r="R28" i="104"/>
  <c r="R88" i="104"/>
  <c r="R51" i="104"/>
  <c r="R31" i="104"/>
  <c r="R21" i="104"/>
  <c r="R92" i="104"/>
  <c r="R63" i="104"/>
  <c r="R47" i="104"/>
  <c r="R44" i="104"/>
  <c r="R37" i="104"/>
  <c r="R76" i="104"/>
  <c r="R52" i="104"/>
  <c r="R48" i="104"/>
  <c r="R23" i="104"/>
  <c r="R38" i="104"/>
  <c r="R18" i="104"/>
  <c r="R90" i="104"/>
  <c r="R32" i="104"/>
  <c r="X12" i="104"/>
  <c r="Z12" i="104" s="1"/>
  <c r="R80" i="104"/>
  <c r="R45" i="104"/>
  <c r="R35" i="104"/>
  <c r="R27" i="104"/>
  <c r="R19" i="104"/>
  <c r="J26" i="104"/>
  <c r="L69" i="108"/>
  <c r="N69" i="108" s="1"/>
  <c r="J68" i="101"/>
  <c r="J72" i="101"/>
  <c r="J77" i="102"/>
  <c r="J63" i="102"/>
  <c r="J53" i="102"/>
  <c r="J88" i="102"/>
  <c r="J78" i="102"/>
  <c r="J64" i="102"/>
  <c r="J54" i="102"/>
  <c r="J89" i="102"/>
  <c r="J90" i="102"/>
  <c r="J72" i="102"/>
  <c r="J66" i="102"/>
  <c r="J56" i="102"/>
  <c r="J91" i="102"/>
  <c r="J73" i="102"/>
  <c r="J57" i="102"/>
  <c r="J92" i="102"/>
  <c r="J84" i="102"/>
  <c r="J80" i="102"/>
  <c r="J85" i="102"/>
  <c r="J86" i="102"/>
  <c r="J22" i="102"/>
  <c r="T25" i="102"/>
  <c r="V42" i="102"/>
  <c r="V46" i="102"/>
  <c r="Z54" i="102"/>
  <c r="V66" i="102"/>
  <c r="J68" i="102"/>
  <c r="J71" i="102"/>
  <c r="V77" i="102"/>
  <c r="J79" i="102"/>
  <c r="V87" i="102"/>
  <c r="N94" i="102"/>
  <c r="Z44" i="103"/>
  <c r="H92" i="104"/>
  <c r="J92" i="104" s="1"/>
  <c r="J23" i="104"/>
  <c r="R56" i="104"/>
  <c r="L86" i="104"/>
  <c r="N86" i="104" s="1"/>
  <c r="X25" i="108"/>
  <c r="Z25" i="108" s="1"/>
  <c r="Z63" i="102"/>
  <c r="V82" i="102"/>
  <c r="P92" i="104"/>
  <c r="J38" i="101"/>
  <c r="J42" i="101"/>
  <c r="J48" i="101"/>
  <c r="J66" i="101"/>
  <c r="J82" i="101"/>
  <c r="V28" i="102"/>
  <c r="V32" i="102"/>
  <c r="V36" i="102"/>
  <c r="J40" i="102"/>
  <c r="J44" i="102"/>
  <c r="J48" i="102"/>
  <c r="Z59" i="102"/>
  <c r="V63" i="102"/>
  <c r="J65" i="102"/>
  <c r="X72" i="102"/>
  <c r="Z72" i="102" s="1"/>
  <c r="N29" i="103"/>
  <c r="R53" i="104"/>
  <c r="R71" i="104"/>
  <c r="L82" i="104"/>
  <c r="J47" i="101"/>
  <c r="J59" i="101"/>
  <c r="J65" i="101"/>
  <c r="J71" i="101"/>
  <c r="P12" i="102"/>
  <c r="J21" i="102"/>
  <c r="X28" i="102"/>
  <c r="Z28" i="102" s="1"/>
  <c r="J39" i="102"/>
  <c r="V41" i="102"/>
  <c r="V45" i="102"/>
  <c r="V50" i="102"/>
  <c r="V53" i="102"/>
  <c r="J58" i="102"/>
  <c r="V59" i="102"/>
  <c r="J61" i="102"/>
  <c r="J76" i="102"/>
  <c r="J81" i="102"/>
  <c r="X91" i="102"/>
  <c r="Z91" i="102" s="1"/>
  <c r="N50" i="103"/>
  <c r="L25" i="104"/>
  <c r="N25" i="104" s="1"/>
  <c r="N82" i="104"/>
  <c r="V73" i="102"/>
  <c r="V57" i="102"/>
  <c r="V94" i="102"/>
  <c r="V92" i="102"/>
  <c r="V84" i="102"/>
  <c r="V80" i="102"/>
  <c r="V95" i="102"/>
  <c r="V86" i="102"/>
  <c r="V74" i="102"/>
  <c r="V58" i="102"/>
  <c r="V85" i="102"/>
  <c r="V81" i="102"/>
  <c r="V69" i="102"/>
  <c r="V61" i="102"/>
  <c r="V49" i="102"/>
  <c r="V76" i="102"/>
  <c r="V68" i="102"/>
  <c r="V60" i="102"/>
  <c r="V89" i="102"/>
  <c r="V88" i="102"/>
  <c r="V72" i="102"/>
  <c r="V22" i="102"/>
  <c r="J30" i="102"/>
  <c r="J34" i="102"/>
  <c r="J38" i="102"/>
  <c r="J52" i="102"/>
  <c r="J55" i="102"/>
  <c r="V71" i="102"/>
  <c r="V79" i="102"/>
  <c r="J83" i="102"/>
  <c r="V91" i="102"/>
  <c r="J99" i="102"/>
  <c r="Z48" i="103"/>
  <c r="X48" i="103"/>
  <c r="Z18" i="104"/>
  <c r="J25" i="104"/>
  <c r="Z62" i="104"/>
  <c r="R64" i="104"/>
  <c r="D12" i="105"/>
  <c r="L13" i="105"/>
  <c r="J37" i="101"/>
  <c r="J41" i="101"/>
  <c r="J45" i="101"/>
  <c r="J57" i="101"/>
  <c r="J77" i="101"/>
  <c r="J78" i="101"/>
  <c r="V31" i="102"/>
  <c r="V35" i="102"/>
  <c r="J43" i="102"/>
  <c r="J47" i="102"/>
  <c r="V56" i="102"/>
  <c r="J67" i="102"/>
  <c r="J70" i="102"/>
  <c r="Z86" i="102"/>
  <c r="N46" i="105"/>
  <c r="J56" i="101"/>
  <c r="X61" i="101"/>
  <c r="Z61" i="101" s="1"/>
  <c r="J70" i="101"/>
  <c r="X73" i="101"/>
  <c r="Z73" i="101" s="1"/>
  <c r="H25" i="102"/>
  <c r="V40" i="102"/>
  <c r="V44" i="102"/>
  <c r="V48" i="102"/>
  <c r="X56" i="102"/>
  <c r="Z56" i="102" s="1"/>
  <c r="J60" i="102"/>
  <c r="V65" i="102"/>
  <c r="J75" i="102"/>
  <c r="X76" i="102"/>
  <c r="Z76" i="102" s="1"/>
  <c r="L58" i="103"/>
  <c r="N58" i="103" s="1"/>
  <c r="R25" i="104"/>
  <c r="R39" i="104"/>
  <c r="R55" i="104"/>
  <c r="J23" i="101"/>
  <c r="J25" i="101"/>
  <c r="J27" i="101"/>
  <c r="J31" i="101"/>
  <c r="J55" i="101"/>
  <c r="J63" i="101"/>
  <c r="V21" i="102"/>
  <c r="J25" i="102"/>
  <c r="J27" i="102"/>
  <c r="J29" i="102"/>
  <c r="J33" i="102"/>
  <c r="J37" i="102"/>
  <c r="J51" i="102"/>
  <c r="X52" i="102"/>
  <c r="L54" i="102"/>
  <c r="N54" i="102" s="1"/>
  <c r="V55" i="102"/>
  <c r="V90" i="102"/>
  <c r="L42" i="103"/>
  <c r="N42" i="103" s="1"/>
  <c r="D12" i="104"/>
  <c r="L14" i="104"/>
  <c r="N14" i="104" s="1"/>
  <c r="N52" i="104"/>
  <c r="J52" i="104"/>
  <c r="Z56" i="105"/>
  <c r="T16" i="103"/>
  <c r="R19" i="103"/>
  <c r="V29" i="103"/>
  <c r="V33" i="103"/>
  <c r="V37" i="103"/>
  <c r="V45" i="103"/>
  <c r="V53" i="103"/>
  <c r="J61" i="103"/>
  <c r="J63" i="103"/>
  <c r="R67" i="103"/>
  <c r="R70" i="103"/>
  <c r="V81" i="104"/>
  <c r="V77" i="104"/>
  <c r="V73" i="104"/>
  <c r="V57" i="104"/>
  <c r="V94" i="104"/>
  <c r="V84" i="104"/>
  <c r="V72" i="104"/>
  <c r="V68" i="104"/>
  <c r="V60" i="104"/>
  <c r="V48" i="104"/>
  <c r="V83" i="104"/>
  <c r="V67" i="104"/>
  <c r="V59" i="104"/>
  <c r="V86" i="104"/>
  <c r="V78" i="104"/>
  <c r="V74" i="104"/>
  <c r="V62" i="104"/>
  <c r="V50" i="104"/>
  <c r="V85" i="104"/>
  <c r="V69" i="104"/>
  <c r="V61" i="104"/>
  <c r="V49" i="104"/>
  <c r="V25" i="104"/>
  <c r="V21" i="104"/>
  <c r="V64" i="104"/>
  <c r="V52" i="104"/>
  <c r="V44" i="104"/>
  <c r="V65" i="104"/>
  <c r="L37" i="104"/>
  <c r="N37" i="104" s="1"/>
  <c r="V42" i="104"/>
  <c r="N48" i="104"/>
  <c r="V71" i="104"/>
  <c r="V87" i="104"/>
  <c r="V14" i="103"/>
  <c r="V16" i="103"/>
  <c r="V18" i="103"/>
  <c r="R23" i="103"/>
  <c r="R27" i="103"/>
  <c r="R43" i="103"/>
  <c r="R44" i="103"/>
  <c r="V46" i="103"/>
  <c r="V54" i="103"/>
  <c r="R65" i="103"/>
  <c r="V27" i="104"/>
  <c r="V35" i="104"/>
  <c r="V45" i="104"/>
  <c r="V56" i="104"/>
  <c r="V80" i="104"/>
  <c r="N48" i="105"/>
  <c r="F35" i="106"/>
  <c r="N60" i="104"/>
  <c r="V66" i="104"/>
  <c r="N68" i="104"/>
  <c r="V82" i="104"/>
  <c r="Z90" i="104"/>
  <c r="X90" i="104"/>
  <c r="L18" i="105"/>
  <c r="N18" i="105" s="1"/>
  <c r="F72" i="106"/>
  <c r="F36" i="106"/>
  <c r="F32" i="106"/>
  <c r="F28" i="106"/>
  <c r="L12" i="106"/>
  <c r="N12" i="106" s="1"/>
  <c r="F67" i="106"/>
  <c r="F66" i="106"/>
  <c r="F55" i="106"/>
  <c r="F54" i="106"/>
  <c r="F19" i="106"/>
  <c r="F18" i="106"/>
  <c r="F91" i="106"/>
  <c r="F82" i="106"/>
  <c r="F78" i="106"/>
  <c r="F46" i="106"/>
  <c r="F42" i="106"/>
  <c r="F38" i="106"/>
  <c r="F37" i="106"/>
  <c r="F95" i="106"/>
  <c r="F73" i="106"/>
  <c r="F57" i="106"/>
  <c r="F56" i="106"/>
  <c r="F33" i="106"/>
  <c r="F29" i="106"/>
  <c r="F68" i="106"/>
  <c r="F20" i="106"/>
  <c r="F83" i="106"/>
  <c r="F79" i="106"/>
  <c r="F59" i="106"/>
  <c r="F58" i="106"/>
  <c r="F47" i="106"/>
  <c r="F43" i="106"/>
  <c r="F39" i="106"/>
  <c r="F85" i="106"/>
  <c r="F84" i="106"/>
  <c r="F69" i="106"/>
  <c r="F61" i="106"/>
  <c r="F60" i="106"/>
  <c r="F49" i="106"/>
  <c r="F48" i="106"/>
  <c r="F21" i="106"/>
  <c r="F80" i="106"/>
  <c r="F76" i="106"/>
  <c r="F75" i="106"/>
  <c r="F44" i="106"/>
  <c r="F40" i="106"/>
  <c r="F65" i="106"/>
  <c r="F63" i="106"/>
  <c r="F81" i="106"/>
  <c r="F41" i="106"/>
  <c r="F25" i="106"/>
  <c r="F52" i="106"/>
  <c r="F45" i="106"/>
  <c r="F88" i="106"/>
  <c r="F50" i="106"/>
  <c r="F86" i="106"/>
  <c r="F74" i="106"/>
  <c r="F70" i="106"/>
  <c r="F34" i="106"/>
  <c r="F30" i="106"/>
  <c r="D23" i="106"/>
  <c r="F23" i="106" s="1"/>
  <c r="F89" i="106"/>
  <c r="F62" i="106"/>
  <c r="F53" i="106"/>
  <c r="F51" i="106"/>
  <c r="F31" i="106"/>
  <c r="L60" i="106"/>
  <c r="N60" i="106" s="1"/>
  <c r="D16" i="103"/>
  <c r="R22" i="103"/>
  <c r="J25" i="103"/>
  <c r="R26" i="103"/>
  <c r="F29" i="103"/>
  <c r="F30" i="103"/>
  <c r="F34" i="103"/>
  <c r="F38" i="103"/>
  <c r="V41" i="103"/>
  <c r="J49" i="103"/>
  <c r="J57" i="103"/>
  <c r="R61" i="103"/>
  <c r="R63" i="103"/>
  <c r="V18" i="104"/>
  <c r="Z26" i="104"/>
  <c r="J40" i="104"/>
  <c r="V41" i="104"/>
  <c r="V55" i="104"/>
  <c r="Z64" i="104"/>
  <c r="J86" i="104"/>
  <c r="F87" i="106"/>
  <c r="V22" i="103"/>
  <c r="V26" i="103"/>
  <c r="J30" i="103"/>
  <c r="R31" i="103"/>
  <c r="J34" i="103"/>
  <c r="R35" i="103"/>
  <c r="J38" i="103"/>
  <c r="R39" i="103"/>
  <c r="R40" i="103"/>
  <c r="V42" i="103"/>
  <c r="F46" i="103"/>
  <c r="F47" i="103"/>
  <c r="J48" i="103"/>
  <c r="R51" i="103"/>
  <c r="F54" i="103"/>
  <c r="F55" i="103"/>
  <c r="J56" i="103"/>
  <c r="R59" i="103"/>
  <c r="T23" i="104"/>
  <c r="V26" i="104"/>
  <c r="V34" i="104"/>
  <c r="J43" i="104"/>
  <c r="J46" i="104"/>
  <c r="Z52" i="104"/>
  <c r="V76" i="104"/>
  <c r="J79" i="104"/>
  <c r="J50" i="105"/>
  <c r="N54" i="105"/>
  <c r="F71" i="106"/>
  <c r="H16" i="103"/>
  <c r="F19" i="103"/>
  <c r="F20" i="103"/>
  <c r="F24" i="103"/>
  <c r="F28" i="103"/>
  <c r="J29" i="103"/>
  <c r="V31" i="103"/>
  <c r="V35" i="103"/>
  <c r="V39" i="103"/>
  <c r="J47" i="103"/>
  <c r="V51" i="103"/>
  <c r="J55" i="103"/>
  <c r="V59" i="103"/>
  <c r="V61" i="103"/>
  <c r="V63" i="103"/>
  <c r="F67" i="103"/>
  <c r="F70" i="103"/>
  <c r="J20" i="104"/>
  <c r="V47" i="104"/>
  <c r="V63" i="104"/>
  <c r="V70" i="104"/>
  <c r="J83" i="104"/>
  <c r="Z86" i="104"/>
  <c r="P12" i="105"/>
  <c r="T65" i="105"/>
  <c r="F27" i="106"/>
  <c r="R21" i="103"/>
  <c r="R25" i="103"/>
  <c r="V40" i="103"/>
  <c r="R49" i="103"/>
  <c r="R50" i="103"/>
  <c r="J54" i="103"/>
  <c r="R57" i="103"/>
  <c r="R58" i="103"/>
  <c r="V31" i="104"/>
  <c r="V37" i="104"/>
  <c r="V51" i="104"/>
  <c r="J59" i="104"/>
  <c r="J62" i="104"/>
  <c r="V79" i="104"/>
  <c r="V88" i="104"/>
  <c r="F86" i="108"/>
  <c r="F85" i="108"/>
  <c r="F70" i="108"/>
  <c r="F69" i="108"/>
  <c r="F58" i="108"/>
  <c r="F57" i="108"/>
  <c r="F34" i="108"/>
  <c r="F30" i="108"/>
  <c r="F81" i="108"/>
  <c r="F49" i="108"/>
  <c r="F48" i="108"/>
  <c r="F21" i="108"/>
  <c r="F88" i="108"/>
  <c r="F87" i="108"/>
  <c r="F76" i="108"/>
  <c r="F60" i="108"/>
  <c r="F59" i="108"/>
  <c r="F44" i="108"/>
  <c r="F40" i="108"/>
  <c r="F71" i="108"/>
  <c r="F51" i="108"/>
  <c r="F50" i="108"/>
  <c r="F35" i="108"/>
  <c r="F90" i="108"/>
  <c r="F89" i="108"/>
  <c r="F82" i="108"/>
  <c r="F62" i="108"/>
  <c r="F61" i="108"/>
  <c r="F77" i="108"/>
  <c r="F45" i="108"/>
  <c r="F41" i="108"/>
  <c r="F91" i="108"/>
  <c r="F83" i="108"/>
  <c r="F79" i="108"/>
  <c r="F78" i="108"/>
  <c r="F66" i="108"/>
  <c r="F65" i="108"/>
  <c r="F54" i="108"/>
  <c r="F53" i="108"/>
  <c r="F73" i="108"/>
  <c r="F33" i="108"/>
  <c r="F37" i="108"/>
  <c r="D23" i="108"/>
  <c r="F46" i="108"/>
  <c r="F42" i="108"/>
  <c r="F55" i="108"/>
  <c r="F25" i="108"/>
  <c r="F74" i="108"/>
  <c r="F72" i="108"/>
  <c r="F68" i="108"/>
  <c r="F64" i="108"/>
  <c r="F38" i="108"/>
  <c r="F20" i="108"/>
  <c r="F93" i="108"/>
  <c r="F31" i="108"/>
  <c r="F26" i="108"/>
  <c r="F80" i="108"/>
  <c r="F29" i="108"/>
  <c r="F36" i="108"/>
  <c r="F27" i="108"/>
  <c r="F97" i="108"/>
  <c r="F84" i="108"/>
  <c r="F56" i="108"/>
  <c r="F52" i="108"/>
  <c r="F43" i="108"/>
  <c r="F39" i="108"/>
  <c r="F32" i="108"/>
  <c r="F63" i="108"/>
  <c r="F75" i="108"/>
  <c r="F18" i="108"/>
  <c r="F23" i="108"/>
  <c r="L12" i="108"/>
  <c r="J19" i="103"/>
  <c r="V21" i="103"/>
  <c r="V25" i="103"/>
  <c r="R30" i="103"/>
  <c r="J33" i="103"/>
  <c r="R34" i="103"/>
  <c r="J37" i="103"/>
  <c r="R38" i="103"/>
  <c r="J45" i="103"/>
  <c r="V49" i="103"/>
  <c r="J53" i="103"/>
  <c r="V57" i="103"/>
  <c r="J67" i="103"/>
  <c r="J70" i="103"/>
  <c r="J65" i="104"/>
  <c r="J88" i="104"/>
  <c r="J80" i="104"/>
  <c r="J76" i="104"/>
  <c r="J54" i="104"/>
  <c r="J36" i="104"/>
  <c r="J32" i="104"/>
  <c r="J28" i="104"/>
  <c r="J71" i="104"/>
  <c r="J55" i="104"/>
  <c r="J90" i="104"/>
  <c r="J66" i="104"/>
  <c r="J56" i="104"/>
  <c r="J81" i="104"/>
  <c r="J77" i="104"/>
  <c r="J57" i="104"/>
  <c r="J33" i="104"/>
  <c r="J29" i="104"/>
  <c r="J94" i="104"/>
  <c r="J82" i="104"/>
  <c r="J72" i="104"/>
  <c r="J58" i="104"/>
  <c r="J84" i="104"/>
  <c r="J78" i="104"/>
  <c r="J74" i="104"/>
  <c r="J85" i="104"/>
  <c r="J69" i="104"/>
  <c r="V28" i="104"/>
  <c r="J30" i="104"/>
  <c r="V36" i="104"/>
  <c r="J39" i="104"/>
  <c r="V40" i="104"/>
  <c r="J42" i="104"/>
  <c r="Z52" i="105"/>
  <c r="J56" i="105"/>
  <c r="F23" i="103"/>
  <c r="F27" i="103"/>
  <c r="V30" i="103"/>
  <c r="V34" i="103"/>
  <c r="V38" i="103"/>
  <c r="F42" i="103"/>
  <c r="F43" i="103"/>
  <c r="R47" i="103"/>
  <c r="R48" i="103"/>
  <c r="V50" i="103"/>
  <c r="R55" i="103"/>
  <c r="J19" i="104"/>
  <c r="J27" i="104"/>
  <c r="V33" i="104"/>
  <c r="J35" i="104"/>
  <c r="V43" i="104"/>
  <c r="J45" i="104"/>
  <c r="V46" i="104"/>
  <c r="Z54" i="104"/>
  <c r="L58" i="104"/>
  <c r="N58" i="104" s="1"/>
  <c r="J75" i="104"/>
  <c r="J87" i="104"/>
  <c r="Z26" i="105"/>
  <c r="L56" i="105"/>
  <c r="N56" i="105" s="1"/>
  <c r="V77" i="108"/>
  <c r="V65" i="108"/>
  <c r="V53" i="108"/>
  <c r="V45" i="108"/>
  <c r="V41" i="108"/>
  <c r="V37" i="108"/>
  <c r="V72" i="108"/>
  <c r="V64" i="108"/>
  <c r="V52" i="108"/>
  <c r="V36" i="108"/>
  <c r="V32" i="108"/>
  <c r="V28" i="108"/>
  <c r="V93" i="108"/>
  <c r="V91" i="108"/>
  <c r="V83" i="108"/>
  <c r="V79" i="108"/>
  <c r="V67" i="108"/>
  <c r="V55" i="108"/>
  <c r="V19" i="108"/>
  <c r="V74" i="108"/>
  <c r="V66" i="108"/>
  <c r="V54" i="108"/>
  <c r="V46" i="108"/>
  <c r="V42" i="108"/>
  <c r="V38" i="108"/>
  <c r="V85" i="108"/>
  <c r="V73" i="108"/>
  <c r="V69" i="108"/>
  <c r="V57" i="108"/>
  <c r="V84" i="108"/>
  <c r="V80" i="108"/>
  <c r="V68" i="108"/>
  <c r="V56" i="108"/>
  <c r="V48" i="108"/>
  <c r="V86" i="108"/>
  <c r="V70" i="108"/>
  <c r="V58" i="108"/>
  <c r="V50" i="108"/>
  <c r="V34" i="108"/>
  <c r="V30" i="108"/>
  <c r="V89" i="108"/>
  <c r="V81" i="108"/>
  <c r="V61" i="108"/>
  <c r="V49" i="108"/>
  <c r="V88" i="108"/>
  <c r="V76" i="108"/>
  <c r="V60" i="108"/>
  <c r="V44" i="108"/>
  <c r="V40" i="108"/>
  <c r="V51" i="108"/>
  <c r="V31" i="108"/>
  <c r="V78" i="108"/>
  <c r="V29" i="108"/>
  <c r="V90" i="108"/>
  <c r="V47" i="108"/>
  <c r="V62" i="108"/>
  <c r="V27" i="108"/>
  <c r="V21" i="108"/>
  <c r="V18" i="108"/>
  <c r="V97" i="108"/>
  <c r="V43" i="108"/>
  <c r="V39" i="108"/>
  <c r="V82" i="108"/>
  <c r="V63" i="108"/>
  <c r="V71" i="108"/>
  <c r="V59" i="108"/>
  <c r="T23" i="108"/>
  <c r="V87" i="108"/>
  <c r="V75" i="108"/>
  <c r="V20" i="108"/>
  <c r="V26" i="108"/>
  <c r="V23" i="108"/>
  <c r="V33" i="108"/>
  <c r="V35" i="108"/>
  <c r="V25" i="108"/>
  <c r="Z63" i="108"/>
  <c r="X63" i="108"/>
  <c r="D12" i="110"/>
  <c r="L13" i="110"/>
  <c r="N13" i="110" s="1"/>
  <c r="V21" i="105"/>
  <c r="V23" i="105"/>
  <c r="V25" i="105"/>
  <c r="J29" i="105"/>
  <c r="J33" i="105"/>
  <c r="J49" i="105"/>
  <c r="V51" i="105"/>
  <c r="X18" i="106"/>
  <c r="Z18" i="106" s="1"/>
  <c r="Z37" i="106"/>
  <c r="Z54" i="106"/>
  <c r="R67" i="106"/>
  <c r="V73" i="106"/>
  <c r="J87" i="108"/>
  <c r="J81" i="108"/>
  <c r="J59" i="108"/>
  <c r="J49" i="108"/>
  <c r="J21" i="108"/>
  <c r="J88" i="108"/>
  <c r="J76" i="108"/>
  <c r="J60" i="108"/>
  <c r="J50" i="108"/>
  <c r="J44" i="108"/>
  <c r="J40" i="108"/>
  <c r="J26" i="108"/>
  <c r="J89" i="108"/>
  <c r="J71" i="108"/>
  <c r="J61" i="108"/>
  <c r="J51" i="108"/>
  <c r="J35" i="108"/>
  <c r="J31" i="108"/>
  <c r="J27" i="108"/>
  <c r="J25" i="108"/>
  <c r="J90" i="108"/>
  <c r="J82" i="108"/>
  <c r="J62" i="108"/>
  <c r="J77" i="108"/>
  <c r="J63" i="108"/>
  <c r="J78" i="108"/>
  <c r="J72" i="108"/>
  <c r="J64" i="108"/>
  <c r="J52" i="108"/>
  <c r="J36" i="108"/>
  <c r="J32" i="108"/>
  <c r="J28" i="108"/>
  <c r="J66" i="108"/>
  <c r="J54" i="108"/>
  <c r="J46" i="108"/>
  <c r="J42" i="108"/>
  <c r="J38" i="108"/>
  <c r="J93" i="108"/>
  <c r="J73" i="108"/>
  <c r="J67" i="108"/>
  <c r="J55" i="108"/>
  <c r="J84" i="108"/>
  <c r="J80" i="108"/>
  <c r="J74" i="108"/>
  <c r="J68" i="108"/>
  <c r="J56" i="108"/>
  <c r="J85" i="108"/>
  <c r="J53" i="108"/>
  <c r="J83" i="108"/>
  <c r="J70" i="108"/>
  <c r="J33" i="108"/>
  <c r="J20" i="108"/>
  <c r="J29" i="108"/>
  <c r="J58" i="108"/>
  <c r="J47" i="108"/>
  <c r="J97" i="108"/>
  <c r="J45" i="108"/>
  <c r="J43" i="108"/>
  <c r="J39" i="108"/>
  <c r="J34" i="108"/>
  <c r="J69" i="108"/>
  <c r="J65" i="108"/>
  <c r="J48" i="108"/>
  <c r="J18" i="108"/>
  <c r="N12" i="108"/>
  <c r="J30" i="108"/>
  <c r="J37" i="108"/>
  <c r="J58" i="105"/>
  <c r="J54" i="105"/>
  <c r="V34" i="105"/>
  <c r="J38" i="105"/>
  <c r="J42" i="105"/>
  <c r="J48" i="105"/>
  <c r="V63" i="105"/>
  <c r="L48" i="106"/>
  <c r="N48" i="106" s="1"/>
  <c r="R56" i="106"/>
  <c r="N62" i="106"/>
  <c r="V77" i="106"/>
  <c r="V91" i="106"/>
  <c r="R69" i="108"/>
  <c r="J79" i="108"/>
  <c r="J18" i="105"/>
  <c r="V20" i="105"/>
  <c r="J28" i="105"/>
  <c r="J32" i="105"/>
  <c r="J46" i="105"/>
  <c r="J53" i="105"/>
  <c r="V55" i="105"/>
  <c r="V56" i="105"/>
  <c r="V61" i="105"/>
  <c r="V20" i="106"/>
  <c r="H93" i="106"/>
  <c r="N26" i="106"/>
  <c r="R42" i="106"/>
  <c r="R46" i="106"/>
  <c r="V53" i="106"/>
  <c r="X58" i="106"/>
  <c r="Z58" i="106" s="1"/>
  <c r="L64" i="106"/>
  <c r="N64" i="106" s="1"/>
  <c r="N84" i="106"/>
  <c r="L18" i="108"/>
  <c r="N18" i="108" s="1"/>
  <c r="R42" i="108"/>
  <c r="V29" i="105"/>
  <c r="V33" i="105"/>
  <c r="J37" i="105"/>
  <c r="J41" i="105"/>
  <c r="J45" i="105"/>
  <c r="V49" i="105"/>
  <c r="V42" i="106"/>
  <c r="V46" i="106"/>
  <c r="V58" i="106"/>
  <c r="J64" i="106"/>
  <c r="N70" i="106"/>
  <c r="V89" i="106"/>
  <c r="H23" i="108"/>
  <c r="J23" i="108" s="1"/>
  <c r="V60" i="105"/>
  <c r="V59" i="105"/>
  <c r="V54" i="105"/>
  <c r="H23" i="105"/>
  <c r="V38" i="105"/>
  <c r="V42" i="105"/>
  <c r="V58" i="105"/>
  <c r="J60" i="105"/>
  <c r="R68" i="106"/>
  <c r="R20" i="106"/>
  <c r="R84" i="106"/>
  <c r="R83" i="106"/>
  <c r="R79" i="106"/>
  <c r="R60" i="106"/>
  <c r="R59" i="106"/>
  <c r="R48" i="106"/>
  <c r="R47" i="106"/>
  <c r="R43" i="106"/>
  <c r="R39" i="106"/>
  <c r="R75" i="106"/>
  <c r="R74" i="106"/>
  <c r="R34" i="106"/>
  <c r="R30" i="106"/>
  <c r="R86" i="106"/>
  <c r="R85" i="106"/>
  <c r="R70" i="106"/>
  <c r="R69" i="106"/>
  <c r="R62" i="106"/>
  <c r="R61" i="106"/>
  <c r="R50" i="106"/>
  <c r="R49" i="106"/>
  <c r="R26" i="106"/>
  <c r="R80" i="106"/>
  <c r="R76" i="106"/>
  <c r="R44" i="106"/>
  <c r="R40" i="106"/>
  <c r="R25" i="106"/>
  <c r="R23" i="106"/>
  <c r="R88" i="106"/>
  <c r="R87" i="106"/>
  <c r="R71" i="106"/>
  <c r="R64" i="106"/>
  <c r="R63" i="106"/>
  <c r="R52" i="106"/>
  <c r="R51" i="106"/>
  <c r="R35" i="106"/>
  <c r="R31" i="106"/>
  <c r="R27" i="106"/>
  <c r="P23" i="106"/>
  <c r="R89" i="106"/>
  <c r="R81" i="106"/>
  <c r="R77" i="106"/>
  <c r="R66" i="106"/>
  <c r="R65" i="106"/>
  <c r="R54" i="106"/>
  <c r="R53" i="106"/>
  <c r="R45" i="106"/>
  <c r="R41" i="106"/>
  <c r="R91" i="106"/>
  <c r="R72" i="106"/>
  <c r="R37" i="106"/>
  <c r="R36" i="106"/>
  <c r="R32" i="106"/>
  <c r="R28" i="106"/>
  <c r="X12" i="106"/>
  <c r="T23" i="106"/>
  <c r="R38" i="106"/>
  <c r="V48" i="106"/>
  <c r="N50" i="106"/>
  <c r="R82" i="106"/>
  <c r="P95" i="108"/>
  <c r="X23" i="108"/>
  <c r="Z26" i="108"/>
  <c r="J75" i="108"/>
  <c r="V19" i="105"/>
  <c r="J23" i="105"/>
  <c r="J25" i="105"/>
  <c r="J27" i="105"/>
  <c r="J31" i="105"/>
  <c r="V47" i="105"/>
  <c r="J52" i="105"/>
  <c r="J57" i="105"/>
  <c r="L63" i="105"/>
  <c r="V83" i="106"/>
  <c r="V79" i="106"/>
  <c r="V75" i="106"/>
  <c r="V59" i="106"/>
  <c r="V47" i="106"/>
  <c r="V43" i="106"/>
  <c r="V39" i="106"/>
  <c r="V86" i="106"/>
  <c r="V74" i="106"/>
  <c r="V70" i="106"/>
  <c r="V62" i="106"/>
  <c r="V50" i="106"/>
  <c r="V34" i="106"/>
  <c r="V30" i="106"/>
  <c r="V26" i="106"/>
  <c r="V85" i="106"/>
  <c r="V69" i="106"/>
  <c r="V61" i="106"/>
  <c r="V49" i="106"/>
  <c r="V25" i="106"/>
  <c r="V23" i="106"/>
  <c r="V21" i="106"/>
  <c r="V88" i="106"/>
  <c r="V80" i="106"/>
  <c r="V76" i="106"/>
  <c r="V64" i="106"/>
  <c r="V52" i="106"/>
  <c r="V44" i="106"/>
  <c r="V40" i="106"/>
  <c r="V87" i="106"/>
  <c r="V71" i="106"/>
  <c r="V63" i="106"/>
  <c r="V51" i="106"/>
  <c r="V35" i="106"/>
  <c r="V31" i="106"/>
  <c r="V27" i="106"/>
  <c r="V66" i="106"/>
  <c r="V54" i="106"/>
  <c r="V18" i="106"/>
  <c r="V72" i="106"/>
  <c r="V56" i="106"/>
  <c r="V36" i="106"/>
  <c r="V32" i="106"/>
  <c r="V28" i="106"/>
  <c r="V67" i="106"/>
  <c r="V55" i="106"/>
  <c r="V19" i="106"/>
  <c r="L25" i="106"/>
  <c r="N25" i="106" s="1"/>
  <c r="V38" i="106"/>
  <c r="V68" i="106"/>
  <c r="R78" i="106"/>
  <c r="V82" i="106"/>
  <c r="V84" i="106"/>
  <c r="N88" i="106"/>
  <c r="L88" i="106"/>
  <c r="R20" i="108"/>
  <c r="R40" i="108"/>
  <c r="N18" i="109"/>
  <c r="J26" i="105"/>
  <c r="V28" i="105"/>
  <c r="V32" i="105"/>
  <c r="J36" i="105"/>
  <c r="J40" i="105"/>
  <c r="J44" i="105"/>
  <c r="V48" i="105"/>
  <c r="V53" i="105"/>
  <c r="V65" i="105"/>
  <c r="Z12" i="106"/>
  <c r="L52" i="106"/>
  <c r="N52" i="106" s="1"/>
  <c r="R57" i="106"/>
  <c r="X66" i="106"/>
  <c r="V78" i="106"/>
  <c r="R95" i="106"/>
  <c r="R90" i="108"/>
  <c r="R82" i="108"/>
  <c r="R63" i="108"/>
  <c r="R62" i="108"/>
  <c r="R78" i="108"/>
  <c r="R77" i="108"/>
  <c r="R45" i="108"/>
  <c r="R41" i="108"/>
  <c r="R18" i="108"/>
  <c r="R72" i="108"/>
  <c r="R65" i="108"/>
  <c r="R64" i="108"/>
  <c r="R53" i="108"/>
  <c r="R52" i="108"/>
  <c r="R37" i="108"/>
  <c r="R36" i="108"/>
  <c r="R32" i="108"/>
  <c r="R28" i="108"/>
  <c r="R91" i="108"/>
  <c r="R83" i="108"/>
  <c r="R79" i="108"/>
  <c r="R95" i="108"/>
  <c r="R93" i="108"/>
  <c r="R67" i="108"/>
  <c r="R66" i="108"/>
  <c r="R55" i="108"/>
  <c r="R54" i="108"/>
  <c r="R74" i="108"/>
  <c r="R73" i="108"/>
  <c r="R33" i="108"/>
  <c r="R29" i="108"/>
  <c r="R97" i="108"/>
  <c r="R75" i="108"/>
  <c r="R48" i="108"/>
  <c r="R47" i="108"/>
  <c r="R43" i="108"/>
  <c r="R39" i="108"/>
  <c r="R87" i="108"/>
  <c r="R86" i="108"/>
  <c r="R70" i="108"/>
  <c r="R59" i="108"/>
  <c r="R58" i="108"/>
  <c r="R81" i="108"/>
  <c r="R50" i="108"/>
  <c r="R49" i="108"/>
  <c r="R76" i="108"/>
  <c r="R38" i="108"/>
  <c r="R35" i="108"/>
  <c r="R26" i="108"/>
  <c r="R68" i="108"/>
  <c r="R51" i="108"/>
  <c r="R31" i="108"/>
  <c r="R88" i="108"/>
  <c r="R80" i="108"/>
  <c r="R60" i="108"/>
  <c r="R27" i="108"/>
  <c r="R21" i="108"/>
  <c r="R84" i="108"/>
  <c r="R56" i="108"/>
  <c r="R34" i="108"/>
  <c r="X12" i="108"/>
  <c r="Z12" i="108" s="1"/>
  <c r="R30" i="108"/>
  <c r="R19" i="108"/>
  <c r="R89" i="108"/>
  <c r="R71" i="108"/>
  <c r="R23" i="108"/>
  <c r="X26" i="108"/>
  <c r="R61" i="108"/>
  <c r="J21" i="105"/>
  <c r="J35" i="105"/>
  <c r="V37" i="105"/>
  <c r="V41" i="105"/>
  <c r="V45" i="105"/>
  <c r="J67" i="105"/>
  <c r="V57" i="106"/>
  <c r="Z66" i="106"/>
  <c r="V95" i="106"/>
  <c r="J57" i="108"/>
  <c r="J23" i="106"/>
  <c r="J25" i="106"/>
  <c r="J27" i="106"/>
  <c r="J31" i="106"/>
  <c r="J35" i="106"/>
  <c r="J51" i="106"/>
  <c r="J63" i="106"/>
  <c r="J71" i="106"/>
  <c r="J87" i="106"/>
  <c r="Z19" i="110"/>
  <c r="X19" i="110"/>
  <c r="J40" i="106"/>
  <c r="J44" i="106"/>
  <c r="J50" i="106"/>
  <c r="J62" i="106"/>
  <c r="J70" i="106"/>
  <c r="J76" i="106"/>
  <c r="J80" i="106"/>
  <c r="J86" i="106"/>
  <c r="J30" i="106"/>
  <c r="J34" i="106"/>
  <c r="J48" i="106"/>
  <c r="J60" i="106"/>
  <c r="J74" i="106"/>
  <c r="J84" i="106"/>
  <c r="Z50" i="108"/>
  <c r="Z67" i="108"/>
  <c r="X15" i="110"/>
  <c r="R15" i="110"/>
  <c r="N20" i="110"/>
  <c r="L13" i="106"/>
  <c r="J39" i="106"/>
  <c r="J43" i="106"/>
  <c r="J47" i="106"/>
  <c r="J59" i="106"/>
  <c r="J79" i="106"/>
  <c r="J83" i="106"/>
  <c r="X48" i="108"/>
  <c r="Z48" i="108" s="1"/>
  <c r="N78" i="108"/>
  <c r="T76" i="110"/>
  <c r="J29" i="110"/>
  <c r="L47" i="110"/>
  <c r="N47" i="110" s="1"/>
  <c r="J58" i="106"/>
  <c r="J68" i="106"/>
  <c r="L25" i="108"/>
  <c r="J78" i="110"/>
  <c r="J66" i="110"/>
  <c r="J50" i="110"/>
  <c r="J26" i="110"/>
  <c r="J22" i="110"/>
  <c r="J51" i="110"/>
  <c r="J60" i="110"/>
  <c r="J52" i="110"/>
  <c r="J67" i="110"/>
  <c r="J53" i="110"/>
  <c r="J41" i="110"/>
  <c r="J27" i="110"/>
  <c r="J23" i="110"/>
  <c r="J68" i="110"/>
  <c r="J69" i="110"/>
  <c r="J61" i="110"/>
  <c r="J55" i="110"/>
  <c r="J43" i="110"/>
  <c r="J37" i="110"/>
  <c r="J33" i="110"/>
  <c r="J70" i="110"/>
  <c r="J62" i="110"/>
  <c r="J56" i="110"/>
  <c r="J71" i="110"/>
  <c r="J63" i="110"/>
  <c r="J57" i="110"/>
  <c r="J45" i="110"/>
  <c r="J74" i="110"/>
  <c r="J73" i="110"/>
  <c r="J65" i="110"/>
  <c r="J59" i="110"/>
  <c r="J44" i="110"/>
  <c r="J32" i="110"/>
  <c r="J38" i="110"/>
  <c r="J35" i="110"/>
  <c r="J15" i="110"/>
  <c r="J64" i="110"/>
  <c r="J25" i="110"/>
  <c r="J48" i="110"/>
  <c r="J20" i="110"/>
  <c r="J19" i="110"/>
  <c r="H17" i="110"/>
  <c r="J30" i="110"/>
  <c r="J42" i="110"/>
  <c r="J58" i="110"/>
  <c r="J54" i="110"/>
  <c r="J31" i="110"/>
  <c r="J46" i="110"/>
  <c r="J34" i="110"/>
  <c r="J24" i="110"/>
  <c r="J47" i="110"/>
  <c r="J29" i="106"/>
  <c r="J33" i="106"/>
  <c r="J57" i="106"/>
  <c r="J73" i="106"/>
  <c r="J95" i="106"/>
  <c r="L74" i="108"/>
  <c r="N74" i="108" s="1"/>
  <c r="P16" i="109"/>
  <c r="P17" i="110"/>
  <c r="J38" i="106"/>
  <c r="J42" i="106"/>
  <c r="J46" i="106"/>
  <c r="J56" i="106"/>
  <c r="J78" i="106"/>
  <c r="J82" i="106"/>
  <c r="N25" i="108"/>
  <c r="L85" i="108"/>
  <c r="N85" i="108" s="1"/>
  <c r="J36" i="110"/>
  <c r="Z51" i="110"/>
  <c r="X53" i="110"/>
  <c r="Z53" i="110" s="1"/>
  <c r="J37" i="106"/>
  <c r="J55" i="106"/>
  <c r="J67" i="106"/>
  <c r="J91" i="106"/>
  <c r="L57" i="108"/>
  <c r="N57" i="108" s="1"/>
  <c r="T16" i="109"/>
  <c r="R19" i="109"/>
  <c r="V29" i="109"/>
  <c r="V33" i="109"/>
  <c r="V37" i="109"/>
  <c r="D40" i="109"/>
  <c r="L40" i="109" s="1"/>
  <c r="N40" i="109" s="1"/>
  <c r="F43" i="109"/>
  <c r="J44" i="109"/>
  <c r="V48" i="109"/>
  <c r="Z41" i="110"/>
  <c r="N43" i="110"/>
  <c r="V44" i="110"/>
  <c r="V14" i="109"/>
  <c r="V16" i="109"/>
  <c r="V18" i="109"/>
  <c r="X12" i="109"/>
  <c r="V19" i="109"/>
  <c r="V23" i="109"/>
  <c r="V27" i="109"/>
  <c r="R32" i="109"/>
  <c r="R36" i="109"/>
  <c r="J42" i="109"/>
  <c r="R52" i="110"/>
  <c r="N73" i="110"/>
  <c r="D16" i="109"/>
  <c r="J21" i="109"/>
  <c r="R22" i="109"/>
  <c r="J25" i="109"/>
  <c r="R26" i="109"/>
  <c r="F34" i="109"/>
  <c r="F38" i="109"/>
  <c r="R44" i="109"/>
  <c r="F50" i="109"/>
  <c r="J53" i="109"/>
  <c r="N68" i="110"/>
  <c r="V22" i="109"/>
  <c r="V26" i="109"/>
  <c r="R35" i="109"/>
  <c r="R43" i="109"/>
  <c r="V44" i="109"/>
  <c r="V46" i="109"/>
  <c r="V43" i="110"/>
  <c r="N45" i="110"/>
  <c r="V58" i="110"/>
  <c r="V60" i="110"/>
  <c r="Z73" i="110"/>
  <c r="H16" i="109"/>
  <c r="F19" i="109"/>
  <c r="F20" i="109"/>
  <c r="F24" i="109"/>
  <c r="V31" i="109"/>
  <c r="V35" i="109"/>
  <c r="P40" i="109"/>
  <c r="X40" i="109" s="1"/>
  <c r="Z40" i="109" s="1"/>
  <c r="R42" i="109"/>
  <c r="V43" i="109"/>
  <c r="R68" i="110"/>
  <c r="R67" i="110"/>
  <c r="R27" i="110"/>
  <c r="R23" i="110"/>
  <c r="R55" i="110"/>
  <c r="R54" i="110"/>
  <c r="R70" i="110"/>
  <c r="R69" i="110"/>
  <c r="R62" i="110"/>
  <c r="R61" i="110"/>
  <c r="R57" i="110"/>
  <c r="R56" i="110"/>
  <c r="R45" i="110"/>
  <c r="R44" i="110"/>
  <c r="R28" i="110"/>
  <c r="R24" i="110"/>
  <c r="R71" i="110"/>
  <c r="R64" i="110"/>
  <c r="R63" i="110"/>
  <c r="R74" i="110"/>
  <c r="R73" i="110"/>
  <c r="R58" i="110"/>
  <c r="R47" i="110"/>
  <c r="R46" i="110"/>
  <c r="R38" i="110"/>
  <c r="R34" i="110"/>
  <c r="R65" i="110"/>
  <c r="R49" i="110"/>
  <c r="R48" i="110"/>
  <c r="R78" i="110"/>
  <c r="R66" i="110"/>
  <c r="V21" i="110"/>
  <c r="V28" i="110"/>
  <c r="R36" i="110"/>
  <c r="R39" i="110"/>
  <c r="N64" i="110"/>
  <c r="J14" i="109"/>
  <c r="J16" i="109"/>
  <c r="J18" i="109"/>
  <c r="J20" i="109"/>
  <c r="R21" i="109"/>
  <c r="J24" i="109"/>
  <c r="R25" i="109"/>
  <c r="F28" i="109"/>
  <c r="F29" i="109"/>
  <c r="F33" i="109"/>
  <c r="F37" i="109"/>
  <c r="R40" i="109"/>
  <c r="R41" i="109"/>
  <c r="V42" i="109"/>
  <c r="F48" i="109"/>
  <c r="V70" i="110"/>
  <c r="V62" i="110"/>
  <c r="V54" i="110"/>
  <c r="V42" i="110"/>
  <c r="V69" i="110"/>
  <c r="V61" i="110"/>
  <c r="V57" i="110"/>
  <c r="V64" i="110"/>
  <c r="V56" i="110"/>
  <c r="V73" i="110"/>
  <c r="V71" i="110"/>
  <c r="V63" i="110"/>
  <c r="V47" i="110"/>
  <c r="V19" i="110"/>
  <c r="V17" i="110"/>
  <c r="V15" i="110"/>
  <c r="V76" i="110"/>
  <c r="V74" i="110"/>
  <c r="V65" i="110"/>
  <c r="V49" i="110"/>
  <c r="V29" i="110"/>
  <c r="V25" i="110"/>
  <c r="V59" i="110"/>
  <c r="V51" i="110"/>
  <c r="V39" i="110"/>
  <c r="V35" i="110"/>
  <c r="V31" i="110"/>
  <c r="V53" i="110"/>
  <c r="V67" i="110"/>
  <c r="L19" i="110"/>
  <c r="N19" i="110" s="1"/>
  <c r="R33" i="110"/>
  <c r="V36" i="110"/>
  <c r="R42" i="110"/>
  <c r="Z49" i="110"/>
  <c r="V68" i="110"/>
  <c r="J19" i="109"/>
  <c r="V21" i="109"/>
  <c r="V25" i="109"/>
  <c r="J29" i="109"/>
  <c r="R30" i="109"/>
  <c r="J33" i="109"/>
  <c r="R34" i="109"/>
  <c r="J37" i="109"/>
  <c r="R38" i="109"/>
  <c r="V41" i="109"/>
  <c r="J48" i="109"/>
  <c r="R53" i="109"/>
  <c r="X12" i="110"/>
  <c r="Z12" i="110" s="1"/>
  <c r="V23" i="110"/>
  <c r="V33" i="110"/>
  <c r="L41" i="110"/>
  <c r="N41" i="110" s="1"/>
  <c r="N53" i="110"/>
  <c r="L57" i="110"/>
  <c r="F23" i="109"/>
  <c r="F27" i="109"/>
  <c r="V30" i="109"/>
  <c r="V34" i="109"/>
  <c r="V38" i="109"/>
  <c r="R20" i="110"/>
  <c r="R25" i="110"/>
  <c r="R30" i="110"/>
  <c r="V45" i="110"/>
  <c r="V48" i="110"/>
  <c r="R51" i="110"/>
  <c r="N55" i="110"/>
  <c r="N57" i="110"/>
  <c r="T27" i="113" l="1"/>
  <c r="Z18" i="113"/>
  <c r="T27" i="111"/>
  <c r="Z18" i="111"/>
  <c r="T27" i="50"/>
  <c r="Z18" i="50"/>
  <c r="X18" i="53"/>
  <c r="P27" i="53"/>
  <c r="H76" i="110"/>
  <c r="X23" i="106"/>
  <c r="P93" i="106"/>
  <c r="H65" i="105"/>
  <c r="L23" i="108"/>
  <c r="D95" i="108"/>
  <c r="D103" i="96"/>
  <c r="P36" i="86"/>
  <c r="H84" i="81"/>
  <c r="F81" i="76"/>
  <c r="F77" i="76"/>
  <c r="F76" i="76"/>
  <c r="F69" i="76"/>
  <c r="F68" i="76"/>
  <c r="F57" i="76"/>
  <c r="F56" i="76"/>
  <c r="F94" i="76"/>
  <c r="F52" i="76"/>
  <c r="F48" i="76"/>
  <c r="F83" i="76"/>
  <c r="F82" i="76"/>
  <c r="F71" i="76"/>
  <c r="F70" i="76"/>
  <c r="F59" i="76"/>
  <c r="F58" i="76"/>
  <c r="F43" i="76"/>
  <c r="F39" i="76"/>
  <c r="F78" i="76"/>
  <c r="F61" i="76"/>
  <c r="F60" i="76"/>
  <c r="F53" i="76"/>
  <c r="F49" i="76"/>
  <c r="F84" i="76"/>
  <c r="F79" i="76"/>
  <c r="F63" i="76"/>
  <c r="F62" i="76"/>
  <c r="F34" i="76"/>
  <c r="F30" i="76"/>
  <c r="F86" i="76"/>
  <c r="F85" i="76"/>
  <c r="F74" i="76"/>
  <c r="F73" i="76"/>
  <c r="F54" i="76"/>
  <c r="F50" i="76"/>
  <c r="F46" i="76"/>
  <c r="F45" i="76"/>
  <c r="D32" i="76"/>
  <c r="F32" i="76" s="1"/>
  <c r="F89" i="76"/>
  <c r="F80" i="76"/>
  <c r="F51" i="76"/>
  <c r="F36" i="76"/>
  <c r="F67" i="76"/>
  <c r="F55" i="76"/>
  <c r="F40" i="76"/>
  <c r="F38" i="76"/>
  <c r="F90" i="76"/>
  <c r="F88" i="76"/>
  <c r="F65" i="76"/>
  <c r="F44" i="76"/>
  <c r="F42" i="76"/>
  <c r="L12" i="76"/>
  <c r="N12" i="76" s="1"/>
  <c r="F72" i="76"/>
  <c r="F66" i="76"/>
  <c r="F37" i="76"/>
  <c r="F35" i="76"/>
  <c r="F41" i="76"/>
  <c r="F64" i="76"/>
  <c r="F47" i="76"/>
  <c r="F75" i="76"/>
  <c r="P79" i="70"/>
  <c r="X22" i="70"/>
  <c r="F127" i="69"/>
  <c r="F102" i="69"/>
  <c r="F101" i="69"/>
  <c r="F86" i="69"/>
  <c r="F82" i="69"/>
  <c r="F113" i="69"/>
  <c r="F112" i="69"/>
  <c r="F132" i="69"/>
  <c r="F120" i="69"/>
  <c r="F104" i="69"/>
  <c r="F103" i="69"/>
  <c r="F96" i="69"/>
  <c r="F92" i="69"/>
  <c r="F87" i="69"/>
  <c r="F83" i="69"/>
  <c r="F79" i="69"/>
  <c r="F78" i="69"/>
  <c r="F114" i="69"/>
  <c r="F77" i="69"/>
  <c r="F75" i="69"/>
  <c r="F70" i="69"/>
  <c r="F66" i="69"/>
  <c r="F62" i="69"/>
  <c r="F58" i="69"/>
  <c r="F54" i="69"/>
  <c r="F116" i="69"/>
  <c r="F115" i="69"/>
  <c r="F84" i="69"/>
  <c r="F80" i="69"/>
  <c r="F123" i="69"/>
  <c r="F122" i="69"/>
  <c r="F107" i="69"/>
  <c r="F106" i="69"/>
  <c r="F71" i="69"/>
  <c r="F67" i="69"/>
  <c r="F63" i="69"/>
  <c r="F59" i="69"/>
  <c r="F55" i="69"/>
  <c r="F98" i="69"/>
  <c r="F94" i="69"/>
  <c r="F90" i="69"/>
  <c r="F125" i="69"/>
  <c r="F124" i="69"/>
  <c r="F117" i="69"/>
  <c r="F109" i="69"/>
  <c r="F108" i="69"/>
  <c r="F85" i="69"/>
  <c r="F81" i="69"/>
  <c r="F93" i="69"/>
  <c r="F118" i="69"/>
  <c r="F110" i="69"/>
  <c r="F91" i="69"/>
  <c r="F89" i="69"/>
  <c r="F73" i="69"/>
  <c r="F69" i="69"/>
  <c r="F65" i="69"/>
  <c r="F61" i="69"/>
  <c r="F57" i="69"/>
  <c r="F53" i="69"/>
  <c r="F100" i="69"/>
  <c r="F128" i="69"/>
  <c r="F121" i="69"/>
  <c r="F119" i="69"/>
  <c r="L12" i="69"/>
  <c r="N12" i="69" s="1"/>
  <c r="F111" i="69"/>
  <c r="F105" i="69"/>
  <c r="F88" i="69"/>
  <c r="F99" i="69"/>
  <c r="D75" i="69"/>
  <c r="F72" i="69"/>
  <c r="F68" i="69"/>
  <c r="F64" i="69"/>
  <c r="F60" i="69"/>
  <c r="F56" i="69"/>
  <c r="F97" i="69"/>
  <c r="F95" i="69"/>
  <c r="F52" i="69"/>
  <c r="F75" i="70"/>
  <c r="F74" i="70"/>
  <c r="F77" i="70"/>
  <c r="F56" i="70"/>
  <c r="F55" i="70"/>
  <c r="F32" i="70"/>
  <c r="F28" i="70"/>
  <c r="F71" i="70"/>
  <c r="F47" i="70"/>
  <c r="F46" i="70"/>
  <c r="F19" i="70"/>
  <c r="F66" i="70"/>
  <c r="F58" i="70"/>
  <c r="F57" i="70"/>
  <c r="F42" i="70"/>
  <c r="F38" i="70"/>
  <c r="L12" i="70"/>
  <c r="N12" i="70" s="1"/>
  <c r="F72" i="70"/>
  <c r="F49" i="70"/>
  <c r="F48" i="70"/>
  <c r="F33" i="70"/>
  <c r="F29" i="70"/>
  <c r="F73" i="70"/>
  <c r="F60" i="70"/>
  <c r="F59" i="70"/>
  <c r="F20" i="70"/>
  <c r="F62" i="70"/>
  <c r="F61" i="70"/>
  <c r="F34" i="70"/>
  <c r="F30" i="70"/>
  <c r="F26" i="70"/>
  <c r="F25" i="70"/>
  <c r="F69" i="70"/>
  <c r="F68" i="70"/>
  <c r="F53" i="70"/>
  <c r="F52" i="70"/>
  <c r="F24" i="70"/>
  <c r="F44" i="70"/>
  <c r="F40" i="70"/>
  <c r="F36" i="70"/>
  <c r="F35" i="70"/>
  <c r="D22" i="70"/>
  <c r="F63" i="70"/>
  <c r="F31" i="70"/>
  <c r="F27" i="70"/>
  <c r="F51" i="70"/>
  <c r="F70" i="70"/>
  <c r="F64" i="70"/>
  <c r="F39" i="70"/>
  <c r="F43" i="70"/>
  <c r="F41" i="70"/>
  <c r="F37" i="70"/>
  <c r="F81" i="70"/>
  <c r="F18" i="70"/>
  <c r="F54" i="70"/>
  <c r="F50" i="70"/>
  <c r="F45" i="70"/>
  <c r="F67" i="70"/>
  <c r="F65" i="70"/>
  <c r="F17" i="70"/>
  <c r="L16" i="68"/>
  <c r="D65" i="68"/>
  <c r="D78" i="57"/>
  <c r="L16" i="57"/>
  <c r="Z16" i="57"/>
  <c r="T78" i="57"/>
  <c r="P62" i="61"/>
  <c r="X16" i="61"/>
  <c r="P37" i="55"/>
  <c r="T74" i="59"/>
  <c r="R99" i="51"/>
  <c r="R79" i="51"/>
  <c r="R75" i="51"/>
  <c r="R71" i="51"/>
  <c r="R40" i="51"/>
  <c r="R91" i="51"/>
  <c r="R90" i="51"/>
  <c r="R66" i="51"/>
  <c r="R62" i="51"/>
  <c r="R53" i="51"/>
  <c r="R49" i="51"/>
  <c r="R45" i="51"/>
  <c r="R41" i="51"/>
  <c r="R114" i="51"/>
  <c r="R101" i="51"/>
  <c r="R100" i="51"/>
  <c r="R93" i="51"/>
  <c r="R92" i="51"/>
  <c r="R81" i="51"/>
  <c r="R80" i="51"/>
  <c r="R76" i="51"/>
  <c r="R72" i="51"/>
  <c r="R67" i="51"/>
  <c r="R63" i="51"/>
  <c r="R103" i="51"/>
  <c r="R102" i="51"/>
  <c r="R95" i="51"/>
  <c r="R94" i="51"/>
  <c r="R83" i="51"/>
  <c r="R82" i="51"/>
  <c r="R59" i="51"/>
  <c r="R54" i="51"/>
  <c r="R50" i="51"/>
  <c r="R46" i="51"/>
  <c r="R42" i="51"/>
  <c r="R77" i="51"/>
  <c r="R73" i="51"/>
  <c r="R58" i="51"/>
  <c r="R56" i="51"/>
  <c r="R104" i="51"/>
  <c r="R96" i="51"/>
  <c r="R85" i="51"/>
  <c r="R84" i="51"/>
  <c r="R68" i="51"/>
  <c r="R64" i="51"/>
  <c r="R60" i="51"/>
  <c r="P56" i="51"/>
  <c r="R108" i="51"/>
  <c r="R87" i="51"/>
  <c r="R86" i="51"/>
  <c r="R78" i="51"/>
  <c r="R74" i="51"/>
  <c r="R109" i="51"/>
  <c r="R98" i="51"/>
  <c r="R97" i="51"/>
  <c r="R70" i="51"/>
  <c r="R69" i="51"/>
  <c r="R65" i="51"/>
  <c r="R61" i="51"/>
  <c r="R110" i="51"/>
  <c r="R89" i="51"/>
  <c r="R88" i="51"/>
  <c r="R52" i="51"/>
  <c r="R48" i="51"/>
  <c r="R44" i="51"/>
  <c r="X12" i="51"/>
  <c r="Z12" i="51" s="1"/>
  <c r="R106" i="51"/>
  <c r="R43" i="51"/>
  <c r="R47" i="51"/>
  <c r="R51" i="51"/>
  <c r="R107" i="51"/>
  <c r="F135" i="39"/>
  <c r="F123" i="39"/>
  <c r="F119" i="39"/>
  <c r="F103" i="39"/>
  <c r="F87" i="39"/>
  <c r="F86" i="39"/>
  <c r="F47" i="39"/>
  <c r="F43" i="39"/>
  <c r="F114" i="39"/>
  <c r="F113" i="39"/>
  <c r="F98" i="39"/>
  <c r="F78" i="39"/>
  <c r="F77" i="39"/>
  <c r="F70" i="39"/>
  <c r="F34" i="39"/>
  <c r="F137" i="39"/>
  <c r="F136" i="39"/>
  <c r="F129" i="39"/>
  <c r="F109" i="39"/>
  <c r="F89" i="39"/>
  <c r="F88" i="39"/>
  <c r="F61" i="39"/>
  <c r="F57" i="39"/>
  <c r="F53" i="39"/>
  <c r="F124" i="39"/>
  <c r="F120" i="39"/>
  <c r="F104" i="39"/>
  <c r="F80" i="39"/>
  <c r="F79" i="39"/>
  <c r="F48" i="39"/>
  <c r="F44" i="39"/>
  <c r="F140" i="39"/>
  <c r="F131" i="39"/>
  <c r="F130" i="39"/>
  <c r="F115" i="39"/>
  <c r="F99" i="39"/>
  <c r="F91" i="39"/>
  <c r="F90" i="39"/>
  <c r="F71" i="39"/>
  <c r="F63" i="39"/>
  <c r="F62" i="39"/>
  <c r="F35" i="39"/>
  <c r="F141" i="39"/>
  <c r="F139" i="39"/>
  <c r="F110" i="39"/>
  <c r="F82" i="39"/>
  <c r="F81" i="39"/>
  <c r="F58" i="39"/>
  <c r="F54" i="39"/>
  <c r="F142" i="39"/>
  <c r="F133" i="39"/>
  <c r="F132" i="39"/>
  <c r="F125" i="39"/>
  <c r="F121" i="39"/>
  <c r="F117" i="39"/>
  <c r="F116" i="39"/>
  <c r="F105" i="39"/>
  <c r="F93" i="39"/>
  <c r="F92" i="39"/>
  <c r="F65" i="39"/>
  <c r="F64" i="39"/>
  <c r="F49" i="39"/>
  <c r="F45" i="39"/>
  <c r="F41" i="39"/>
  <c r="F40" i="39"/>
  <c r="F143" i="39"/>
  <c r="F100" i="39"/>
  <c r="F84" i="39"/>
  <c r="F83" i="39"/>
  <c r="F72" i="39"/>
  <c r="F39" i="39"/>
  <c r="F37" i="39"/>
  <c r="F111" i="39"/>
  <c r="F107" i="39"/>
  <c r="F106" i="39"/>
  <c r="F95" i="39"/>
  <c r="F94" i="39"/>
  <c r="F67" i="39"/>
  <c r="F66" i="39"/>
  <c r="F59" i="39"/>
  <c r="F55" i="39"/>
  <c r="D37" i="39"/>
  <c r="F134" i="39"/>
  <c r="F126" i="39"/>
  <c r="F122" i="39"/>
  <c r="F118" i="39"/>
  <c r="F102" i="39"/>
  <c r="F101" i="39"/>
  <c r="F74" i="39"/>
  <c r="F73" i="39"/>
  <c r="F50" i="39"/>
  <c r="F46" i="39"/>
  <c r="F42" i="39"/>
  <c r="F128" i="39"/>
  <c r="F127" i="39"/>
  <c r="F112" i="39"/>
  <c r="F108" i="39"/>
  <c r="F76" i="39"/>
  <c r="F75" i="39"/>
  <c r="F60" i="39"/>
  <c r="F56" i="39"/>
  <c r="F52" i="39"/>
  <c r="F51" i="39"/>
  <c r="L12" i="39"/>
  <c r="N12" i="39" s="1"/>
  <c r="F97" i="39"/>
  <c r="F68" i="39"/>
  <c r="F32" i="39"/>
  <c r="F33" i="39"/>
  <c r="F147" i="39"/>
  <c r="F85" i="39"/>
  <c r="F69" i="39"/>
  <c r="F96" i="39"/>
  <c r="R274" i="15"/>
  <c r="R262" i="15"/>
  <c r="R261" i="15"/>
  <c r="R246" i="15"/>
  <c r="R242" i="15"/>
  <c r="R230" i="15"/>
  <c r="R215" i="15"/>
  <c r="R214" i="15"/>
  <c r="R198" i="15"/>
  <c r="R158" i="15"/>
  <c r="R154" i="15"/>
  <c r="R150" i="15"/>
  <c r="R146" i="15"/>
  <c r="R142" i="15"/>
  <c r="R138" i="15"/>
  <c r="R134" i="15"/>
  <c r="R130" i="15"/>
  <c r="R126" i="15"/>
  <c r="R122" i="15"/>
  <c r="R118" i="15"/>
  <c r="R114" i="15"/>
  <c r="R263" i="15"/>
  <c r="R254" i="15"/>
  <c r="R253" i="15"/>
  <c r="R225" i="15"/>
  <c r="R206" i="15"/>
  <c r="R205" i="15"/>
  <c r="R185" i="15"/>
  <c r="R181" i="15"/>
  <c r="R110" i="15"/>
  <c r="R264" i="15"/>
  <c r="R236" i="15"/>
  <c r="R217" i="15"/>
  <c r="R216" i="15"/>
  <c r="R193" i="15"/>
  <c r="R192" i="15"/>
  <c r="R177" i="15"/>
  <c r="R176" i="15"/>
  <c r="R172" i="15"/>
  <c r="R168" i="15"/>
  <c r="R265" i="15"/>
  <c r="R255" i="15"/>
  <c r="R247" i="15"/>
  <c r="R243" i="15"/>
  <c r="R231" i="15"/>
  <c r="R208" i="15"/>
  <c r="R207" i="15"/>
  <c r="R200" i="15"/>
  <c r="R199" i="15"/>
  <c r="R159" i="15"/>
  <c r="R155" i="15"/>
  <c r="R151" i="15"/>
  <c r="R147" i="15"/>
  <c r="R143" i="15"/>
  <c r="R139" i="15"/>
  <c r="R135" i="15"/>
  <c r="R131" i="15"/>
  <c r="R127" i="15"/>
  <c r="R123" i="15"/>
  <c r="R119" i="15"/>
  <c r="R115" i="15"/>
  <c r="R111" i="15"/>
  <c r="R266" i="15"/>
  <c r="R226" i="15"/>
  <c r="R219" i="15"/>
  <c r="R218" i="15"/>
  <c r="R195" i="15"/>
  <c r="R194" i="15"/>
  <c r="R186" i="15"/>
  <c r="R182" i="15"/>
  <c r="R178" i="15"/>
  <c r="R267" i="15"/>
  <c r="R238" i="15"/>
  <c r="R237" i="15"/>
  <c r="R210" i="15"/>
  <c r="R209" i="15"/>
  <c r="R201" i="15"/>
  <c r="R173" i="15"/>
  <c r="R169" i="15"/>
  <c r="R268" i="15"/>
  <c r="R256" i="15"/>
  <c r="R249" i="15"/>
  <c r="R248" i="15"/>
  <c r="R244" i="15"/>
  <c r="R233" i="15"/>
  <c r="R232" i="15"/>
  <c r="R221" i="15"/>
  <c r="R220" i="15"/>
  <c r="R269" i="15"/>
  <c r="R239" i="15"/>
  <c r="R228" i="15"/>
  <c r="R227" i="15"/>
  <c r="R211" i="15"/>
  <c r="R188" i="15"/>
  <c r="R187" i="15"/>
  <c r="R183" i="15"/>
  <c r="R179" i="15"/>
  <c r="R270" i="15"/>
  <c r="R250" i="15"/>
  <c r="R234" i="15"/>
  <c r="R223" i="15"/>
  <c r="R222" i="15"/>
  <c r="R203" i="15"/>
  <c r="R202" i="15"/>
  <c r="R174" i="15"/>
  <c r="R170" i="15"/>
  <c r="R259" i="15"/>
  <c r="R252" i="15"/>
  <c r="R251" i="15"/>
  <c r="R235" i="15"/>
  <c r="R191" i="15"/>
  <c r="R175" i="15"/>
  <c r="R171" i="15"/>
  <c r="R167" i="15"/>
  <c r="P163" i="15"/>
  <c r="R163" i="15" s="1"/>
  <c r="R165" i="15"/>
  <c r="R149" i="15"/>
  <c r="R124" i="15"/>
  <c r="R241" i="15"/>
  <c r="R196" i="15"/>
  <c r="R145" i="15"/>
  <c r="R120" i="15"/>
  <c r="R213" i="15"/>
  <c r="R141" i="15"/>
  <c r="R116" i="15"/>
  <c r="R160" i="15"/>
  <c r="R137" i="15"/>
  <c r="R112" i="15"/>
  <c r="R245" i="15"/>
  <c r="R156" i="15"/>
  <c r="R133" i="15"/>
  <c r="X12" i="15"/>
  <c r="Z12" i="15" s="1"/>
  <c r="R204" i="15"/>
  <c r="R189" i="15"/>
  <c r="R166" i="15"/>
  <c r="R152" i="15"/>
  <c r="R129" i="15"/>
  <c r="R229" i="15"/>
  <c r="R180" i="15"/>
  <c r="R148" i="15"/>
  <c r="R125" i="15"/>
  <c r="R257" i="15"/>
  <c r="R197" i="15"/>
  <c r="R144" i="15"/>
  <c r="R121" i="15"/>
  <c r="R240" i="15"/>
  <c r="R140" i="15"/>
  <c r="R117" i="15"/>
  <c r="R258" i="15"/>
  <c r="R153" i="15"/>
  <c r="R128" i="15"/>
  <c r="R113" i="15"/>
  <c r="R132" i="15"/>
  <c r="R224" i="15"/>
  <c r="R136" i="15"/>
  <c r="R190" i="15"/>
  <c r="R157" i="15"/>
  <c r="R161" i="15"/>
  <c r="R184" i="15"/>
  <c r="R212" i="15"/>
  <c r="T27" i="38"/>
  <c r="Z18" i="38"/>
  <c r="X18" i="38"/>
  <c r="P27" i="38"/>
  <c r="T27" i="37"/>
  <c r="Z18" i="37"/>
  <c r="P27" i="34"/>
  <c r="X18" i="34"/>
  <c r="L18" i="37"/>
  <c r="D27" i="37"/>
  <c r="L18" i="13"/>
  <c r="D27" i="13"/>
  <c r="L18" i="22"/>
  <c r="D27" i="22"/>
  <c r="T27" i="14"/>
  <c r="Z18" i="14"/>
  <c r="L18" i="7"/>
  <c r="D27" i="7"/>
  <c r="N18" i="41"/>
  <c r="H27" i="41"/>
  <c r="P27" i="5"/>
  <c r="X18" i="5"/>
  <c r="L18" i="11"/>
  <c r="D27" i="11"/>
  <c r="N16" i="109"/>
  <c r="H46" i="109"/>
  <c r="P76" i="110"/>
  <c r="X17" i="110"/>
  <c r="Z17" i="110" s="1"/>
  <c r="R17" i="110"/>
  <c r="P99" i="108"/>
  <c r="F59" i="110"/>
  <c r="F39" i="110"/>
  <c r="F35" i="110"/>
  <c r="F31" i="110"/>
  <c r="F30" i="110"/>
  <c r="F78" i="110"/>
  <c r="F66" i="110"/>
  <c r="F50" i="110"/>
  <c r="F49" i="110"/>
  <c r="F60" i="110"/>
  <c r="F52" i="110"/>
  <c r="F51" i="110"/>
  <c r="F40" i="110"/>
  <c r="F36" i="110"/>
  <c r="F32" i="110"/>
  <c r="F67" i="110"/>
  <c r="F54" i="110"/>
  <c r="F53" i="110"/>
  <c r="F42" i="110"/>
  <c r="F41" i="110"/>
  <c r="F69" i="110"/>
  <c r="F68" i="110"/>
  <c r="F61" i="110"/>
  <c r="F56" i="110"/>
  <c r="F55" i="110"/>
  <c r="F44" i="110"/>
  <c r="F43" i="110"/>
  <c r="F28" i="110"/>
  <c r="F24" i="110"/>
  <c r="F58" i="110"/>
  <c r="F57" i="110"/>
  <c r="F73" i="110"/>
  <c r="F71" i="110"/>
  <c r="F47" i="110"/>
  <c r="F29" i="110"/>
  <c r="F22" i="110"/>
  <c r="F74" i="110"/>
  <c r="F27" i="110"/>
  <c r="F38" i="110"/>
  <c r="F25" i="110"/>
  <c r="F15" i="110"/>
  <c r="F64" i="110"/>
  <c r="F48" i="110"/>
  <c r="F23" i="110"/>
  <c r="F45" i="110"/>
  <c r="F33" i="110"/>
  <c r="F20" i="110"/>
  <c r="F19" i="110"/>
  <c r="D17" i="110"/>
  <c r="F17" i="110" s="1"/>
  <c r="L12" i="110"/>
  <c r="N12" i="110" s="1"/>
  <c r="F21" i="110"/>
  <c r="F65" i="110"/>
  <c r="F46" i="110"/>
  <c r="F34" i="110"/>
  <c r="F26" i="110"/>
  <c r="F62" i="110"/>
  <c r="F37" i="110"/>
  <c r="F70" i="110"/>
  <c r="F63" i="110"/>
  <c r="H57" i="99"/>
  <c r="N53" i="99"/>
  <c r="T86" i="95"/>
  <c r="T88" i="89"/>
  <c r="P90" i="93"/>
  <c r="X23" i="93"/>
  <c r="H112" i="77"/>
  <c r="J56" i="77"/>
  <c r="F53" i="79"/>
  <c r="F52" i="79"/>
  <c r="F37" i="79"/>
  <c r="F33" i="79"/>
  <c r="F76" i="79"/>
  <c r="F24" i="79"/>
  <c r="F20" i="79"/>
  <c r="F19" i="79"/>
  <c r="F38" i="79"/>
  <c r="F34" i="79"/>
  <c r="F65" i="79"/>
  <c r="F64" i="79"/>
  <c r="F25" i="79"/>
  <c r="F21" i="79"/>
  <c r="F68" i="79"/>
  <c r="F35" i="79"/>
  <c r="F31" i="79"/>
  <c r="F30" i="79"/>
  <c r="F69" i="79"/>
  <c r="F67" i="79"/>
  <c r="F58" i="79"/>
  <c r="F57" i="79"/>
  <c r="F29" i="79"/>
  <c r="F27" i="79"/>
  <c r="F22" i="79"/>
  <c r="L12" i="79"/>
  <c r="N12" i="79" s="1"/>
  <c r="F56" i="79"/>
  <c r="F48" i="79"/>
  <c r="F71" i="79"/>
  <c r="F39" i="79"/>
  <c r="F36" i="79"/>
  <c r="D27" i="79"/>
  <c r="F62" i="79"/>
  <c r="F46" i="79"/>
  <c r="F44" i="79"/>
  <c r="F59" i="79"/>
  <c r="F54" i="79"/>
  <c r="F51" i="79"/>
  <c r="F40" i="79"/>
  <c r="F42" i="79"/>
  <c r="F49" i="79"/>
  <c r="F32" i="79"/>
  <c r="F72" i="79"/>
  <c r="F63" i="79"/>
  <c r="F55" i="79"/>
  <c r="F60" i="79"/>
  <c r="F45" i="79"/>
  <c r="F43" i="79"/>
  <c r="F23" i="79"/>
  <c r="F47" i="79"/>
  <c r="F70" i="79"/>
  <c r="F50" i="79"/>
  <c r="F41" i="79"/>
  <c r="F61" i="79"/>
  <c r="P74" i="79"/>
  <c r="X27" i="79"/>
  <c r="N16" i="56"/>
  <c r="H81" i="56"/>
  <c r="T145" i="39"/>
  <c r="H145" i="39"/>
  <c r="R125" i="42"/>
  <c r="R124" i="42"/>
  <c r="R112" i="42"/>
  <c r="R108" i="42"/>
  <c r="R92" i="42"/>
  <c r="R76" i="42"/>
  <c r="R52" i="42"/>
  <c r="R48" i="42"/>
  <c r="R33" i="42"/>
  <c r="X12" i="42"/>
  <c r="Z12" i="42" s="1"/>
  <c r="R103" i="42"/>
  <c r="R87" i="42"/>
  <c r="R60" i="42"/>
  <c r="R59" i="42"/>
  <c r="R43" i="42"/>
  <c r="R39" i="42"/>
  <c r="R35" i="42"/>
  <c r="P31" i="42"/>
  <c r="R126" i="42"/>
  <c r="R119" i="42"/>
  <c r="R118" i="42"/>
  <c r="R98" i="42"/>
  <c r="R67" i="42"/>
  <c r="R66" i="42"/>
  <c r="R129" i="42"/>
  <c r="R128" i="42"/>
  <c r="R113" i="42"/>
  <c r="R109" i="42"/>
  <c r="R93" i="42"/>
  <c r="R78" i="42"/>
  <c r="R77" i="42"/>
  <c r="R62" i="42"/>
  <c r="R61" i="42"/>
  <c r="R53" i="42"/>
  <c r="R49" i="42"/>
  <c r="R26" i="42"/>
  <c r="R130" i="42"/>
  <c r="R121" i="42"/>
  <c r="R120" i="42"/>
  <c r="R105" i="42"/>
  <c r="R104" i="42"/>
  <c r="R88" i="42"/>
  <c r="R69" i="42"/>
  <c r="R68" i="42"/>
  <c r="R131" i="42"/>
  <c r="R99" i="42"/>
  <c r="R80" i="42"/>
  <c r="R79" i="42"/>
  <c r="R63" i="42"/>
  <c r="R132" i="42"/>
  <c r="R122" i="42"/>
  <c r="R114" i="42"/>
  <c r="R110" i="42"/>
  <c r="R106" i="42"/>
  <c r="R94" i="42"/>
  <c r="R71" i="42"/>
  <c r="R70" i="42"/>
  <c r="R54" i="42"/>
  <c r="R50" i="42"/>
  <c r="R46" i="42"/>
  <c r="R89" i="42"/>
  <c r="R82" i="42"/>
  <c r="R81" i="42"/>
  <c r="R41" i="42"/>
  <c r="R37" i="42"/>
  <c r="R100" i="42"/>
  <c r="R73" i="42"/>
  <c r="R72" i="42"/>
  <c r="R64" i="42"/>
  <c r="R123" i="42"/>
  <c r="R116" i="42"/>
  <c r="R115" i="42"/>
  <c r="R111" i="42"/>
  <c r="R107" i="42"/>
  <c r="R96" i="42"/>
  <c r="R95" i="42"/>
  <c r="R84" i="42"/>
  <c r="R83" i="42"/>
  <c r="R56" i="42"/>
  <c r="R55" i="42"/>
  <c r="R51" i="42"/>
  <c r="R47" i="42"/>
  <c r="R136" i="42"/>
  <c r="R91" i="42"/>
  <c r="R90" i="42"/>
  <c r="R75" i="42"/>
  <c r="R74" i="42"/>
  <c r="R117" i="42"/>
  <c r="R102" i="42"/>
  <c r="R101" i="42"/>
  <c r="R97" i="42"/>
  <c r="R86" i="42"/>
  <c r="R85" i="42"/>
  <c r="R65" i="42"/>
  <c r="R58" i="42"/>
  <c r="R57" i="42"/>
  <c r="R44" i="42"/>
  <c r="R42" i="42"/>
  <c r="R40" i="42"/>
  <c r="R38" i="42"/>
  <c r="R36" i="42"/>
  <c r="R29" i="42"/>
  <c r="R45" i="42"/>
  <c r="R34" i="42"/>
  <c r="R27" i="42"/>
  <c r="R28" i="42"/>
  <c r="H157" i="30"/>
  <c r="T102" i="9"/>
  <c r="V17" i="9"/>
  <c r="X17" i="9"/>
  <c r="Z17" i="9" s="1"/>
  <c r="P102" i="9"/>
  <c r="H109" i="9"/>
  <c r="X18" i="113"/>
  <c r="P27" i="113"/>
  <c r="L18" i="50"/>
  <c r="D27" i="50"/>
  <c r="H27" i="40"/>
  <c r="N18" i="40"/>
  <c r="L18" i="23"/>
  <c r="D27" i="23"/>
  <c r="H27" i="22"/>
  <c r="N18" i="22"/>
  <c r="T27" i="29"/>
  <c r="Z18" i="29"/>
  <c r="X18" i="8"/>
  <c r="P27" i="8"/>
  <c r="T27" i="11"/>
  <c r="Z18" i="11"/>
  <c r="T46" i="109"/>
  <c r="Z16" i="109"/>
  <c r="D53" i="99"/>
  <c r="L20" i="99"/>
  <c r="H90" i="93"/>
  <c r="X22" i="88"/>
  <c r="Z22" i="88" s="1"/>
  <c r="P100" i="88"/>
  <c r="H123" i="75"/>
  <c r="L17" i="59"/>
  <c r="D74" i="59"/>
  <c r="P46" i="109"/>
  <c r="X16" i="109"/>
  <c r="T95" i="108"/>
  <c r="Z23" i="108"/>
  <c r="D93" i="106"/>
  <c r="L23" i="106"/>
  <c r="N23" i="106" s="1"/>
  <c r="H98" i="98"/>
  <c r="J23" i="98"/>
  <c r="H85" i="94"/>
  <c r="H74" i="79"/>
  <c r="F114" i="77"/>
  <c r="F100" i="77"/>
  <c r="F92" i="77"/>
  <c r="F91" i="77"/>
  <c r="F80" i="77"/>
  <c r="F76" i="77"/>
  <c r="F102" i="77"/>
  <c r="F101" i="77"/>
  <c r="F94" i="77"/>
  <c r="F93" i="77"/>
  <c r="F82" i="77"/>
  <c r="F81" i="77"/>
  <c r="F107" i="77"/>
  <c r="F110" i="77"/>
  <c r="F86" i="77"/>
  <c r="F69" i="77"/>
  <c r="F65" i="77"/>
  <c r="F61" i="77"/>
  <c r="F52" i="77"/>
  <c r="F48" i="77"/>
  <c r="F44" i="77"/>
  <c r="L12" i="77"/>
  <c r="N12" i="77" s="1"/>
  <c r="F106" i="77"/>
  <c r="F78" i="77"/>
  <c r="F71" i="77"/>
  <c r="F70" i="77"/>
  <c r="F97" i="77"/>
  <c r="F87" i="77"/>
  <c r="F75" i="77"/>
  <c r="F66" i="77"/>
  <c r="F62" i="77"/>
  <c r="F53" i="77"/>
  <c r="F49" i="77"/>
  <c r="F45" i="77"/>
  <c r="F41" i="77"/>
  <c r="F40" i="77"/>
  <c r="F108" i="77"/>
  <c r="F88" i="77"/>
  <c r="F83" i="77"/>
  <c r="F72" i="77"/>
  <c r="F98" i="77"/>
  <c r="F79" i="77"/>
  <c r="F67" i="77"/>
  <c r="F63" i="77"/>
  <c r="F103" i="77"/>
  <c r="F99" i="77"/>
  <c r="F89" i="77"/>
  <c r="F84" i="77"/>
  <c r="F54" i="77"/>
  <c r="F50" i="77"/>
  <c r="F46" i="77"/>
  <c r="F42" i="77"/>
  <c r="F109" i="77"/>
  <c r="F95" i="77"/>
  <c r="F90" i="77"/>
  <c r="F68" i="77"/>
  <c r="F64" i="77"/>
  <c r="F60" i="77"/>
  <c r="F59" i="77"/>
  <c r="F85" i="77"/>
  <c r="F74" i="77"/>
  <c r="F58" i="77"/>
  <c r="F77" i="77"/>
  <c r="F104" i="77"/>
  <c r="F96" i="77"/>
  <c r="F51" i="77"/>
  <c r="F47" i="77"/>
  <c r="F43" i="77"/>
  <c r="F73" i="77"/>
  <c r="D56" i="77"/>
  <c r="F56" i="77" s="1"/>
  <c r="R106" i="75"/>
  <c r="R83" i="75"/>
  <c r="R82" i="75"/>
  <c r="R67" i="75"/>
  <c r="R66" i="75"/>
  <c r="R62" i="75"/>
  <c r="R58" i="75"/>
  <c r="P54" i="75"/>
  <c r="R125" i="75"/>
  <c r="R114" i="75"/>
  <c r="R113" i="75"/>
  <c r="R101" i="75"/>
  <c r="R100" i="75"/>
  <c r="R85" i="75"/>
  <c r="R84" i="75"/>
  <c r="R76" i="75"/>
  <c r="R72" i="75"/>
  <c r="R68" i="75"/>
  <c r="R115" i="75"/>
  <c r="R107" i="75"/>
  <c r="R95" i="75"/>
  <c r="R63" i="75"/>
  <c r="R59" i="75"/>
  <c r="R102" i="75"/>
  <c r="R86" i="75"/>
  <c r="R50" i="75"/>
  <c r="R46" i="75"/>
  <c r="R42" i="75"/>
  <c r="R38" i="75"/>
  <c r="R116" i="75"/>
  <c r="R119" i="75"/>
  <c r="R118" i="75"/>
  <c r="R104" i="75"/>
  <c r="R103" i="75"/>
  <c r="R88" i="75"/>
  <c r="R87" i="75"/>
  <c r="R80" i="75"/>
  <c r="R79" i="75"/>
  <c r="R51" i="75"/>
  <c r="R47" i="75"/>
  <c r="R43" i="75"/>
  <c r="R39" i="75"/>
  <c r="R121" i="75"/>
  <c r="R110" i="75"/>
  <c r="R109" i="75"/>
  <c r="R105" i="75"/>
  <c r="R90" i="75"/>
  <c r="R89" i="75"/>
  <c r="R81" i="75"/>
  <c r="R65" i="75"/>
  <c r="R61" i="75"/>
  <c r="R111" i="75"/>
  <c r="R75" i="75"/>
  <c r="R73" i="75"/>
  <c r="R54" i="75"/>
  <c r="X12" i="75"/>
  <c r="Z12" i="75" s="1"/>
  <c r="R44" i="75"/>
  <c r="R112" i="75"/>
  <c r="R98" i="75"/>
  <c r="R93" i="75"/>
  <c r="R49" i="75"/>
  <c r="R71" i="75"/>
  <c r="R69" i="75"/>
  <c r="R64" i="75"/>
  <c r="R60" i="75"/>
  <c r="R56" i="75"/>
  <c r="R37" i="75"/>
  <c r="R74" i="75"/>
  <c r="R94" i="75"/>
  <c r="R45" i="75"/>
  <c r="R108" i="75"/>
  <c r="R97" i="75"/>
  <c r="R91" i="75"/>
  <c r="R77" i="75"/>
  <c r="R57" i="75"/>
  <c r="R70" i="75"/>
  <c r="R92" i="75"/>
  <c r="R120" i="75"/>
  <c r="R96" i="75"/>
  <c r="R36" i="75"/>
  <c r="R40" i="75"/>
  <c r="R78" i="75"/>
  <c r="R52" i="75"/>
  <c r="R48" i="75"/>
  <c r="R99" i="75"/>
  <c r="R41" i="75"/>
  <c r="H130" i="69"/>
  <c r="R104" i="77"/>
  <c r="R96" i="77"/>
  <c r="R85" i="77"/>
  <c r="R84" i="77"/>
  <c r="R108" i="77"/>
  <c r="R87" i="77"/>
  <c r="R86" i="77"/>
  <c r="R78" i="77"/>
  <c r="R74" i="77"/>
  <c r="R98" i="77"/>
  <c r="R93" i="77"/>
  <c r="R53" i="77"/>
  <c r="R49" i="77"/>
  <c r="R45" i="77"/>
  <c r="R41" i="77"/>
  <c r="R102" i="77"/>
  <c r="R89" i="77"/>
  <c r="R88" i="77"/>
  <c r="R83" i="77"/>
  <c r="R72" i="77"/>
  <c r="R79" i="77"/>
  <c r="R67" i="77"/>
  <c r="R63" i="77"/>
  <c r="R103" i="77"/>
  <c r="R99" i="77"/>
  <c r="R94" i="77"/>
  <c r="R76" i="77"/>
  <c r="R59" i="77"/>
  <c r="R54" i="77"/>
  <c r="R50" i="77"/>
  <c r="R46" i="77"/>
  <c r="R42" i="77"/>
  <c r="R73" i="77"/>
  <c r="R58" i="77"/>
  <c r="R56" i="77"/>
  <c r="R114" i="77"/>
  <c r="R109" i="77"/>
  <c r="R95" i="77"/>
  <c r="R90" i="77"/>
  <c r="R68" i="77"/>
  <c r="R64" i="77"/>
  <c r="R60" i="77"/>
  <c r="P56" i="77"/>
  <c r="R91" i="77"/>
  <c r="R80" i="77"/>
  <c r="R51" i="77"/>
  <c r="R47" i="77"/>
  <c r="R43" i="77"/>
  <c r="R77" i="77"/>
  <c r="R106" i="77"/>
  <c r="R52" i="77"/>
  <c r="R48" i="77"/>
  <c r="R44" i="77"/>
  <c r="X12" i="77"/>
  <c r="Z12" i="77" s="1"/>
  <c r="R70" i="77"/>
  <c r="R81" i="77"/>
  <c r="R66" i="77"/>
  <c r="R71" i="77"/>
  <c r="R62" i="77"/>
  <c r="R69" i="77"/>
  <c r="R101" i="77"/>
  <c r="R97" i="77"/>
  <c r="R107" i="77"/>
  <c r="R61" i="77"/>
  <c r="R40" i="77"/>
  <c r="R82" i="77"/>
  <c r="R65" i="77"/>
  <c r="R92" i="77"/>
  <c r="R110" i="77"/>
  <c r="R100" i="77"/>
  <c r="R75" i="77"/>
  <c r="P74" i="59"/>
  <c r="X17" i="59"/>
  <c r="Z17" i="59" s="1"/>
  <c r="T108" i="64"/>
  <c r="Z16" i="64"/>
  <c r="D77" i="58"/>
  <c r="L16" i="58"/>
  <c r="D33" i="55"/>
  <c r="L16" i="55"/>
  <c r="D22" i="54"/>
  <c r="L16" i="54"/>
  <c r="H112" i="51"/>
  <c r="N22" i="54"/>
  <c r="H26" i="54"/>
  <c r="H143" i="24"/>
  <c r="T157" i="30"/>
  <c r="H109" i="33"/>
  <c r="N16" i="6"/>
  <c r="H22" i="6"/>
  <c r="F104" i="9"/>
  <c r="F70" i="9"/>
  <c r="F69" i="9"/>
  <c r="F62" i="9"/>
  <c r="F61" i="9"/>
  <c r="F42" i="9"/>
  <c r="F38" i="9"/>
  <c r="F34" i="9"/>
  <c r="F93" i="9"/>
  <c r="F81" i="9"/>
  <c r="F53" i="9"/>
  <c r="F52" i="9"/>
  <c r="F29" i="9"/>
  <c r="F25" i="9"/>
  <c r="F21" i="9"/>
  <c r="F20" i="9"/>
  <c r="F88" i="9"/>
  <c r="F76" i="9"/>
  <c r="F64" i="9"/>
  <c r="F63" i="9"/>
  <c r="F44" i="9"/>
  <c r="F43" i="9"/>
  <c r="F19" i="9"/>
  <c r="F17" i="9"/>
  <c r="F15" i="9"/>
  <c r="F109" i="9"/>
  <c r="F106" i="9"/>
  <c r="F95" i="9"/>
  <c r="F94" i="9"/>
  <c r="F83" i="9"/>
  <c r="F82" i="9"/>
  <c r="F71" i="9"/>
  <c r="F39" i="9"/>
  <c r="F35" i="9"/>
  <c r="D17" i="9"/>
  <c r="F66" i="9"/>
  <c r="F65" i="9"/>
  <c r="F54" i="9"/>
  <c r="F46" i="9"/>
  <c r="F45" i="9"/>
  <c r="F30" i="9"/>
  <c r="F26" i="9"/>
  <c r="F22" i="9"/>
  <c r="L12" i="9"/>
  <c r="F97" i="9"/>
  <c r="F96" i="9"/>
  <c r="F89" i="9"/>
  <c r="F77" i="9"/>
  <c r="F84" i="9"/>
  <c r="F72" i="9"/>
  <c r="F56" i="9"/>
  <c r="F55" i="9"/>
  <c r="F48" i="9"/>
  <c r="F47" i="9"/>
  <c r="F40" i="9"/>
  <c r="F36" i="9"/>
  <c r="F67" i="9"/>
  <c r="F31" i="9"/>
  <c r="F27" i="9"/>
  <c r="F23" i="9"/>
  <c r="F98" i="9"/>
  <c r="F90" i="9"/>
  <c r="F86" i="9"/>
  <c r="F85" i="9"/>
  <c r="F78" i="9"/>
  <c r="F58" i="9"/>
  <c r="F57" i="9"/>
  <c r="F50" i="9"/>
  <c r="F49" i="9"/>
  <c r="F102" i="9"/>
  <c r="F100" i="9"/>
  <c r="F87" i="9"/>
  <c r="F75" i="9"/>
  <c r="F74" i="9"/>
  <c r="F51" i="9"/>
  <c r="F73" i="9"/>
  <c r="F37" i="9"/>
  <c r="F92" i="9"/>
  <c r="F79" i="9"/>
  <c r="F68" i="9"/>
  <c r="F32" i="9"/>
  <c r="F28" i="9"/>
  <c r="F24" i="9"/>
  <c r="F60" i="9"/>
  <c r="F41" i="9"/>
  <c r="F91" i="9"/>
  <c r="F80" i="9"/>
  <c r="F59" i="9"/>
  <c r="F33" i="9"/>
  <c r="P27" i="112"/>
  <c r="X18" i="112"/>
  <c r="D27" i="49"/>
  <c r="L18" i="49"/>
  <c r="T27" i="44"/>
  <c r="Z18" i="44"/>
  <c r="H27" i="38"/>
  <c r="N18" i="38"/>
  <c r="X18" i="40"/>
  <c r="P27" i="40"/>
  <c r="H27" i="34"/>
  <c r="N18" i="34"/>
  <c r="L18" i="32"/>
  <c r="D27" i="32"/>
  <c r="L18" i="20"/>
  <c r="D27" i="20"/>
  <c r="L18" i="19"/>
  <c r="D27" i="19"/>
  <c r="T27" i="19"/>
  <c r="Z18" i="19"/>
  <c r="D46" i="109"/>
  <c r="L16" i="109"/>
  <c r="F70" i="104"/>
  <c r="F65" i="104"/>
  <c r="F64" i="104"/>
  <c r="F53" i="104"/>
  <c r="F52" i="104"/>
  <c r="F45" i="104"/>
  <c r="F41" i="104"/>
  <c r="F88" i="104"/>
  <c r="F80" i="104"/>
  <c r="F76" i="104"/>
  <c r="F71" i="104"/>
  <c r="F55" i="104"/>
  <c r="F54" i="104"/>
  <c r="F66" i="104"/>
  <c r="F46" i="104"/>
  <c r="F42" i="104"/>
  <c r="F38" i="104"/>
  <c r="F37" i="104"/>
  <c r="F90" i="104"/>
  <c r="F81" i="104"/>
  <c r="F77" i="104"/>
  <c r="F57" i="104"/>
  <c r="F56" i="104"/>
  <c r="F83" i="104"/>
  <c r="F82" i="104"/>
  <c r="F78" i="104"/>
  <c r="F74" i="104"/>
  <c r="F73" i="104"/>
  <c r="F49" i="104"/>
  <c r="F26" i="104"/>
  <c r="F25" i="104"/>
  <c r="D23" i="104"/>
  <c r="L12" i="104"/>
  <c r="N12" i="104" s="1"/>
  <c r="F94" i="104"/>
  <c r="F87" i="104"/>
  <c r="F85" i="104"/>
  <c r="F75" i="104"/>
  <c r="F35" i="104"/>
  <c r="F27" i="104"/>
  <c r="F19" i="104"/>
  <c r="F18" i="104"/>
  <c r="F39" i="104"/>
  <c r="F30" i="104"/>
  <c r="F67" i="104"/>
  <c r="F59" i="104"/>
  <c r="F33" i="104"/>
  <c r="F62" i="104"/>
  <c r="F50" i="104"/>
  <c r="F20" i="104"/>
  <c r="F79" i="104"/>
  <c r="F43" i="104"/>
  <c r="F36" i="104"/>
  <c r="F28" i="104"/>
  <c r="F86" i="104"/>
  <c r="F51" i="104"/>
  <c r="F31" i="104"/>
  <c r="F21" i="104"/>
  <c r="F68" i="104"/>
  <c r="F63" i="104"/>
  <c r="F60" i="104"/>
  <c r="F47" i="104"/>
  <c r="F44" i="104"/>
  <c r="F34" i="104"/>
  <c r="F84" i="104"/>
  <c r="F29" i="104"/>
  <c r="F72" i="104"/>
  <c r="F61" i="104"/>
  <c r="F69" i="104"/>
  <c r="F32" i="104"/>
  <c r="F40" i="104"/>
  <c r="F58" i="104"/>
  <c r="F48" i="104"/>
  <c r="T32" i="83"/>
  <c r="P84" i="81"/>
  <c r="X22" i="81"/>
  <c r="R141" i="39"/>
  <c r="R132" i="39"/>
  <c r="R131" i="39"/>
  <c r="R116" i="39"/>
  <c r="R115" i="39"/>
  <c r="R99" i="39"/>
  <c r="R92" i="39"/>
  <c r="R91" i="39"/>
  <c r="R71" i="39"/>
  <c r="R64" i="39"/>
  <c r="R63" i="39"/>
  <c r="R40" i="39"/>
  <c r="R35" i="39"/>
  <c r="R142" i="39"/>
  <c r="R110" i="39"/>
  <c r="R83" i="39"/>
  <c r="R82" i="39"/>
  <c r="R58" i="39"/>
  <c r="R54" i="39"/>
  <c r="R39" i="39"/>
  <c r="R143" i="39"/>
  <c r="R133" i="39"/>
  <c r="R125" i="39"/>
  <c r="R121" i="39"/>
  <c r="R117" i="39"/>
  <c r="R106" i="39"/>
  <c r="R105" i="39"/>
  <c r="R94" i="39"/>
  <c r="R93" i="39"/>
  <c r="R66" i="39"/>
  <c r="R65" i="39"/>
  <c r="R49" i="39"/>
  <c r="R101" i="39"/>
  <c r="R100" i="39"/>
  <c r="R84" i="39"/>
  <c r="R73" i="39"/>
  <c r="R72" i="39"/>
  <c r="R111" i="39"/>
  <c r="R107" i="39"/>
  <c r="R96" i="39"/>
  <c r="R95" i="39"/>
  <c r="R68" i="39"/>
  <c r="R67" i="39"/>
  <c r="R59" i="39"/>
  <c r="R55" i="39"/>
  <c r="R32" i="39"/>
  <c r="R134" i="39"/>
  <c r="R127" i="39"/>
  <c r="R126" i="39"/>
  <c r="R122" i="39"/>
  <c r="R118" i="39"/>
  <c r="R102" i="39"/>
  <c r="R75" i="39"/>
  <c r="R74" i="39"/>
  <c r="R51" i="39"/>
  <c r="R50" i="39"/>
  <c r="R46" i="39"/>
  <c r="R42" i="39"/>
  <c r="R147" i="39"/>
  <c r="R97" i="39"/>
  <c r="R86" i="39"/>
  <c r="R85" i="39"/>
  <c r="R69" i="39"/>
  <c r="R33" i="39"/>
  <c r="R128" i="39"/>
  <c r="R113" i="39"/>
  <c r="R112" i="39"/>
  <c r="R108" i="39"/>
  <c r="R77" i="39"/>
  <c r="R76" i="39"/>
  <c r="R60" i="39"/>
  <c r="R56" i="39"/>
  <c r="R52" i="39"/>
  <c r="X12" i="39"/>
  <c r="Z12" i="39" s="1"/>
  <c r="R136" i="39"/>
  <c r="R135" i="39"/>
  <c r="R123" i="39"/>
  <c r="R119" i="39"/>
  <c r="R103" i="39"/>
  <c r="R88" i="39"/>
  <c r="R87" i="39"/>
  <c r="R47" i="39"/>
  <c r="R43" i="39"/>
  <c r="R114" i="39"/>
  <c r="R98" i="39"/>
  <c r="R79" i="39"/>
  <c r="R78" i="39"/>
  <c r="R70" i="39"/>
  <c r="R34" i="39"/>
  <c r="R140" i="39"/>
  <c r="R139" i="39"/>
  <c r="R124" i="39"/>
  <c r="R120" i="39"/>
  <c r="R104" i="39"/>
  <c r="R81" i="39"/>
  <c r="R80" i="39"/>
  <c r="R48" i="39"/>
  <c r="R44" i="39"/>
  <c r="R109" i="39"/>
  <c r="R137" i="39"/>
  <c r="R130" i="39"/>
  <c r="R45" i="39"/>
  <c r="R57" i="39"/>
  <c r="P37" i="39"/>
  <c r="R89" i="39"/>
  <c r="R61" i="39"/>
  <c r="R90" i="39"/>
  <c r="R53" i="39"/>
  <c r="R129" i="39"/>
  <c r="R41" i="39"/>
  <c r="R62" i="39"/>
  <c r="T27" i="47"/>
  <c r="Z18" i="47"/>
  <c r="R65" i="101"/>
  <c r="R64" i="101"/>
  <c r="R32" i="101"/>
  <c r="R28" i="101"/>
  <c r="X12" i="101"/>
  <c r="Z12" i="101" s="1"/>
  <c r="R71" i="101"/>
  <c r="R59" i="101"/>
  <c r="R48" i="101"/>
  <c r="R47" i="101"/>
  <c r="R19" i="101"/>
  <c r="R82" i="101"/>
  <c r="R67" i="101"/>
  <c r="R66" i="101"/>
  <c r="R42" i="101"/>
  <c r="R38" i="101"/>
  <c r="R73" i="101"/>
  <c r="R72" i="101"/>
  <c r="R68" i="101"/>
  <c r="R61" i="101"/>
  <c r="R60" i="101"/>
  <c r="R20" i="101"/>
  <c r="R52" i="101"/>
  <c r="R51" i="101"/>
  <c r="R43" i="101"/>
  <c r="R39" i="101"/>
  <c r="R69" i="101"/>
  <c r="R54" i="101"/>
  <c r="R53" i="101"/>
  <c r="R26" i="101"/>
  <c r="R44" i="101"/>
  <c r="R40" i="101"/>
  <c r="R36" i="101"/>
  <c r="R25" i="101"/>
  <c r="R75" i="101"/>
  <c r="R63" i="101"/>
  <c r="R78" i="101"/>
  <c r="R77" i="101"/>
  <c r="R70" i="101"/>
  <c r="R62" i="101"/>
  <c r="R58" i="101"/>
  <c r="R55" i="101"/>
  <c r="R50" i="101"/>
  <c r="R33" i="101"/>
  <c r="R21" i="101"/>
  <c r="R74" i="101"/>
  <c r="R31" i="101"/>
  <c r="R56" i="101"/>
  <c r="R45" i="101"/>
  <c r="R34" i="101"/>
  <c r="R29" i="101"/>
  <c r="P23" i="101"/>
  <c r="R23" i="101" s="1"/>
  <c r="R41" i="101"/>
  <c r="R46" i="101"/>
  <c r="R37" i="101"/>
  <c r="R27" i="101"/>
  <c r="R35" i="101"/>
  <c r="R30" i="101"/>
  <c r="R18" i="101"/>
  <c r="R57" i="101"/>
  <c r="R49" i="101"/>
  <c r="F77" i="88"/>
  <c r="F76" i="88"/>
  <c r="F69" i="88"/>
  <c r="F61" i="88"/>
  <c r="F60" i="88"/>
  <c r="F53" i="88"/>
  <c r="F52" i="88"/>
  <c r="F96" i="88"/>
  <c r="F95" i="88"/>
  <c r="F44" i="88"/>
  <c r="F40" i="88"/>
  <c r="F36" i="88"/>
  <c r="F35" i="88"/>
  <c r="F98" i="88"/>
  <c r="F73" i="88"/>
  <c r="F72" i="88"/>
  <c r="F65" i="88"/>
  <c r="F64" i="88"/>
  <c r="F45" i="88"/>
  <c r="F41" i="88"/>
  <c r="F37" i="88"/>
  <c r="F67" i="88"/>
  <c r="F66" i="88"/>
  <c r="F55" i="88"/>
  <c r="F47" i="88"/>
  <c r="F46" i="88"/>
  <c r="F90" i="88"/>
  <c r="F89" i="88"/>
  <c r="F74" i="88"/>
  <c r="F42" i="88"/>
  <c r="F38" i="88"/>
  <c r="F85" i="88"/>
  <c r="F81" i="88"/>
  <c r="F57" i="88"/>
  <c r="F56" i="88"/>
  <c r="F49" i="88"/>
  <c r="F48" i="88"/>
  <c r="F51" i="88"/>
  <c r="F39" i="88"/>
  <c r="F34" i="88"/>
  <c r="F32" i="88"/>
  <c r="F25" i="88"/>
  <c r="F24" i="88"/>
  <c r="D22" i="88"/>
  <c r="F88" i="88"/>
  <c r="F84" i="88"/>
  <c r="F80" i="88"/>
  <c r="F59" i="88"/>
  <c r="F54" i="88"/>
  <c r="F30" i="88"/>
  <c r="F28" i="88"/>
  <c r="F18" i="88"/>
  <c r="F17" i="88"/>
  <c r="F94" i="88"/>
  <c r="F91" i="88"/>
  <c r="F86" i="88"/>
  <c r="F82" i="88"/>
  <c r="F62" i="88"/>
  <c r="F26" i="88"/>
  <c r="F70" i="88"/>
  <c r="F19" i="88"/>
  <c r="L12" i="88"/>
  <c r="N12" i="88" s="1"/>
  <c r="F92" i="88"/>
  <c r="F75" i="88"/>
  <c r="F68" i="88"/>
  <c r="F63" i="88"/>
  <c r="F50" i="88"/>
  <c r="F33" i="88"/>
  <c r="F58" i="88"/>
  <c r="F31" i="88"/>
  <c r="F29" i="88"/>
  <c r="F20" i="88"/>
  <c r="F102" i="88"/>
  <c r="F87" i="88"/>
  <c r="F78" i="88"/>
  <c r="F71" i="88"/>
  <c r="F27" i="88"/>
  <c r="F83" i="88"/>
  <c r="F43" i="88"/>
  <c r="F22" i="88"/>
  <c r="F79" i="88"/>
  <c r="F93" i="88"/>
  <c r="F71" i="84"/>
  <c r="F70" i="84"/>
  <c r="F63" i="84"/>
  <c r="F62" i="84"/>
  <c r="F31" i="84"/>
  <c r="F27" i="84"/>
  <c r="F90" i="84"/>
  <c r="F89" i="84"/>
  <c r="F82" i="84"/>
  <c r="F78" i="84"/>
  <c r="F77" i="84"/>
  <c r="F54" i="84"/>
  <c r="F65" i="84"/>
  <c r="F64" i="84"/>
  <c r="F45" i="84"/>
  <c r="F41" i="84"/>
  <c r="F37" i="84"/>
  <c r="F83" i="84"/>
  <c r="F79" i="84"/>
  <c r="F67" i="84"/>
  <c r="F66" i="84"/>
  <c r="F55" i="84"/>
  <c r="F47" i="84"/>
  <c r="F46" i="84"/>
  <c r="F19" i="84"/>
  <c r="F94" i="84"/>
  <c r="F73" i="84"/>
  <c r="F57" i="84"/>
  <c r="F56" i="84"/>
  <c r="F49" i="84"/>
  <c r="F48" i="84"/>
  <c r="F33" i="84"/>
  <c r="F29" i="84"/>
  <c r="F98" i="84"/>
  <c r="F84" i="84"/>
  <c r="F80" i="84"/>
  <c r="F68" i="84"/>
  <c r="F59" i="84"/>
  <c r="F58" i="84"/>
  <c r="F51" i="84"/>
  <c r="F50" i="84"/>
  <c r="F43" i="84"/>
  <c r="F39" i="84"/>
  <c r="F86" i="84"/>
  <c r="F85" i="84"/>
  <c r="F74" i="84"/>
  <c r="F34" i="84"/>
  <c r="F30" i="84"/>
  <c r="F26" i="84"/>
  <c r="F25" i="84"/>
  <c r="F72" i="84"/>
  <c r="F61" i="84"/>
  <c r="F91" i="84"/>
  <c r="F36" i="84"/>
  <c r="F87" i="84"/>
  <c r="F53" i="84"/>
  <c r="F92" i="84"/>
  <c r="F81" i="84"/>
  <c r="F44" i="84"/>
  <c r="F32" i="84"/>
  <c r="F28" i="84"/>
  <c r="D22" i="84"/>
  <c r="F75" i="84"/>
  <c r="F60" i="84"/>
  <c r="L12" i="84"/>
  <c r="N12" i="84" s="1"/>
  <c r="F42" i="84"/>
  <c r="F69" i="84"/>
  <c r="F40" i="84"/>
  <c r="F88" i="84"/>
  <c r="F52" i="84"/>
  <c r="F24" i="84"/>
  <c r="F17" i="84"/>
  <c r="F35" i="84"/>
  <c r="F18" i="84"/>
  <c r="F20" i="84"/>
  <c r="F38" i="84"/>
  <c r="F76" i="84"/>
  <c r="T104" i="88"/>
  <c r="F72" i="80"/>
  <c r="F60" i="80"/>
  <c r="F59" i="80"/>
  <c r="F48" i="80"/>
  <c r="F47" i="80"/>
  <c r="F32" i="80"/>
  <c r="F28" i="80"/>
  <c r="F80" i="80"/>
  <c r="F67" i="80"/>
  <c r="F66" i="80"/>
  <c r="F19" i="80"/>
  <c r="F84" i="80"/>
  <c r="F50" i="80"/>
  <c r="F49" i="80"/>
  <c r="F42" i="80"/>
  <c r="F38" i="80"/>
  <c r="L12" i="80"/>
  <c r="N12" i="80" s="1"/>
  <c r="F68" i="80"/>
  <c r="F52" i="80"/>
  <c r="F51" i="80"/>
  <c r="F20" i="80"/>
  <c r="F43" i="80"/>
  <c r="F39" i="80"/>
  <c r="F35" i="80"/>
  <c r="F34" i="80"/>
  <c r="F74" i="80"/>
  <c r="F69" i="80"/>
  <c r="F24" i="80"/>
  <c r="F22" i="80"/>
  <c r="F76" i="80"/>
  <c r="F75" i="80"/>
  <c r="F64" i="80"/>
  <c r="F63" i="80"/>
  <c r="F56" i="80"/>
  <c r="F55" i="80"/>
  <c r="F44" i="80"/>
  <c r="F40" i="80"/>
  <c r="F36" i="80"/>
  <c r="D22" i="80"/>
  <c r="F71" i="80"/>
  <c r="F70" i="80"/>
  <c r="F41" i="80"/>
  <c r="F27" i="80"/>
  <c r="F77" i="80"/>
  <c r="F57" i="80"/>
  <c r="F37" i="80"/>
  <c r="F31" i="80"/>
  <c r="F73" i="80"/>
  <c r="F62" i="80"/>
  <c r="F33" i="80"/>
  <c r="F29" i="80"/>
  <c r="F25" i="80"/>
  <c r="F53" i="80"/>
  <c r="F18" i="80"/>
  <c r="F46" i="80"/>
  <c r="F65" i="80"/>
  <c r="F26" i="80"/>
  <c r="F58" i="80"/>
  <c r="F30" i="80"/>
  <c r="F54" i="80"/>
  <c r="F78" i="80"/>
  <c r="F17" i="80"/>
  <c r="F45" i="80"/>
  <c r="F61" i="80"/>
  <c r="P82" i="80"/>
  <c r="X22" i="80"/>
  <c r="H86" i="73"/>
  <c r="V100" i="74"/>
  <c r="T104" i="74"/>
  <c r="P81" i="56"/>
  <c r="X16" i="56"/>
  <c r="H77" i="58"/>
  <c r="N16" i="58"/>
  <c r="H104" i="45"/>
  <c r="H134" i="42"/>
  <c r="J31" i="42"/>
  <c r="F129" i="30"/>
  <c r="F113" i="30"/>
  <c r="F112" i="30"/>
  <c r="F89" i="30"/>
  <c r="F85" i="30"/>
  <c r="F148" i="30"/>
  <c r="F140" i="30"/>
  <c r="F136" i="30"/>
  <c r="F124" i="30"/>
  <c r="F123" i="30"/>
  <c r="F104" i="30"/>
  <c r="F103" i="30"/>
  <c r="F96" i="30"/>
  <c r="F95" i="30"/>
  <c r="F80" i="30"/>
  <c r="F76" i="30"/>
  <c r="F115" i="30"/>
  <c r="F114" i="30"/>
  <c r="F67" i="30"/>
  <c r="F63" i="30"/>
  <c r="F59" i="30"/>
  <c r="F55" i="30"/>
  <c r="F51" i="30"/>
  <c r="F47" i="30"/>
  <c r="F150" i="30"/>
  <c r="F149" i="30"/>
  <c r="F142" i="30"/>
  <c r="F141" i="30"/>
  <c r="F130" i="30"/>
  <c r="F106" i="30"/>
  <c r="F105" i="30"/>
  <c r="F90" i="30"/>
  <c r="F86" i="30"/>
  <c r="F137" i="30"/>
  <c r="F125" i="30"/>
  <c r="F117" i="30"/>
  <c r="F116" i="30"/>
  <c r="F97" i="30"/>
  <c r="F81" i="30"/>
  <c r="F77" i="30"/>
  <c r="F73" i="30"/>
  <c r="F72" i="30"/>
  <c r="F153" i="30"/>
  <c r="F132" i="30"/>
  <c r="F131" i="30"/>
  <c r="F108" i="30"/>
  <c r="F107" i="30"/>
  <c r="F71" i="30"/>
  <c r="F64" i="30"/>
  <c r="F60" i="30"/>
  <c r="F56" i="30"/>
  <c r="F52" i="30"/>
  <c r="F48" i="30"/>
  <c r="F155" i="30"/>
  <c r="F138" i="30"/>
  <c r="F126" i="30"/>
  <c r="F78" i="30"/>
  <c r="F74" i="30"/>
  <c r="F145" i="30"/>
  <c r="F144" i="30"/>
  <c r="F133" i="30"/>
  <c r="F121" i="30"/>
  <c r="F120" i="30"/>
  <c r="F109" i="30"/>
  <c r="F101" i="30"/>
  <c r="F100" i="30"/>
  <c r="F65" i="30"/>
  <c r="F61" i="30"/>
  <c r="F57" i="30"/>
  <c r="F53" i="30"/>
  <c r="F49" i="30"/>
  <c r="F45" i="30"/>
  <c r="F44" i="30"/>
  <c r="F122" i="30"/>
  <c r="F102" i="30"/>
  <c r="F94" i="30"/>
  <c r="F93" i="30"/>
  <c r="F66" i="30"/>
  <c r="F62" i="30"/>
  <c r="F58" i="30"/>
  <c r="F54" i="30"/>
  <c r="F50" i="30"/>
  <c r="F46" i="30"/>
  <c r="F99" i="30"/>
  <c r="F87" i="30"/>
  <c r="F79" i="30"/>
  <c r="F146" i="30"/>
  <c r="F135" i="30"/>
  <c r="F118" i="30"/>
  <c r="F111" i="30"/>
  <c r="F91" i="30"/>
  <c r="D69" i="30"/>
  <c r="F159" i="30"/>
  <c r="F154" i="30"/>
  <c r="F152" i="30"/>
  <c r="F143" i="30"/>
  <c r="F84" i="30"/>
  <c r="F147" i="30"/>
  <c r="F139" i="30"/>
  <c r="F128" i="30"/>
  <c r="F82" i="30"/>
  <c r="F88" i="30"/>
  <c r="L12" i="30"/>
  <c r="N12" i="30" s="1"/>
  <c r="F119" i="30"/>
  <c r="F134" i="30"/>
  <c r="F127" i="30"/>
  <c r="F75" i="30"/>
  <c r="F83" i="30"/>
  <c r="F110" i="30"/>
  <c r="F92" i="30"/>
  <c r="F98" i="30"/>
  <c r="T300" i="18"/>
  <c r="F288" i="18"/>
  <c r="F286" i="18"/>
  <c r="F261" i="18"/>
  <c r="F241" i="18"/>
  <c r="F240" i="18"/>
  <c r="F217" i="18"/>
  <c r="F302" i="18"/>
  <c r="F289" i="18"/>
  <c r="F280" i="18"/>
  <c r="F279" i="18"/>
  <c r="F272" i="18"/>
  <c r="F268" i="18"/>
  <c r="F256" i="18"/>
  <c r="F232" i="18"/>
  <c r="F231" i="18"/>
  <c r="F224" i="18"/>
  <c r="F290" i="18"/>
  <c r="F291" i="18"/>
  <c r="F262" i="18"/>
  <c r="F234" i="18"/>
  <c r="F233" i="18"/>
  <c r="F226" i="18"/>
  <c r="F225" i="18"/>
  <c r="F292" i="18"/>
  <c r="F281" i="18"/>
  <c r="F293" i="18"/>
  <c r="F264" i="18"/>
  <c r="F263" i="18"/>
  <c r="F252" i="18"/>
  <c r="F236" i="18"/>
  <c r="F235" i="18"/>
  <c r="F212" i="18"/>
  <c r="F208" i="18"/>
  <c r="F295" i="18"/>
  <c r="F282" i="18"/>
  <c r="F270" i="18"/>
  <c r="F254" i="18"/>
  <c r="F253" i="18"/>
  <c r="F222" i="18"/>
  <c r="F214" i="18"/>
  <c r="F213" i="18"/>
  <c r="F296" i="18"/>
  <c r="F265" i="18"/>
  <c r="F249" i="18"/>
  <c r="F248" i="18"/>
  <c r="F237" i="18"/>
  <c r="F229" i="18"/>
  <c r="F228" i="18"/>
  <c r="F209" i="18"/>
  <c r="F287" i="18"/>
  <c r="F278" i="18"/>
  <c r="F277" i="18"/>
  <c r="F250" i="18"/>
  <c r="F230" i="18"/>
  <c r="F210" i="18"/>
  <c r="F206" i="18"/>
  <c r="F239" i="18"/>
  <c r="F207" i="18"/>
  <c r="F204" i="18"/>
  <c r="F269" i="18"/>
  <c r="F267" i="18"/>
  <c r="F259" i="18"/>
  <c r="F215" i="18"/>
  <c r="F194" i="18"/>
  <c r="F273" i="18"/>
  <c r="F271" i="18"/>
  <c r="F245" i="18"/>
  <c r="F242" i="18"/>
  <c r="F201" i="18"/>
  <c r="F185" i="18"/>
  <c r="F181" i="18"/>
  <c r="F177" i="18"/>
  <c r="F173" i="18"/>
  <c r="F169" i="18"/>
  <c r="F165" i="18"/>
  <c r="F161" i="18"/>
  <c r="F157" i="18"/>
  <c r="F153" i="18"/>
  <c r="F149" i="18"/>
  <c r="F145" i="18"/>
  <c r="F141" i="18"/>
  <c r="F137" i="18"/>
  <c r="F133" i="18"/>
  <c r="F129" i="18"/>
  <c r="F128" i="18"/>
  <c r="F298" i="18"/>
  <c r="F294" i="18"/>
  <c r="F220" i="18"/>
  <c r="F205" i="18"/>
  <c r="F198" i="18"/>
  <c r="L12" i="18"/>
  <c r="N12" i="18" s="1"/>
  <c r="F284" i="18"/>
  <c r="F195" i="18"/>
  <c r="F276" i="18"/>
  <c r="F186" i="18"/>
  <c r="F182" i="18"/>
  <c r="F178" i="18"/>
  <c r="F174" i="18"/>
  <c r="F170" i="18"/>
  <c r="F166" i="18"/>
  <c r="F162" i="18"/>
  <c r="F158" i="18"/>
  <c r="F154" i="18"/>
  <c r="F150" i="18"/>
  <c r="F146" i="18"/>
  <c r="F142" i="18"/>
  <c r="F138" i="18"/>
  <c r="F134" i="18"/>
  <c r="F130" i="18"/>
  <c r="F257" i="18"/>
  <c r="F255" i="18"/>
  <c r="F243" i="18"/>
  <c r="F218" i="18"/>
  <c r="F216" i="18"/>
  <c r="F202" i="18"/>
  <c r="F221" i="18"/>
  <c r="F203" i="18"/>
  <c r="F199" i="18"/>
  <c r="F196" i="18"/>
  <c r="F192" i="18"/>
  <c r="F191" i="18"/>
  <c r="F274" i="18"/>
  <c r="F260" i="18"/>
  <c r="F251" i="18"/>
  <c r="F246" i="18"/>
  <c r="F227" i="18"/>
  <c r="F223" i="18"/>
  <c r="F190" i="18"/>
  <c r="F183" i="18"/>
  <c r="F179" i="18"/>
  <c r="F175" i="18"/>
  <c r="F171" i="18"/>
  <c r="F167" i="18"/>
  <c r="F163" i="18"/>
  <c r="F159" i="18"/>
  <c r="F155" i="18"/>
  <c r="F151" i="18"/>
  <c r="F147" i="18"/>
  <c r="F143" i="18"/>
  <c r="F139" i="18"/>
  <c r="F135" i="18"/>
  <c r="F131" i="18"/>
  <c r="F258" i="18"/>
  <c r="F244" i="18"/>
  <c r="F200" i="18"/>
  <c r="F184" i="18"/>
  <c r="F180" i="18"/>
  <c r="F176" i="18"/>
  <c r="F172" i="18"/>
  <c r="F168" i="18"/>
  <c r="F164" i="18"/>
  <c r="F160" i="18"/>
  <c r="F156" i="18"/>
  <c r="F152" i="18"/>
  <c r="F148" i="18"/>
  <c r="F144" i="18"/>
  <c r="F140" i="18"/>
  <c r="F136" i="18"/>
  <c r="F132" i="18"/>
  <c r="F297" i="18"/>
  <c r="F266" i="18"/>
  <c r="F247" i="18"/>
  <c r="F238" i="18"/>
  <c r="F211" i="18"/>
  <c r="D188" i="18"/>
  <c r="F275" i="18"/>
  <c r="F219" i="18"/>
  <c r="F197" i="18"/>
  <c r="F193" i="18"/>
  <c r="F283" i="18"/>
  <c r="R131" i="24"/>
  <c r="R124" i="24"/>
  <c r="R123" i="24"/>
  <c r="R91" i="24"/>
  <c r="R87" i="24"/>
  <c r="R115" i="24"/>
  <c r="R114" i="24"/>
  <c r="R78" i="24"/>
  <c r="R74" i="24"/>
  <c r="R70" i="24"/>
  <c r="R66" i="24"/>
  <c r="R62" i="24"/>
  <c r="R58" i="24"/>
  <c r="R145" i="24"/>
  <c r="R125" i="24"/>
  <c r="R106" i="24"/>
  <c r="R105" i="24"/>
  <c r="R101" i="24"/>
  <c r="R97" i="24"/>
  <c r="R133" i="24"/>
  <c r="R132" i="24"/>
  <c r="R117" i="24"/>
  <c r="R116" i="24"/>
  <c r="R92" i="24"/>
  <c r="R88" i="24"/>
  <c r="R108" i="24"/>
  <c r="R107" i="24"/>
  <c r="R79" i="24"/>
  <c r="R75" i="24"/>
  <c r="R71" i="24"/>
  <c r="R67" i="24"/>
  <c r="R63" i="24"/>
  <c r="R59" i="24"/>
  <c r="R135" i="24"/>
  <c r="R134" i="24"/>
  <c r="R127" i="24"/>
  <c r="R126" i="24"/>
  <c r="R119" i="24"/>
  <c r="R118" i="24"/>
  <c r="R102" i="24"/>
  <c r="R98" i="24"/>
  <c r="R110" i="24"/>
  <c r="R109" i="24"/>
  <c r="R93" i="24"/>
  <c r="R89" i="24"/>
  <c r="R137" i="24"/>
  <c r="R136" i="24"/>
  <c r="R129" i="24"/>
  <c r="R128" i="24"/>
  <c r="R121" i="24"/>
  <c r="R120" i="24"/>
  <c r="R85" i="24"/>
  <c r="R80" i="24"/>
  <c r="R76" i="24"/>
  <c r="R72" i="24"/>
  <c r="R68" i="24"/>
  <c r="R64" i="24"/>
  <c r="R60" i="24"/>
  <c r="R111" i="24"/>
  <c r="R103" i="24"/>
  <c r="R99" i="24"/>
  <c r="R84" i="24"/>
  <c r="R82" i="24"/>
  <c r="R56" i="24"/>
  <c r="R113" i="24"/>
  <c r="R112" i="24"/>
  <c r="R104" i="24"/>
  <c r="R100" i="24"/>
  <c r="R96" i="24"/>
  <c r="X12" i="24"/>
  <c r="Z12" i="24" s="1"/>
  <c r="R95" i="24"/>
  <c r="R141" i="24"/>
  <c r="R138" i="24"/>
  <c r="R130" i="24"/>
  <c r="R122" i="24"/>
  <c r="R86" i="24"/>
  <c r="R90" i="24"/>
  <c r="P82" i="24"/>
  <c r="R140" i="24"/>
  <c r="R77" i="24"/>
  <c r="R73" i="24"/>
  <c r="R69" i="24"/>
  <c r="R65" i="24"/>
  <c r="R61" i="24"/>
  <c r="R57" i="24"/>
  <c r="R94" i="24"/>
  <c r="N18" i="46"/>
  <c r="H27" i="46"/>
  <c r="P27" i="37"/>
  <c r="X18" i="37"/>
  <c r="L18" i="29"/>
  <c r="D27" i="29"/>
  <c r="X18" i="35"/>
  <c r="P27" i="35"/>
  <c r="T27" i="13"/>
  <c r="Z18" i="13"/>
  <c r="X18" i="13"/>
  <c r="P27" i="13"/>
  <c r="D27" i="14"/>
  <c r="L18" i="14"/>
  <c r="T27" i="8"/>
  <c r="Z18" i="8"/>
  <c r="P27" i="10"/>
  <c r="X18" i="10"/>
  <c r="L16" i="56"/>
  <c r="D81" i="56"/>
  <c r="T324" i="3"/>
  <c r="R318" i="3"/>
  <c r="R298" i="3"/>
  <c r="R283" i="3"/>
  <c r="R282" i="3"/>
  <c r="R278" i="3"/>
  <c r="R234" i="3"/>
  <c r="R227" i="3"/>
  <c r="R226" i="3"/>
  <c r="R203" i="3"/>
  <c r="R198" i="3"/>
  <c r="R194" i="3"/>
  <c r="R190" i="3"/>
  <c r="R186" i="3"/>
  <c r="R182" i="3"/>
  <c r="R178" i="3"/>
  <c r="R174" i="3"/>
  <c r="R170" i="3"/>
  <c r="R166" i="3"/>
  <c r="R162" i="3"/>
  <c r="R158" i="3"/>
  <c r="R154" i="3"/>
  <c r="R150" i="3"/>
  <c r="R146" i="3"/>
  <c r="R142" i="3"/>
  <c r="R140" i="3"/>
  <c r="R319" i="3"/>
  <c r="R306" i="3"/>
  <c r="R305" i="3"/>
  <c r="R293" i="3"/>
  <c r="R289" i="3"/>
  <c r="R273" i="3"/>
  <c r="R258" i="3"/>
  <c r="R257" i="3"/>
  <c r="R249" i="3"/>
  <c r="R241" i="3"/>
  <c r="R221" i="3"/>
  <c r="R217" i="3"/>
  <c r="R202" i="3"/>
  <c r="R138" i="3"/>
  <c r="X12" i="3"/>
  <c r="Z12" i="3" s="1"/>
  <c r="R192" i="3"/>
  <c r="R168" i="3"/>
  <c r="R320" i="3"/>
  <c r="R284" i="3"/>
  <c r="R268" i="3"/>
  <c r="R228" i="3"/>
  <c r="R212" i="3"/>
  <c r="R208" i="3"/>
  <c r="R204" i="3"/>
  <c r="P200" i="3"/>
  <c r="R200" i="3" s="1"/>
  <c r="R321" i="3"/>
  <c r="R307" i="3"/>
  <c r="R300" i="3"/>
  <c r="R299" i="3"/>
  <c r="R279" i="3"/>
  <c r="R260" i="3"/>
  <c r="R259" i="3"/>
  <c r="R235" i="3"/>
  <c r="R195" i="3"/>
  <c r="R191" i="3"/>
  <c r="R187" i="3"/>
  <c r="R183" i="3"/>
  <c r="R179" i="3"/>
  <c r="R175" i="3"/>
  <c r="R171" i="3"/>
  <c r="R167" i="3"/>
  <c r="R163" i="3"/>
  <c r="R159" i="3"/>
  <c r="R155" i="3"/>
  <c r="R151" i="3"/>
  <c r="R147" i="3"/>
  <c r="R143" i="3"/>
  <c r="R139" i="3"/>
  <c r="R164" i="3"/>
  <c r="R156" i="3"/>
  <c r="R148" i="3"/>
  <c r="R144" i="3"/>
  <c r="R322" i="3"/>
  <c r="R310" i="3"/>
  <c r="R309" i="3"/>
  <c r="R294" i="3"/>
  <c r="R290" i="3"/>
  <c r="R274" i="3"/>
  <c r="R251" i="3"/>
  <c r="R250" i="3"/>
  <c r="R242" i="3"/>
  <c r="R222" i="3"/>
  <c r="R218" i="3"/>
  <c r="R196" i="3"/>
  <c r="R188" i="3"/>
  <c r="R184" i="3"/>
  <c r="R180" i="3"/>
  <c r="R176" i="3"/>
  <c r="R160" i="3"/>
  <c r="R152" i="3"/>
  <c r="R311" i="3"/>
  <c r="R302" i="3"/>
  <c r="R301" i="3"/>
  <c r="R286" i="3"/>
  <c r="R285" i="3"/>
  <c r="R269" i="3"/>
  <c r="R262" i="3"/>
  <c r="R261" i="3"/>
  <c r="R230" i="3"/>
  <c r="R229" i="3"/>
  <c r="R214" i="3"/>
  <c r="R213" i="3"/>
  <c r="R209" i="3"/>
  <c r="R205" i="3"/>
  <c r="R172" i="3"/>
  <c r="R312" i="3"/>
  <c r="R280" i="3"/>
  <c r="R252" i="3"/>
  <c r="R237" i="3"/>
  <c r="R236" i="3"/>
  <c r="R313" i="3"/>
  <c r="R303" i="3"/>
  <c r="R295" i="3"/>
  <c r="R291" i="3"/>
  <c r="R287" i="3"/>
  <c r="R276" i="3"/>
  <c r="R275" i="3"/>
  <c r="R264" i="3"/>
  <c r="R263" i="3"/>
  <c r="R244" i="3"/>
  <c r="R243" i="3"/>
  <c r="R232" i="3"/>
  <c r="R231" i="3"/>
  <c r="R223" i="3"/>
  <c r="R219" i="3"/>
  <c r="R215" i="3"/>
  <c r="R326" i="3"/>
  <c r="R314" i="3"/>
  <c r="R271" i="3"/>
  <c r="R270" i="3"/>
  <c r="R238" i="3"/>
  <c r="R210" i="3"/>
  <c r="R206" i="3"/>
  <c r="R317" i="3"/>
  <c r="R267" i="3"/>
  <c r="R256" i="3"/>
  <c r="R255" i="3"/>
  <c r="R248" i="3"/>
  <c r="R247" i="3"/>
  <c r="R240" i="3"/>
  <c r="R239" i="3"/>
  <c r="R211" i="3"/>
  <c r="R207" i="3"/>
  <c r="R272" i="3"/>
  <c r="R292" i="3"/>
  <c r="R277" i="3"/>
  <c r="R281" i="3"/>
  <c r="R265" i="3"/>
  <c r="R253" i="3"/>
  <c r="R246" i="3"/>
  <c r="R330" i="3"/>
  <c r="R288" i="3"/>
  <c r="R316" i="3"/>
  <c r="R233" i="3"/>
  <c r="R220" i="3"/>
  <c r="R266" i="3"/>
  <c r="R254" i="3"/>
  <c r="R216" i="3"/>
  <c r="R296" i="3"/>
  <c r="R197" i="3"/>
  <c r="R193" i="3"/>
  <c r="R189" i="3"/>
  <c r="R185" i="3"/>
  <c r="R181" i="3"/>
  <c r="R177" i="3"/>
  <c r="R173" i="3"/>
  <c r="R169" i="3"/>
  <c r="R165" i="3"/>
  <c r="R161" i="3"/>
  <c r="R157" i="3"/>
  <c r="R153" i="3"/>
  <c r="R149" i="3"/>
  <c r="R145" i="3"/>
  <c r="R141" i="3"/>
  <c r="R224" i="3"/>
  <c r="R245" i="3"/>
  <c r="R331" i="3"/>
  <c r="R315" i="3"/>
  <c r="R304" i="3"/>
  <c r="R297" i="3"/>
  <c r="R225" i="3"/>
  <c r="T27" i="40"/>
  <c r="Z18" i="40"/>
  <c r="X18" i="29"/>
  <c r="P27" i="29"/>
  <c r="J17" i="110"/>
  <c r="N23" i="108"/>
  <c r="H95" i="108"/>
  <c r="T69" i="105"/>
  <c r="N16" i="103"/>
  <c r="H63" i="103"/>
  <c r="T92" i="104"/>
  <c r="R91" i="102"/>
  <c r="R90" i="102"/>
  <c r="R66" i="102"/>
  <c r="R73" i="102"/>
  <c r="R57" i="102"/>
  <c r="R92" i="102"/>
  <c r="R95" i="102"/>
  <c r="R94" i="102"/>
  <c r="R67" i="102"/>
  <c r="R74" i="102"/>
  <c r="R59" i="102"/>
  <c r="R58" i="102"/>
  <c r="R86" i="102"/>
  <c r="R85" i="102"/>
  <c r="R81" i="102"/>
  <c r="R78" i="102"/>
  <c r="R77" i="102"/>
  <c r="R99" i="102"/>
  <c r="R83" i="102"/>
  <c r="R76" i="102"/>
  <c r="R64" i="102"/>
  <c r="R61" i="102"/>
  <c r="R39" i="102"/>
  <c r="R38" i="102"/>
  <c r="R34" i="102"/>
  <c r="R30" i="102"/>
  <c r="R55" i="102"/>
  <c r="R21" i="102"/>
  <c r="R88" i="102"/>
  <c r="R48" i="102"/>
  <c r="R44" i="102"/>
  <c r="R40" i="102"/>
  <c r="X12" i="102"/>
  <c r="Z12" i="102" s="1"/>
  <c r="R65" i="102"/>
  <c r="R35" i="102"/>
  <c r="R31" i="102"/>
  <c r="R84" i="102"/>
  <c r="R79" i="102"/>
  <c r="R71" i="102"/>
  <c r="R68" i="102"/>
  <c r="R56" i="102"/>
  <c r="R22" i="102"/>
  <c r="R62" i="102"/>
  <c r="R53" i="102"/>
  <c r="R49" i="102"/>
  <c r="R45" i="102"/>
  <c r="R41" i="102"/>
  <c r="R69" i="102"/>
  <c r="R50" i="102"/>
  <c r="R36" i="102"/>
  <c r="R32" i="102"/>
  <c r="R89" i="102"/>
  <c r="R82" i="102"/>
  <c r="R72" i="102"/>
  <c r="R63" i="102"/>
  <c r="R28" i="102"/>
  <c r="R23" i="102"/>
  <c r="R87" i="102"/>
  <c r="R80" i="102"/>
  <c r="R54" i="102"/>
  <c r="R46" i="102"/>
  <c r="R42" i="102"/>
  <c r="R27" i="102"/>
  <c r="R51" i="102"/>
  <c r="R37" i="102"/>
  <c r="R33" i="102"/>
  <c r="R29" i="102"/>
  <c r="P25" i="102"/>
  <c r="R75" i="102"/>
  <c r="R60" i="102"/>
  <c r="R52" i="102"/>
  <c r="R47" i="102"/>
  <c r="R20" i="102"/>
  <c r="R70" i="102"/>
  <c r="R43" i="102"/>
  <c r="D98" i="98"/>
  <c r="L23" i="98"/>
  <c r="N23" i="98" s="1"/>
  <c r="F20" i="99"/>
  <c r="H107" i="96"/>
  <c r="Z23" i="93"/>
  <c r="T90" i="93"/>
  <c r="V23" i="93"/>
  <c r="R23" i="93"/>
  <c r="R128" i="85"/>
  <c r="R118" i="85"/>
  <c r="R117" i="85"/>
  <c r="R113" i="85"/>
  <c r="R78" i="85"/>
  <c r="R77" i="85"/>
  <c r="R73" i="85"/>
  <c r="R69" i="85"/>
  <c r="R101" i="85"/>
  <c r="R100" i="85"/>
  <c r="R89" i="85"/>
  <c r="R88" i="85"/>
  <c r="R64" i="85"/>
  <c r="R60" i="85"/>
  <c r="R119" i="85"/>
  <c r="R108" i="85"/>
  <c r="R107" i="85"/>
  <c r="R80" i="85"/>
  <c r="R79" i="85"/>
  <c r="R51" i="85"/>
  <c r="R47" i="85"/>
  <c r="R43" i="85"/>
  <c r="R39" i="85"/>
  <c r="R132" i="85"/>
  <c r="R114" i="85"/>
  <c r="R102" i="85"/>
  <c r="R91" i="85"/>
  <c r="R90" i="85"/>
  <c r="R74" i="85"/>
  <c r="R70" i="85"/>
  <c r="R109" i="85"/>
  <c r="R81" i="85"/>
  <c r="R65" i="85"/>
  <c r="R61" i="85"/>
  <c r="R121" i="85"/>
  <c r="R120" i="85"/>
  <c r="R93" i="85"/>
  <c r="R92" i="85"/>
  <c r="R115" i="85"/>
  <c r="R104" i="85"/>
  <c r="R103" i="85"/>
  <c r="R75" i="85"/>
  <c r="R71" i="85"/>
  <c r="R56" i="85"/>
  <c r="R123" i="85"/>
  <c r="R122" i="85"/>
  <c r="R111" i="85"/>
  <c r="R110" i="85"/>
  <c r="R95" i="85"/>
  <c r="R94" i="85"/>
  <c r="R83" i="85"/>
  <c r="R82" i="85"/>
  <c r="R67" i="85"/>
  <c r="R66" i="85"/>
  <c r="R62" i="85"/>
  <c r="R58" i="85"/>
  <c r="P54" i="85"/>
  <c r="R105" i="85"/>
  <c r="R49" i="85"/>
  <c r="R45" i="85"/>
  <c r="R41" i="85"/>
  <c r="R37" i="85"/>
  <c r="R125" i="85"/>
  <c r="R124" i="85"/>
  <c r="R116" i="85"/>
  <c r="R112" i="85"/>
  <c r="R97" i="85"/>
  <c r="R96" i="85"/>
  <c r="R85" i="85"/>
  <c r="R84" i="85"/>
  <c r="R76" i="85"/>
  <c r="R72" i="85"/>
  <c r="R68" i="85"/>
  <c r="R44" i="85"/>
  <c r="R35" i="85"/>
  <c r="R57" i="85"/>
  <c r="R42" i="85"/>
  <c r="R38" i="85"/>
  <c r="R36" i="85"/>
  <c r="R98" i="85"/>
  <c r="R63" i="85"/>
  <c r="R52" i="85"/>
  <c r="R106" i="85"/>
  <c r="R86" i="85"/>
  <c r="R50" i="85"/>
  <c r="R126" i="85"/>
  <c r="R48" i="85"/>
  <c r="R87" i="85"/>
  <c r="R99" i="85"/>
  <c r="R59" i="85"/>
  <c r="R46" i="85"/>
  <c r="R40" i="85"/>
  <c r="X12" i="85"/>
  <c r="Z12" i="85" s="1"/>
  <c r="R22" i="88"/>
  <c r="L23" i="89"/>
  <c r="N23" i="89" s="1"/>
  <c r="D88" i="89"/>
  <c r="T103" i="84"/>
  <c r="H92" i="76"/>
  <c r="T93" i="73"/>
  <c r="V90" i="73"/>
  <c r="T79" i="70"/>
  <c r="Z22" i="70"/>
  <c r="X16" i="60"/>
  <c r="P61" i="60"/>
  <c r="N16" i="55"/>
  <c r="H33" i="55"/>
  <c r="H80" i="48"/>
  <c r="T134" i="42"/>
  <c r="V31" i="42"/>
  <c r="H272" i="15"/>
  <c r="R124" i="27"/>
  <c r="R115" i="27"/>
  <c r="R114" i="27"/>
  <c r="R117" i="27"/>
  <c r="R116" i="27"/>
  <c r="R118" i="27"/>
  <c r="R110" i="27"/>
  <c r="R122" i="27"/>
  <c r="R121" i="27"/>
  <c r="R86" i="27"/>
  <c r="R85" i="27"/>
  <c r="R81" i="27"/>
  <c r="R77" i="27"/>
  <c r="R42" i="27"/>
  <c r="R113" i="27"/>
  <c r="R102" i="27"/>
  <c r="R96" i="27"/>
  <c r="R72" i="27"/>
  <c r="R68" i="27"/>
  <c r="X12" i="27"/>
  <c r="Z12" i="27" s="1"/>
  <c r="R129" i="27"/>
  <c r="R125" i="27"/>
  <c r="R105" i="27"/>
  <c r="R88" i="27"/>
  <c r="R87" i="27"/>
  <c r="R64" i="27"/>
  <c r="R59" i="27"/>
  <c r="R55" i="27"/>
  <c r="R51" i="27"/>
  <c r="R47" i="27"/>
  <c r="R43" i="27"/>
  <c r="R106" i="27"/>
  <c r="R82" i="27"/>
  <c r="R78" i="27"/>
  <c r="R63" i="27"/>
  <c r="R103" i="27"/>
  <c r="R98" i="27"/>
  <c r="R97" i="27"/>
  <c r="R89" i="27"/>
  <c r="R73" i="27"/>
  <c r="R69" i="27"/>
  <c r="R65" i="27"/>
  <c r="P61" i="27"/>
  <c r="R61" i="27" s="1"/>
  <c r="R111" i="27"/>
  <c r="R109" i="27"/>
  <c r="R56" i="27"/>
  <c r="R52" i="27"/>
  <c r="R48" i="27"/>
  <c r="R44" i="27"/>
  <c r="R119" i="27"/>
  <c r="R83" i="27"/>
  <c r="R79" i="27"/>
  <c r="R123" i="27"/>
  <c r="R112" i="27"/>
  <c r="R107" i="27"/>
  <c r="R99" i="27"/>
  <c r="R91" i="27"/>
  <c r="R90" i="27"/>
  <c r="R75" i="27"/>
  <c r="R74" i="27"/>
  <c r="R70" i="27"/>
  <c r="R66" i="27"/>
  <c r="R100" i="27"/>
  <c r="R57" i="27"/>
  <c r="R53" i="27"/>
  <c r="R49" i="27"/>
  <c r="R45" i="27"/>
  <c r="R108" i="27"/>
  <c r="R101" i="27"/>
  <c r="R95" i="27"/>
  <c r="R94" i="27"/>
  <c r="R58" i="27"/>
  <c r="R54" i="27"/>
  <c r="R50" i="27"/>
  <c r="R46" i="27"/>
  <c r="R93" i="27"/>
  <c r="R76" i="27"/>
  <c r="R67" i="27"/>
  <c r="R80" i="27"/>
  <c r="R71" i="27"/>
  <c r="R84" i="27"/>
  <c r="R92" i="27"/>
  <c r="R104" i="27"/>
  <c r="T27" i="53"/>
  <c r="Z18" i="53"/>
  <c r="H27" i="53"/>
  <c r="N18" i="53"/>
  <c r="H27" i="44"/>
  <c r="N18" i="44"/>
  <c r="X18" i="47"/>
  <c r="P27" i="47"/>
  <c r="L18" i="44"/>
  <c r="D27" i="44"/>
  <c r="T27" i="43"/>
  <c r="Z18" i="43"/>
  <c r="Z18" i="41"/>
  <c r="T27" i="41"/>
  <c r="T27" i="28"/>
  <c r="Z18" i="28"/>
  <c r="T27" i="22"/>
  <c r="Z18" i="22"/>
  <c r="T27" i="16"/>
  <c r="Z18" i="16"/>
  <c r="T65" i="68"/>
  <c r="Z16" i="68"/>
  <c r="D118" i="21"/>
  <c r="L30" i="21"/>
  <c r="H27" i="19"/>
  <c r="N18" i="19"/>
  <c r="R60" i="105"/>
  <c r="R59" i="105"/>
  <c r="R52" i="105"/>
  <c r="R51" i="105"/>
  <c r="R61" i="105"/>
  <c r="R63" i="105"/>
  <c r="R67" i="105"/>
  <c r="R57" i="105"/>
  <c r="R46" i="105"/>
  <c r="R45" i="105"/>
  <c r="R41" i="105"/>
  <c r="R37" i="105"/>
  <c r="R18" i="105"/>
  <c r="R53" i="105"/>
  <c r="R32" i="105"/>
  <c r="R28" i="105"/>
  <c r="X12" i="105"/>
  <c r="Z12" i="105" s="1"/>
  <c r="R54" i="105"/>
  <c r="R48" i="105"/>
  <c r="R47" i="105"/>
  <c r="R19" i="105"/>
  <c r="R58" i="105"/>
  <c r="R42" i="105"/>
  <c r="R38" i="105"/>
  <c r="R49" i="105"/>
  <c r="R33" i="105"/>
  <c r="R29" i="105"/>
  <c r="R56" i="105"/>
  <c r="R43" i="105"/>
  <c r="R39" i="105"/>
  <c r="R35" i="105"/>
  <c r="R34" i="105"/>
  <c r="R30" i="105"/>
  <c r="R26" i="105"/>
  <c r="R50" i="105"/>
  <c r="R20" i="105"/>
  <c r="R31" i="105"/>
  <c r="P23" i="105"/>
  <c r="R55" i="105"/>
  <c r="R40" i="105"/>
  <c r="R21" i="105"/>
  <c r="R44" i="105"/>
  <c r="R36" i="105"/>
  <c r="R27" i="105"/>
  <c r="R25" i="105"/>
  <c r="X16" i="103"/>
  <c r="P63" i="103"/>
  <c r="T98" i="98"/>
  <c r="X17" i="100"/>
  <c r="P55" i="100"/>
  <c r="F100" i="96"/>
  <c r="P85" i="94"/>
  <c r="X23" i="94"/>
  <c r="H88" i="89"/>
  <c r="D84" i="81"/>
  <c r="L22" i="81"/>
  <c r="N22" i="81" s="1"/>
  <c r="J22" i="81"/>
  <c r="P92" i="76"/>
  <c r="X32" i="76"/>
  <c r="L54" i="74"/>
  <c r="D100" i="74"/>
  <c r="Z16" i="58"/>
  <c r="T77" i="58"/>
  <c r="H65" i="60"/>
  <c r="P78" i="57"/>
  <c r="X16" i="57"/>
  <c r="H127" i="27"/>
  <c r="H118" i="21"/>
  <c r="N30" i="21"/>
  <c r="F111" i="24"/>
  <c r="F110" i="24"/>
  <c r="F103" i="24"/>
  <c r="F99" i="24"/>
  <c r="F138" i="24"/>
  <c r="F137" i="24"/>
  <c r="F130" i="24"/>
  <c r="F129" i="24"/>
  <c r="F122" i="24"/>
  <c r="F121" i="24"/>
  <c r="F94" i="24"/>
  <c r="F90" i="24"/>
  <c r="F86" i="24"/>
  <c r="F85" i="24"/>
  <c r="F84" i="24"/>
  <c r="F77" i="24"/>
  <c r="F73" i="24"/>
  <c r="F69" i="24"/>
  <c r="F65" i="24"/>
  <c r="F61" i="24"/>
  <c r="F57" i="24"/>
  <c r="F56" i="24"/>
  <c r="F141" i="24"/>
  <c r="F112" i="24"/>
  <c r="F104" i="24"/>
  <c r="F100" i="24"/>
  <c r="F96" i="24"/>
  <c r="F95" i="24"/>
  <c r="D82" i="24"/>
  <c r="L12" i="24"/>
  <c r="N12" i="24" s="1"/>
  <c r="F140" i="24"/>
  <c r="F131" i="24"/>
  <c r="F123" i="24"/>
  <c r="F91" i="24"/>
  <c r="F87" i="24"/>
  <c r="F114" i="24"/>
  <c r="F113" i="24"/>
  <c r="F78" i="24"/>
  <c r="F74" i="24"/>
  <c r="F70" i="24"/>
  <c r="F66" i="24"/>
  <c r="F62" i="24"/>
  <c r="F58" i="24"/>
  <c r="F145" i="24"/>
  <c r="F125" i="24"/>
  <c r="F124" i="24"/>
  <c r="F105" i="24"/>
  <c r="F101" i="24"/>
  <c r="F97" i="24"/>
  <c r="F132" i="24"/>
  <c r="F116" i="24"/>
  <c r="F115" i="24"/>
  <c r="F92" i="24"/>
  <c r="F88" i="24"/>
  <c r="F107" i="24"/>
  <c r="F106" i="24"/>
  <c r="F79" i="24"/>
  <c r="F75" i="24"/>
  <c r="F71" i="24"/>
  <c r="F67" i="24"/>
  <c r="F63" i="24"/>
  <c r="F59" i="24"/>
  <c r="F136" i="24"/>
  <c r="F135" i="24"/>
  <c r="F128" i="24"/>
  <c r="F127" i="24"/>
  <c r="F120" i="24"/>
  <c r="F119" i="24"/>
  <c r="F80" i="24"/>
  <c r="F76" i="24"/>
  <c r="F72" i="24"/>
  <c r="F68" i="24"/>
  <c r="F64" i="24"/>
  <c r="F60" i="24"/>
  <c r="F98" i="24"/>
  <c r="F109" i="24"/>
  <c r="F102" i="24"/>
  <c r="F89" i="24"/>
  <c r="F93" i="24"/>
  <c r="F134" i="24"/>
  <c r="F118" i="24"/>
  <c r="F126" i="24"/>
  <c r="F108" i="24"/>
  <c r="F133" i="24"/>
  <c r="F117" i="24"/>
  <c r="H27" i="111"/>
  <c r="N18" i="111"/>
  <c r="L18" i="111"/>
  <c r="D27" i="111"/>
  <c r="H27" i="113"/>
  <c r="N18" i="113"/>
  <c r="T27" i="49"/>
  <c r="Z18" i="49"/>
  <c r="P27" i="46"/>
  <c r="X18" i="46"/>
  <c r="P27" i="44"/>
  <c r="X18" i="44"/>
  <c r="L18" i="40"/>
  <c r="D27" i="40"/>
  <c r="L18" i="34"/>
  <c r="D27" i="34"/>
  <c r="H27" i="28"/>
  <c r="N18" i="28"/>
  <c r="H27" i="25"/>
  <c r="N18" i="25"/>
  <c r="D27" i="28"/>
  <c r="L18" i="28"/>
  <c r="H27" i="17"/>
  <c r="N18" i="17"/>
  <c r="T27" i="20"/>
  <c r="Z18" i="20"/>
  <c r="L18" i="16"/>
  <c r="D27" i="16"/>
  <c r="H27" i="11"/>
  <c r="N18" i="11"/>
  <c r="H27" i="7"/>
  <c r="N18" i="7"/>
  <c r="P27" i="4"/>
  <c r="X18" i="4"/>
  <c r="F44" i="101"/>
  <c r="F40" i="101"/>
  <c r="F36" i="101"/>
  <c r="F35" i="101"/>
  <c r="F75" i="101"/>
  <c r="F63" i="101"/>
  <c r="F55" i="101"/>
  <c r="F54" i="101"/>
  <c r="F31" i="101"/>
  <c r="F27" i="101"/>
  <c r="F26" i="101"/>
  <c r="F70" i="101"/>
  <c r="F25" i="101"/>
  <c r="F23" i="101"/>
  <c r="F78" i="101"/>
  <c r="F57" i="101"/>
  <c r="F56" i="101"/>
  <c r="F77" i="101"/>
  <c r="F64" i="101"/>
  <c r="F32" i="101"/>
  <c r="F28" i="101"/>
  <c r="L12" i="101"/>
  <c r="N12" i="101" s="1"/>
  <c r="F71" i="101"/>
  <c r="F59" i="101"/>
  <c r="F58" i="101"/>
  <c r="F47" i="101"/>
  <c r="F46" i="101"/>
  <c r="F19" i="101"/>
  <c r="F18" i="101"/>
  <c r="F49" i="101"/>
  <c r="F48" i="101"/>
  <c r="F33" i="101"/>
  <c r="F29" i="101"/>
  <c r="F72" i="101"/>
  <c r="F68" i="101"/>
  <c r="F67" i="101"/>
  <c r="F60" i="101"/>
  <c r="F20" i="101"/>
  <c r="F74" i="101"/>
  <c r="F73" i="101"/>
  <c r="F62" i="101"/>
  <c r="F61" i="101"/>
  <c r="F42" i="101"/>
  <c r="F30" i="101"/>
  <c r="F66" i="101"/>
  <c r="F38" i="101"/>
  <c r="F52" i="101"/>
  <c r="F21" i="101"/>
  <c r="F50" i="101"/>
  <c r="F53" i="101"/>
  <c r="F43" i="101"/>
  <c r="F69" i="101"/>
  <c r="F65" i="101"/>
  <c r="F45" i="101"/>
  <c r="F39" i="101"/>
  <c r="F82" i="101"/>
  <c r="F51" i="101"/>
  <c r="F41" i="101"/>
  <c r="F34" i="101"/>
  <c r="D23" i="101"/>
  <c r="F37" i="101"/>
  <c r="T110" i="96"/>
  <c r="X168" i="12"/>
  <c r="P285" i="12"/>
  <c r="T80" i="110"/>
  <c r="Z23" i="106"/>
  <c r="T93" i="106"/>
  <c r="V23" i="104"/>
  <c r="T63" i="103"/>
  <c r="Z16" i="103"/>
  <c r="F67" i="105"/>
  <c r="F57" i="105"/>
  <c r="F61" i="105"/>
  <c r="F60" i="105"/>
  <c r="F53" i="105"/>
  <c r="F52" i="105"/>
  <c r="F59" i="105"/>
  <c r="F56" i="105"/>
  <c r="F51" i="105"/>
  <c r="F34" i="105"/>
  <c r="F30" i="105"/>
  <c r="F72" i="105"/>
  <c r="F63" i="105"/>
  <c r="F21" i="105"/>
  <c r="F44" i="105"/>
  <c r="F40" i="105"/>
  <c r="F36" i="105"/>
  <c r="F35" i="105"/>
  <c r="F31" i="105"/>
  <c r="F27" i="105"/>
  <c r="F26" i="105"/>
  <c r="F25" i="105"/>
  <c r="F23" i="105"/>
  <c r="F45" i="105"/>
  <c r="F41" i="105"/>
  <c r="F37" i="105"/>
  <c r="D23" i="105"/>
  <c r="F69" i="105"/>
  <c r="F58" i="105"/>
  <c r="F47" i="105"/>
  <c r="F46" i="105"/>
  <c r="F19" i="105"/>
  <c r="F18" i="105"/>
  <c r="F54" i="105"/>
  <c r="F42" i="105"/>
  <c r="F38" i="105"/>
  <c r="F32" i="105"/>
  <c r="F49" i="105"/>
  <c r="F28" i="105"/>
  <c r="F43" i="105"/>
  <c r="F29" i="105"/>
  <c r="F48" i="105"/>
  <c r="L12" i="105"/>
  <c r="N12" i="105" s="1"/>
  <c r="F65" i="105"/>
  <c r="F50" i="105"/>
  <c r="F33" i="105"/>
  <c r="F20" i="105"/>
  <c r="F39" i="105"/>
  <c r="F55" i="105"/>
  <c r="X20" i="99"/>
  <c r="P53" i="99"/>
  <c r="Z20" i="99"/>
  <c r="T53" i="99"/>
  <c r="D96" i="92"/>
  <c r="L16" i="92"/>
  <c r="H36" i="86"/>
  <c r="H104" i="88"/>
  <c r="J54" i="75"/>
  <c r="Z27" i="79"/>
  <c r="V27" i="79"/>
  <c r="T74" i="79"/>
  <c r="R58" i="73"/>
  <c r="R57" i="73"/>
  <c r="R81" i="73"/>
  <c r="R80" i="73"/>
  <c r="R68" i="73"/>
  <c r="R48" i="73"/>
  <c r="R44" i="73"/>
  <c r="R40" i="73"/>
  <c r="R21" i="73"/>
  <c r="R75" i="73"/>
  <c r="R60" i="73"/>
  <c r="R59" i="73"/>
  <c r="R35" i="73"/>
  <c r="R31" i="73"/>
  <c r="R82" i="73"/>
  <c r="R22" i="73"/>
  <c r="R84" i="73"/>
  <c r="R70" i="73"/>
  <c r="R69" i="73"/>
  <c r="R62" i="73"/>
  <c r="R61" i="73"/>
  <c r="R50" i="73"/>
  <c r="R49" i="73"/>
  <c r="R45" i="73"/>
  <c r="R41" i="73"/>
  <c r="R76" i="73"/>
  <c r="R36" i="73"/>
  <c r="R32" i="73"/>
  <c r="R88" i="73"/>
  <c r="R46" i="73"/>
  <c r="R42" i="73"/>
  <c r="R77" i="73"/>
  <c r="R73" i="73"/>
  <c r="R66" i="73"/>
  <c r="R65" i="73"/>
  <c r="R54" i="73"/>
  <c r="R53" i="73"/>
  <c r="R37" i="73"/>
  <c r="R33" i="73"/>
  <c r="R29" i="73"/>
  <c r="R24" i="73"/>
  <c r="R63" i="73"/>
  <c r="R23" i="73"/>
  <c r="P26" i="73"/>
  <c r="R26" i="73" s="1"/>
  <c r="R79" i="73"/>
  <c r="R56" i="73"/>
  <c r="R64" i="73"/>
  <c r="R30" i="73"/>
  <c r="R51" i="73"/>
  <c r="R34" i="73"/>
  <c r="R28" i="73"/>
  <c r="R52" i="73"/>
  <c r="R47" i="73"/>
  <c r="R38" i="73"/>
  <c r="R71" i="73"/>
  <c r="R67" i="73"/>
  <c r="R55" i="73"/>
  <c r="R43" i="73"/>
  <c r="R39" i="73"/>
  <c r="X12" i="73"/>
  <c r="Z12" i="73" s="1"/>
  <c r="R74" i="73"/>
  <c r="R72" i="73"/>
  <c r="R78" i="73"/>
  <c r="L26" i="73"/>
  <c r="N26" i="73" s="1"/>
  <c r="D86" i="73"/>
  <c r="F26" i="73"/>
  <c r="R115" i="69"/>
  <c r="R114" i="69"/>
  <c r="R70" i="69"/>
  <c r="R66" i="69"/>
  <c r="R62" i="69"/>
  <c r="R58" i="69"/>
  <c r="R54" i="69"/>
  <c r="R122" i="69"/>
  <c r="R121" i="69"/>
  <c r="R106" i="69"/>
  <c r="R105" i="69"/>
  <c r="R116" i="69"/>
  <c r="R84" i="69"/>
  <c r="R80" i="69"/>
  <c r="R124" i="69"/>
  <c r="R123" i="69"/>
  <c r="R108" i="69"/>
  <c r="R107" i="69"/>
  <c r="R71" i="69"/>
  <c r="R67" i="69"/>
  <c r="R63" i="69"/>
  <c r="R59" i="69"/>
  <c r="R55" i="69"/>
  <c r="R99" i="69"/>
  <c r="R98" i="69"/>
  <c r="R94" i="69"/>
  <c r="R90" i="69"/>
  <c r="R128" i="69"/>
  <c r="R127" i="69"/>
  <c r="R101" i="69"/>
  <c r="R100" i="69"/>
  <c r="R72" i="69"/>
  <c r="R68" i="69"/>
  <c r="R64" i="69"/>
  <c r="R60" i="69"/>
  <c r="R56" i="69"/>
  <c r="R119" i="69"/>
  <c r="R112" i="69"/>
  <c r="R111" i="69"/>
  <c r="R95" i="69"/>
  <c r="R91" i="69"/>
  <c r="R52" i="69"/>
  <c r="R103" i="69"/>
  <c r="R102" i="69"/>
  <c r="R86" i="69"/>
  <c r="R82" i="69"/>
  <c r="R113" i="69"/>
  <c r="R78" i="69"/>
  <c r="R73" i="69"/>
  <c r="R69" i="69"/>
  <c r="R65" i="69"/>
  <c r="R61" i="69"/>
  <c r="R57" i="69"/>
  <c r="R53" i="69"/>
  <c r="R104" i="69"/>
  <c r="R89" i="69"/>
  <c r="R81" i="69"/>
  <c r="R85" i="69"/>
  <c r="R96" i="69"/>
  <c r="R79" i="69"/>
  <c r="R77" i="69"/>
  <c r="R87" i="69"/>
  <c r="R83" i="69"/>
  <c r="R125" i="69"/>
  <c r="R92" i="69"/>
  <c r="R117" i="69"/>
  <c r="R88" i="69"/>
  <c r="X12" i="69"/>
  <c r="Z12" i="69" s="1"/>
  <c r="R109" i="69"/>
  <c r="R132" i="69"/>
  <c r="R97" i="69"/>
  <c r="P75" i="69"/>
  <c r="R93" i="69"/>
  <c r="R118" i="69"/>
  <c r="R120" i="69"/>
  <c r="R110" i="69"/>
  <c r="P108" i="64"/>
  <c r="X16" i="64"/>
  <c r="L16" i="61"/>
  <c r="D62" i="61"/>
  <c r="P26" i="54"/>
  <c r="R103" i="33"/>
  <c r="R88" i="33"/>
  <c r="R87" i="33"/>
  <c r="R80" i="33"/>
  <c r="R79" i="33"/>
  <c r="R44" i="33"/>
  <c r="R39" i="33"/>
  <c r="R35" i="33"/>
  <c r="R104" i="33"/>
  <c r="R71" i="33"/>
  <c r="R70" i="33"/>
  <c r="R62" i="33"/>
  <c r="R58" i="33"/>
  <c r="R43" i="33"/>
  <c r="R41" i="33"/>
  <c r="R105" i="33"/>
  <c r="R94" i="33"/>
  <c r="R93" i="33"/>
  <c r="R89" i="33"/>
  <c r="R82" i="33"/>
  <c r="R81" i="33"/>
  <c r="R54" i="33"/>
  <c r="R53" i="33"/>
  <c r="R49" i="33"/>
  <c r="R45" i="33"/>
  <c r="P41" i="33"/>
  <c r="R106" i="33"/>
  <c r="R73" i="33"/>
  <c r="R72" i="33"/>
  <c r="R36" i="33"/>
  <c r="R107" i="33"/>
  <c r="R95" i="33"/>
  <c r="R83" i="33"/>
  <c r="R63" i="33"/>
  <c r="R59" i="33"/>
  <c r="R55" i="33"/>
  <c r="R90" i="33"/>
  <c r="R75" i="33"/>
  <c r="R74" i="33"/>
  <c r="R50" i="33"/>
  <c r="R46" i="33"/>
  <c r="X12" i="33"/>
  <c r="Z12" i="33" s="1"/>
  <c r="R37" i="33"/>
  <c r="R97" i="33"/>
  <c r="R96" i="33"/>
  <c r="R85" i="33"/>
  <c r="R84" i="33"/>
  <c r="R76" i="33"/>
  <c r="R65" i="33"/>
  <c r="R64" i="33"/>
  <c r="R60" i="33"/>
  <c r="R56" i="33"/>
  <c r="R33" i="33"/>
  <c r="R111" i="33"/>
  <c r="R91" i="33"/>
  <c r="R51" i="33"/>
  <c r="R47" i="33"/>
  <c r="R102" i="33"/>
  <c r="R92" i="33"/>
  <c r="R69" i="33"/>
  <c r="R68" i="33"/>
  <c r="R52" i="33"/>
  <c r="R48" i="33"/>
  <c r="R86" i="33"/>
  <c r="R77" i="33"/>
  <c r="R34" i="33"/>
  <c r="R38" i="33"/>
  <c r="R100" i="33"/>
  <c r="R78" i="33"/>
  <c r="R66" i="33"/>
  <c r="R101" i="33"/>
  <c r="R67" i="33"/>
  <c r="R61" i="33"/>
  <c r="R57" i="33"/>
  <c r="R98" i="33"/>
  <c r="R153" i="30"/>
  <c r="R152" i="30"/>
  <c r="R137" i="30"/>
  <c r="R125" i="30"/>
  <c r="R118" i="30"/>
  <c r="R117" i="30"/>
  <c r="R98" i="30"/>
  <c r="R97" i="30"/>
  <c r="R82" i="30"/>
  <c r="R81" i="30"/>
  <c r="R77" i="30"/>
  <c r="R73" i="30"/>
  <c r="P69" i="30"/>
  <c r="R154" i="30"/>
  <c r="R132" i="30"/>
  <c r="R108" i="30"/>
  <c r="R64" i="30"/>
  <c r="R60" i="30"/>
  <c r="R56" i="30"/>
  <c r="R52" i="30"/>
  <c r="R48" i="30"/>
  <c r="R155" i="30"/>
  <c r="R144" i="30"/>
  <c r="R143" i="30"/>
  <c r="R120" i="30"/>
  <c r="R119" i="30"/>
  <c r="R100" i="30"/>
  <c r="R99" i="30"/>
  <c r="R91" i="30"/>
  <c r="R87" i="30"/>
  <c r="R83" i="30"/>
  <c r="R44" i="30"/>
  <c r="R138" i="30"/>
  <c r="R127" i="30"/>
  <c r="R126" i="30"/>
  <c r="R78" i="30"/>
  <c r="R74" i="30"/>
  <c r="R146" i="30"/>
  <c r="R145" i="30"/>
  <c r="R134" i="30"/>
  <c r="R133" i="30"/>
  <c r="R121" i="30"/>
  <c r="R110" i="30"/>
  <c r="R109" i="30"/>
  <c r="R101" i="30"/>
  <c r="R65" i="30"/>
  <c r="R61" i="30"/>
  <c r="R57" i="30"/>
  <c r="R53" i="30"/>
  <c r="R49" i="30"/>
  <c r="R45" i="30"/>
  <c r="R128" i="30"/>
  <c r="R93" i="30"/>
  <c r="R92" i="30"/>
  <c r="R88" i="30"/>
  <c r="R84" i="30"/>
  <c r="X12" i="30"/>
  <c r="Z12" i="30" s="1"/>
  <c r="R123" i="30"/>
  <c r="R122" i="30"/>
  <c r="R103" i="30"/>
  <c r="R102" i="30"/>
  <c r="R95" i="30"/>
  <c r="R94" i="30"/>
  <c r="R66" i="30"/>
  <c r="R62" i="30"/>
  <c r="R58" i="30"/>
  <c r="R54" i="30"/>
  <c r="R50" i="30"/>
  <c r="R46" i="30"/>
  <c r="R129" i="30"/>
  <c r="R114" i="30"/>
  <c r="R113" i="30"/>
  <c r="R89" i="30"/>
  <c r="R85" i="30"/>
  <c r="R150" i="30"/>
  <c r="R142" i="30"/>
  <c r="R131" i="30"/>
  <c r="R130" i="30"/>
  <c r="R107" i="30"/>
  <c r="R106" i="30"/>
  <c r="R90" i="30"/>
  <c r="R86" i="30"/>
  <c r="R71" i="30"/>
  <c r="R69" i="30"/>
  <c r="R149" i="30"/>
  <c r="R135" i="30"/>
  <c r="R159" i="30"/>
  <c r="R147" i="30"/>
  <c r="R141" i="30"/>
  <c r="R139" i="30"/>
  <c r="R116" i="30"/>
  <c r="R72" i="30"/>
  <c r="R124" i="30"/>
  <c r="R76" i="30"/>
  <c r="R112" i="30"/>
  <c r="R80" i="30"/>
  <c r="R104" i="30"/>
  <c r="R96" i="30"/>
  <c r="R148" i="30"/>
  <c r="R136" i="30"/>
  <c r="R75" i="30"/>
  <c r="R67" i="30"/>
  <c r="R63" i="30"/>
  <c r="R59" i="30"/>
  <c r="R55" i="30"/>
  <c r="R51" i="30"/>
  <c r="R47" i="30"/>
  <c r="R140" i="30"/>
  <c r="R79" i="30"/>
  <c r="R111" i="30"/>
  <c r="R105" i="30"/>
  <c r="R115" i="30"/>
  <c r="T118" i="21"/>
  <c r="V30" i="21"/>
  <c r="H324" i="3"/>
  <c r="H285" i="12"/>
  <c r="F283" i="12"/>
  <c r="F270" i="12"/>
  <c r="F258" i="12"/>
  <c r="F254" i="12"/>
  <c r="F238" i="12"/>
  <c r="F237" i="12"/>
  <c r="F210" i="12"/>
  <c r="F190" i="12"/>
  <c r="F186" i="12"/>
  <c r="F233" i="12"/>
  <c r="F232" i="12"/>
  <c r="F221" i="12"/>
  <c r="F220" i="12"/>
  <c r="F197" i="12"/>
  <c r="F181" i="12"/>
  <c r="F177" i="12"/>
  <c r="F173" i="12"/>
  <c r="F272" i="12"/>
  <c r="F271" i="12"/>
  <c r="F264" i="12"/>
  <c r="F248" i="12"/>
  <c r="F244" i="12"/>
  <c r="F212" i="12"/>
  <c r="F211" i="12"/>
  <c r="F204" i="12"/>
  <c r="F164" i="12"/>
  <c r="F160" i="12"/>
  <c r="F156" i="12"/>
  <c r="F152" i="12"/>
  <c r="F148" i="12"/>
  <c r="F144" i="12"/>
  <c r="F287" i="12"/>
  <c r="F259" i="12"/>
  <c r="F255" i="12"/>
  <c r="F239" i="12"/>
  <c r="F223" i="12"/>
  <c r="F222" i="12"/>
  <c r="F199" i="12"/>
  <c r="F198" i="12"/>
  <c r="F191" i="12"/>
  <c r="F187" i="12"/>
  <c r="F183" i="12"/>
  <c r="F182" i="12"/>
  <c r="F275" i="12"/>
  <c r="F266" i="12"/>
  <c r="F265" i="12"/>
  <c r="F250" i="12"/>
  <c r="F249" i="12"/>
  <c r="F234" i="12"/>
  <c r="F214" i="12"/>
  <c r="F213" i="12"/>
  <c r="F206" i="12"/>
  <c r="F205" i="12"/>
  <c r="F178" i="12"/>
  <c r="F174" i="12"/>
  <c r="F276" i="12"/>
  <c r="F274" i="12"/>
  <c r="F245" i="12"/>
  <c r="F225" i="12"/>
  <c r="F224" i="12"/>
  <c r="F201" i="12"/>
  <c r="F200" i="12"/>
  <c r="F165" i="12"/>
  <c r="F161" i="12"/>
  <c r="F157" i="12"/>
  <c r="F278" i="12"/>
  <c r="F251" i="12"/>
  <c r="F235" i="12"/>
  <c r="F227" i="12"/>
  <c r="F226" i="12"/>
  <c r="F207" i="12"/>
  <c r="F179" i="12"/>
  <c r="F175" i="12"/>
  <c r="F279" i="12"/>
  <c r="F246" i="12"/>
  <c r="F202" i="12"/>
  <c r="F194" i="12"/>
  <c r="F193" i="12"/>
  <c r="F166" i="12"/>
  <c r="F162" i="12"/>
  <c r="F158" i="12"/>
  <c r="F154" i="12"/>
  <c r="F150" i="12"/>
  <c r="F146" i="12"/>
  <c r="F142" i="12"/>
  <c r="F138" i="12"/>
  <c r="F282" i="12"/>
  <c r="F263" i="12"/>
  <c r="F262" i="12"/>
  <c r="F247" i="12"/>
  <c r="F243" i="12"/>
  <c r="F242" i="12"/>
  <c r="F231" i="12"/>
  <c r="F230" i="12"/>
  <c r="F219" i="12"/>
  <c r="F218" i="12"/>
  <c r="F203" i="12"/>
  <c r="F170" i="12"/>
  <c r="F163" i="12"/>
  <c r="F256" i="12"/>
  <c r="F192" i="12"/>
  <c r="F185" i="12"/>
  <c r="F151" i="12"/>
  <c r="F143" i="12"/>
  <c r="F241" i="12"/>
  <c r="F229" i="12"/>
  <c r="F196" i="12"/>
  <c r="F159" i="12"/>
  <c r="F128" i="12"/>
  <c r="F124" i="12"/>
  <c r="F120" i="12"/>
  <c r="F116" i="12"/>
  <c r="F208" i="12"/>
  <c r="F135" i="12"/>
  <c r="F268" i="12"/>
  <c r="F253" i="12"/>
  <c r="F189" i="12"/>
  <c r="F171" i="12"/>
  <c r="F149" i="12"/>
  <c r="F141" i="12"/>
  <c r="F132" i="12"/>
  <c r="F281" i="12"/>
  <c r="F260" i="12"/>
  <c r="F217" i="12"/>
  <c r="F129" i="12"/>
  <c r="F125" i="12"/>
  <c r="F121" i="12"/>
  <c r="F117" i="12"/>
  <c r="F277" i="12"/>
  <c r="D168" i="12"/>
  <c r="F168" i="12" s="1"/>
  <c r="F257" i="12"/>
  <c r="F215" i="12"/>
  <c r="F209" i="12"/>
  <c r="F184" i="12"/>
  <c r="F155" i="12"/>
  <c r="F147" i="12"/>
  <c r="F136" i="12"/>
  <c r="F133" i="12"/>
  <c r="F240" i="12"/>
  <c r="F195" i="12"/>
  <c r="F139" i="12"/>
  <c r="F130" i="12"/>
  <c r="F126" i="12"/>
  <c r="F122" i="12"/>
  <c r="F118" i="12"/>
  <c r="F114" i="12"/>
  <c r="F113" i="12"/>
  <c r="F180" i="12"/>
  <c r="F267" i="12"/>
  <c r="F252" i="12"/>
  <c r="F140" i="12"/>
  <c r="F131" i="12"/>
  <c r="L12" i="12"/>
  <c r="N12" i="12" s="1"/>
  <c r="F145" i="12"/>
  <c r="F216" i="12"/>
  <c r="F261" i="12"/>
  <c r="F236" i="12"/>
  <c r="F172" i="12"/>
  <c r="F134" i="12"/>
  <c r="F280" i="12"/>
  <c r="F228" i="12"/>
  <c r="F153" i="12"/>
  <c r="F127" i="12"/>
  <c r="F123" i="12"/>
  <c r="F119" i="12"/>
  <c r="F115" i="12"/>
  <c r="F176" i="12"/>
  <c r="F188" i="12"/>
  <c r="F137" i="12"/>
  <c r="F269" i="12"/>
  <c r="L18" i="112"/>
  <c r="D27" i="112"/>
  <c r="P27" i="111"/>
  <c r="X18" i="111"/>
  <c r="T27" i="31"/>
  <c r="Z18" i="31"/>
  <c r="T27" i="26"/>
  <c r="Z18" i="26"/>
  <c r="X18" i="22"/>
  <c r="P27" i="22"/>
  <c r="T27" i="25"/>
  <c r="Z18" i="25"/>
  <c r="H27" i="23"/>
  <c r="N18" i="23"/>
  <c r="H27" i="26"/>
  <c r="N18" i="26"/>
  <c r="L18" i="17"/>
  <c r="D27" i="17"/>
  <c r="H27" i="10"/>
  <c r="N18" i="10"/>
  <c r="H27" i="4"/>
  <c r="N18" i="4"/>
  <c r="X16" i="6"/>
  <c r="P22" i="6"/>
  <c r="H27" i="43"/>
  <c r="N18" i="43"/>
  <c r="H97" i="106"/>
  <c r="D63" i="103"/>
  <c r="L16" i="103"/>
  <c r="H97" i="102"/>
  <c r="X23" i="104"/>
  <c r="Z23" i="104" s="1"/>
  <c r="T55" i="100"/>
  <c r="Z17" i="100"/>
  <c r="P96" i="84"/>
  <c r="X22" i="84"/>
  <c r="Z22" i="84" s="1"/>
  <c r="H96" i="92"/>
  <c r="N16" i="92"/>
  <c r="H134" i="85"/>
  <c r="H35" i="83"/>
  <c r="R22" i="81"/>
  <c r="F104" i="71"/>
  <c r="F96" i="71"/>
  <c r="F95" i="71"/>
  <c r="F72" i="71"/>
  <c r="F68" i="71"/>
  <c r="L12" i="71"/>
  <c r="N12" i="71" s="1"/>
  <c r="F119" i="71"/>
  <c r="F111" i="71"/>
  <c r="F87" i="71"/>
  <c r="F86" i="71"/>
  <c r="F59" i="71"/>
  <c r="F55" i="71"/>
  <c r="F51" i="71"/>
  <c r="F47" i="71"/>
  <c r="F82" i="71"/>
  <c r="F78" i="71"/>
  <c r="F122" i="71"/>
  <c r="F113" i="71"/>
  <c r="F112" i="71"/>
  <c r="F123" i="71"/>
  <c r="F121" i="71"/>
  <c r="F63" i="71"/>
  <c r="F56" i="71"/>
  <c r="F52" i="71"/>
  <c r="F48" i="71"/>
  <c r="F44" i="71"/>
  <c r="F116" i="71"/>
  <c r="F115" i="71"/>
  <c r="F92" i="71"/>
  <c r="F91" i="71"/>
  <c r="F84" i="71"/>
  <c r="F80" i="71"/>
  <c r="F76" i="71"/>
  <c r="F75" i="71"/>
  <c r="F129" i="71"/>
  <c r="F103" i="71"/>
  <c r="F102" i="71"/>
  <c r="F71" i="71"/>
  <c r="F109" i="71"/>
  <c r="F66" i="71"/>
  <c r="F125" i="71"/>
  <c r="F93" i="71"/>
  <c r="F90" i="71"/>
  <c r="F53" i="71"/>
  <c r="F45" i="71"/>
  <c r="F99" i="71"/>
  <c r="F42" i="71"/>
  <c r="F114" i="71"/>
  <c r="F107" i="71"/>
  <c r="F73" i="71"/>
  <c r="F43" i="71"/>
  <c r="F117" i="71"/>
  <c r="F69" i="71"/>
  <c r="F88" i="71"/>
  <c r="F105" i="71"/>
  <c r="F94" i="71"/>
  <c r="F85" i="71"/>
  <c r="F83" i="71"/>
  <c r="F65" i="71"/>
  <c r="F110" i="71"/>
  <c r="F100" i="71"/>
  <c r="F89" i="71"/>
  <c r="F57" i="71"/>
  <c r="F49" i="71"/>
  <c r="F97" i="71"/>
  <c r="F124" i="71"/>
  <c r="F118" i="71"/>
  <c r="F108" i="71"/>
  <c r="F81" i="71"/>
  <c r="F79" i="71"/>
  <c r="F74" i="71"/>
  <c r="D61" i="71"/>
  <c r="F101" i="71"/>
  <c r="F77" i="71"/>
  <c r="F70" i="71"/>
  <c r="F64" i="71"/>
  <c r="F46" i="71"/>
  <c r="F50" i="71"/>
  <c r="F54" i="71"/>
  <c r="F106" i="71"/>
  <c r="F67" i="71"/>
  <c r="F58" i="71"/>
  <c r="F98" i="71"/>
  <c r="J75" i="69"/>
  <c r="H78" i="59"/>
  <c r="H82" i="57"/>
  <c r="D76" i="48"/>
  <c r="L17" i="48"/>
  <c r="N17" i="48" s="1"/>
  <c r="X25" i="45"/>
  <c r="P104" i="45"/>
  <c r="F17" i="48"/>
  <c r="R132" i="36"/>
  <c r="R125" i="36"/>
  <c r="R124" i="36"/>
  <c r="R104" i="36"/>
  <c r="R73" i="36"/>
  <c r="R72" i="36"/>
  <c r="R135" i="36"/>
  <c r="R134" i="36"/>
  <c r="R119" i="36"/>
  <c r="R115" i="36"/>
  <c r="R99" i="36"/>
  <c r="R84" i="36"/>
  <c r="R83" i="36"/>
  <c r="R137" i="36"/>
  <c r="R105" i="36"/>
  <c r="R86" i="36"/>
  <c r="R85" i="36"/>
  <c r="R138" i="36"/>
  <c r="R128" i="36"/>
  <c r="R120" i="36"/>
  <c r="R116" i="36"/>
  <c r="R112" i="36"/>
  <c r="R100" i="36"/>
  <c r="R77" i="36"/>
  <c r="R76" i="36"/>
  <c r="R61" i="36"/>
  <c r="R60" i="36"/>
  <c r="R95" i="36"/>
  <c r="R88" i="36"/>
  <c r="R87" i="36"/>
  <c r="R68" i="36"/>
  <c r="R67" i="36"/>
  <c r="R106" i="36"/>
  <c r="R129" i="36"/>
  <c r="R122" i="36"/>
  <c r="R121" i="36"/>
  <c r="R117" i="36"/>
  <c r="R113" i="36"/>
  <c r="R102" i="36"/>
  <c r="R101" i="36"/>
  <c r="R90" i="36"/>
  <c r="R89" i="36"/>
  <c r="R70" i="36"/>
  <c r="R69" i="36"/>
  <c r="R142" i="36"/>
  <c r="R97" i="36"/>
  <c r="R96" i="36"/>
  <c r="R123" i="36"/>
  <c r="R108" i="36"/>
  <c r="R107" i="36"/>
  <c r="R103" i="36"/>
  <c r="R92" i="36"/>
  <c r="R91" i="36"/>
  <c r="R71" i="36"/>
  <c r="R109" i="36"/>
  <c r="R93" i="36"/>
  <c r="R82" i="36"/>
  <c r="R81" i="36"/>
  <c r="R65" i="36"/>
  <c r="R58" i="36"/>
  <c r="R57" i="36"/>
  <c r="R127" i="36"/>
  <c r="R110" i="36"/>
  <c r="R80" i="36"/>
  <c r="R27" i="36"/>
  <c r="R54" i="36"/>
  <c r="R50" i="36"/>
  <c r="R46" i="36"/>
  <c r="R131" i="36"/>
  <c r="R62" i="36"/>
  <c r="R41" i="36"/>
  <c r="R37" i="36"/>
  <c r="R78" i="36"/>
  <c r="R59" i="36"/>
  <c r="R28" i="36"/>
  <c r="R114" i="36"/>
  <c r="R56" i="36"/>
  <c r="R55" i="36"/>
  <c r="R51" i="36"/>
  <c r="R47" i="36"/>
  <c r="R63" i="36"/>
  <c r="R42" i="36"/>
  <c r="R38" i="36"/>
  <c r="R126" i="36"/>
  <c r="R111" i="36"/>
  <c r="R79" i="36"/>
  <c r="R74" i="36"/>
  <c r="R34" i="36"/>
  <c r="R29" i="36"/>
  <c r="R94" i="36"/>
  <c r="R52" i="36"/>
  <c r="R48" i="36"/>
  <c r="R33" i="36"/>
  <c r="R31" i="36"/>
  <c r="X12" i="36"/>
  <c r="Z12" i="36" s="1"/>
  <c r="R136" i="36"/>
  <c r="R43" i="36"/>
  <c r="R39" i="36"/>
  <c r="R35" i="36"/>
  <c r="P31" i="36"/>
  <c r="R98" i="36"/>
  <c r="R64" i="36"/>
  <c r="R45" i="36"/>
  <c r="R44" i="36"/>
  <c r="R40" i="36"/>
  <c r="R36" i="36"/>
  <c r="R118" i="36"/>
  <c r="R49" i="36"/>
  <c r="R26" i="36"/>
  <c r="R53" i="36"/>
  <c r="R66" i="36"/>
  <c r="R130" i="36"/>
  <c r="R75" i="36"/>
  <c r="R120" i="21"/>
  <c r="R107" i="21"/>
  <c r="R106" i="21"/>
  <c r="R102" i="21"/>
  <c r="R98" i="21"/>
  <c r="R50" i="21"/>
  <c r="R46" i="21"/>
  <c r="R86" i="21"/>
  <c r="R85" i="21"/>
  <c r="R78" i="21"/>
  <c r="R77" i="21"/>
  <c r="R66" i="21"/>
  <c r="R65" i="21"/>
  <c r="R58" i="21"/>
  <c r="R57" i="21"/>
  <c r="R41" i="21"/>
  <c r="R37" i="21"/>
  <c r="R109" i="21"/>
  <c r="R108" i="21"/>
  <c r="R92" i="21"/>
  <c r="R33" i="21"/>
  <c r="R28" i="21"/>
  <c r="R103" i="21"/>
  <c r="R99" i="21"/>
  <c r="R87" i="21"/>
  <c r="R80" i="21"/>
  <c r="R79" i="21"/>
  <c r="R68" i="21"/>
  <c r="R67" i="21"/>
  <c r="R60" i="21"/>
  <c r="R59" i="21"/>
  <c r="R51" i="21"/>
  <c r="R47" i="21"/>
  <c r="R32" i="21"/>
  <c r="R111" i="21"/>
  <c r="R110" i="21"/>
  <c r="R43" i="21"/>
  <c r="R42" i="21"/>
  <c r="R38" i="21"/>
  <c r="R34" i="21"/>
  <c r="P30" i="21"/>
  <c r="R30" i="21" s="1"/>
  <c r="R93" i="21"/>
  <c r="R82" i="21"/>
  <c r="R81" i="21"/>
  <c r="R70" i="21"/>
  <c r="R69" i="21"/>
  <c r="R61" i="21"/>
  <c r="R83" i="21"/>
  <c r="R72" i="21"/>
  <c r="R71" i="21"/>
  <c r="R39" i="21"/>
  <c r="R35" i="21"/>
  <c r="R114" i="21"/>
  <c r="R95" i="21"/>
  <c r="R94" i="21"/>
  <c r="R90" i="21"/>
  <c r="R62" i="21"/>
  <c r="R26" i="21"/>
  <c r="X12" i="21"/>
  <c r="Z12" i="21" s="1"/>
  <c r="R91" i="21"/>
  <c r="R76" i="21"/>
  <c r="R75" i="21"/>
  <c r="R64" i="21"/>
  <c r="R63" i="21"/>
  <c r="R56" i="21"/>
  <c r="R55" i="21"/>
  <c r="R27" i="21"/>
  <c r="R40" i="21"/>
  <c r="R113" i="21"/>
  <c r="R88" i="21"/>
  <c r="R54" i="21"/>
  <c r="R48" i="21"/>
  <c r="R116" i="21"/>
  <c r="R52" i="21"/>
  <c r="R104" i="21"/>
  <c r="R100" i="21"/>
  <c r="R84" i="21"/>
  <c r="R74" i="21"/>
  <c r="R96" i="21"/>
  <c r="R89" i="21"/>
  <c r="R45" i="21"/>
  <c r="R53" i="21"/>
  <c r="R49" i="21"/>
  <c r="R73" i="21"/>
  <c r="R44" i="21"/>
  <c r="R105" i="21"/>
  <c r="R25" i="21"/>
  <c r="R36" i="21"/>
  <c r="R112" i="21"/>
  <c r="R101" i="21"/>
  <c r="R97" i="21"/>
  <c r="Z168" i="12"/>
  <c r="T285" i="12"/>
  <c r="V200" i="3"/>
  <c r="X18" i="49"/>
  <c r="P27" i="49"/>
  <c r="H27" i="50"/>
  <c r="N18" i="50"/>
  <c r="H27" i="49"/>
  <c r="N18" i="49"/>
  <c r="L18" i="38"/>
  <c r="D27" i="38"/>
  <c r="H27" i="35"/>
  <c r="N18" i="35"/>
  <c r="L18" i="35"/>
  <c r="D27" i="35"/>
  <c r="H27" i="29"/>
  <c r="N18" i="29"/>
  <c r="X18" i="23"/>
  <c r="P27" i="23"/>
  <c r="H27" i="32"/>
  <c r="N18" i="32"/>
  <c r="D27" i="26"/>
  <c r="L18" i="26"/>
  <c r="X18" i="17"/>
  <c r="P27" i="17"/>
  <c r="L18" i="10"/>
  <c r="D27" i="10"/>
  <c r="X18" i="11"/>
  <c r="P27" i="11"/>
  <c r="P96" i="104"/>
  <c r="X92" i="104"/>
  <c r="H96" i="104"/>
  <c r="T97" i="102"/>
  <c r="V25" i="102"/>
  <c r="H87" i="101"/>
  <c r="L55" i="100"/>
  <c r="N55" i="100" s="1"/>
  <c r="D59" i="100"/>
  <c r="R86" i="96"/>
  <c r="R82" i="96"/>
  <c r="R71" i="96"/>
  <c r="R70" i="96"/>
  <c r="R54" i="96"/>
  <c r="R105" i="96"/>
  <c r="R94" i="96"/>
  <c r="R93" i="96"/>
  <c r="R66" i="96"/>
  <c r="R65" i="96"/>
  <c r="R46" i="96"/>
  <c r="R45" i="96"/>
  <c r="R41" i="96"/>
  <c r="R37" i="96"/>
  <c r="R77" i="96"/>
  <c r="R76" i="96"/>
  <c r="R72" i="96"/>
  <c r="R32" i="96"/>
  <c r="R28" i="96"/>
  <c r="R95" i="96"/>
  <c r="R87" i="96"/>
  <c r="R83" i="96"/>
  <c r="R67" i="96"/>
  <c r="R56" i="96"/>
  <c r="R55" i="96"/>
  <c r="R48" i="96"/>
  <c r="R47" i="96"/>
  <c r="R78" i="96"/>
  <c r="R42" i="96"/>
  <c r="R38" i="96"/>
  <c r="X12" i="96"/>
  <c r="Z12" i="96" s="1"/>
  <c r="R73" i="96"/>
  <c r="R58" i="96"/>
  <c r="R57" i="96"/>
  <c r="R50" i="96"/>
  <c r="R49" i="96"/>
  <c r="R33" i="96"/>
  <c r="R29" i="96"/>
  <c r="R97" i="96"/>
  <c r="R96" i="96"/>
  <c r="R88" i="96"/>
  <c r="R84" i="96"/>
  <c r="R68" i="96"/>
  <c r="R25" i="96"/>
  <c r="R20" i="96"/>
  <c r="R80" i="96"/>
  <c r="R79" i="96"/>
  <c r="R60" i="96"/>
  <c r="R59" i="96"/>
  <c r="R52" i="96"/>
  <c r="R51" i="96"/>
  <c r="R43" i="96"/>
  <c r="R39" i="96"/>
  <c r="R24" i="96"/>
  <c r="R98" i="96"/>
  <c r="R74" i="96"/>
  <c r="R101" i="96"/>
  <c r="R100" i="96"/>
  <c r="R90" i="96"/>
  <c r="R89" i="96"/>
  <c r="R85" i="96"/>
  <c r="R81" i="96"/>
  <c r="R69" i="96"/>
  <c r="R62" i="96"/>
  <c r="R61" i="96"/>
  <c r="R53" i="96"/>
  <c r="R92" i="96"/>
  <c r="R35" i="96"/>
  <c r="R31" i="96"/>
  <c r="R27" i="96"/>
  <c r="R18" i="96"/>
  <c r="R63" i="96"/>
  <c r="R64" i="96"/>
  <c r="P22" i="96"/>
  <c r="R44" i="96"/>
  <c r="R40" i="96"/>
  <c r="R36" i="96"/>
  <c r="R19" i="96"/>
  <c r="R17" i="96"/>
  <c r="R26" i="96"/>
  <c r="R91" i="96"/>
  <c r="R30" i="96"/>
  <c r="R34" i="96"/>
  <c r="R75" i="96"/>
  <c r="H90" i="95"/>
  <c r="X23" i="95"/>
  <c r="Z23" i="95" s="1"/>
  <c r="P86" i="95"/>
  <c r="R23" i="95"/>
  <c r="T96" i="92"/>
  <c r="Z16" i="92"/>
  <c r="T32" i="86"/>
  <c r="Z20" i="86"/>
  <c r="R19" i="83"/>
  <c r="R20" i="83"/>
  <c r="R18" i="83"/>
  <c r="P22" i="83"/>
  <c r="R26" i="83"/>
  <c r="R24" i="83"/>
  <c r="R30" i="83"/>
  <c r="X12" i="83"/>
  <c r="Z12" i="83" s="1"/>
  <c r="R17" i="83"/>
  <c r="F26" i="83"/>
  <c r="F24" i="83"/>
  <c r="F22" i="83"/>
  <c r="F18" i="83"/>
  <c r="F30" i="83"/>
  <c r="D22" i="83"/>
  <c r="L12" i="83"/>
  <c r="N12" i="83" s="1"/>
  <c r="F19" i="83"/>
  <c r="F17" i="83"/>
  <c r="F20" i="83"/>
  <c r="T82" i="80"/>
  <c r="Z22" i="80"/>
  <c r="R75" i="74"/>
  <c r="R71" i="74"/>
  <c r="R56" i="74"/>
  <c r="R54" i="74"/>
  <c r="R36" i="74"/>
  <c r="R95" i="74"/>
  <c r="R94" i="74"/>
  <c r="R83" i="74"/>
  <c r="R82" i="74"/>
  <c r="R67" i="74"/>
  <c r="R66" i="74"/>
  <c r="R62" i="74"/>
  <c r="R58" i="74"/>
  <c r="P54" i="74"/>
  <c r="R49" i="74"/>
  <c r="R45" i="74"/>
  <c r="R41" i="74"/>
  <c r="R37" i="74"/>
  <c r="R96" i="74"/>
  <c r="R85" i="74"/>
  <c r="R84" i="74"/>
  <c r="R76" i="74"/>
  <c r="R72" i="74"/>
  <c r="R68" i="74"/>
  <c r="R98" i="74"/>
  <c r="R63" i="74"/>
  <c r="R59" i="74"/>
  <c r="R87" i="74"/>
  <c r="R86" i="74"/>
  <c r="R50" i="74"/>
  <c r="R46" i="74"/>
  <c r="R42" i="74"/>
  <c r="R38" i="74"/>
  <c r="R89" i="74"/>
  <c r="R88" i="74"/>
  <c r="R64" i="74"/>
  <c r="R60" i="74"/>
  <c r="X12" i="74"/>
  <c r="Z12" i="74" s="1"/>
  <c r="R80" i="74"/>
  <c r="R79" i="74"/>
  <c r="R51" i="74"/>
  <c r="R47" i="74"/>
  <c r="R43" i="74"/>
  <c r="R39" i="74"/>
  <c r="R102" i="74"/>
  <c r="R91" i="74"/>
  <c r="R90" i="74"/>
  <c r="R74" i="74"/>
  <c r="R70" i="74"/>
  <c r="R92" i="74"/>
  <c r="R52" i="74"/>
  <c r="R81" i="74"/>
  <c r="R93" i="74"/>
  <c r="R48" i="74"/>
  <c r="R77" i="74"/>
  <c r="R73" i="74"/>
  <c r="R69" i="74"/>
  <c r="R57" i="74"/>
  <c r="R44" i="74"/>
  <c r="R78" i="74"/>
  <c r="R65" i="74"/>
  <c r="R61" i="74"/>
  <c r="R40" i="74"/>
  <c r="R124" i="71"/>
  <c r="R56" i="71"/>
  <c r="R52" i="71"/>
  <c r="R48" i="71"/>
  <c r="R44" i="71"/>
  <c r="R125" i="71"/>
  <c r="R108" i="71"/>
  <c r="R107" i="71"/>
  <c r="R100" i="71"/>
  <c r="R99" i="71"/>
  <c r="R83" i="71"/>
  <c r="R79" i="71"/>
  <c r="R115" i="71"/>
  <c r="R114" i="71"/>
  <c r="R91" i="71"/>
  <c r="R90" i="71"/>
  <c r="R75" i="71"/>
  <c r="R74" i="71"/>
  <c r="R70" i="71"/>
  <c r="R66" i="71"/>
  <c r="R109" i="71"/>
  <c r="R117" i="71"/>
  <c r="R116" i="71"/>
  <c r="R93" i="71"/>
  <c r="R92" i="71"/>
  <c r="R84" i="71"/>
  <c r="R80" i="71"/>
  <c r="R76" i="71"/>
  <c r="R104" i="71"/>
  <c r="R96" i="71"/>
  <c r="R72" i="71"/>
  <c r="R68" i="71"/>
  <c r="X12" i="71"/>
  <c r="Z12" i="71" s="1"/>
  <c r="R119" i="71"/>
  <c r="R112" i="71"/>
  <c r="R111" i="71"/>
  <c r="R88" i="71"/>
  <c r="R87" i="71"/>
  <c r="R64" i="71"/>
  <c r="R59" i="71"/>
  <c r="R51" i="71"/>
  <c r="R43" i="71"/>
  <c r="R129" i="71"/>
  <c r="R78" i="71"/>
  <c r="R73" i="71"/>
  <c r="R71" i="71"/>
  <c r="R54" i="71"/>
  <c r="R46" i="71"/>
  <c r="R85" i="71"/>
  <c r="R69" i="71"/>
  <c r="R67" i="71"/>
  <c r="R123" i="71"/>
  <c r="R103" i="71"/>
  <c r="R94" i="71"/>
  <c r="R57" i="71"/>
  <c r="R49" i="71"/>
  <c r="R110" i="71"/>
  <c r="R105" i="71"/>
  <c r="R86" i="71"/>
  <c r="R65" i="71"/>
  <c r="R97" i="71"/>
  <c r="R89" i="71"/>
  <c r="R81" i="71"/>
  <c r="R121" i="71"/>
  <c r="R118" i="71"/>
  <c r="R98" i="71"/>
  <c r="R95" i="71"/>
  <c r="R55" i="71"/>
  <c r="R47" i="71"/>
  <c r="R113" i="71"/>
  <c r="R106" i="71"/>
  <c r="R101" i="71"/>
  <c r="R77" i="71"/>
  <c r="P61" i="71"/>
  <c r="R58" i="71"/>
  <c r="R50" i="71"/>
  <c r="R42" i="71"/>
  <c r="R122" i="71"/>
  <c r="R53" i="71"/>
  <c r="R45" i="71"/>
  <c r="R102" i="71"/>
  <c r="R82" i="71"/>
  <c r="R63" i="71"/>
  <c r="T92" i="76"/>
  <c r="Z32" i="76"/>
  <c r="V32" i="76"/>
  <c r="H79" i="70"/>
  <c r="J22" i="70"/>
  <c r="H66" i="61"/>
  <c r="Z16" i="60"/>
  <c r="T61" i="60"/>
  <c r="H112" i="64"/>
  <c r="Z16" i="54"/>
  <c r="T22" i="54"/>
  <c r="T112" i="51"/>
  <c r="L25" i="45"/>
  <c r="N25" i="45" s="1"/>
  <c r="D104" i="45"/>
  <c r="T140" i="36"/>
  <c r="V82" i="24"/>
  <c r="T143" i="24"/>
  <c r="X18" i="50"/>
  <c r="P27" i="50"/>
  <c r="X18" i="52"/>
  <c r="P27" i="52"/>
  <c r="H27" i="47"/>
  <c r="N18" i="47"/>
  <c r="L18" i="47"/>
  <c r="D27" i="47"/>
  <c r="X18" i="43"/>
  <c r="P27" i="43"/>
  <c r="D27" i="41"/>
  <c r="L18" i="41"/>
  <c r="X18" i="32"/>
  <c r="P27" i="32"/>
  <c r="X18" i="28"/>
  <c r="P27" i="28"/>
  <c r="T27" i="34"/>
  <c r="Z18" i="34"/>
  <c r="L18" i="8"/>
  <c r="D27" i="8"/>
  <c r="T27" i="5"/>
  <c r="Z18" i="5"/>
  <c r="T27" i="10"/>
  <c r="Z18" i="10"/>
  <c r="R293" i="18"/>
  <c r="R281" i="18"/>
  <c r="R274" i="18"/>
  <c r="R273" i="18"/>
  <c r="R269" i="18"/>
  <c r="R258" i="18"/>
  <c r="R257" i="18"/>
  <c r="R246" i="18"/>
  <c r="R245" i="18"/>
  <c r="R221" i="18"/>
  <c r="R294" i="18"/>
  <c r="R264" i="18"/>
  <c r="R253" i="18"/>
  <c r="R252" i="18"/>
  <c r="R236" i="18"/>
  <c r="R295" i="18"/>
  <c r="R296" i="18"/>
  <c r="R283" i="18"/>
  <c r="R282" i="18"/>
  <c r="R270" i="18"/>
  <c r="R254" i="18"/>
  <c r="R222" i="18"/>
  <c r="R215" i="18"/>
  <c r="R214" i="18"/>
  <c r="R297" i="18"/>
  <c r="R298" i="18"/>
  <c r="R284" i="18"/>
  <c r="R277" i="18"/>
  <c r="R276" i="18"/>
  <c r="R260" i="18"/>
  <c r="R216" i="18"/>
  <c r="R288" i="18"/>
  <c r="R279" i="18"/>
  <c r="R278" i="18"/>
  <c r="R250" i="18"/>
  <c r="R231" i="18"/>
  <c r="R230" i="18"/>
  <c r="R210" i="18"/>
  <c r="R206" i="18"/>
  <c r="R289" i="18"/>
  <c r="R261" i="18"/>
  <c r="R242" i="18"/>
  <c r="R241" i="18"/>
  <c r="R218" i="18"/>
  <c r="R217" i="18"/>
  <c r="R292" i="18"/>
  <c r="R263" i="18"/>
  <c r="R262" i="18"/>
  <c r="R235" i="18"/>
  <c r="R234" i="18"/>
  <c r="R226" i="18"/>
  <c r="R198" i="18"/>
  <c r="R287" i="18"/>
  <c r="R280" i="18"/>
  <c r="R248" i="18"/>
  <c r="R233" i="18"/>
  <c r="R224" i="18"/>
  <c r="R205" i="18"/>
  <c r="R195" i="18"/>
  <c r="R240" i="18"/>
  <c r="R237" i="18"/>
  <c r="R213" i="18"/>
  <c r="R202" i="18"/>
  <c r="R191" i="18"/>
  <c r="R186" i="18"/>
  <c r="R182" i="18"/>
  <c r="R178" i="18"/>
  <c r="R174" i="18"/>
  <c r="R170" i="18"/>
  <c r="R166" i="18"/>
  <c r="R162" i="18"/>
  <c r="R158" i="18"/>
  <c r="R154" i="18"/>
  <c r="R150" i="18"/>
  <c r="R146" i="18"/>
  <c r="R142" i="18"/>
  <c r="R138" i="18"/>
  <c r="R134" i="18"/>
  <c r="R130" i="18"/>
  <c r="R265" i="18"/>
  <c r="R208" i="18"/>
  <c r="R190" i="18"/>
  <c r="R188" i="18"/>
  <c r="R255" i="18"/>
  <c r="R229" i="18"/>
  <c r="R199" i="18"/>
  <c r="R196" i="18"/>
  <c r="R192" i="18"/>
  <c r="P188" i="18"/>
  <c r="R302" i="18"/>
  <c r="R290" i="18"/>
  <c r="R243" i="18"/>
  <c r="R203" i="18"/>
  <c r="R183" i="18"/>
  <c r="R179" i="18"/>
  <c r="R175" i="18"/>
  <c r="R171" i="18"/>
  <c r="R167" i="18"/>
  <c r="R163" i="18"/>
  <c r="R159" i="18"/>
  <c r="R155" i="18"/>
  <c r="R151" i="18"/>
  <c r="R147" i="18"/>
  <c r="R143" i="18"/>
  <c r="R139" i="18"/>
  <c r="R135" i="18"/>
  <c r="R131" i="18"/>
  <c r="R268" i="18"/>
  <c r="R238" i="18"/>
  <c r="R227" i="18"/>
  <c r="R225" i="18"/>
  <c r="R223" i="18"/>
  <c r="R211" i="18"/>
  <c r="R272" i="18"/>
  <c r="R266" i="18"/>
  <c r="R251" i="18"/>
  <c r="R249" i="18"/>
  <c r="R244" i="18"/>
  <c r="R193" i="18"/>
  <c r="R232" i="18"/>
  <c r="R200" i="18"/>
  <c r="R197" i="18"/>
  <c r="R184" i="18"/>
  <c r="R180" i="18"/>
  <c r="R176" i="18"/>
  <c r="R172" i="18"/>
  <c r="R168" i="18"/>
  <c r="R164" i="18"/>
  <c r="R160" i="18"/>
  <c r="R156" i="18"/>
  <c r="R152" i="18"/>
  <c r="R148" i="18"/>
  <c r="R144" i="18"/>
  <c r="R140" i="18"/>
  <c r="R136" i="18"/>
  <c r="R132" i="18"/>
  <c r="R286" i="18"/>
  <c r="R275" i="18"/>
  <c r="R247" i="18"/>
  <c r="R228" i="18"/>
  <c r="R219" i="18"/>
  <c r="R209" i="18"/>
  <c r="R204" i="18"/>
  <c r="R128" i="18"/>
  <c r="R271" i="18"/>
  <c r="R259" i="18"/>
  <c r="R220" i="18"/>
  <c r="R201" i="18"/>
  <c r="X12" i="18"/>
  <c r="Z12" i="18" s="1"/>
  <c r="R194" i="18"/>
  <c r="R129" i="18"/>
  <c r="R177" i="18"/>
  <c r="R173" i="18"/>
  <c r="R169" i="18"/>
  <c r="R165" i="18"/>
  <c r="R161" i="18"/>
  <c r="R157" i="18"/>
  <c r="R153" i="18"/>
  <c r="R149" i="18"/>
  <c r="R145" i="18"/>
  <c r="R141" i="18"/>
  <c r="R137" i="18"/>
  <c r="R133" i="18"/>
  <c r="R181" i="18"/>
  <c r="R291" i="18"/>
  <c r="R185" i="18"/>
  <c r="R256" i="18"/>
  <c r="R239" i="18"/>
  <c r="R212" i="18"/>
  <c r="R207" i="18"/>
  <c r="R267" i="18"/>
  <c r="L18" i="53"/>
  <c r="D27" i="53"/>
  <c r="J93" i="106"/>
  <c r="F84" i="95"/>
  <c r="F81" i="95"/>
  <c r="F77" i="95"/>
  <c r="F70" i="95"/>
  <c r="F45" i="95"/>
  <c r="F41" i="95"/>
  <c r="F37" i="95"/>
  <c r="F36" i="95"/>
  <c r="D23" i="95"/>
  <c r="F64" i="95"/>
  <c r="F32" i="95"/>
  <c r="F28" i="95"/>
  <c r="L12" i="95"/>
  <c r="N12" i="95" s="1"/>
  <c r="F72" i="95"/>
  <c r="F71" i="95"/>
  <c r="F55" i="95"/>
  <c r="F19" i="95"/>
  <c r="F18" i="95"/>
  <c r="F82" i="95"/>
  <c r="F46" i="95"/>
  <c r="F42" i="95"/>
  <c r="F38" i="95"/>
  <c r="F78" i="95"/>
  <c r="F75" i="95"/>
  <c r="F66" i="95"/>
  <c r="F65" i="95"/>
  <c r="F57" i="95"/>
  <c r="F56" i="95"/>
  <c r="F33" i="95"/>
  <c r="F29" i="95"/>
  <c r="F88" i="95"/>
  <c r="F48" i="95"/>
  <c r="F47" i="95"/>
  <c r="F59" i="95"/>
  <c r="F58" i="95"/>
  <c r="F43" i="95"/>
  <c r="F39" i="95"/>
  <c r="F79" i="95"/>
  <c r="F76" i="95"/>
  <c r="F73" i="95"/>
  <c r="F67" i="95"/>
  <c r="F50" i="95"/>
  <c r="F49" i="95"/>
  <c r="F34" i="95"/>
  <c r="F30" i="95"/>
  <c r="F80" i="95"/>
  <c r="F68" i="95"/>
  <c r="F61" i="95"/>
  <c r="F60" i="95"/>
  <c r="F21" i="95"/>
  <c r="F52" i="95"/>
  <c r="F51" i="95"/>
  <c r="F44" i="95"/>
  <c r="F40" i="95"/>
  <c r="F35" i="95"/>
  <c r="F20" i="95"/>
  <c r="F69" i="95"/>
  <c r="F23" i="95"/>
  <c r="F63" i="95"/>
  <c r="F53" i="95"/>
  <c r="F26" i="95"/>
  <c r="F74" i="95"/>
  <c r="F62" i="95"/>
  <c r="F54" i="95"/>
  <c r="F27" i="95"/>
  <c r="F25" i="95"/>
  <c r="F31" i="95"/>
  <c r="F87" i="94"/>
  <c r="F75" i="94"/>
  <c r="F74" i="94"/>
  <c r="F70" i="94"/>
  <c r="F58" i="94"/>
  <c r="F57" i="94"/>
  <c r="F46" i="94"/>
  <c r="F42" i="94"/>
  <c r="F38" i="94"/>
  <c r="F65" i="94"/>
  <c r="F61" i="94"/>
  <c r="F21" i="94"/>
  <c r="F80" i="94"/>
  <c r="F79" i="94"/>
  <c r="F72" i="94"/>
  <c r="F68" i="94"/>
  <c r="F52" i="94"/>
  <c r="F51" i="94"/>
  <c r="F44" i="94"/>
  <c r="F40" i="94"/>
  <c r="F59" i="94"/>
  <c r="F55" i="94"/>
  <c r="F32" i="94"/>
  <c r="F27" i="94"/>
  <c r="F47" i="94"/>
  <c r="F41" i="94"/>
  <c r="L12" i="94"/>
  <c r="N12" i="94" s="1"/>
  <c r="F83" i="94"/>
  <c r="F62" i="94"/>
  <c r="F56" i="94"/>
  <c r="F35" i="94"/>
  <c r="F30" i="94"/>
  <c r="F76" i="94"/>
  <c r="F63" i="94"/>
  <c r="F60" i="94"/>
  <c r="F48" i="94"/>
  <c r="F73" i="94"/>
  <c r="F66" i="94"/>
  <c r="F53" i="94"/>
  <c r="F39" i="94"/>
  <c r="F36" i="94"/>
  <c r="F33" i="94"/>
  <c r="F28" i="94"/>
  <c r="F18" i="94"/>
  <c r="F49" i="94"/>
  <c r="F45" i="94"/>
  <c r="F19" i="94"/>
  <c r="F77" i="94"/>
  <c r="F71" i="94"/>
  <c r="F64" i="94"/>
  <c r="F31" i="94"/>
  <c r="D23" i="94"/>
  <c r="F50" i="94"/>
  <c r="F37" i="94"/>
  <c r="F69" i="94"/>
  <c r="F54" i="94"/>
  <c r="F25" i="94"/>
  <c r="F67" i="94"/>
  <c r="F20" i="94"/>
  <c r="F78" i="94"/>
  <c r="F29" i="94"/>
  <c r="F43" i="94"/>
  <c r="F26" i="94"/>
  <c r="F82" i="94"/>
  <c r="F34" i="94"/>
  <c r="T85" i="94"/>
  <c r="Z23" i="94"/>
  <c r="R23" i="94"/>
  <c r="T134" i="85"/>
  <c r="V130" i="85"/>
  <c r="F105" i="85"/>
  <c r="F104" i="85"/>
  <c r="F56" i="85"/>
  <c r="F49" i="85"/>
  <c r="F45" i="85"/>
  <c r="F41" i="85"/>
  <c r="F37" i="85"/>
  <c r="F124" i="85"/>
  <c r="F123" i="85"/>
  <c r="F116" i="85"/>
  <c r="F112" i="85"/>
  <c r="F111" i="85"/>
  <c r="F96" i="85"/>
  <c r="F95" i="85"/>
  <c r="F84" i="85"/>
  <c r="F83" i="85"/>
  <c r="F76" i="85"/>
  <c r="F72" i="85"/>
  <c r="F68" i="85"/>
  <c r="F67" i="85"/>
  <c r="D54" i="85"/>
  <c r="F54" i="85" s="1"/>
  <c r="F63" i="85"/>
  <c r="F59" i="85"/>
  <c r="F126" i="85"/>
  <c r="F125" i="85"/>
  <c r="F106" i="85"/>
  <c r="F98" i="85"/>
  <c r="F97" i="85"/>
  <c r="F86" i="85"/>
  <c r="F85" i="85"/>
  <c r="F50" i="85"/>
  <c r="F46" i="85"/>
  <c r="F42" i="85"/>
  <c r="F38" i="85"/>
  <c r="F117" i="85"/>
  <c r="F113" i="85"/>
  <c r="F77" i="85"/>
  <c r="F73" i="85"/>
  <c r="F69" i="85"/>
  <c r="F100" i="85"/>
  <c r="F99" i="85"/>
  <c r="F88" i="85"/>
  <c r="F128" i="85"/>
  <c r="F119" i="85"/>
  <c r="F118" i="85"/>
  <c r="F107" i="85"/>
  <c r="F79" i="85"/>
  <c r="F78" i="85"/>
  <c r="F51" i="85"/>
  <c r="F47" i="85"/>
  <c r="F43" i="85"/>
  <c r="F39" i="85"/>
  <c r="F132" i="85"/>
  <c r="F114" i="85"/>
  <c r="F102" i="85"/>
  <c r="F101" i="85"/>
  <c r="F90" i="85"/>
  <c r="F89" i="85"/>
  <c r="F74" i="85"/>
  <c r="F70" i="85"/>
  <c r="L12" i="85"/>
  <c r="N12" i="85" s="1"/>
  <c r="F109" i="85"/>
  <c r="F108" i="85"/>
  <c r="F81" i="85"/>
  <c r="F80" i="85"/>
  <c r="F65" i="85"/>
  <c r="F61" i="85"/>
  <c r="F120" i="85"/>
  <c r="F92" i="85"/>
  <c r="F91" i="85"/>
  <c r="F52" i="85"/>
  <c r="F48" i="85"/>
  <c r="F44" i="85"/>
  <c r="F40" i="85"/>
  <c r="F36" i="85"/>
  <c r="F35" i="85"/>
  <c r="F122" i="85"/>
  <c r="F82" i="85"/>
  <c r="F62" i="85"/>
  <c r="F64" i="85"/>
  <c r="F103" i="85"/>
  <c r="F93" i="85"/>
  <c r="F87" i="85"/>
  <c r="F66" i="85"/>
  <c r="F121" i="85"/>
  <c r="F115" i="85"/>
  <c r="F57" i="85"/>
  <c r="F110" i="85"/>
  <c r="F94" i="85"/>
  <c r="F75" i="85"/>
  <c r="F71" i="85"/>
  <c r="F58" i="85"/>
  <c r="F60" i="85"/>
  <c r="R67" i="79"/>
  <c r="N54" i="74"/>
  <c r="H100" i="74"/>
  <c r="T127" i="75"/>
  <c r="V123" i="75"/>
  <c r="H127" i="71"/>
  <c r="T112" i="77"/>
  <c r="T131" i="71"/>
  <c r="D61" i="60"/>
  <c r="L16" i="60"/>
  <c r="X16" i="58"/>
  <c r="P77" i="58"/>
  <c r="T66" i="61"/>
  <c r="T104" i="45"/>
  <c r="Z25" i="45"/>
  <c r="R25" i="45"/>
  <c r="Z16" i="55"/>
  <c r="T33" i="55"/>
  <c r="T109" i="33"/>
  <c r="F111" i="33"/>
  <c r="F91" i="33"/>
  <c r="F51" i="33"/>
  <c r="F47" i="33"/>
  <c r="F98" i="33"/>
  <c r="F97" i="33"/>
  <c r="F86" i="33"/>
  <c r="F85" i="33"/>
  <c r="F66" i="33"/>
  <c r="F65" i="33"/>
  <c r="F38" i="33"/>
  <c r="F34" i="33"/>
  <c r="F33" i="33"/>
  <c r="F77" i="33"/>
  <c r="F61" i="33"/>
  <c r="F57" i="33"/>
  <c r="F101" i="33"/>
  <c r="F92" i="33"/>
  <c r="F68" i="33"/>
  <c r="F67" i="33"/>
  <c r="F52" i="33"/>
  <c r="F48" i="33"/>
  <c r="F102" i="33"/>
  <c r="F100" i="33"/>
  <c r="F87" i="33"/>
  <c r="F79" i="33"/>
  <c r="F78" i="33"/>
  <c r="F39" i="33"/>
  <c r="F35" i="33"/>
  <c r="F103" i="33"/>
  <c r="F70" i="33"/>
  <c r="F69" i="33"/>
  <c r="F62" i="33"/>
  <c r="F58" i="33"/>
  <c r="F104" i="33"/>
  <c r="F93" i="33"/>
  <c r="F89" i="33"/>
  <c r="F88" i="33"/>
  <c r="F81" i="33"/>
  <c r="F80" i="33"/>
  <c r="F53" i="33"/>
  <c r="F49" i="33"/>
  <c r="F45" i="33"/>
  <c r="F44" i="33"/>
  <c r="F105" i="33"/>
  <c r="F72" i="33"/>
  <c r="F71" i="33"/>
  <c r="F43" i="33"/>
  <c r="F41" i="33"/>
  <c r="F36" i="33"/>
  <c r="F106" i="33"/>
  <c r="F95" i="33"/>
  <c r="F94" i="33"/>
  <c r="F83" i="33"/>
  <c r="F82" i="33"/>
  <c r="F63" i="33"/>
  <c r="F59" i="33"/>
  <c r="F55" i="33"/>
  <c r="F54" i="33"/>
  <c r="D41" i="33"/>
  <c r="F96" i="33"/>
  <c r="F84" i="33"/>
  <c r="F76" i="33"/>
  <c r="F75" i="33"/>
  <c r="F64" i="33"/>
  <c r="F60" i="33"/>
  <c r="F56" i="33"/>
  <c r="F46" i="33"/>
  <c r="F37" i="33"/>
  <c r="F107" i="33"/>
  <c r="F73" i="33"/>
  <c r="F90" i="33"/>
  <c r="L12" i="33"/>
  <c r="N12" i="33" s="1"/>
  <c r="F50" i="33"/>
  <c r="F74" i="33"/>
  <c r="F142" i="36"/>
  <c r="F96" i="36"/>
  <c r="F80" i="36"/>
  <c r="F79" i="36"/>
  <c r="F64" i="36"/>
  <c r="F63" i="36"/>
  <c r="F123" i="36"/>
  <c r="F122" i="36"/>
  <c r="F107" i="36"/>
  <c r="F103" i="36"/>
  <c r="F102" i="36"/>
  <c r="F91" i="36"/>
  <c r="F90" i="36"/>
  <c r="F71" i="36"/>
  <c r="F70" i="36"/>
  <c r="F109" i="36"/>
  <c r="F108" i="36"/>
  <c r="F93" i="36"/>
  <c r="F92" i="36"/>
  <c r="F81" i="36"/>
  <c r="F132" i="36"/>
  <c r="F131" i="36"/>
  <c r="F124" i="36"/>
  <c r="F104" i="36"/>
  <c r="F72" i="36"/>
  <c r="F119" i="36"/>
  <c r="F115" i="36"/>
  <c r="F99" i="36"/>
  <c r="F83" i="36"/>
  <c r="F82" i="36"/>
  <c r="F59" i="36"/>
  <c r="F58" i="36"/>
  <c r="F135" i="36"/>
  <c r="F126" i="36"/>
  <c r="F125" i="36"/>
  <c r="F110" i="36"/>
  <c r="F94" i="36"/>
  <c r="F136" i="36"/>
  <c r="F134" i="36"/>
  <c r="F105" i="36"/>
  <c r="F85" i="36"/>
  <c r="F84" i="36"/>
  <c r="F137" i="36"/>
  <c r="F128" i="36"/>
  <c r="F127" i="36"/>
  <c r="F120" i="36"/>
  <c r="F116" i="36"/>
  <c r="F112" i="36"/>
  <c r="F111" i="36"/>
  <c r="F100" i="36"/>
  <c r="F138" i="36"/>
  <c r="F95" i="36"/>
  <c r="F87" i="36"/>
  <c r="F86" i="36"/>
  <c r="F67" i="36"/>
  <c r="F129" i="36"/>
  <c r="F121" i="36"/>
  <c r="F117" i="36"/>
  <c r="F113" i="36"/>
  <c r="F101" i="36"/>
  <c r="F89" i="36"/>
  <c r="F88" i="36"/>
  <c r="F69" i="36"/>
  <c r="F68" i="36"/>
  <c r="F130" i="36"/>
  <c r="F118" i="36"/>
  <c r="F106" i="36"/>
  <c r="F43" i="36"/>
  <c r="F39" i="36"/>
  <c r="F35" i="36"/>
  <c r="F34" i="36"/>
  <c r="F98" i="36"/>
  <c r="F77" i="36"/>
  <c r="F66" i="36"/>
  <c r="F33" i="36"/>
  <c r="F75" i="36"/>
  <c r="F61" i="36"/>
  <c r="F53" i="36"/>
  <c r="F49" i="36"/>
  <c r="D31" i="36"/>
  <c r="F44" i="36"/>
  <c r="F40" i="36"/>
  <c r="F36" i="36"/>
  <c r="F62" i="36"/>
  <c r="F27" i="36"/>
  <c r="F26" i="36"/>
  <c r="F78" i="36"/>
  <c r="F54" i="36"/>
  <c r="F50" i="36"/>
  <c r="F46" i="36"/>
  <c r="F45" i="36"/>
  <c r="F114" i="36"/>
  <c r="F76" i="36"/>
  <c r="F73" i="36"/>
  <c r="F41" i="36"/>
  <c r="F37" i="36"/>
  <c r="F97" i="36"/>
  <c r="F28" i="36"/>
  <c r="F65" i="36"/>
  <c r="F55" i="36"/>
  <c r="F51" i="36"/>
  <c r="F47" i="36"/>
  <c r="F57" i="36"/>
  <c r="F52" i="36"/>
  <c r="F48" i="36"/>
  <c r="L12" i="36"/>
  <c r="N12" i="36" s="1"/>
  <c r="F29" i="36"/>
  <c r="F56" i="36"/>
  <c r="F42" i="36"/>
  <c r="F74" i="36"/>
  <c r="F60" i="36"/>
  <c r="F38" i="36"/>
  <c r="J69" i="30"/>
  <c r="F104" i="27"/>
  <c r="F123" i="27"/>
  <c r="F121" i="27"/>
  <c r="F125" i="27"/>
  <c r="F114" i="27"/>
  <c r="F109" i="27"/>
  <c r="F108" i="27"/>
  <c r="F101" i="27"/>
  <c r="F100" i="27"/>
  <c r="F118" i="27"/>
  <c r="F117" i="27"/>
  <c r="F110" i="27"/>
  <c r="F112" i="27"/>
  <c r="F57" i="27"/>
  <c r="F53" i="27"/>
  <c r="F49" i="27"/>
  <c r="F45" i="27"/>
  <c r="F115" i="27"/>
  <c r="F92" i="27"/>
  <c r="F91" i="27"/>
  <c r="F84" i="27"/>
  <c r="F80" i="27"/>
  <c r="F76" i="27"/>
  <c r="F75" i="27"/>
  <c r="F124" i="27"/>
  <c r="F71" i="27"/>
  <c r="F67" i="27"/>
  <c r="F113" i="27"/>
  <c r="F94" i="27"/>
  <c r="F93" i="27"/>
  <c r="F58" i="27"/>
  <c r="F54" i="27"/>
  <c r="F50" i="27"/>
  <c r="F46" i="27"/>
  <c r="F85" i="27"/>
  <c r="F81" i="27"/>
  <c r="F77" i="27"/>
  <c r="F105" i="27"/>
  <c r="F102" i="27"/>
  <c r="F96" i="27"/>
  <c r="F95" i="27"/>
  <c r="F72" i="27"/>
  <c r="F68" i="27"/>
  <c r="L12" i="27"/>
  <c r="N12" i="27" s="1"/>
  <c r="F129" i="27"/>
  <c r="F116" i="27"/>
  <c r="F87" i="27"/>
  <c r="F86" i="27"/>
  <c r="F59" i="27"/>
  <c r="F55" i="27"/>
  <c r="F51" i="27"/>
  <c r="F47" i="27"/>
  <c r="F43" i="27"/>
  <c r="F42" i="27"/>
  <c r="F122" i="27"/>
  <c r="F111" i="27"/>
  <c r="F82" i="27"/>
  <c r="F78" i="27"/>
  <c r="F103" i="27"/>
  <c r="F97" i="27"/>
  <c r="F89" i="27"/>
  <c r="F88" i="27"/>
  <c r="F73" i="27"/>
  <c r="F69" i="27"/>
  <c r="F65" i="27"/>
  <c r="F64" i="27"/>
  <c r="F99" i="27"/>
  <c r="F90" i="27"/>
  <c r="F74" i="27"/>
  <c r="F70" i="27"/>
  <c r="F66" i="27"/>
  <c r="F61" i="27"/>
  <c r="F106" i="27"/>
  <c r="F83" i="27"/>
  <c r="D61" i="27"/>
  <c r="F44" i="27"/>
  <c r="F107" i="27"/>
  <c r="F48" i="27"/>
  <c r="F119" i="27"/>
  <c r="F52" i="27"/>
  <c r="F98" i="27"/>
  <c r="F79" i="27"/>
  <c r="F56" i="27"/>
  <c r="F63" i="27"/>
  <c r="H300" i="18"/>
  <c r="J188" i="18"/>
  <c r="T279" i="15"/>
  <c r="L16" i="6"/>
  <c r="D22" i="6"/>
  <c r="F269" i="15"/>
  <c r="F250" i="15"/>
  <c r="F249" i="15"/>
  <c r="F234" i="15"/>
  <c r="F233" i="15"/>
  <c r="F222" i="15"/>
  <c r="F221" i="15"/>
  <c r="F202" i="15"/>
  <c r="F174" i="15"/>
  <c r="F170" i="15"/>
  <c r="F270" i="15"/>
  <c r="F257" i="15"/>
  <c r="F245" i="15"/>
  <c r="F229" i="15"/>
  <c r="F228" i="15"/>
  <c r="F197" i="15"/>
  <c r="F189" i="15"/>
  <c r="F188" i="15"/>
  <c r="F161" i="15"/>
  <c r="F157" i="15"/>
  <c r="F153" i="15"/>
  <c r="F149" i="15"/>
  <c r="F145" i="15"/>
  <c r="F141" i="15"/>
  <c r="F137" i="15"/>
  <c r="F133" i="15"/>
  <c r="F129" i="15"/>
  <c r="F125" i="15"/>
  <c r="F121" i="15"/>
  <c r="F117" i="15"/>
  <c r="F113" i="15"/>
  <c r="F240" i="15"/>
  <c r="F224" i="15"/>
  <c r="F223" i="15"/>
  <c r="F212" i="15"/>
  <c r="F204" i="15"/>
  <c r="F203" i="15"/>
  <c r="F184" i="15"/>
  <c r="F180" i="15"/>
  <c r="L12" i="15"/>
  <c r="N12" i="15" s="1"/>
  <c r="F259" i="15"/>
  <c r="F258" i="15"/>
  <c r="F251" i="15"/>
  <c r="F235" i="15"/>
  <c r="F191" i="15"/>
  <c r="F190" i="15"/>
  <c r="F175" i="15"/>
  <c r="F171" i="15"/>
  <c r="F167" i="15"/>
  <c r="F166" i="15"/>
  <c r="F274" i="15"/>
  <c r="F246" i="15"/>
  <c r="F242" i="15"/>
  <c r="F241" i="15"/>
  <c r="F230" i="15"/>
  <c r="F214" i="15"/>
  <c r="F213" i="15"/>
  <c r="F198" i="15"/>
  <c r="F165" i="15"/>
  <c r="F158" i="15"/>
  <c r="F154" i="15"/>
  <c r="F150" i="15"/>
  <c r="F146" i="15"/>
  <c r="F142" i="15"/>
  <c r="F138" i="15"/>
  <c r="F134" i="15"/>
  <c r="F130" i="15"/>
  <c r="F126" i="15"/>
  <c r="F122" i="15"/>
  <c r="F118" i="15"/>
  <c r="F114" i="15"/>
  <c r="F262" i="15"/>
  <c r="F253" i="15"/>
  <c r="F252" i="15"/>
  <c r="F225" i="15"/>
  <c r="F205" i="15"/>
  <c r="F185" i="15"/>
  <c r="F181" i="15"/>
  <c r="D163" i="15"/>
  <c r="F263" i="15"/>
  <c r="F261" i="15"/>
  <c r="F236" i="15"/>
  <c r="F216" i="15"/>
  <c r="F215" i="15"/>
  <c r="F264" i="15"/>
  <c r="F255" i="15"/>
  <c r="F254" i="15"/>
  <c r="F247" i="15"/>
  <c r="F243" i="15"/>
  <c r="F231" i="15"/>
  <c r="F207" i="15"/>
  <c r="F206" i="15"/>
  <c r="F199" i="15"/>
  <c r="F159" i="15"/>
  <c r="F155" i="15"/>
  <c r="F151" i="15"/>
  <c r="F147" i="15"/>
  <c r="F143" i="15"/>
  <c r="F139" i="15"/>
  <c r="F135" i="15"/>
  <c r="F131" i="15"/>
  <c r="F127" i="15"/>
  <c r="F123" i="15"/>
  <c r="F119" i="15"/>
  <c r="F115" i="15"/>
  <c r="F111" i="15"/>
  <c r="F110" i="15"/>
  <c r="F265" i="15"/>
  <c r="F226" i="15"/>
  <c r="F218" i="15"/>
  <c r="F217" i="15"/>
  <c r="F194" i="15"/>
  <c r="F193" i="15"/>
  <c r="F186" i="15"/>
  <c r="F182" i="15"/>
  <c r="F178" i="15"/>
  <c r="F177" i="15"/>
  <c r="F268" i="15"/>
  <c r="F239" i="15"/>
  <c r="F238" i="15"/>
  <c r="F227" i="15"/>
  <c r="F211" i="15"/>
  <c r="F210" i="15"/>
  <c r="F187" i="15"/>
  <c r="F183" i="15"/>
  <c r="F179" i="15"/>
  <c r="F266" i="15"/>
  <c r="F244" i="15"/>
  <c r="F140" i="15"/>
  <c r="F237" i="15"/>
  <c r="F220" i="15"/>
  <c r="F136" i="15"/>
  <c r="F248" i="15"/>
  <c r="F209" i="15"/>
  <c r="F192" i="15"/>
  <c r="F172" i="15"/>
  <c r="F132" i="15"/>
  <c r="F128" i="15"/>
  <c r="F256" i="15"/>
  <c r="F232" i="15"/>
  <c r="F200" i="15"/>
  <c r="F196" i="15"/>
  <c r="F169" i="15"/>
  <c r="F124" i="15"/>
  <c r="F176" i="15"/>
  <c r="F120" i="15"/>
  <c r="F219" i="15"/>
  <c r="F116" i="15"/>
  <c r="F267" i="15"/>
  <c r="F208" i="15"/>
  <c r="F160" i="15"/>
  <c r="F112" i="15"/>
  <c r="F173" i="15"/>
  <c r="F156" i="15"/>
  <c r="F201" i="15"/>
  <c r="F144" i="15"/>
  <c r="F195" i="15"/>
  <c r="F168" i="15"/>
  <c r="F148" i="15"/>
  <c r="F152" i="15"/>
  <c r="L18" i="113"/>
  <c r="D27" i="113"/>
  <c r="T27" i="52"/>
  <c r="Z18" i="52"/>
  <c r="L18" i="43"/>
  <c r="D27" i="43"/>
  <c r="H27" i="52"/>
  <c r="N18" i="52"/>
  <c r="L18" i="46"/>
  <c r="D27" i="46"/>
  <c r="H27" i="37"/>
  <c r="N18" i="37"/>
  <c r="P27" i="41"/>
  <c r="X18" i="41"/>
  <c r="L18" i="31"/>
  <c r="D27" i="31"/>
  <c r="X18" i="31"/>
  <c r="P27" i="31"/>
  <c r="H27" i="31"/>
  <c r="N18" i="31"/>
  <c r="T27" i="23"/>
  <c r="Z18" i="23"/>
  <c r="H27" i="20"/>
  <c r="N18" i="20"/>
  <c r="T27" i="32"/>
  <c r="Z18" i="32"/>
  <c r="X18" i="26"/>
  <c r="P27" i="26"/>
  <c r="X18" i="25"/>
  <c r="P27" i="25"/>
  <c r="D27" i="25"/>
  <c r="L18" i="25"/>
  <c r="P27" i="19"/>
  <c r="X18" i="19"/>
  <c r="X18" i="16"/>
  <c r="P27" i="16"/>
  <c r="H27" i="14"/>
  <c r="N18" i="14"/>
  <c r="P27" i="20"/>
  <c r="X18" i="20"/>
  <c r="H27" i="5"/>
  <c r="N18" i="5"/>
  <c r="L18" i="4"/>
  <c r="D27" i="4"/>
  <c r="X18" i="7"/>
  <c r="P27" i="7"/>
  <c r="F82" i="102"/>
  <c r="F70" i="102"/>
  <c r="F69" i="102"/>
  <c r="F62" i="102"/>
  <c r="F61" i="102"/>
  <c r="F77" i="102"/>
  <c r="F76" i="102"/>
  <c r="F53" i="102"/>
  <c r="F52" i="102"/>
  <c r="F88" i="102"/>
  <c r="F83" i="102"/>
  <c r="F79" i="102"/>
  <c r="F78" i="102"/>
  <c r="F71" i="102"/>
  <c r="F55" i="102"/>
  <c r="F54" i="102"/>
  <c r="F90" i="102"/>
  <c r="F89" i="102"/>
  <c r="F66" i="102"/>
  <c r="F65" i="102"/>
  <c r="F73" i="102"/>
  <c r="F72" i="102"/>
  <c r="F57" i="102"/>
  <c r="F56" i="102"/>
  <c r="F95" i="102"/>
  <c r="F94" i="102"/>
  <c r="F85" i="102"/>
  <c r="F81" i="102"/>
  <c r="F87" i="102"/>
  <c r="F63" i="102"/>
  <c r="F50" i="102"/>
  <c r="F46" i="102"/>
  <c r="F42" i="102"/>
  <c r="F92" i="102"/>
  <c r="F51" i="102"/>
  <c r="F37" i="102"/>
  <c r="F33" i="102"/>
  <c r="F29" i="102"/>
  <c r="F28" i="102"/>
  <c r="F75" i="102"/>
  <c r="F60" i="102"/>
  <c r="F27" i="102"/>
  <c r="F67" i="102"/>
  <c r="F64" i="102"/>
  <c r="F47" i="102"/>
  <c r="F43" i="102"/>
  <c r="D25" i="102"/>
  <c r="F99" i="102"/>
  <c r="F38" i="102"/>
  <c r="F34" i="102"/>
  <c r="F30" i="102"/>
  <c r="F58" i="102"/>
  <c r="F21" i="102"/>
  <c r="F20" i="102"/>
  <c r="F86" i="102"/>
  <c r="F48" i="102"/>
  <c r="F44" i="102"/>
  <c r="F40" i="102"/>
  <c r="F39" i="102"/>
  <c r="F84" i="102"/>
  <c r="F35" i="102"/>
  <c r="F31" i="102"/>
  <c r="F91" i="102"/>
  <c r="F68" i="102"/>
  <c r="F22" i="102"/>
  <c r="F74" i="102"/>
  <c r="F49" i="102"/>
  <c r="F45" i="102"/>
  <c r="F41" i="102"/>
  <c r="F36" i="102"/>
  <c r="F32" i="102"/>
  <c r="F23" i="102"/>
  <c r="F59" i="102"/>
  <c r="L12" i="102"/>
  <c r="N12" i="102" s="1"/>
  <c r="F80" i="102"/>
  <c r="X18" i="14"/>
  <c r="P27" i="14"/>
  <c r="L18" i="5"/>
  <c r="D27" i="5"/>
  <c r="T80" i="101"/>
  <c r="X23" i="98"/>
  <c r="Z23" i="98" s="1"/>
  <c r="P98" i="98"/>
  <c r="V23" i="95"/>
  <c r="X16" i="92"/>
  <c r="P96" i="92"/>
  <c r="D90" i="93"/>
  <c r="L23" i="93"/>
  <c r="N23" i="93" s="1"/>
  <c r="J23" i="93"/>
  <c r="F23" i="93"/>
  <c r="F18" i="86"/>
  <c r="F39" i="86"/>
  <c r="F36" i="86"/>
  <c r="F24" i="86"/>
  <c r="F23" i="86"/>
  <c r="F22" i="86"/>
  <c r="F20" i="86"/>
  <c r="F26" i="86"/>
  <c r="F25" i="86"/>
  <c r="D20" i="86"/>
  <c r="F28" i="86"/>
  <c r="F27" i="86"/>
  <c r="L12" i="86"/>
  <c r="N12" i="86" s="1"/>
  <c r="F16" i="86"/>
  <c r="F30" i="86"/>
  <c r="F17" i="86"/>
  <c r="F34" i="86"/>
  <c r="F32" i="86"/>
  <c r="R74" i="89"/>
  <c r="R54" i="89"/>
  <c r="R82" i="89"/>
  <c r="R81" i="89"/>
  <c r="R70" i="89"/>
  <c r="R69" i="89"/>
  <c r="R45" i="89"/>
  <c r="R41" i="89"/>
  <c r="R37" i="89"/>
  <c r="R18" i="89"/>
  <c r="R64" i="89"/>
  <c r="R32" i="89"/>
  <c r="R28" i="89"/>
  <c r="X12" i="89"/>
  <c r="Z12" i="89" s="1"/>
  <c r="R83" i="89"/>
  <c r="R75" i="89"/>
  <c r="R71" i="89"/>
  <c r="R56" i="89"/>
  <c r="R55" i="89"/>
  <c r="R19" i="89"/>
  <c r="R47" i="89"/>
  <c r="R46" i="89"/>
  <c r="R42" i="89"/>
  <c r="R38" i="89"/>
  <c r="R66" i="89"/>
  <c r="R65" i="89"/>
  <c r="R58" i="89"/>
  <c r="R57" i="89"/>
  <c r="R33" i="89"/>
  <c r="R29" i="89"/>
  <c r="R86" i="89"/>
  <c r="R67" i="89"/>
  <c r="R60" i="89"/>
  <c r="R59" i="89"/>
  <c r="R43" i="89"/>
  <c r="R39" i="89"/>
  <c r="R78" i="89"/>
  <c r="R51" i="89"/>
  <c r="R50" i="89"/>
  <c r="R34" i="89"/>
  <c r="R30" i="89"/>
  <c r="R73" i="89"/>
  <c r="R62" i="89"/>
  <c r="R61" i="89"/>
  <c r="R26" i="89"/>
  <c r="R21" i="89"/>
  <c r="P23" i="89"/>
  <c r="R77" i="89"/>
  <c r="R52" i="89"/>
  <c r="R63" i="89"/>
  <c r="R27" i="89"/>
  <c r="R79" i="89"/>
  <c r="R31" i="89"/>
  <c r="R25" i="89"/>
  <c r="R90" i="89"/>
  <c r="R35" i="89"/>
  <c r="R53" i="89"/>
  <c r="R48" i="89"/>
  <c r="R84" i="89"/>
  <c r="R80" i="89"/>
  <c r="R68" i="89"/>
  <c r="R44" i="89"/>
  <c r="R72" i="89"/>
  <c r="R40" i="89"/>
  <c r="R36" i="89"/>
  <c r="R76" i="89"/>
  <c r="R20" i="89"/>
  <c r="R49" i="89"/>
  <c r="T84" i="81"/>
  <c r="Z22" i="81"/>
  <c r="V22" i="81"/>
  <c r="H82" i="80"/>
  <c r="H100" i="84"/>
  <c r="F119" i="75"/>
  <c r="F98" i="75"/>
  <c r="F97" i="75"/>
  <c r="F74" i="75"/>
  <c r="F70" i="75"/>
  <c r="F120" i="75"/>
  <c r="F118" i="75"/>
  <c r="F109" i="75"/>
  <c r="F105" i="75"/>
  <c r="F104" i="75"/>
  <c r="F121" i="75"/>
  <c r="F52" i="75"/>
  <c r="F48" i="75"/>
  <c r="F44" i="75"/>
  <c r="F40" i="75"/>
  <c r="F111" i="75"/>
  <c r="F110" i="75"/>
  <c r="F99" i="75"/>
  <c r="F91" i="75"/>
  <c r="F90" i="75"/>
  <c r="F75" i="75"/>
  <c r="F71" i="75"/>
  <c r="F106" i="75"/>
  <c r="F82" i="75"/>
  <c r="F66" i="75"/>
  <c r="F62" i="75"/>
  <c r="F58" i="75"/>
  <c r="F57" i="75"/>
  <c r="F115" i="75"/>
  <c r="F114" i="75"/>
  <c r="F107" i="75"/>
  <c r="F95" i="75"/>
  <c r="F94" i="75"/>
  <c r="F63" i="75"/>
  <c r="F59" i="75"/>
  <c r="F77" i="75"/>
  <c r="F73" i="75"/>
  <c r="F69" i="75"/>
  <c r="F65" i="75"/>
  <c r="F61" i="75"/>
  <c r="F89" i="75"/>
  <c r="F86" i="75"/>
  <c r="F83" i="75"/>
  <c r="F43" i="75"/>
  <c r="F92" i="75"/>
  <c r="F41" i="75"/>
  <c r="F36" i="75"/>
  <c r="F81" i="75"/>
  <c r="F78" i="75"/>
  <c r="F68" i="75"/>
  <c r="D54" i="75"/>
  <c r="F46" i="75"/>
  <c r="L12" i="75"/>
  <c r="N12" i="75" s="1"/>
  <c r="F116" i="75"/>
  <c r="F103" i="75"/>
  <c r="F100" i="75"/>
  <c r="F51" i="75"/>
  <c r="F39" i="75"/>
  <c r="F87" i="75"/>
  <c r="F79" i="75"/>
  <c r="F76" i="75"/>
  <c r="F42" i="75"/>
  <c r="F101" i="75"/>
  <c r="F96" i="75"/>
  <c r="F56" i="75"/>
  <c r="F47" i="75"/>
  <c r="F113" i="75"/>
  <c r="F67" i="75"/>
  <c r="F37" i="75"/>
  <c r="F102" i="75"/>
  <c r="F85" i="75"/>
  <c r="F45" i="75"/>
  <c r="F60" i="75"/>
  <c r="F49" i="75"/>
  <c r="F125" i="75"/>
  <c r="F112" i="75"/>
  <c r="F108" i="75"/>
  <c r="F88" i="75"/>
  <c r="F64" i="75"/>
  <c r="F38" i="75"/>
  <c r="F80" i="75"/>
  <c r="F84" i="75"/>
  <c r="F93" i="75"/>
  <c r="F72" i="75"/>
  <c r="F50" i="75"/>
  <c r="T130" i="69"/>
  <c r="P65" i="68"/>
  <c r="X16" i="68"/>
  <c r="D108" i="64"/>
  <c r="L16" i="64"/>
  <c r="V56" i="51"/>
  <c r="P80" i="48"/>
  <c r="Z17" i="48"/>
  <c r="T76" i="48"/>
  <c r="X76" i="48" s="1"/>
  <c r="F58" i="51"/>
  <c r="F56" i="51"/>
  <c r="F51" i="51"/>
  <c r="F47" i="51"/>
  <c r="F43" i="51"/>
  <c r="F107" i="51"/>
  <c r="F86" i="51"/>
  <c r="F85" i="51"/>
  <c r="F78" i="51"/>
  <c r="F74" i="51"/>
  <c r="D56" i="51"/>
  <c r="F108" i="51"/>
  <c r="F106" i="51"/>
  <c r="F97" i="51"/>
  <c r="F69" i="51"/>
  <c r="F65" i="51"/>
  <c r="F61" i="51"/>
  <c r="F109" i="51"/>
  <c r="F88" i="51"/>
  <c r="F87" i="51"/>
  <c r="F52" i="51"/>
  <c r="F48" i="51"/>
  <c r="F44" i="51"/>
  <c r="L12" i="51"/>
  <c r="N12" i="51" s="1"/>
  <c r="F110" i="51"/>
  <c r="F99" i="51"/>
  <c r="F98" i="51"/>
  <c r="F79" i="51"/>
  <c r="F75" i="51"/>
  <c r="F71" i="51"/>
  <c r="F70" i="51"/>
  <c r="F90" i="51"/>
  <c r="F89" i="51"/>
  <c r="F66" i="51"/>
  <c r="F62" i="51"/>
  <c r="F53" i="51"/>
  <c r="F49" i="51"/>
  <c r="F45" i="51"/>
  <c r="F41" i="51"/>
  <c r="F40" i="51"/>
  <c r="F114" i="51"/>
  <c r="F100" i="51"/>
  <c r="F92" i="51"/>
  <c r="F91" i="51"/>
  <c r="F80" i="51"/>
  <c r="F76" i="51"/>
  <c r="F72" i="51"/>
  <c r="F102" i="51"/>
  <c r="F101" i="51"/>
  <c r="F94" i="51"/>
  <c r="F93" i="51"/>
  <c r="F82" i="51"/>
  <c r="F81" i="51"/>
  <c r="F54" i="51"/>
  <c r="F50" i="51"/>
  <c r="F46" i="51"/>
  <c r="F42" i="51"/>
  <c r="F77" i="51"/>
  <c r="F73" i="51"/>
  <c r="F104" i="51"/>
  <c r="F103" i="51"/>
  <c r="F96" i="51"/>
  <c r="F95" i="51"/>
  <c r="F84" i="51"/>
  <c r="F83" i="51"/>
  <c r="F68" i="51"/>
  <c r="F64" i="51"/>
  <c r="F60" i="51"/>
  <c r="F59" i="51"/>
  <c r="F67" i="51"/>
  <c r="F63" i="51"/>
  <c r="F100" i="42"/>
  <c r="F72" i="42"/>
  <c r="F71" i="42"/>
  <c r="F64" i="42"/>
  <c r="F28" i="42"/>
  <c r="F123" i="42"/>
  <c r="F115" i="42"/>
  <c r="F111" i="42"/>
  <c r="F107" i="42"/>
  <c r="F95" i="42"/>
  <c r="F83" i="42"/>
  <c r="F82" i="42"/>
  <c r="F55" i="42"/>
  <c r="F51" i="42"/>
  <c r="F47" i="42"/>
  <c r="F136" i="42"/>
  <c r="F90" i="42"/>
  <c r="F74" i="42"/>
  <c r="F73" i="42"/>
  <c r="F42" i="42"/>
  <c r="F38" i="42"/>
  <c r="F117" i="42"/>
  <c r="F116" i="42"/>
  <c r="F101" i="42"/>
  <c r="F97" i="42"/>
  <c r="F96" i="42"/>
  <c r="F85" i="42"/>
  <c r="F84" i="42"/>
  <c r="F65" i="42"/>
  <c r="F57" i="42"/>
  <c r="F56" i="42"/>
  <c r="F29" i="42"/>
  <c r="F124" i="42"/>
  <c r="F112" i="42"/>
  <c r="F108" i="42"/>
  <c r="F92" i="42"/>
  <c r="F91" i="42"/>
  <c r="F76" i="42"/>
  <c r="F75" i="42"/>
  <c r="F103" i="42"/>
  <c r="F102" i="42"/>
  <c r="F87" i="42"/>
  <c r="F86" i="42"/>
  <c r="F59" i="42"/>
  <c r="F58" i="42"/>
  <c r="F126" i="42"/>
  <c r="F125" i="42"/>
  <c r="F118" i="42"/>
  <c r="F98" i="42"/>
  <c r="F66" i="42"/>
  <c r="F33" i="42"/>
  <c r="F113" i="42"/>
  <c r="F109" i="42"/>
  <c r="F93" i="42"/>
  <c r="F77" i="42"/>
  <c r="F61" i="42"/>
  <c r="F60" i="42"/>
  <c r="F53" i="42"/>
  <c r="F49" i="42"/>
  <c r="F129" i="42"/>
  <c r="F120" i="42"/>
  <c r="F119" i="42"/>
  <c r="F104" i="42"/>
  <c r="F88" i="42"/>
  <c r="F68" i="42"/>
  <c r="F67" i="42"/>
  <c r="F130" i="42"/>
  <c r="F128" i="42"/>
  <c r="F99" i="42"/>
  <c r="F79" i="42"/>
  <c r="F78" i="42"/>
  <c r="F63" i="42"/>
  <c r="F62" i="42"/>
  <c r="F27" i="42"/>
  <c r="F26" i="42"/>
  <c r="F131" i="42"/>
  <c r="F122" i="42"/>
  <c r="F121" i="42"/>
  <c r="F114" i="42"/>
  <c r="F110" i="42"/>
  <c r="F106" i="42"/>
  <c r="F105" i="42"/>
  <c r="F94" i="42"/>
  <c r="F70" i="42"/>
  <c r="F69" i="42"/>
  <c r="F54" i="42"/>
  <c r="F50" i="42"/>
  <c r="F132" i="42"/>
  <c r="F89" i="42"/>
  <c r="F81" i="42"/>
  <c r="F80" i="42"/>
  <c r="F43" i="42"/>
  <c r="F41" i="42"/>
  <c r="D31" i="42"/>
  <c r="F31" i="42" s="1"/>
  <c r="F39" i="42"/>
  <c r="F37" i="42"/>
  <c r="F35" i="42"/>
  <c r="L12" i="42"/>
  <c r="N12" i="42" s="1"/>
  <c r="F46" i="42"/>
  <c r="F44" i="42"/>
  <c r="F48" i="42"/>
  <c r="F40" i="42"/>
  <c r="F36" i="42"/>
  <c r="F34" i="42"/>
  <c r="F52" i="42"/>
  <c r="F45" i="42"/>
  <c r="H140" i="36"/>
  <c r="J31" i="36"/>
  <c r="T127" i="27"/>
  <c r="F326" i="3"/>
  <c r="F313" i="3"/>
  <c r="F270" i="3"/>
  <c r="F238" i="3"/>
  <c r="F237" i="3"/>
  <c r="F210" i="3"/>
  <c r="F206" i="3"/>
  <c r="F314" i="3"/>
  <c r="F281" i="3"/>
  <c r="F277" i="3"/>
  <c r="F276" i="3"/>
  <c r="F265" i="3"/>
  <c r="F264" i="3"/>
  <c r="F253" i="3"/>
  <c r="F245" i="3"/>
  <c r="F244" i="3"/>
  <c r="F233" i="3"/>
  <c r="F232" i="3"/>
  <c r="F197" i="3"/>
  <c r="F193" i="3"/>
  <c r="F189" i="3"/>
  <c r="F185" i="3"/>
  <c r="F181" i="3"/>
  <c r="F177" i="3"/>
  <c r="F173" i="3"/>
  <c r="F169" i="3"/>
  <c r="F165" i="3"/>
  <c r="F161" i="3"/>
  <c r="F157" i="3"/>
  <c r="F153" i="3"/>
  <c r="F149" i="3"/>
  <c r="F145" i="3"/>
  <c r="F141" i="3"/>
  <c r="L12" i="3"/>
  <c r="N12" i="3" s="1"/>
  <c r="F315" i="3"/>
  <c r="F304" i="3"/>
  <c r="F296" i="3"/>
  <c r="F292" i="3"/>
  <c r="F288" i="3"/>
  <c r="F272" i="3"/>
  <c r="F271" i="3"/>
  <c r="F224" i="3"/>
  <c r="F220" i="3"/>
  <c r="F216" i="3"/>
  <c r="F331" i="3"/>
  <c r="F330" i="3"/>
  <c r="F316" i="3"/>
  <c r="F267" i="3"/>
  <c r="F266" i="3"/>
  <c r="F255" i="3"/>
  <c r="F254" i="3"/>
  <c r="F247" i="3"/>
  <c r="F246" i="3"/>
  <c r="F239" i="3"/>
  <c r="F211" i="3"/>
  <c r="F207" i="3"/>
  <c r="F317" i="3"/>
  <c r="F298" i="3"/>
  <c r="F297" i="3"/>
  <c r="F282" i="3"/>
  <c r="F278" i="3"/>
  <c r="F234" i="3"/>
  <c r="F226" i="3"/>
  <c r="F225" i="3"/>
  <c r="F198" i="3"/>
  <c r="F194" i="3"/>
  <c r="F190" i="3"/>
  <c r="F186" i="3"/>
  <c r="F182" i="3"/>
  <c r="F178" i="3"/>
  <c r="F174" i="3"/>
  <c r="F170" i="3"/>
  <c r="F166" i="3"/>
  <c r="F162" i="3"/>
  <c r="F158" i="3"/>
  <c r="F154" i="3"/>
  <c r="F150" i="3"/>
  <c r="F146" i="3"/>
  <c r="F142" i="3"/>
  <c r="F208" i="3"/>
  <c r="F318" i="3"/>
  <c r="F305" i="3"/>
  <c r="F293" i="3"/>
  <c r="F289" i="3"/>
  <c r="F273" i="3"/>
  <c r="F257" i="3"/>
  <c r="F256" i="3"/>
  <c r="F249" i="3"/>
  <c r="F248" i="3"/>
  <c r="F241" i="3"/>
  <c r="F240" i="3"/>
  <c r="F221" i="3"/>
  <c r="F217" i="3"/>
  <c r="F319" i="3"/>
  <c r="F284" i="3"/>
  <c r="F283" i="3"/>
  <c r="F268" i="3"/>
  <c r="F228" i="3"/>
  <c r="F227" i="3"/>
  <c r="F212" i="3"/>
  <c r="F204" i="3"/>
  <c r="F203" i="3"/>
  <c r="F320" i="3"/>
  <c r="F307" i="3"/>
  <c r="F306" i="3"/>
  <c r="F299" i="3"/>
  <c r="F279" i="3"/>
  <c r="F259" i="3"/>
  <c r="F258" i="3"/>
  <c r="F235" i="3"/>
  <c r="F202" i="3"/>
  <c r="F195" i="3"/>
  <c r="F191" i="3"/>
  <c r="F187" i="3"/>
  <c r="F183" i="3"/>
  <c r="F179" i="3"/>
  <c r="F175" i="3"/>
  <c r="F171" i="3"/>
  <c r="F167" i="3"/>
  <c r="F163" i="3"/>
  <c r="F159" i="3"/>
  <c r="F155" i="3"/>
  <c r="F151" i="3"/>
  <c r="F147" i="3"/>
  <c r="F143" i="3"/>
  <c r="F139" i="3"/>
  <c r="F138" i="3"/>
  <c r="F321" i="3"/>
  <c r="F294" i="3"/>
  <c r="F290" i="3"/>
  <c r="F274" i="3"/>
  <c r="F250" i="3"/>
  <c r="F242" i="3"/>
  <c r="F222" i="3"/>
  <c r="F218" i="3"/>
  <c r="D200" i="3"/>
  <c r="F200" i="3" s="1"/>
  <c r="F312" i="3"/>
  <c r="F303" i="3"/>
  <c r="F302" i="3"/>
  <c r="F295" i="3"/>
  <c r="F291" i="3"/>
  <c r="F287" i="3"/>
  <c r="F286" i="3"/>
  <c r="F275" i="3"/>
  <c r="F263" i="3"/>
  <c r="F262" i="3"/>
  <c r="F243" i="3"/>
  <c r="F231" i="3"/>
  <c r="F230" i="3"/>
  <c r="F223" i="3"/>
  <c r="F219" i="3"/>
  <c r="F215" i="3"/>
  <c r="F214" i="3"/>
  <c r="F213" i="3"/>
  <c r="F252" i="3"/>
  <c r="F311" i="3"/>
  <c r="F309" i="3"/>
  <c r="F251" i="3"/>
  <c r="F236" i="3"/>
  <c r="F205" i="3"/>
  <c r="F310" i="3"/>
  <c r="F261" i="3"/>
  <c r="F196" i="3"/>
  <c r="F192" i="3"/>
  <c r="F188" i="3"/>
  <c r="F184" i="3"/>
  <c r="F180" i="3"/>
  <c r="F176" i="3"/>
  <c r="F172" i="3"/>
  <c r="F168" i="3"/>
  <c r="F164" i="3"/>
  <c r="F160" i="3"/>
  <c r="F156" i="3"/>
  <c r="F152" i="3"/>
  <c r="F148" i="3"/>
  <c r="F144" i="3"/>
  <c r="F140" i="3"/>
  <c r="F301" i="3"/>
  <c r="F229" i="3"/>
  <c r="F269" i="3"/>
  <c r="F322" i="3"/>
  <c r="F285" i="3"/>
  <c r="F300" i="3"/>
  <c r="F260" i="3"/>
  <c r="F280" i="3"/>
  <c r="F209" i="3"/>
  <c r="T26" i="6"/>
  <c r="Z22" i="6"/>
  <c r="T27" i="112"/>
  <c r="Z18" i="112"/>
  <c r="H27" i="112"/>
  <c r="N18" i="112"/>
  <c r="D27" i="52"/>
  <c r="L18" i="52"/>
  <c r="T27" i="46"/>
  <c r="Z18" i="46"/>
  <c r="T27" i="35"/>
  <c r="Z18" i="35"/>
  <c r="T27" i="17"/>
  <c r="Z18" i="17"/>
  <c r="H27" i="13"/>
  <c r="N18" i="13"/>
  <c r="H27" i="16"/>
  <c r="N18" i="16"/>
  <c r="T27" i="7"/>
  <c r="Z18" i="7"/>
  <c r="H27" i="8"/>
  <c r="N18" i="8"/>
  <c r="T27" i="4"/>
  <c r="Z18" i="4"/>
  <c r="Z27" i="32" l="1"/>
  <c r="T31" i="32"/>
  <c r="X27" i="52"/>
  <c r="P31" i="52"/>
  <c r="N27" i="43"/>
  <c r="H31" i="43"/>
  <c r="T31" i="49"/>
  <c r="Z27" i="49"/>
  <c r="N27" i="13"/>
  <c r="H31" i="13"/>
  <c r="H144" i="36"/>
  <c r="J140" i="36"/>
  <c r="X27" i="26"/>
  <c r="P31" i="26"/>
  <c r="Z27" i="46"/>
  <c r="T31" i="46"/>
  <c r="H86" i="80"/>
  <c r="J82" i="80"/>
  <c r="D31" i="113"/>
  <c r="L27" i="113"/>
  <c r="T113" i="33"/>
  <c r="V109" i="33"/>
  <c r="T130" i="75"/>
  <c r="V127" i="75"/>
  <c r="T89" i="94"/>
  <c r="V85" i="94"/>
  <c r="Z27" i="34"/>
  <c r="T31" i="34"/>
  <c r="N27" i="47"/>
  <c r="H31" i="47"/>
  <c r="T116" i="51"/>
  <c r="V112" i="51"/>
  <c r="H83" i="70"/>
  <c r="J79" i="70"/>
  <c r="P90" i="95"/>
  <c r="X86" i="95"/>
  <c r="Z86" i="95" s="1"/>
  <c r="R86" i="95"/>
  <c r="J87" i="101"/>
  <c r="T289" i="12"/>
  <c r="V285" i="12"/>
  <c r="X96" i="84"/>
  <c r="Z96" i="84" s="1"/>
  <c r="P100" i="84"/>
  <c r="R96" i="84"/>
  <c r="D31" i="112"/>
  <c r="L27" i="112"/>
  <c r="T83" i="110"/>
  <c r="V80" i="110"/>
  <c r="X85" i="94"/>
  <c r="Z85" i="94" s="1"/>
  <c r="P89" i="94"/>
  <c r="R85" i="94"/>
  <c r="N27" i="19"/>
  <c r="H31" i="19"/>
  <c r="T31" i="28"/>
  <c r="Z27" i="28"/>
  <c r="N27" i="53"/>
  <c r="H31" i="53"/>
  <c r="H83" i="48"/>
  <c r="J80" i="48"/>
  <c r="P143" i="24"/>
  <c r="X82" i="24"/>
  <c r="Z82" i="24" s="1"/>
  <c r="D82" i="80"/>
  <c r="L22" i="80"/>
  <c r="N22" i="80" s="1"/>
  <c r="P145" i="39"/>
  <c r="X37" i="39"/>
  <c r="Z37" i="39" s="1"/>
  <c r="H116" i="51"/>
  <c r="J112" i="51"/>
  <c r="H78" i="79"/>
  <c r="J74" i="79"/>
  <c r="D97" i="106"/>
  <c r="L93" i="106"/>
  <c r="N93" i="106" s="1"/>
  <c r="F93" i="106"/>
  <c r="N27" i="22"/>
  <c r="H31" i="22"/>
  <c r="H85" i="56"/>
  <c r="D74" i="79"/>
  <c r="L27" i="79"/>
  <c r="N27" i="79" s="1"/>
  <c r="L27" i="13"/>
  <c r="D31" i="13"/>
  <c r="P66" i="61"/>
  <c r="X62" i="61"/>
  <c r="Z62" i="61" s="1"/>
  <c r="X27" i="53"/>
  <c r="P31" i="53"/>
  <c r="X65" i="68"/>
  <c r="Z65" i="68" s="1"/>
  <c r="P69" i="68"/>
  <c r="X27" i="28"/>
  <c r="P31" i="28"/>
  <c r="Z27" i="41"/>
  <c r="T31" i="41"/>
  <c r="H96" i="76"/>
  <c r="J92" i="76"/>
  <c r="T31" i="8"/>
  <c r="Z27" i="8"/>
  <c r="D92" i="104"/>
  <c r="L23" i="104"/>
  <c r="N23" i="104" s="1"/>
  <c r="L103" i="96"/>
  <c r="N103" i="96" s="1"/>
  <c r="D107" i="96"/>
  <c r="F103" i="96"/>
  <c r="D97" i="102"/>
  <c r="L25" i="102"/>
  <c r="N25" i="102" s="1"/>
  <c r="P31" i="16"/>
  <c r="X27" i="16"/>
  <c r="D127" i="27"/>
  <c r="L61" i="27"/>
  <c r="N61" i="27" s="1"/>
  <c r="T134" i="71"/>
  <c r="V131" i="71"/>
  <c r="D85" i="94"/>
  <c r="L23" i="94"/>
  <c r="N23" i="94" s="1"/>
  <c r="T26" i="54"/>
  <c r="Z22" i="54"/>
  <c r="P127" i="71"/>
  <c r="X61" i="71"/>
  <c r="Z61" i="71" s="1"/>
  <c r="T86" i="80"/>
  <c r="V82" i="80"/>
  <c r="X22" i="96"/>
  <c r="Z22" i="96" s="1"/>
  <c r="P103" i="96"/>
  <c r="H31" i="35"/>
  <c r="N27" i="35"/>
  <c r="P140" i="36"/>
  <c r="X31" i="36"/>
  <c r="Z31" i="36" s="1"/>
  <c r="H85" i="57"/>
  <c r="P26" i="6"/>
  <c r="X22" i="6"/>
  <c r="T122" i="21"/>
  <c r="V118" i="21"/>
  <c r="P109" i="33"/>
  <c r="X41" i="33"/>
  <c r="Z41" i="33" s="1"/>
  <c r="Z53" i="99"/>
  <c r="T57" i="99"/>
  <c r="P289" i="12"/>
  <c r="X285" i="12"/>
  <c r="Z285" i="12" s="1"/>
  <c r="R285" i="12"/>
  <c r="H122" i="21"/>
  <c r="J118" i="21"/>
  <c r="D104" i="74"/>
  <c r="L100" i="74"/>
  <c r="F100" i="74"/>
  <c r="P59" i="100"/>
  <c r="X55" i="100"/>
  <c r="L118" i="21"/>
  <c r="N118" i="21" s="1"/>
  <c r="D122" i="21"/>
  <c r="F118" i="21"/>
  <c r="Z27" i="53"/>
  <c r="T31" i="53"/>
  <c r="X27" i="29"/>
  <c r="P31" i="29"/>
  <c r="N27" i="46"/>
  <c r="H31" i="46"/>
  <c r="D300" i="18"/>
  <c r="L188" i="18"/>
  <c r="N188" i="18" s="1"/>
  <c r="H138" i="42"/>
  <c r="J134" i="42"/>
  <c r="T107" i="74"/>
  <c r="V104" i="74"/>
  <c r="L27" i="19"/>
  <c r="D31" i="19"/>
  <c r="D102" i="9"/>
  <c r="L17" i="9"/>
  <c r="L22" i="54"/>
  <c r="D26" i="54"/>
  <c r="P123" i="75"/>
  <c r="X54" i="75"/>
  <c r="Z54" i="75" s="1"/>
  <c r="T99" i="108"/>
  <c r="V95" i="108"/>
  <c r="D57" i="99"/>
  <c r="L53" i="99"/>
  <c r="F53" i="99"/>
  <c r="L27" i="37"/>
  <c r="D31" i="37"/>
  <c r="L163" i="15"/>
  <c r="N163" i="15" s="1"/>
  <c r="D272" i="15"/>
  <c r="J35" i="83"/>
  <c r="H37" i="55"/>
  <c r="N27" i="38"/>
  <c r="H31" i="38"/>
  <c r="L27" i="23"/>
  <c r="D31" i="23"/>
  <c r="H116" i="77"/>
  <c r="J112" i="77"/>
  <c r="T82" i="57"/>
  <c r="N27" i="16"/>
  <c r="H31" i="16"/>
  <c r="H31" i="112"/>
  <c r="N27" i="112"/>
  <c r="T80" i="48"/>
  <c r="Z76" i="48"/>
  <c r="V76" i="48"/>
  <c r="T134" i="69"/>
  <c r="V130" i="69"/>
  <c r="L54" i="75"/>
  <c r="N54" i="75" s="1"/>
  <c r="D123" i="75"/>
  <c r="T88" i="81"/>
  <c r="V84" i="81"/>
  <c r="N27" i="20"/>
  <c r="H31" i="20"/>
  <c r="N27" i="37"/>
  <c r="H31" i="37"/>
  <c r="X27" i="32"/>
  <c r="P31" i="32"/>
  <c r="P31" i="50"/>
  <c r="X27" i="50"/>
  <c r="T96" i="76"/>
  <c r="V92" i="76"/>
  <c r="H93" i="95"/>
  <c r="J90" i="95"/>
  <c r="L27" i="38"/>
  <c r="D31" i="38"/>
  <c r="Z27" i="25"/>
  <c r="T31" i="25"/>
  <c r="H31" i="11"/>
  <c r="N27" i="11"/>
  <c r="H31" i="28"/>
  <c r="N27" i="28"/>
  <c r="H31" i="113"/>
  <c r="N27" i="113"/>
  <c r="V103" i="84"/>
  <c r="T94" i="93"/>
  <c r="V90" i="93"/>
  <c r="L27" i="14"/>
  <c r="D31" i="14"/>
  <c r="F188" i="18"/>
  <c r="R37" i="39"/>
  <c r="X84" i="81"/>
  <c r="Z84" i="81" s="1"/>
  <c r="P88" i="81"/>
  <c r="R84" i="81"/>
  <c r="Z27" i="44"/>
  <c r="T31" i="44"/>
  <c r="H113" i="33"/>
  <c r="J109" i="33"/>
  <c r="T106" i="9"/>
  <c r="V102" i="9"/>
  <c r="P94" i="93"/>
  <c r="X90" i="93"/>
  <c r="Z90" i="93" s="1"/>
  <c r="R90" i="93"/>
  <c r="X99" i="108"/>
  <c r="P102" i="108"/>
  <c r="R99" i="108"/>
  <c r="X27" i="5"/>
  <c r="P31" i="5"/>
  <c r="L37" i="39"/>
  <c r="N37" i="39" s="1"/>
  <c r="D145" i="39"/>
  <c r="T31" i="50"/>
  <c r="Z27" i="50"/>
  <c r="T37" i="55"/>
  <c r="L96" i="92"/>
  <c r="D100" i="92"/>
  <c r="N27" i="25"/>
  <c r="H31" i="25"/>
  <c r="X27" i="37"/>
  <c r="P31" i="37"/>
  <c r="L69" i="30"/>
  <c r="N69" i="30" s="1"/>
  <c r="D157" i="30"/>
  <c r="D96" i="84"/>
  <c r="L22" i="84"/>
  <c r="N22" i="84" s="1"/>
  <c r="Z27" i="19"/>
  <c r="T31" i="19"/>
  <c r="N22" i="6"/>
  <c r="H26" i="6"/>
  <c r="P134" i="42"/>
  <c r="X31" i="42"/>
  <c r="Z31" i="42" s="1"/>
  <c r="X74" i="79"/>
  <c r="Z74" i="79" s="1"/>
  <c r="P78" i="79"/>
  <c r="R74" i="79"/>
  <c r="D112" i="51"/>
  <c r="L56" i="51"/>
  <c r="N56" i="51" s="1"/>
  <c r="L20" i="86"/>
  <c r="N20" i="86" s="1"/>
  <c r="D32" i="86"/>
  <c r="X27" i="7"/>
  <c r="P31" i="7"/>
  <c r="L27" i="46"/>
  <c r="D31" i="46"/>
  <c r="H304" i="18"/>
  <c r="J300" i="18"/>
  <c r="T101" i="102"/>
  <c r="V97" i="102"/>
  <c r="L27" i="26"/>
  <c r="D31" i="26"/>
  <c r="H81" i="59"/>
  <c r="T59" i="100"/>
  <c r="Z55" i="100"/>
  <c r="P31" i="22"/>
  <c r="X27" i="22"/>
  <c r="X22" i="54"/>
  <c r="X53" i="99"/>
  <c r="P57" i="99"/>
  <c r="R53" i="99"/>
  <c r="D65" i="105"/>
  <c r="L23" i="105"/>
  <c r="N23" i="105" s="1"/>
  <c r="L27" i="16"/>
  <c r="D31" i="16"/>
  <c r="L27" i="34"/>
  <c r="D31" i="34"/>
  <c r="L27" i="111"/>
  <c r="D31" i="111"/>
  <c r="H131" i="27"/>
  <c r="J127" i="27"/>
  <c r="T69" i="68"/>
  <c r="Z27" i="43"/>
  <c r="T31" i="43"/>
  <c r="P31" i="13"/>
  <c r="X27" i="13"/>
  <c r="T304" i="18"/>
  <c r="V300" i="18"/>
  <c r="N104" i="45"/>
  <c r="H108" i="45"/>
  <c r="J104" i="45"/>
  <c r="Z27" i="47"/>
  <c r="T31" i="47"/>
  <c r="T35" i="83"/>
  <c r="V32" i="83"/>
  <c r="L27" i="20"/>
  <c r="D31" i="20"/>
  <c r="D37" i="55"/>
  <c r="L33" i="55"/>
  <c r="N33" i="55" s="1"/>
  <c r="H134" i="69"/>
  <c r="J130" i="69"/>
  <c r="X46" i="109"/>
  <c r="Z46" i="109" s="1"/>
  <c r="P50" i="109"/>
  <c r="T50" i="109"/>
  <c r="H31" i="40"/>
  <c r="N27" i="40"/>
  <c r="H161" i="30"/>
  <c r="J157" i="30"/>
  <c r="X95" i="108"/>
  <c r="Z95" i="108" s="1"/>
  <c r="H31" i="41"/>
  <c r="N27" i="41"/>
  <c r="L78" i="57"/>
  <c r="N78" i="57" s="1"/>
  <c r="D82" i="57"/>
  <c r="D79" i="70"/>
  <c r="L22" i="70"/>
  <c r="N22" i="70" s="1"/>
  <c r="D99" i="108"/>
  <c r="L95" i="108"/>
  <c r="F95" i="108"/>
  <c r="T147" i="24"/>
  <c r="V143" i="24"/>
  <c r="H115" i="64"/>
  <c r="H99" i="104"/>
  <c r="J96" i="104"/>
  <c r="X30" i="21"/>
  <c r="Z30" i="21" s="1"/>
  <c r="P118" i="21"/>
  <c r="H137" i="85"/>
  <c r="J134" i="85"/>
  <c r="N27" i="4"/>
  <c r="H31" i="4"/>
  <c r="P31" i="54"/>
  <c r="X26" i="54"/>
  <c r="V110" i="96"/>
  <c r="X92" i="76"/>
  <c r="Z92" i="76" s="1"/>
  <c r="P96" i="76"/>
  <c r="R92" i="76"/>
  <c r="T102" i="98"/>
  <c r="V98" i="98"/>
  <c r="P65" i="105"/>
  <c r="X23" i="105"/>
  <c r="Z23" i="105" s="1"/>
  <c r="L27" i="44"/>
  <c r="D31" i="44"/>
  <c r="X61" i="60"/>
  <c r="P65" i="60"/>
  <c r="H110" i="96"/>
  <c r="J107" i="96"/>
  <c r="P97" i="102"/>
  <c r="X25" i="102"/>
  <c r="Z25" i="102" s="1"/>
  <c r="T96" i="104"/>
  <c r="Z92" i="104"/>
  <c r="V92" i="104"/>
  <c r="Z27" i="40"/>
  <c r="T31" i="40"/>
  <c r="T328" i="3"/>
  <c r="V324" i="3"/>
  <c r="H90" i="73"/>
  <c r="J86" i="73"/>
  <c r="L27" i="49"/>
  <c r="D31" i="49"/>
  <c r="D78" i="59"/>
  <c r="L74" i="59"/>
  <c r="N74" i="59" s="1"/>
  <c r="L27" i="50"/>
  <c r="D31" i="50"/>
  <c r="T92" i="89"/>
  <c r="V88" i="89"/>
  <c r="X27" i="34"/>
  <c r="P31" i="34"/>
  <c r="P112" i="51"/>
  <c r="X56" i="51"/>
  <c r="Z56" i="51" s="1"/>
  <c r="Z27" i="111"/>
  <c r="T31" i="111"/>
  <c r="N27" i="23"/>
  <c r="H31" i="23"/>
  <c r="N27" i="7"/>
  <c r="H31" i="7"/>
  <c r="X23" i="89"/>
  <c r="Z23" i="89" s="1"/>
  <c r="P88" i="89"/>
  <c r="L27" i="5"/>
  <c r="D31" i="5"/>
  <c r="D140" i="36"/>
  <c r="L31" i="36"/>
  <c r="N31" i="36" s="1"/>
  <c r="P83" i="48"/>
  <c r="X80" i="48"/>
  <c r="R80" i="48"/>
  <c r="P100" i="92"/>
  <c r="X96" i="92"/>
  <c r="Z96" i="92" s="1"/>
  <c r="L27" i="4"/>
  <c r="D31" i="4"/>
  <c r="T116" i="77"/>
  <c r="V112" i="77"/>
  <c r="Z27" i="10"/>
  <c r="T31" i="10"/>
  <c r="D31" i="41"/>
  <c r="L27" i="41"/>
  <c r="T65" i="60"/>
  <c r="Z61" i="60"/>
  <c r="T36" i="86"/>
  <c r="V32" i="86"/>
  <c r="H31" i="32"/>
  <c r="N27" i="32"/>
  <c r="N27" i="49"/>
  <c r="H31" i="49"/>
  <c r="D66" i="61"/>
  <c r="L62" i="61"/>
  <c r="N62" i="61" s="1"/>
  <c r="H107" i="88"/>
  <c r="J104" i="88"/>
  <c r="D31" i="40"/>
  <c r="L27" i="40"/>
  <c r="P82" i="57"/>
  <c r="X78" i="57"/>
  <c r="Z78" i="57" s="1"/>
  <c r="X63" i="103"/>
  <c r="P67" i="103"/>
  <c r="H276" i="15"/>
  <c r="J272" i="15"/>
  <c r="D85" i="56"/>
  <c r="L81" i="56"/>
  <c r="N81" i="56" s="1"/>
  <c r="D31" i="32"/>
  <c r="L27" i="32"/>
  <c r="T161" i="30"/>
  <c r="V157" i="30"/>
  <c r="L77" i="58"/>
  <c r="N77" i="58" s="1"/>
  <c r="D81" i="58"/>
  <c r="H89" i="94"/>
  <c r="J85" i="94"/>
  <c r="Z27" i="11"/>
  <c r="T31" i="11"/>
  <c r="T90" i="95"/>
  <c r="V86" i="95"/>
  <c r="L27" i="7"/>
  <c r="D31" i="7"/>
  <c r="H88" i="81"/>
  <c r="J84" i="81"/>
  <c r="H69" i="105"/>
  <c r="J65" i="105"/>
  <c r="D31" i="52"/>
  <c r="L27" i="52"/>
  <c r="P31" i="19"/>
  <c r="X27" i="19"/>
  <c r="T108" i="45"/>
  <c r="V104" i="45"/>
  <c r="T31" i="17"/>
  <c r="Z27" i="17"/>
  <c r="T31" i="6"/>
  <c r="Z26" i="6"/>
  <c r="T131" i="27"/>
  <c r="V127" i="27"/>
  <c r="P31" i="14"/>
  <c r="X27" i="14"/>
  <c r="F25" i="102"/>
  <c r="L27" i="25"/>
  <c r="D31" i="25"/>
  <c r="H31" i="31"/>
  <c r="N27" i="31"/>
  <c r="N27" i="52"/>
  <c r="H31" i="52"/>
  <c r="T69" i="61"/>
  <c r="P31" i="43"/>
  <c r="X27" i="43"/>
  <c r="D28" i="83"/>
  <c r="L22" i="83"/>
  <c r="N22" i="83" s="1"/>
  <c r="P31" i="23"/>
  <c r="X27" i="23"/>
  <c r="H101" i="102"/>
  <c r="J97" i="102"/>
  <c r="N27" i="10"/>
  <c r="H31" i="10"/>
  <c r="T31" i="26"/>
  <c r="Z27" i="26"/>
  <c r="D285" i="12"/>
  <c r="L168" i="12"/>
  <c r="N168" i="12" s="1"/>
  <c r="L23" i="101"/>
  <c r="N23" i="101" s="1"/>
  <c r="D80" i="101"/>
  <c r="T31" i="20"/>
  <c r="Z27" i="20"/>
  <c r="N27" i="111"/>
  <c r="H31" i="111"/>
  <c r="D143" i="24"/>
  <c r="L82" i="24"/>
  <c r="N82" i="24" s="1"/>
  <c r="R23" i="105"/>
  <c r="X27" i="47"/>
  <c r="P31" i="47"/>
  <c r="X61" i="27"/>
  <c r="Z61" i="27" s="1"/>
  <c r="P127" i="27"/>
  <c r="D92" i="89"/>
  <c r="L88" i="89"/>
  <c r="N88" i="89" s="1"/>
  <c r="F88" i="89"/>
  <c r="H67" i="103"/>
  <c r="T31" i="13"/>
  <c r="Z27" i="13"/>
  <c r="H81" i="58"/>
  <c r="T107" i="88"/>
  <c r="V104" i="88"/>
  <c r="F22" i="84"/>
  <c r="D100" i="88"/>
  <c r="L22" i="88"/>
  <c r="N22" i="88" s="1"/>
  <c r="X27" i="112"/>
  <c r="P31" i="112"/>
  <c r="P112" i="77"/>
  <c r="X56" i="77"/>
  <c r="Z56" i="77" s="1"/>
  <c r="P31" i="8"/>
  <c r="X27" i="8"/>
  <c r="X27" i="113"/>
  <c r="P31" i="113"/>
  <c r="X76" i="110"/>
  <c r="Z76" i="110" s="1"/>
  <c r="P80" i="110"/>
  <c r="R76" i="110"/>
  <c r="Z27" i="37"/>
  <c r="T31" i="37"/>
  <c r="D69" i="68"/>
  <c r="L65" i="68"/>
  <c r="N65" i="68" s="1"/>
  <c r="Z27" i="113"/>
  <c r="T31" i="113"/>
  <c r="N27" i="14"/>
  <c r="H31" i="14"/>
  <c r="Z27" i="112"/>
  <c r="T31" i="112"/>
  <c r="T31" i="23"/>
  <c r="Z27" i="23"/>
  <c r="X27" i="25"/>
  <c r="P31" i="25"/>
  <c r="X27" i="31"/>
  <c r="P31" i="31"/>
  <c r="L27" i="43"/>
  <c r="D31" i="43"/>
  <c r="P81" i="58"/>
  <c r="X77" i="58"/>
  <c r="Z77" i="58" s="1"/>
  <c r="H131" i="71"/>
  <c r="J127" i="71"/>
  <c r="Z27" i="5"/>
  <c r="T31" i="5"/>
  <c r="H69" i="61"/>
  <c r="T100" i="92"/>
  <c r="L59" i="100"/>
  <c r="N59" i="100" s="1"/>
  <c r="D62" i="100"/>
  <c r="L62" i="100" s="1"/>
  <c r="N62" i="100" s="1"/>
  <c r="X96" i="104"/>
  <c r="P99" i="104"/>
  <c r="R96" i="104"/>
  <c r="N27" i="50"/>
  <c r="H31" i="50"/>
  <c r="L61" i="71"/>
  <c r="N61" i="71" s="1"/>
  <c r="D127" i="71"/>
  <c r="L27" i="17"/>
  <c r="D31" i="17"/>
  <c r="X75" i="69"/>
  <c r="Z75" i="69" s="1"/>
  <c r="P130" i="69"/>
  <c r="Z63" i="103"/>
  <c r="T67" i="103"/>
  <c r="H68" i="60"/>
  <c r="D88" i="81"/>
  <c r="L84" i="81"/>
  <c r="N84" i="81" s="1"/>
  <c r="F84" i="81"/>
  <c r="T31" i="16"/>
  <c r="Z27" i="16"/>
  <c r="T83" i="70"/>
  <c r="V79" i="70"/>
  <c r="X27" i="35"/>
  <c r="P31" i="35"/>
  <c r="F23" i="104"/>
  <c r="H147" i="24"/>
  <c r="J143" i="24"/>
  <c r="T112" i="64"/>
  <c r="H127" i="75"/>
  <c r="J123" i="75"/>
  <c r="H149" i="39"/>
  <c r="J145" i="39"/>
  <c r="H50" i="109"/>
  <c r="X27" i="38"/>
  <c r="P31" i="38"/>
  <c r="T78" i="59"/>
  <c r="V74" i="59"/>
  <c r="P97" i="106"/>
  <c r="X93" i="106"/>
  <c r="R93" i="106"/>
  <c r="L76" i="48"/>
  <c r="N76" i="48" s="1"/>
  <c r="D80" i="48"/>
  <c r="F76" i="48"/>
  <c r="D90" i="73"/>
  <c r="L86" i="73"/>
  <c r="N86" i="73" s="1"/>
  <c r="F86" i="73"/>
  <c r="D94" i="93"/>
  <c r="L90" i="93"/>
  <c r="F90" i="93"/>
  <c r="Z27" i="4"/>
  <c r="T31" i="4"/>
  <c r="Z27" i="35"/>
  <c r="T31" i="35"/>
  <c r="F54" i="75"/>
  <c r="H103" i="84"/>
  <c r="J100" i="84"/>
  <c r="R23" i="89"/>
  <c r="P102" i="98"/>
  <c r="X98" i="98"/>
  <c r="Z98" i="98" s="1"/>
  <c r="R98" i="98"/>
  <c r="H31" i="5"/>
  <c r="N27" i="5"/>
  <c r="F163" i="15"/>
  <c r="D109" i="33"/>
  <c r="L41" i="33"/>
  <c r="N41" i="33" s="1"/>
  <c r="D130" i="85"/>
  <c r="L54" i="85"/>
  <c r="N54" i="85" s="1"/>
  <c r="T137" i="85"/>
  <c r="V134" i="85"/>
  <c r="F23" i="94"/>
  <c r="D86" i="95"/>
  <c r="L23" i="95"/>
  <c r="N23" i="95" s="1"/>
  <c r="L27" i="53"/>
  <c r="D31" i="53"/>
  <c r="L27" i="8"/>
  <c r="D31" i="8"/>
  <c r="L27" i="47"/>
  <c r="D31" i="47"/>
  <c r="T144" i="36"/>
  <c r="V140" i="36"/>
  <c r="R61" i="71"/>
  <c r="X54" i="74"/>
  <c r="Z54" i="74" s="1"/>
  <c r="P100" i="74"/>
  <c r="X27" i="11"/>
  <c r="P31" i="11"/>
  <c r="P31" i="49"/>
  <c r="X27" i="49"/>
  <c r="D67" i="103"/>
  <c r="L63" i="103"/>
  <c r="N63" i="103" s="1"/>
  <c r="Z27" i="31"/>
  <c r="T31" i="31"/>
  <c r="H289" i="12"/>
  <c r="J285" i="12"/>
  <c r="P157" i="30"/>
  <c r="X69" i="30"/>
  <c r="Z69" i="30" s="1"/>
  <c r="H39" i="86"/>
  <c r="J36" i="86"/>
  <c r="N27" i="17"/>
  <c r="H31" i="17"/>
  <c r="P31" i="44"/>
  <c r="X27" i="44"/>
  <c r="F82" i="24"/>
  <c r="D102" i="98"/>
  <c r="L98" i="98"/>
  <c r="F98" i="98"/>
  <c r="T72" i="105"/>
  <c r="V69" i="105"/>
  <c r="F69" i="30"/>
  <c r="P85" i="56"/>
  <c r="X81" i="56"/>
  <c r="Z81" i="56" s="1"/>
  <c r="P80" i="101"/>
  <c r="X23" i="101"/>
  <c r="Z23" i="101" s="1"/>
  <c r="N27" i="34"/>
  <c r="H31" i="34"/>
  <c r="H31" i="54"/>
  <c r="N26" i="54"/>
  <c r="P104" i="88"/>
  <c r="X100" i="88"/>
  <c r="Z100" i="88" s="1"/>
  <c r="R100" i="88"/>
  <c r="Z27" i="14"/>
  <c r="T31" i="14"/>
  <c r="X37" i="55"/>
  <c r="P40" i="55"/>
  <c r="F22" i="70"/>
  <c r="D130" i="69"/>
  <c r="L75" i="69"/>
  <c r="N75" i="69" s="1"/>
  <c r="X36" i="86"/>
  <c r="P39" i="86"/>
  <c r="R36" i="86"/>
  <c r="T31" i="7"/>
  <c r="Z27" i="7"/>
  <c r="P31" i="41"/>
  <c r="X27" i="41"/>
  <c r="H104" i="74"/>
  <c r="N100" i="74"/>
  <c r="J100" i="74"/>
  <c r="D31" i="31"/>
  <c r="L27" i="31"/>
  <c r="L22" i="6"/>
  <c r="D26" i="6"/>
  <c r="F31" i="36"/>
  <c r="D108" i="45"/>
  <c r="L104" i="45"/>
  <c r="F104" i="45"/>
  <c r="P28" i="83"/>
  <c r="X22" i="83"/>
  <c r="Z22" i="83" s="1"/>
  <c r="H31" i="29"/>
  <c r="N27" i="29"/>
  <c r="P108" i="45"/>
  <c r="X104" i="45"/>
  <c r="Z104" i="45" s="1"/>
  <c r="R104" i="45"/>
  <c r="H100" i="92"/>
  <c r="N96" i="92"/>
  <c r="H328" i="3"/>
  <c r="J324" i="3"/>
  <c r="R75" i="69"/>
  <c r="P86" i="73"/>
  <c r="X26" i="73"/>
  <c r="Z26" i="73" s="1"/>
  <c r="T78" i="79"/>
  <c r="V74" i="79"/>
  <c r="Z93" i="106"/>
  <c r="T97" i="106"/>
  <c r="V93" i="106"/>
  <c r="T81" i="58"/>
  <c r="H92" i="89"/>
  <c r="J88" i="89"/>
  <c r="T31" i="22"/>
  <c r="Z27" i="22"/>
  <c r="N27" i="44"/>
  <c r="H31" i="44"/>
  <c r="T138" i="42"/>
  <c r="V134" i="42"/>
  <c r="P130" i="85"/>
  <c r="X54" i="85"/>
  <c r="Z54" i="85" s="1"/>
  <c r="R25" i="102"/>
  <c r="D31" i="29"/>
  <c r="L27" i="29"/>
  <c r="P86" i="80"/>
  <c r="X82" i="80"/>
  <c r="Z82" i="80" s="1"/>
  <c r="R82" i="80"/>
  <c r="X27" i="40"/>
  <c r="P31" i="40"/>
  <c r="P78" i="59"/>
  <c r="X74" i="59"/>
  <c r="Z74" i="59" s="1"/>
  <c r="D112" i="77"/>
  <c r="L56" i="77"/>
  <c r="N56" i="77" s="1"/>
  <c r="H102" i="98"/>
  <c r="N98" i="98"/>
  <c r="J98" i="98"/>
  <c r="Z27" i="29"/>
  <c r="T31" i="29"/>
  <c r="R31" i="42"/>
  <c r="D76" i="110"/>
  <c r="L17" i="110"/>
  <c r="N17" i="110" s="1"/>
  <c r="L27" i="11"/>
  <c r="D31" i="11"/>
  <c r="L27" i="22"/>
  <c r="D31" i="22"/>
  <c r="X33" i="55"/>
  <c r="Z33" i="55" s="1"/>
  <c r="X79" i="70"/>
  <c r="Z79" i="70" s="1"/>
  <c r="P83" i="70"/>
  <c r="R79" i="70"/>
  <c r="X32" i="86"/>
  <c r="Z32" i="86" s="1"/>
  <c r="V279" i="15"/>
  <c r="P31" i="17"/>
  <c r="X27" i="17"/>
  <c r="P324" i="3"/>
  <c r="X200" i="3"/>
  <c r="Z200" i="3" s="1"/>
  <c r="N27" i="8"/>
  <c r="H31" i="8"/>
  <c r="D324" i="3"/>
  <c r="L200" i="3"/>
  <c r="N200" i="3" s="1"/>
  <c r="D134" i="42"/>
  <c r="L31" i="42"/>
  <c r="N31" i="42" s="1"/>
  <c r="D112" i="64"/>
  <c r="L108" i="64"/>
  <c r="N108" i="64" s="1"/>
  <c r="T84" i="101"/>
  <c r="V80" i="101"/>
  <c r="X27" i="20"/>
  <c r="P31" i="20"/>
  <c r="Z27" i="52"/>
  <c r="T31" i="52"/>
  <c r="L61" i="60"/>
  <c r="N61" i="60" s="1"/>
  <c r="D65" i="60"/>
  <c r="P300" i="18"/>
  <c r="X188" i="18"/>
  <c r="Z188" i="18" s="1"/>
  <c r="R22" i="83"/>
  <c r="R22" i="96"/>
  <c r="L27" i="10"/>
  <c r="D31" i="10"/>
  <c r="L27" i="35"/>
  <c r="D31" i="35"/>
  <c r="F61" i="71"/>
  <c r="H100" i="106"/>
  <c r="J97" i="106"/>
  <c r="N27" i="26"/>
  <c r="H31" i="26"/>
  <c r="X27" i="111"/>
  <c r="P31" i="111"/>
  <c r="P112" i="64"/>
  <c r="X108" i="64"/>
  <c r="Z108" i="64" s="1"/>
  <c r="X27" i="4"/>
  <c r="P31" i="4"/>
  <c r="D31" i="28"/>
  <c r="L27" i="28"/>
  <c r="X27" i="46"/>
  <c r="P31" i="46"/>
  <c r="V93" i="73"/>
  <c r="R54" i="85"/>
  <c r="H99" i="108"/>
  <c r="N95" i="108"/>
  <c r="J95" i="108"/>
  <c r="X27" i="10"/>
  <c r="P31" i="10"/>
  <c r="L46" i="109"/>
  <c r="N46" i="109" s="1"/>
  <c r="D50" i="109"/>
  <c r="H94" i="93"/>
  <c r="N90" i="93"/>
  <c r="J90" i="93"/>
  <c r="X102" i="9"/>
  <c r="Z102" i="9" s="1"/>
  <c r="P106" i="9"/>
  <c r="T149" i="39"/>
  <c r="V145" i="39"/>
  <c r="N57" i="99"/>
  <c r="H60" i="99"/>
  <c r="N60" i="99" s="1"/>
  <c r="Z27" i="38"/>
  <c r="T31" i="38"/>
  <c r="X163" i="15"/>
  <c r="Z163" i="15" s="1"/>
  <c r="P272" i="15"/>
  <c r="D92" i="76"/>
  <c r="L32" i="76"/>
  <c r="N32" i="76" s="1"/>
  <c r="H80" i="110"/>
  <c r="J76" i="110"/>
  <c r="H103" i="92" l="1"/>
  <c r="N31" i="37"/>
  <c r="H36" i="37"/>
  <c r="N36" i="37" s="1"/>
  <c r="Z57" i="99"/>
  <c r="T60" i="99"/>
  <c r="Z60" i="99" s="1"/>
  <c r="P276" i="15"/>
  <c r="X272" i="15"/>
  <c r="Z272" i="15" s="1"/>
  <c r="R272" i="15"/>
  <c r="J100" i="106"/>
  <c r="Z31" i="14"/>
  <c r="T36" i="14"/>
  <c r="Z36" i="14" s="1"/>
  <c r="Z31" i="35"/>
  <c r="T36" i="35"/>
  <c r="Z36" i="35" s="1"/>
  <c r="R99" i="104"/>
  <c r="X80" i="110"/>
  <c r="Z80" i="110" s="1"/>
  <c r="P83" i="110"/>
  <c r="R80" i="110"/>
  <c r="H104" i="102"/>
  <c r="J101" i="102"/>
  <c r="H72" i="105"/>
  <c r="J69" i="105"/>
  <c r="D36" i="32"/>
  <c r="L31" i="32"/>
  <c r="H36" i="32"/>
  <c r="N36" i="32" s="1"/>
  <c r="N31" i="32"/>
  <c r="T119" i="77"/>
  <c r="V116" i="77"/>
  <c r="P92" i="89"/>
  <c r="X88" i="89"/>
  <c r="Z88" i="89" s="1"/>
  <c r="R88" i="89"/>
  <c r="D102" i="108"/>
  <c r="L99" i="108"/>
  <c r="F99" i="108"/>
  <c r="H111" i="45"/>
  <c r="J108" i="45"/>
  <c r="L31" i="46"/>
  <c r="D36" i="46"/>
  <c r="H119" i="77"/>
  <c r="J116" i="77"/>
  <c r="L122" i="21"/>
  <c r="D125" i="21"/>
  <c r="F122" i="21"/>
  <c r="P292" i="12"/>
  <c r="X289" i="12"/>
  <c r="Z289" i="12" s="1"/>
  <c r="R289" i="12"/>
  <c r="T36" i="8"/>
  <c r="Z36" i="8" s="1"/>
  <c r="Z31" i="8"/>
  <c r="N31" i="22"/>
  <c r="H36" i="22"/>
  <c r="N36" i="22" s="1"/>
  <c r="J83" i="48"/>
  <c r="T292" i="12"/>
  <c r="V289" i="12"/>
  <c r="T119" i="51"/>
  <c r="V116" i="51"/>
  <c r="T116" i="33"/>
  <c r="V113" i="33"/>
  <c r="H147" i="36"/>
  <c r="J144" i="36"/>
  <c r="N31" i="44"/>
  <c r="H36" i="44"/>
  <c r="N36" i="44" s="1"/>
  <c r="H36" i="5"/>
  <c r="N36" i="5" s="1"/>
  <c r="N31" i="5"/>
  <c r="D36" i="28"/>
  <c r="L31" i="28"/>
  <c r="N31" i="8"/>
  <c r="H36" i="8"/>
  <c r="N36" i="8" s="1"/>
  <c r="X83" i="70"/>
  <c r="Z83" i="70" s="1"/>
  <c r="P86" i="70"/>
  <c r="R83" i="70"/>
  <c r="P89" i="80"/>
  <c r="X86" i="80"/>
  <c r="R86" i="80"/>
  <c r="X85" i="56"/>
  <c r="Z85" i="56" s="1"/>
  <c r="P88" i="56"/>
  <c r="X88" i="56" s="1"/>
  <c r="Z88" i="56" s="1"/>
  <c r="P36" i="44"/>
  <c r="X31" i="44"/>
  <c r="H292" i="12"/>
  <c r="J289" i="12"/>
  <c r="D90" i="95"/>
  <c r="L86" i="95"/>
  <c r="N86" i="95" s="1"/>
  <c r="F86" i="95"/>
  <c r="Z31" i="4"/>
  <c r="T36" i="4"/>
  <c r="Z36" i="4" s="1"/>
  <c r="H53" i="109"/>
  <c r="P84" i="58"/>
  <c r="X81" i="58"/>
  <c r="X31" i="113"/>
  <c r="P36" i="113"/>
  <c r="L92" i="89"/>
  <c r="N92" i="89" s="1"/>
  <c r="D95" i="89"/>
  <c r="F92" i="89"/>
  <c r="L80" i="101"/>
  <c r="N80" i="101" s="1"/>
  <c r="D84" i="101"/>
  <c r="F80" i="101"/>
  <c r="H36" i="31"/>
  <c r="N36" i="31" s="1"/>
  <c r="N31" i="31"/>
  <c r="T36" i="17"/>
  <c r="Z36" i="17" s="1"/>
  <c r="Z31" i="17"/>
  <c r="D88" i="56"/>
  <c r="L85" i="56"/>
  <c r="N85" i="56" s="1"/>
  <c r="Z36" i="86"/>
  <c r="V36" i="86"/>
  <c r="T39" i="86"/>
  <c r="N31" i="7"/>
  <c r="H36" i="7"/>
  <c r="N36" i="7" s="1"/>
  <c r="D83" i="70"/>
  <c r="L79" i="70"/>
  <c r="N79" i="70" s="1"/>
  <c r="F79" i="70"/>
  <c r="H164" i="30"/>
  <c r="J161" i="30"/>
  <c r="H134" i="27"/>
  <c r="J131" i="27"/>
  <c r="L31" i="26"/>
  <c r="D36" i="26"/>
  <c r="X31" i="7"/>
  <c r="P36" i="7"/>
  <c r="H116" i="33"/>
  <c r="J113" i="33"/>
  <c r="T97" i="93"/>
  <c r="V94" i="93"/>
  <c r="P127" i="75"/>
  <c r="X123" i="75"/>
  <c r="Z123" i="75" s="1"/>
  <c r="R123" i="75"/>
  <c r="H141" i="42"/>
  <c r="J138" i="42"/>
  <c r="X145" i="39"/>
  <c r="Z145" i="39" s="1"/>
  <c r="P149" i="39"/>
  <c r="R145" i="39"/>
  <c r="N31" i="53"/>
  <c r="H36" i="53"/>
  <c r="N36" i="53" s="1"/>
  <c r="V83" i="110"/>
  <c r="N31" i="13"/>
  <c r="H36" i="13"/>
  <c r="N36" i="13" s="1"/>
  <c r="X100" i="74"/>
  <c r="Z100" i="74" s="1"/>
  <c r="P104" i="74"/>
  <c r="R100" i="74"/>
  <c r="P68" i="60"/>
  <c r="X65" i="60"/>
  <c r="L31" i="38"/>
  <c r="D36" i="38"/>
  <c r="N31" i="47"/>
  <c r="H36" i="47"/>
  <c r="N36" i="47" s="1"/>
  <c r="H83" i="110"/>
  <c r="J80" i="110"/>
  <c r="X31" i="10"/>
  <c r="P36" i="10"/>
  <c r="X31" i="4"/>
  <c r="P36" i="4"/>
  <c r="L31" i="35"/>
  <c r="D36" i="35"/>
  <c r="X31" i="20"/>
  <c r="P36" i="20"/>
  <c r="L26" i="6"/>
  <c r="D31" i="6"/>
  <c r="L31" i="6" s="1"/>
  <c r="N31" i="17"/>
  <c r="H36" i="17"/>
  <c r="N36" i="17" s="1"/>
  <c r="Z31" i="31"/>
  <c r="T36" i="31"/>
  <c r="Z36" i="31" s="1"/>
  <c r="T86" i="70"/>
  <c r="V83" i="70"/>
  <c r="L31" i="17"/>
  <c r="D36" i="17"/>
  <c r="L31" i="43"/>
  <c r="D36" i="43"/>
  <c r="Z31" i="113"/>
  <c r="T36" i="113"/>
  <c r="Z36" i="113" s="1"/>
  <c r="P131" i="27"/>
  <c r="X127" i="27"/>
  <c r="Z127" i="27" s="1"/>
  <c r="R127" i="27"/>
  <c r="L31" i="25"/>
  <c r="D36" i="25"/>
  <c r="H91" i="81"/>
  <c r="J88" i="81"/>
  <c r="D36" i="40"/>
  <c r="L31" i="40"/>
  <c r="L31" i="50"/>
  <c r="D36" i="50"/>
  <c r="Z31" i="40"/>
  <c r="T36" i="40"/>
  <c r="Z36" i="40" s="1"/>
  <c r="L31" i="44"/>
  <c r="D36" i="44"/>
  <c r="L82" i="57"/>
  <c r="N82" i="57" s="1"/>
  <c r="D85" i="57"/>
  <c r="L85" i="57" s="1"/>
  <c r="N85" i="57" s="1"/>
  <c r="L37" i="55"/>
  <c r="D40" i="55"/>
  <c r="T307" i="18"/>
  <c r="V304" i="18"/>
  <c r="N31" i="25"/>
  <c r="H36" i="25"/>
  <c r="N36" i="25" s="1"/>
  <c r="Z31" i="44"/>
  <c r="T36" i="44"/>
  <c r="Z36" i="44" s="1"/>
  <c r="N31" i="20"/>
  <c r="H36" i="20"/>
  <c r="N36" i="20" s="1"/>
  <c r="T83" i="48"/>
  <c r="Z80" i="48"/>
  <c r="V80" i="48"/>
  <c r="N31" i="38"/>
  <c r="H36" i="38"/>
  <c r="N36" i="38" s="1"/>
  <c r="L26" i="54"/>
  <c r="D31" i="54"/>
  <c r="L31" i="54" s="1"/>
  <c r="P62" i="100"/>
  <c r="X59" i="100"/>
  <c r="P36" i="16"/>
  <c r="X31" i="16"/>
  <c r="H99" i="76"/>
  <c r="J96" i="76"/>
  <c r="X66" i="61"/>
  <c r="Z66" i="61" s="1"/>
  <c r="P69" i="61"/>
  <c r="X69" i="61" s="1"/>
  <c r="Z31" i="34"/>
  <c r="T36" i="34"/>
  <c r="Z36" i="34" s="1"/>
  <c r="D36" i="113"/>
  <c r="L31" i="113"/>
  <c r="Z31" i="52"/>
  <c r="T36" i="52"/>
  <c r="Z36" i="52" s="1"/>
  <c r="T36" i="7"/>
  <c r="Z36" i="7" s="1"/>
  <c r="Z31" i="7"/>
  <c r="P134" i="69"/>
  <c r="X130" i="69"/>
  <c r="Z130" i="69" s="1"/>
  <c r="R130" i="69"/>
  <c r="T333" i="3"/>
  <c r="V328" i="3"/>
  <c r="X57" i="99"/>
  <c r="P60" i="99"/>
  <c r="R57" i="99"/>
  <c r="L31" i="23"/>
  <c r="D36" i="23"/>
  <c r="D96" i="76"/>
  <c r="L92" i="76"/>
  <c r="N92" i="76" s="1"/>
  <c r="F92" i="76"/>
  <c r="T36" i="22"/>
  <c r="Z36" i="22" s="1"/>
  <c r="Z31" i="22"/>
  <c r="T81" i="79"/>
  <c r="V78" i="79"/>
  <c r="X108" i="45"/>
  <c r="P111" i="45"/>
  <c r="R108" i="45"/>
  <c r="P107" i="88"/>
  <c r="X104" i="88"/>
  <c r="Z104" i="88" s="1"/>
  <c r="R104" i="88"/>
  <c r="P105" i="98"/>
  <c r="X102" i="98"/>
  <c r="R102" i="98"/>
  <c r="H150" i="24"/>
  <c r="J147" i="24"/>
  <c r="P36" i="23"/>
  <c r="X31" i="23"/>
  <c r="X100" i="92"/>
  <c r="Z100" i="92" s="1"/>
  <c r="P103" i="92"/>
  <c r="N31" i="23"/>
  <c r="H36" i="23"/>
  <c r="N36" i="23" s="1"/>
  <c r="X31" i="54"/>
  <c r="H36" i="40"/>
  <c r="N36" i="40" s="1"/>
  <c r="N31" i="40"/>
  <c r="L31" i="20"/>
  <c r="D36" i="20"/>
  <c r="L31" i="111"/>
  <c r="D36" i="111"/>
  <c r="P138" i="42"/>
  <c r="X134" i="42"/>
  <c r="Z134" i="42" s="1"/>
  <c r="R134" i="42"/>
  <c r="R102" i="108"/>
  <c r="J93" i="95"/>
  <c r="D304" i="18"/>
  <c r="L300" i="18"/>
  <c r="N300" i="18" s="1"/>
  <c r="F300" i="18"/>
  <c r="X127" i="71"/>
  <c r="Z127" i="71" s="1"/>
  <c r="P131" i="71"/>
  <c r="R127" i="71"/>
  <c r="Z31" i="41"/>
  <c r="T36" i="41"/>
  <c r="Z36" i="41" s="1"/>
  <c r="L31" i="13"/>
  <c r="D36" i="13"/>
  <c r="L97" i="106"/>
  <c r="N97" i="106" s="1"/>
  <c r="D100" i="106"/>
  <c r="F97" i="106"/>
  <c r="D86" i="80"/>
  <c r="L82" i="80"/>
  <c r="N82" i="80" s="1"/>
  <c r="F82" i="80"/>
  <c r="L50" i="109"/>
  <c r="N50" i="109" s="1"/>
  <c r="D53" i="109"/>
  <c r="L53" i="109" s="1"/>
  <c r="D111" i="45"/>
  <c r="L108" i="45"/>
  <c r="N108" i="45" s="1"/>
  <c r="F108" i="45"/>
  <c r="X31" i="5"/>
  <c r="P36" i="5"/>
  <c r="T152" i="39"/>
  <c r="V149" i="39"/>
  <c r="L31" i="10"/>
  <c r="D36" i="10"/>
  <c r="X324" i="3"/>
  <c r="Z324" i="3" s="1"/>
  <c r="P328" i="3"/>
  <c r="R324" i="3"/>
  <c r="L31" i="22"/>
  <c r="D36" i="22"/>
  <c r="H105" i="98"/>
  <c r="J102" i="98"/>
  <c r="X39" i="86"/>
  <c r="R39" i="86"/>
  <c r="V72" i="105"/>
  <c r="T147" i="36"/>
  <c r="V144" i="36"/>
  <c r="V137" i="85"/>
  <c r="T36" i="16"/>
  <c r="Z36" i="16" s="1"/>
  <c r="Z31" i="16"/>
  <c r="T103" i="92"/>
  <c r="X31" i="31"/>
  <c r="P36" i="31"/>
  <c r="P36" i="8"/>
  <c r="X31" i="8"/>
  <c r="V107" i="88"/>
  <c r="P36" i="47"/>
  <c r="X31" i="47"/>
  <c r="D289" i="12"/>
  <c r="L285" i="12"/>
  <c r="N285" i="12" s="1"/>
  <c r="F285" i="12"/>
  <c r="Z108" i="45"/>
  <c r="T111" i="45"/>
  <c r="V108" i="45"/>
  <c r="H92" i="94"/>
  <c r="J89" i="94"/>
  <c r="J107" i="88"/>
  <c r="T68" i="60"/>
  <c r="Z65" i="60"/>
  <c r="N31" i="4"/>
  <c r="H36" i="4"/>
  <c r="N36" i="4" s="1"/>
  <c r="T53" i="109"/>
  <c r="T104" i="102"/>
  <c r="V101" i="102"/>
  <c r="N26" i="6"/>
  <c r="H31" i="6"/>
  <c r="L100" i="92"/>
  <c r="N100" i="92" s="1"/>
  <c r="D103" i="92"/>
  <c r="L103" i="92" s="1"/>
  <c r="H36" i="112"/>
  <c r="N36" i="112" s="1"/>
  <c r="N31" i="112"/>
  <c r="N31" i="46"/>
  <c r="H36" i="46"/>
  <c r="N36" i="46" s="1"/>
  <c r="D101" i="102"/>
  <c r="L97" i="102"/>
  <c r="N97" i="102" s="1"/>
  <c r="F97" i="102"/>
  <c r="T36" i="28"/>
  <c r="Z36" i="28" s="1"/>
  <c r="Z31" i="28"/>
  <c r="T36" i="49"/>
  <c r="Z36" i="49" s="1"/>
  <c r="Z31" i="49"/>
  <c r="L31" i="4"/>
  <c r="D36" i="4"/>
  <c r="X106" i="9"/>
  <c r="P109" i="9"/>
  <c r="P115" i="64"/>
  <c r="X112" i="64"/>
  <c r="D36" i="29"/>
  <c r="L31" i="29"/>
  <c r="H36" i="29"/>
  <c r="N36" i="29" s="1"/>
  <c r="N31" i="29"/>
  <c r="D36" i="31"/>
  <c r="L31" i="31"/>
  <c r="N31" i="54"/>
  <c r="L67" i="103"/>
  <c r="N67" i="103" s="1"/>
  <c r="D70" i="103"/>
  <c r="D97" i="93"/>
  <c r="L94" i="93"/>
  <c r="F94" i="93"/>
  <c r="H84" i="58"/>
  <c r="D32" i="83"/>
  <c r="L28" i="83"/>
  <c r="N28" i="83" s="1"/>
  <c r="F28" i="83"/>
  <c r="L31" i="7"/>
  <c r="D36" i="7"/>
  <c r="L81" i="58"/>
  <c r="N81" i="58" s="1"/>
  <c r="D84" i="58"/>
  <c r="Z31" i="111"/>
  <c r="T36" i="111"/>
  <c r="Z36" i="111" s="1"/>
  <c r="D81" i="59"/>
  <c r="L81" i="59" s="1"/>
  <c r="N81" i="59" s="1"/>
  <c r="L78" i="59"/>
  <c r="N78" i="59" s="1"/>
  <c r="X65" i="105"/>
  <c r="Z65" i="105" s="1"/>
  <c r="P69" i="105"/>
  <c r="R65" i="105"/>
  <c r="P36" i="13"/>
  <c r="X31" i="13"/>
  <c r="L31" i="34"/>
  <c r="D36" i="34"/>
  <c r="D36" i="86"/>
  <c r="L32" i="86"/>
  <c r="N32" i="86" s="1"/>
  <c r="X88" i="81"/>
  <c r="Z88" i="81" s="1"/>
  <c r="P91" i="81"/>
  <c r="R88" i="81"/>
  <c r="H36" i="113"/>
  <c r="N36" i="113" s="1"/>
  <c r="N31" i="113"/>
  <c r="T91" i="81"/>
  <c r="V88" i="81"/>
  <c r="N31" i="16"/>
  <c r="H36" i="16"/>
  <c r="N36" i="16" s="1"/>
  <c r="N37" i="55"/>
  <c r="H40" i="55"/>
  <c r="D106" i="9"/>
  <c r="L102" i="9"/>
  <c r="N102" i="9" s="1"/>
  <c r="L104" i="74"/>
  <c r="N104" i="74" s="1"/>
  <c r="D107" i="74"/>
  <c r="F104" i="74"/>
  <c r="T31" i="54"/>
  <c r="Z26" i="54"/>
  <c r="X31" i="28"/>
  <c r="P36" i="28"/>
  <c r="N31" i="19"/>
  <c r="H36" i="19"/>
  <c r="N36" i="19" s="1"/>
  <c r="P93" i="95"/>
  <c r="X90" i="95"/>
  <c r="R90" i="95"/>
  <c r="T92" i="94"/>
  <c r="V89" i="94"/>
  <c r="H89" i="80"/>
  <c r="J86" i="80"/>
  <c r="N31" i="43"/>
  <c r="H36" i="43"/>
  <c r="N36" i="43" s="1"/>
  <c r="L100" i="88"/>
  <c r="N100" i="88" s="1"/>
  <c r="D104" i="88"/>
  <c r="F100" i="88"/>
  <c r="T95" i="89"/>
  <c r="V92" i="89"/>
  <c r="L31" i="37"/>
  <c r="D36" i="37"/>
  <c r="D131" i="27"/>
  <c r="L127" i="27"/>
  <c r="N127" i="27" s="1"/>
  <c r="F127" i="27"/>
  <c r="H102" i="108"/>
  <c r="N99" i="108"/>
  <c r="J99" i="108"/>
  <c r="X31" i="111"/>
  <c r="P36" i="111"/>
  <c r="T87" i="101"/>
  <c r="V84" i="101"/>
  <c r="P36" i="17"/>
  <c r="X31" i="17"/>
  <c r="L31" i="11"/>
  <c r="D36" i="11"/>
  <c r="D116" i="77"/>
  <c r="L112" i="77"/>
  <c r="N112" i="77" s="1"/>
  <c r="F112" i="77"/>
  <c r="H95" i="89"/>
  <c r="J92" i="89"/>
  <c r="X86" i="73"/>
  <c r="Z86" i="73" s="1"/>
  <c r="P90" i="73"/>
  <c r="R86" i="73"/>
  <c r="N31" i="34"/>
  <c r="H36" i="34"/>
  <c r="N36" i="34" s="1"/>
  <c r="J39" i="86"/>
  <c r="L31" i="47"/>
  <c r="D36" i="47"/>
  <c r="J103" i="84"/>
  <c r="P100" i="106"/>
  <c r="X97" i="106"/>
  <c r="R97" i="106"/>
  <c r="D131" i="71"/>
  <c r="L127" i="71"/>
  <c r="N127" i="71" s="1"/>
  <c r="F127" i="71"/>
  <c r="X31" i="25"/>
  <c r="P36" i="25"/>
  <c r="X112" i="77"/>
  <c r="Z112" i="77" s="1"/>
  <c r="P116" i="77"/>
  <c r="R112" i="77"/>
  <c r="T36" i="26"/>
  <c r="Z36" i="26" s="1"/>
  <c r="Z31" i="26"/>
  <c r="P36" i="14"/>
  <c r="X31" i="14"/>
  <c r="P36" i="19"/>
  <c r="X31" i="19"/>
  <c r="H279" i="15"/>
  <c r="J276" i="15"/>
  <c r="D36" i="41"/>
  <c r="L31" i="41"/>
  <c r="X83" i="48"/>
  <c r="R83" i="48"/>
  <c r="L31" i="49"/>
  <c r="D36" i="49"/>
  <c r="T99" i="104"/>
  <c r="X99" i="104" s="1"/>
  <c r="Z96" i="104"/>
  <c r="V96" i="104"/>
  <c r="T150" i="24"/>
  <c r="V147" i="24"/>
  <c r="P53" i="109"/>
  <c r="X53" i="109" s="1"/>
  <c r="X50" i="109"/>
  <c r="Z50" i="109" s="1"/>
  <c r="P36" i="22"/>
  <c r="X31" i="22"/>
  <c r="Z31" i="19"/>
  <c r="T36" i="19"/>
  <c r="Z36" i="19" s="1"/>
  <c r="Z37" i="55"/>
  <c r="T40" i="55"/>
  <c r="T99" i="76"/>
  <c r="V96" i="76"/>
  <c r="L57" i="99"/>
  <c r="D60" i="99"/>
  <c r="F57" i="99"/>
  <c r="L31" i="19"/>
  <c r="D36" i="19"/>
  <c r="X31" i="29"/>
  <c r="P36" i="29"/>
  <c r="P144" i="36"/>
  <c r="X140" i="36"/>
  <c r="Z140" i="36" s="1"/>
  <c r="R140" i="36"/>
  <c r="L107" i="96"/>
  <c r="N107" i="96" s="1"/>
  <c r="D110" i="96"/>
  <c r="F107" i="96"/>
  <c r="H81" i="79"/>
  <c r="J78" i="79"/>
  <c r="D36" i="112"/>
  <c r="L31" i="112"/>
  <c r="Z31" i="46"/>
  <c r="T36" i="46"/>
  <c r="Z36" i="46" s="1"/>
  <c r="Z31" i="29"/>
  <c r="T36" i="29"/>
  <c r="Z36" i="29" s="1"/>
  <c r="N31" i="14"/>
  <c r="H36" i="14"/>
  <c r="N36" i="14" s="1"/>
  <c r="Z31" i="11"/>
  <c r="T36" i="11"/>
  <c r="Z36" i="11" s="1"/>
  <c r="J99" i="104"/>
  <c r="X31" i="37"/>
  <c r="P36" i="37"/>
  <c r="P31" i="6"/>
  <c r="X31" i="6" s="1"/>
  <c r="Z31" i="6" s="1"/>
  <c r="X26" i="6"/>
  <c r="Z86" i="80"/>
  <c r="T89" i="80"/>
  <c r="V86" i="80"/>
  <c r="D134" i="69"/>
  <c r="L130" i="69"/>
  <c r="N130" i="69" s="1"/>
  <c r="F130" i="69"/>
  <c r="P36" i="49"/>
  <c r="X31" i="49"/>
  <c r="L130" i="85"/>
  <c r="N130" i="85" s="1"/>
  <c r="D134" i="85"/>
  <c r="F130" i="85"/>
  <c r="L88" i="81"/>
  <c r="N88" i="81" s="1"/>
  <c r="D91" i="81"/>
  <c r="F88" i="81"/>
  <c r="Z31" i="5"/>
  <c r="T36" i="5"/>
  <c r="Z36" i="5" s="1"/>
  <c r="D72" i="68"/>
  <c r="L72" i="68" s="1"/>
  <c r="N72" i="68" s="1"/>
  <c r="L69" i="68"/>
  <c r="N69" i="68" s="1"/>
  <c r="X31" i="112"/>
  <c r="P36" i="112"/>
  <c r="N31" i="10"/>
  <c r="H36" i="10"/>
  <c r="N36" i="10" s="1"/>
  <c r="P36" i="43"/>
  <c r="X31" i="43"/>
  <c r="D69" i="61"/>
  <c r="L69" i="61" s="1"/>
  <c r="N69" i="61" s="1"/>
  <c r="L66" i="61"/>
  <c r="N66" i="61" s="1"/>
  <c r="Z31" i="10"/>
  <c r="T36" i="10"/>
  <c r="Z36" i="10" s="1"/>
  <c r="Z102" i="98"/>
  <c r="T105" i="98"/>
  <c r="V102" i="98"/>
  <c r="J137" i="85"/>
  <c r="H36" i="41"/>
  <c r="N36" i="41" s="1"/>
  <c r="N31" i="41"/>
  <c r="V35" i="83"/>
  <c r="L31" i="16"/>
  <c r="D36" i="16"/>
  <c r="X94" i="93"/>
  <c r="Z94" i="93" s="1"/>
  <c r="P97" i="93"/>
  <c r="R94" i="93"/>
  <c r="H36" i="28"/>
  <c r="N36" i="28" s="1"/>
  <c r="N31" i="28"/>
  <c r="L123" i="75"/>
  <c r="N123" i="75" s="1"/>
  <c r="D127" i="75"/>
  <c r="F123" i="75"/>
  <c r="N122" i="21"/>
  <c r="H125" i="21"/>
  <c r="J122" i="21"/>
  <c r="X109" i="33"/>
  <c r="Z109" i="33" s="1"/>
  <c r="P113" i="33"/>
  <c r="R109" i="33"/>
  <c r="L85" i="94"/>
  <c r="N85" i="94" s="1"/>
  <c r="D89" i="94"/>
  <c r="F85" i="94"/>
  <c r="X69" i="68"/>
  <c r="P72" i="68"/>
  <c r="P147" i="24"/>
  <c r="X143" i="24"/>
  <c r="Z143" i="24" s="1"/>
  <c r="R143" i="24"/>
  <c r="X31" i="52"/>
  <c r="P36" i="52"/>
  <c r="Z31" i="38"/>
  <c r="T36" i="38"/>
  <c r="Z36" i="38" s="1"/>
  <c r="N31" i="26"/>
  <c r="H36" i="26"/>
  <c r="N36" i="26" s="1"/>
  <c r="L112" i="64"/>
  <c r="N112" i="64" s="1"/>
  <c r="D115" i="64"/>
  <c r="L115" i="64" s="1"/>
  <c r="N115" i="64" s="1"/>
  <c r="X78" i="59"/>
  <c r="P81" i="59"/>
  <c r="P134" i="85"/>
  <c r="X130" i="85"/>
  <c r="Z130" i="85" s="1"/>
  <c r="R130" i="85"/>
  <c r="T84" i="58"/>
  <c r="Z81" i="58"/>
  <c r="H107" i="74"/>
  <c r="J104" i="74"/>
  <c r="L102" i="98"/>
  <c r="N102" i="98" s="1"/>
  <c r="D105" i="98"/>
  <c r="F102" i="98"/>
  <c r="X31" i="11"/>
  <c r="P36" i="11"/>
  <c r="L31" i="8"/>
  <c r="D36" i="8"/>
  <c r="D93" i="73"/>
  <c r="L90" i="73"/>
  <c r="F90" i="73"/>
  <c r="H152" i="39"/>
  <c r="J149" i="39"/>
  <c r="X31" i="35"/>
  <c r="P36" i="35"/>
  <c r="N31" i="50"/>
  <c r="H36" i="50"/>
  <c r="N36" i="50" s="1"/>
  <c r="Z31" i="37"/>
  <c r="T36" i="37"/>
  <c r="Z36" i="37" s="1"/>
  <c r="T36" i="13"/>
  <c r="Z36" i="13" s="1"/>
  <c r="Z31" i="13"/>
  <c r="L143" i="24"/>
  <c r="N143" i="24" s="1"/>
  <c r="D147" i="24"/>
  <c r="F143" i="24"/>
  <c r="Z69" i="61"/>
  <c r="T134" i="27"/>
  <c r="V131" i="27"/>
  <c r="D36" i="52"/>
  <c r="L31" i="52"/>
  <c r="T164" i="30"/>
  <c r="V161" i="30"/>
  <c r="N31" i="49"/>
  <c r="H36" i="49"/>
  <c r="N36" i="49" s="1"/>
  <c r="D144" i="36"/>
  <c r="L140" i="36"/>
  <c r="N140" i="36" s="1"/>
  <c r="F140" i="36"/>
  <c r="P116" i="51"/>
  <c r="X112" i="51"/>
  <c r="Z112" i="51" s="1"/>
  <c r="R112" i="51"/>
  <c r="X97" i="102"/>
  <c r="Z97" i="102" s="1"/>
  <c r="P101" i="102"/>
  <c r="R97" i="102"/>
  <c r="Z31" i="47"/>
  <c r="T36" i="47"/>
  <c r="Z36" i="47" s="1"/>
  <c r="Z31" i="43"/>
  <c r="T36" i="43"/>
  <c r="Z36" i="43" s="1"/>
  <c r="T62" i="100"/>
  <c r="Z59" i="100"/>
  <c r="T85" i="57"/>
  <c r="Z82" i="57"/>
  <c r="L272" i="15"/>
  <c r="N272" i="15" s="1"/>
  <c r="D276" i="15"/>
  <c r="F272" i="15"/>
  <c r="Z99" i="108"/>
  <c r="T102" i="108"/>
  <c r="X102" i="108" s="1"/>
  <c r="V99" i="108"/>
  <c r="Z31" i="53"/>
  <c r="T36" i="53"/>
  <c r="Z36" i="53" s="1"/>
  <c r="H36" i="35"/>
  <c r="N36" i="35" s="1"/>
  <c r="N31" i="35"/>
  <c r="D78" i="79"/>
  <c r="L74" i="79"/>
  <c r="N74" i="79" s="1"/>
  <c r="F74" i="79"/>
  <c r="H119" i="51"/>
  <c r="J116" i="51"/>
  <c r="X89" i="94"/>
  <c r="Z89" i="94" s="1"/>
  <c r="P92" i="94"/>
  <c r="R89" i="94"/>
  <c r="X100" i="84"/>
  <c r="Z100" i="84" s="1"/>
  <c r="P103" i="84"/>
  <c r="R100" i="84"/>
  <c r="H86" i="70"/>
  <c r="J83" i="70"/>
  <c r="X31" i="26"/>
  <c r="P36" i="26"/>
  <c r="D328" i="3"/>
  <c r="L324" i="3"/>
  <c r="N324" i="3" s="1"/>
  <c r="F324" i="3"/>
  <c r="Z112" i="64"/>
  <c r="T115" i="64"/>
  <c r="Z31" i="20"/>
  <c r="T36" i="20"/>
  <c r="Z36" i="20" s="1"/>
  <c r="X82" i="57"/>
  <c r="P85" i="57"/>
  <c r="X78" i="79"/>
  <c r="Z78" i="79" s="1"/>
  <c r="P81" i="79"/>
  <c r="R78" i="79"/>
  <c r="H97" i="93"/>
  <c r="N94" i="93"/>
  <c r="J94" i="93"/>
  <c r="X300" i="18"/>
  <c r="Z300" i="18" s="1"/>
  <c r="P304" i="18"/>
  <c r="R300" i="18"/>
  <c r="D80" i="110"/>
  <c r="L76" i="110"/>
  <c r="N76" i="110" s="1"/>
  <c r="F76" i="110"/>
  <c r="X31" i="40"/>
  <c r="P36" i="40"/>
  <c r="X28" i="83"/>
  <c r="Z28" i="83" s="1"/>
  <c r="P32" i="83"/>
  <c r="R28" i="83"/>
  <c r="X40" i="55"/>
  <c r="P84" i="101"/>
  <c r="X80" i="101"/>
  <c r="Z80" i="101" s="1"/>
  <c r="R80" i="101"/>
  <c r="D113" i="33"/>
  <c r="L109" i="33"/>
  <c r="N109" i="33" s="1"/>
  <c r="F109" i="33"/>
  <c r="Z78" i="59"/>
  <c r="V78" i="59"/>
  <c r="T81" i="59"/>
  <c r="T36" i="23"/>
  <c r="Z36" i="23" s="1"/>
  <c r="Z31" i="23"/>
  <c r="N31" i="111"/>
  <c r="H36" i="111"/>
  <c r="N36" i="111" s="1"/>
  <c r="Z90" i="95"/>
  <c r="T93" i="95"/>
  <c r="V90" i="95"/>
  <c r="P70" i="103"/>
  <c r="X67" i="103"/>
  <c r="Z67" i="103" s="1"/>
  <c r="L31" i="5"/>
  <c r="D36" i="5"/>
  <c r="X31" i="34"/>
  <c r="P36" i="34"/>
  <c r="P122" i="21"/>
  <c r="X118" i="21"/>
  <c r="Z118" i="21" s="1"/>
  <c r="R118" i="21"/>
  <c r="L96" i="84"/>
  <c r="N96" i="84" s="1"/>
  <c r="D100" i="84"/>
  <c r="F96" i="84"/>
  <c r="T36" i="50"/>
  <c r="Z36" i="50" s="1"/>
  <c r="Z31" i="50"/>
  <c r="Z106" i="9"/>
  <c r="T109" i="9"/>
  <c r="V106" i="9"/>
  <c r="L31" i="14"/>
  <c r="D36" i="14"/>
  <c r="H36" i="11"/>
  <c r="N36" i="11" s="1"/>
  <c r="N31" i="11"/>
  <c r="P36" i="50"/>
  <c r="X31" i="50"/>
  <c r="P107" i="96"/>
  <c r="X103" i="96"/>
  <c r="Z103" i="96" s="1"/>
  <c r="R103" i="96"/>
  <c r="V134" i="71"/>
  <c r="L92" i="104"/>
  <c r="N92" i="104" s="1"/>
  <c r="D96" i="104"/>
  <c r="F92" i="104"/>
  <c r="X31" i="53"/>
  <c r="P36" i="53"/>
  <c r="H88" i="56"/>
  <c r="V130" i="75"/>
  <c r="Z31" i="32"/>
  <c r="T36" i="32"/>
  <c r="Z36" i="32" s="1"/>
  <c r="H137" i="69"/>
  <c r="J134" i="69"/>
  <c r="X31" i="46"/>
  <c r="P36" i="46"/>
  <c r="L65" i="60"/>
  <c r="N65" i="60" s="1"/>
  <c r="D68" i="60"/>
  <c r="L68" i="60" s="1"/>
  <c r="N68" i="60" s="1"/>
  <c r="D138" i="42"/>
  <c r="L134" i="42"/>
  <c r="N134" i="42" s="1"/>
  <c r="F134" i="42"/>
  <c r="T141" i="42"/>
  <c r="V138" i="42"/>
  <c r="Z97" i="106"/>
  <c r="T100" i="106"/>
  <c r="V97" i="106"/>
  <c r="H333" i="3"/>
  <c r="J328" i="3"/>
  <c r="P36" i="41"/>
  <c r="X31" i="41"/>
  <c r="X157" i="30"/>
  <c r="Z157" i="30" s="1"/>
  <c r="P161" i="30"/>
  <c r="R157" i="30"/>
  <c r="L31" i="53"/>
  <c r="D36" i="53"/>
  <c r="L80" i="48"/>
  <c r="N80" i="48" s="1"/>
  <c r="D83" i="48"/>
  <c r="F80" i="48"/>
  <c r="X31" i="38"/>
  <c r="P36" i="38"/>
  <c r="H130" i="75"/>
  <c r="J127" i="75"/>
  <c r="T70" i="103"/>
  <c r="H134" i="71"/>
  <c r="J131" i="71"/>
  <c r="Z31" i="112"/>
  <c r="T36" i="112"/>
  <c r="Z36" i="112" s="1"/>
  <c r="H70" i="103"/>
  <c r="N31" i="52"/>
  <c r="H36" i="52"/>
  <c r="N36" i="52" s="1"/>
  <c r="H93" i="73"/>
  <c r="N90" i="73"/>
  <c r="J90" i="73"/>
  <c r="J110" i="96"/>
  <c r="X96" i="76"/>
  <c r="Z96" i="76" s="1"/>
  <c r="P99" i="76"/>
  <c r="R96" i="76"/>
  <c r="T72" i="68"/>
  <c r="Z69" i="68"/>
  <c r="D69" i="105"/>
  <c r="L65" i="105"/>
  <c r="N65" i="105" s="1"/>
  <c r="H307" i="18"/>
  <c r="J304" i="18"/>
  <c r="L112" i="51"/>
  <c r="N112" i="51" s="1"/>
  <c r="D116" i="51"/>
  <c r="F112" i="51"/>
  <c r="D161" i="30"/>
  <c r="L157" i="30"/>
  <c r="N157" i="30" s="1"/>
  <c r="F157" i="30"/>
  <c r="D149" i="39"/>
  <c r="L145" i="39"/>
  <c r="N145" i="39" s="1"/>
  <c r="F145" i="39"/>
  <c r="Z31" i="25"/>
  <c r="T36" i="25"/>
  <c r="Z36" i="25" s="1"/>
  <c r="X31" i="32"/>
  <c r="P36" i="32"/>
  <c r="T137" i="69"/>
  <c r="V134" i="69"/>
  <c r="V107" i="74"/>
  <c r="T125" i="21"/>
  <c r="V122" i="21"/>
  <c r="X70" i="103" l="1"/>
  <c r="X85" i="57"/>
  <c r="X72" i="68"/>
  <c r="X103" i="92"/>
  <c r="L36" i="14"/>
  <c r="L36" i="112"/>
  <c r="X36" i="49"/>
  <c r="X36" i="46"/>
  <c r="L36" i="31"/>
  <c r="L36" i="32"/>
  <c r="L36" i="19"/>
  <c r="L36" i="37"/>
  <c r="X36" i="40"/>
  <c r="L36" i="44"/>
  <c r="X36" i="11"/>
  <c r="L36" i="7"/>
  <c r="L36" i="22"/>
  <c r="L36" i="13"/>
  <c r="X36" i="8"/>
  <c r="X36" i="34"/>
  <c r="X36" i="52"/>
  <c r="L36" i="16"/>
  <c r="X36" i="4"/>
  <c r="X36" i="38"/>
  <c r="L36" i="47"/>
  <c r="X36" i="26"/>
  <c r="X36" i="113"/>
  <c r="L36" i="17"/>
  <c r="X36" i="35"/>
  <c r="X36" i="16"/>
  <c r="X36" i="37"/>
  <c r="X36" i="31"/>
  <c r="L36" i="53"/>
  <c r="X36" i="22"/>
  <c r="X36" i="28"/>
  <c r="X36" i="53"/>
  <c r="X36" i="25"/>
  <c r="L36" i="20"/>
  <c r="L36" i="5"/>
  <c r="X36" i="17"/>
  <c r="L36" i="4"/>
  <c r="X36" i="14"/>
  <c r="X36" i="43"/>
  <c r="X36" i="111"/>
  <c r="J130" i="75"/>
  <c r="L105" i="98"/>
  <c r="F105" i="98"/>
  <c r="J95" i="89"/>
  <c r="J279" i="15"/>
  <c r="X91" i="81"/>
  <c r="R91" i="81"/>
  <c r="V104" i="102"/>
  <c r="J292" i="12"/>
  <c r="J93" i="73"/>
  <c r="D99" i="104"/>
  <c r="L96" i="104"/>
  <c r="N96" i="104" s="1"/>
  <c r="F96" i="104"/>
  <c r="V134" i="27"/>
  <c r="L134" i="69"/>
  <c r="N134" i="69" s="1"/>
  <c r="D137" i="69"/>
  <c r="F134" i="69"/>
  <c r="L60" i="99"/>
  <c r="F60" i="99"/>
  <c r="L36" i="41"/>
  <c r="V87" i="101"/>
  <c r="V92" i="94"/>
  <c r="L107" i="74"/>
  <c r="F107" i="74"/>
  <c r="N84" i="58"/>
  <c r="L70" i="103"/>
  <c r="N70" i="103" s="1"/>
  <c r="D104" i="102"/>
  <c r="L101" i="102"/>
  <c r="N101" i="102" s="1"/>
  <c r="F101" i="102"/>
  <c r="X36" i="47"/>
  <c r="L304" i="18"/>
  <c r="N304" i="18" s="1"/>
  <c r="D307" i="18"/>
  <c r="F304" i="18"/>
  <c r="J150" i="24"/>
  <c r="J83" i="110"/>
  <c r="L95" i="89"/>
  <c r="N95" i="89" s="1"/>
  <c r="F95" i="89"/>
  <c r="D93" i="95"/>
  <c r="L90" i="95"/>
  <c r="N90" i="95" s="1"/>
  <c r="F90" i="95"/>
  <c r="X86" i="70"/>
  <c r="R86" i="70"/>
  <c r="X292" i="12"/>
  <c r="R292" i="12"/>
  <c r="J111" i="45"/>
  <c r="V141" i="42"/>
  <c r="V89" i="80"/>
  <c r="V147" i="36"/>
  <c r="J97" i="93"/>
  <c r="L328" i="3"/>
  <c r="N328" i="3" s="1"/>
  <c r="D333" i="3"/>
  <c r="F328" i="3"/>
  <c r="V99" i="76"/>
  <c r="V150" i="24"/>
  <c r="L106" i="9"/>
  <c r="N106" i="9" s="1"/>
  <c r="D109" i="9"/>
  <c r="L109" i="9" s="1"/>
  <c r="N109" i="9" s="1"/>
  <c r="L111" i="45"/>
  <c r="N111" i="45" s="1"/>
  <c r="F111" i="45"/>
  <c r="L36" i="113"/>
  <c r="L36" i="25"/>
  <c r="X36" i="20"/>
  <c r="Z97" i="93"/>
  <c r="V97" i="93"/>
  <c r="L88" i="56"/>
  <c r="N88" i="56" s="1"/>
  <c r="X92" i="94"/>
  <c r="Z92" i="94" s="1"/>
  <c r="R92" i="94"/>
  <c r="P130" i="75"/>
  <c r="X127" i="75"/>
  <c r="Z127" i="75" s="1"/>
  <c r="R127" i="75"/>
  <c r="V81" i="59"/>
  <c r="D164" i="30"/>
  <c r="L161" i="30"/>
  <c r="N161" i="30" s="1"/>
  <c r="F161" i="30"/>
  <c r="J119" i="51"/>
  <c r="L147" i="24"/>
  <c r="N147" i="24" s="1"/>
  <c r="D150" i="24"/>
  <c r="F147" i="24"/>
  <c r="J152" i="39"/>
  <c r="N107" i="74"/>
  <c r="J107" i="74"/>
  <c r="L104" i="88"/>
  <c r="N104" i="88" s="1"/>
  <c r="D107" i="88"/>
  <c r="F104" i="88"/>
  <c r="X93" i="95"/>
  <c r="Z93" i="95" s="1"/>
  <c r="R93" i="95"/>
  <c r="L36" i="10"/>
  <c r="X62" i="100"/>
  <c r="Z86" i="70"/>
  <c r="V86" i="70"/>
  <c r="L36" i="38"/>
  <c r="L102" i="108"/>
  <c r="N102" i="108" s="1"/>
  <c r="F102" i="108"/>
  <c r="X83" i="110"/>
  <c r="Z83" i="110" s="1"/>
  <c r="R83" i="110"/>
  <c r="Z72" i="68"/>
  <c r="V137" i="69"/>
  <c r="X36" i="41"/>
  <c r="L138" i="42"/>
  <c r="N138" i="42" s="1"/>
  <c r="D141" i="42"/>
  <c r="F138" i="42"/>
  <c r="X81" i="79"/>
  <c r="R81" i="79"/>
  <c r="L276" i="15"/>
  <c r="N276" i="15" s="1"/>
  <c r="D279" i="15"/>
  <c r="F276" i="15"/>
  <c r="L89" i="94"/>
  <c r="N89" i="94" s="1"/>
  <c r="D92" i="94"/>
  <c r="F89" i="94"/>
  <c r="L134" i="85"/>
  <c r="N134" i="85" s="1"/>
  <c r="D137" i="85"/>
  <c r="F134" i="85"/>
  <c r="Z40" i="55"/>
  <c r="X36" i="19"/>
  <c r="D134" i="71"/>
  <c r="L131" i="71"/>
  <c r="N131" i="71" s="1"/>
  <c r="F131" i="71"/>
  <c r="L116" i="77"/>
  <c r="N116" i="77" s="1"/>
  <c r="D119" i="77"/>
  <c r="F116" i="77"/>
  <c r="J102" i="108"/>
  <c r="D39" i="86"/>
  <c r="L39" i="86" s="1"/>
  <c r="N39" i="86" s="1"/>
  <c r="L36" i="86"/>
  <c r="N36" i="86" s="1"/>
  <c r="L84" i="58"/>
  <c r="Z53" i="109"/>
  <c r="X131" i="71"/>
  <c r="Z131" i="71" s="1"/>
  <c r="P134" i="71"/>
  <c r="R131" i="71"/>
  <c r="V333" i="3"/>
  <c r="L36" i="35"/>
  <c r="J164" i="30"/>
  <c r="X84" i="58"/>
  <c r="X36" i="44"/>
  <c r="L36" i="28"/>
  <c r="V119" i="51"/>
  <c r="P279" i="15"/>
  <c r="X276" i="15"/>
  <c r="Z276" i="15" s="1"/>
  <c r="R276" i="15"/>
  <c r="V95" i="89"/>
  <c r="X328" i="3"/>
  <c r="Z328" i="3" s="1"/>
  <c r="P333" i="3"/>
  <c r="R328" i="3"/>
  <c r="Z81" i="79"/>
  <c r="V81" i="79"/>
  <c r="J91" i="81"/>
  <c r="J134" i="27"/>
  <c r="L125" i="21"/>
  <c r="N125" i="21" s="1"/>
  <c r="F125" i="21"/>
  <c r="L116" i="51"/>
  <c r="N116" i="51" s="1"/>
  <c r="D119" i="51"/>
  <c r="F116" i="51"/>
  <c r="L83" i="48"/>
  <c r="N83" i="48" s="1"/>
  <c r="F83" i="48"/>
  <c r="P110" i="96"/>
  <c r="X107" i="96"/>
  <c r="Z107" i="96" s="1"/>
  <c r="R107" i="96"/>
  <c r="X101" i="102"/>
  <c r="Z101" i="102" s="1"/>
  <c r="P104" i="102"/>
  <c r="R101" i="102"/>
  <c r="X144" i="36"/>
  <c r="Z144" i="36" s="1"/>
  <c r="P147" i="36"/>
  <c r="R144" i="36"/>
  <c r="Z99" i="104"/>
  <c r="V99" i="104"/>
  <c r="L36" i="11"/>
  <c r="L36" i="34"/>
  <c r="V111" i="45"/>
  <c r="X105" i="98"/>
  <c r="Z105" i="98" s="1"/>
  <c r="R105" i="98"/>
  <c r="X149" i="39"/>
  <c r="Z149" i="39" s="1"/>
  <c r="P152" i="39"/>
  <c r="R149" i="39"/>
  <c r="J92" i="94"/>
  <c r="L113" i="33"/>
  <c r="N113" i="33" s="1"/>
  <c r="D116" i="33"/>
  <c r="F113" i="33"/>
  <c r="L93" i="73"/>
  <c r="N93" i="73" s="1"/>
  <c r="F93" i="73"/>
  <c r="Z84" i="58"/>
  <c r="X97" i="93"/>
  <c r="R97" i="93"/>
  <c r="X36" i="112"/>
  <c r="X36" i="29"/>
  <c r="L36" i="49"/>
  <c r="V152" i="39"/>
  <c r="P134" i="27"/>
  <c r="X131" i="27"/>
  <c r="Z131" i="27" s="1"/>
  <c r="R131" i="27"/>
  <c r="X68" i="60"/>
  <c r="J116" i="33"/>
  <c r="N53" i="109"/>
  <c r="P95" i="89"/>
  <c r="X92" i="89"/>
  <c r="Z92" i="89" s="1"/>
  <c r="R92" i="89"/>
  <c r="J72" i="105"/>
  <c r="L110" i="96"/>
  <c r="N110" i="96" s="1"/>
  <c r="F110" i="96"/>
  <c r="X60" i="99"/>
  <c r="R60" i="99"/>
  <c r="X99" i="76"/>
  <c r="Z99" i="76" s="1"/>
  <c r="R99" i="76"/>
  <c r="X36" i="32"/>
  <c r="L100" i="84"/>
  <c r="N100" i="84" s="1"/>
  <c r="D103" i="84"/>
  <c r="F100" i="84"/>
  <c r="V93" i="95"/>
  <c r="L80" i="110"/>
  <c r="N80" i="110" s="1"/>
  <c r="D83" i="110"/>
  <c r="F80" i="110"/>
  <c r="V164" i="30"/>
  <c r="J134" i="71"/>
  <c r="J333" i="3"/>
  <c r="X36" i="50"/>
  <c r="J86" i="70"/>
  <c r="L78" i="79"/>
  <c r="N78" i="79" s="1"/>
  <c r="D81" i="79"/>
  <c r="F78" i="79"/>
  <c r="Z85" i="57"/>
  <c r="L36" i="8"/>
  <c r="X113" i="33"/>
  <c r="Z113" i="33" s="1"/>
  <c r="P116" i="33"/>
  <c r="R113" i="33"/>
  <c r="D134" i="27"/>
  <c r="L131" i="27"/>
  <c r="N131" i="27" s="1"/>
  <c r="F131" i="27"/>
  <c r="L36" i="29"/>
  <c r="Z103" i="92"/>
  <c r="L86" i="80"/>
  <c r="N86" i="80" s="1"/>
  <c r="D89" i="80"/>
  <c r="F86" i="80"/>
  <c r="L36" i="50"/>
  <c r="X36" i="7"/>
  <c r="L83" i="70"/>
  <c r="N83" i="70" s="1"/>
  <c r="D86" i="70"/>
  <c r="F83" i="70"/>
  <c r="Z292" i="12"/>
  <c r="V292" i="12"/>
  <c r="J119" i="77"/>
  <c r="L144" i="36"/>
  <c r="N144" i="36" s="1"/>
  <c r="D147" i="36"/>
  <c r="F144" i="36"/>
  <c r="J81" i="79"/>
  <c r="J89" i="80"/>
  <c r="Z91" i="81"/>
  <c r="V91" i="81"/>
  <c r="X36" i="13"/>
  <c r="N31" i="6"/>
  <c r="Z68" i="60"/>
  <c r="N105" i="98"/>
  <c r="J105" i="98"/>
  <c r="P141" i="42"/>
  <c r="X138" i="42"/>
  <c r="Z138" i="42" s="1"/>
  <c r="R138" i="42"/>
  <c r="X107" i="88"/>
  <c r="Z107" i="88" s="1"/>
  <c r="R107" i="88"/>
  <c r="P137" i="69"/>
  <c r="X134" i="69"/>
  <c r="Z134" i="69" s="1"/>
  <c r="R134" i="69"/>
  <c r="J99" i="76"/>
  <c r="V307" i="18"/>
  <c r="X36" i="10"/>
  <c r="P107" i="74"/>
  <c r="X104" i="74"/>
  <c r="Z104" i="74" s="1"/>
  <c r="R104" i="74"/>
  <c r="J141" i="42"/>
  <c r="D87" i="101"/>
  <c r="L84" i="101"/>
  <c r="N84" i="101" s="1"/>
  <c r="F84" i="101"/>
  <c r="L36" i="46"/>
  <c r="V119" i="77"/>
  <c r="P35" i="83"/>
  <c r="X32" i="83"/>
  <c r="Z32" i="83" s="1"/>
  <c r="R32" i="83"/>
  <c r="X147" i="24"/>
  <c r="Z147" i="24" s="1"/>
  <c r="P150" i="24"/>
  <c r="R147" i="24"/>
  <c r="V109" i="9"/>
  <c r="Z102" i="108"/>
  <c r="V102" i="108"/>
  <c r="D130" i="75"/>
  <c r="L127" i="75"/>
  <c r="N127" i="75" s="1"/>
  <c r="F127" i="75"/>
  <c r="V105" i="98"/>
  <c r="Z70" i="103"/>
  <c r="V100" i="106"/>
  <c r="X84" i="101"/>
  <c r="Z84" i="101" s="1"/>
  <c r="P87" i="101"/>
  <c r="R84" i="101"/>
  <c r="X103" i="84"/>
  <c r="Z103" i="84" s="1"/>
  <c r="R103" i="84"/>
  <c r="Z62" i="100"/>
  <c r="X116" i="51"/>
  <c r="Z116" i="51" s="1"/>
  <c r="P119" i="51"/>
  <c r="R116" i="51"/>
  <c r="L36" i="52"/>
  <c r="X134" i="85"/>
  <c r="Z134" i="85" s="1"/>
  <c r="P137" i="85"/>
  <c r="R134" i="85"/>
  <c r="X100" i="106"/>
  <c r="Z100" i="106" s="1"/>
  <c r="R100" i="106"/>
  <c r="X90" i="73"/>
  <c r="Z90" i="73" s="1"/>
  <c r="P93" i="73"/>
  <c r="R90" i="73"/>
  <c r="Z31" i="54"/>
  <c r="X115" i="64"/>
  <c r="L289" i="12"/>
  <c r="N289" i="12" s="1"/>
  <c r="D292" i="12"/>
  <c r="F289" i="12"/>
  <c r="L100" i="106"/>
  <c r="N100" i="106" s="1"/>
  <c r="F100" i="106"/>
  <c r="L36" i="111"/>
  <c r="X36" i="23"/>
  <c r="L96" i="76"/>
  <c r="N96" i="76" s="1"/>
  <c r="D99" i="76"/>
  <c r="F96" i="76"/>
  <c r="L36" i="43"/>
  <c r="L36" i="26"/>
  <c r="X89" i="80"/>
  <c r="Z89" i="80" s="1"/>
  <c r="R89" i="80"/>
  <c r="D152" i="39"/>
  <c r="L149" i="39"/>
  <c r="N149" i="39" s="1"/>
  <c r="F149" i="39"/>
  <c r="L69" i="105"/>
  <c r="N69" i="105" s="1"/>
  <c r="D72" i="105"/>
  <c r="L72" i="105" s="1"/>
  <c r="N72" i="105" s="1"/>
  <c r="L91" i="81"/>
  <c r="N91" i="81" s="1"/>
  <c r="F91" i="81"/>
  <c r="V116" i="33"/>
  <c r="J307" i="18"/>
  <c r="V125" i="21"/>
  <c r="X161" i="30"/>
  <c r="Z161" i="30" s="1"/>
  <c r="P164" i="30"/>
  <c r="R161" i="30"/>
  <c r="J137" i="69"/>
  <c r="P125" i="21"/>
  <c r="X122" i="21"/>
  <c r="Z122" i="21" s="1"/>
  <c r="R122" i="21"/>
  <c r="X304" i="18"/>
  <c r="Z304" i="18" s="1"/>
  <c r="P307" i="18"/>
  <c r="R304" i="18"/>
  <c r="Z115" i="64"/>
  <c r="X81" i="59"/>
  <c r="Z81" i="59" s="1"/>
  <c r="J125" i="21"/>
  <c r="X116" i="77"/>
  <c r="Z116" i="77" s="1"/>
  <c r="P119" i="77"/>
  <c r="R116" i="77"/>
  <c r="X69" i="105"/>
  <c r="Z69" i="105" s="1"/>
  <c r="P72" i="105"/>
  <c r="R69" i="105"/>
  <c r="D35" i="83"/>
  <c r="L32" i="83"/>
  <c r="N32" i="83" s="1"/>
  <c r="F32" i="83"/>
  <c r="L97" i="93"/>
  <c r="N97" i="93" s="1"/>
  <c r="F97" i="93"/>
  <c r="X109" i="9"/>
  <c r="Z109" i="9" s="1"/>
  <c r="X36" i="5"/>
  <c r="X111" i="45"/>
  <c r="Z111" i="45" s="1"/>
  <c r="R111" i="45"/>
  <c r="L36" i="23"/>
  <c r="Z83" i="48"/>
  <c r="V83" i="48"/>
  <c r="L40" i="55"/>
  <c r="N40" i="55" s="1"/>
  <c r="L36" i="40"/>
  <c r="Z39" i="86"/>
  <c r="V39" i="86"/>
  <c r="J147" i="36"/>
  <c r="J104" i="102"/>
  <c r="N103" i="92"/>
  <c r="X119" i="77" l="1"/>
  <c r="Z119" i="77" s="1"/>
  <c r="R119" i="77"/>
  <c r="X125" i="21"/>
  <c r="Z125" i="21" s="1"/>
  <c r="R125" i="21"/>
  <c r="L99" i="76"/>
  <c r="N99" i="76" s="1"/>
  <c r="F99" i="76"/>
  <c r="X93" i="73"/>
  <c r="Z93" i="73" s="1"/>
  <c r="R93" i="73"/>
  <c r="L130" i="75"/>
  <c r="N130" i="75" s="1"/>
  <c r="F130" i="75"/>
  <c r="L81" i="79"/>
  <c r="N81" i="79" s="1"/>
  <c r="F81" i="79"/>
  <c r="L83" i="110"/>
  <c r="N83" i="110" s="1"/>
  <c r="F83" i="110"/>
  <c r="X104" i="102"/>
  <c r="Z104" i="102" s="1"/>
  <c r="R104" i="102"/>
  <c r="L119" i="77"/>
  <c r="N119" i="77" s="1"/>
  <c r="F119" i="77"/>
  <c r="L104" i="102"/>
  <c r="N104" i="102" s="1"/>
  <c r="F104" i="102"/>
  <c r="L137" i="69"/>
  <c r="N137" i="69" s="1"/>
  <c r="F137" i="69"/>
  <c r="X134" i="27"/>
  <c r="Z134" i="27" s="1"/>
  <c r="R134" i="27"/>
  <c r="X87" i="101"/>
  <c r="Z87" i="101" s="1"/>
  <c r="R87" i="101"/>
  <c r="L116" i="33"/>
  <c r="N116" i="33" s="1"/>
  <c r="F116" i="33"/>
  <c r="X134" i="71"/>
  <c r="Z134" i="71" s="1"/>
  <c r="R134" i="71"/>
  <c r="L107" i="88"/>
  <c r="N107" i="88" s="1"/>
  <c r="F107" i="88"/>
  <c r="X164" i="30"/>
  <c r="Z164" i="30" s="1"/>
  <c r="R164" i="30"/>
  <c r="L87" i="101"/>
  <c r="N87" i="101" s="1"/>
  <c r="F87" i="101"/>
  <c r="X110" i="96"/>
  <c r="Z110" i="96" s="1"/>
  <c r="R110" i="96"/>
  <c r="L134" i="71"/>
  <c r="N134" i="71" s="1"/>
  <c r="F134" i="71"/>
  <c r="L279" i="15"/>
  <c r="N279" i="15" s="1"/>
  <c r="F279" i="15"/>
  <c r="X137" i="85"/>
  <c r="Z137" i="85" s="1"/>
  <c r="R137" i="85"/>
  <c r="X137" i="69"/>
  <c r="Z137" i="69" s="1"/>
  <c r="R137" i="69"/>
  <c r="L134" i="27"/>
  <c r="N134" i="27" s="1"/>
  <c r="F134" i="27"/>
  <c r="L103" i="84"/>
  <c r="N103" i="84" s="1"/>
  <c r="F103" i="84"/>
  <c r="L333" i="3"/>
  <c r="N333" i="3" s="1"/>
  <c r="F333" i="3"/>
  <c r="L86" i="70"/>
  <c r="N86" i="70" s="1"/>
  <c r="F86" i="70"/>
  <c r="L164" i="30"/>
  <c r="N164" i="30" s="1"/>
  <c r="F164" i="30"/>
  <c r="X279" i="15"/>
  <c r="Z279" i="15" s="1"/>
  <c r="R279" i="15"/>
  <c r="X150" i="24"/>
  <c r="Z150" i="24" s="1"/>
  <c r="R150" i="24"/>
  <c r="L292" i="12"/>
  <c r="N292" i="12" s="1"/>
  <c r="F292" i="12"/>
  <c r="X116" i="33"/>
  <c r="Z116" i="33" s="1"/>
  <c r="R116" i="33"/>
  <c r="X95" i="89"/>
  <c r="Z95" i="89" s="1"/>
  <c r="R95" i="89"/>
  <c r="X333" i="3"/>
  <c r="Z333" i="3" s="1"/>
  <c r="R333" i="3"/>
  <c r="L141" i="42"/>
  <c r="N141" i="42" s="1"/>
  <c r="F141" i="42"/>
  <c r="L307" i="18"/>
  <c r="N307" i="18" s="1"/>
  <c r="F307" i="18"/>
  <c r="L99" i="104"/>
  <c r="N99" i="104" s="1"/>
  <c r="F99" i="104"/>
  <c r="L35" i="83"/>
  <c r="N35" i="83" s="1"/>
  <c r="F35" i="83"/>
  <c r="X307" i="18"/>
  <c r="Z307" i="18" s="1"/>
  <c r="R307" i="18"/>
  <c r="L119" i="51"/>
  <c r="N119" i="51" s="1"/>
  <c r="F119" i="51"/>
  <c r="L137" i="85"/>
  <c r="N137" i="85" s="1"/>
  <c r="F137" i="85"/>
  <c r="X107" i="74"/>
  <c r="Z107" i="74" s="1"/>
  <c r="R107" i="74"/>
  <c r="X152" i="39"/>
  <c r="Z152" i="39" s="1"/>
  <c r="R152" i="39"/>
  <c r="X147" i="36"/>
  <c r="Z147" i="36" s="1"/>
  <c r="R147" i="36"/>
  <c r="X72" i="105"/>
  <c r="Z72" i="105" s="1"/>
  <c r="R72" i="105"/>
  <c r="X119" i="51"/>
  <c r="Z119" i="51" s="1"/>
  <c r="R119" i="51"/>
  <c r="X35" i="83"/>
  <c r="Z35" i="83" s="1"/>
  <c r="R35" i="83"/>
  <c r="X141" i="42"/>
  <c r="Z141" i="42" s="1"/>
  <c r="R141" i="42"/>
  <c r="L152" i="39"/>
  <c r="N152" i="39" s="1"/>
  <c r="F152" i="39"/>
  <c r="L147" i="36"/>
  <c r="N147" i="36" s="1"/>
  <c r="F147" i="36"/>
  <c r="L89" i="80"/>
  <c r="N89" i="80" s="1"/>
  <c r="F89" i="80"/>
  <c r="L92" i="94"/>
  <c r="N92" i="94" s="1"/>
  <c r="F92" i="94"/>
  <c r="L150" i="24"/>
  <c r="N150" i="24" s="1"/>
  <c r="F150" i="24"/>
  <c r="X130" i="75"/>
  <c r="Z130" i="75" s="1"/>
  <c r="R130" i="75"/>
  <c r="L93" i="95"/>
  <c r="N93" i="95" s="1"/>
  <c r="F93" i="95"/>
</calcChain>
</file>

<file path=xl/sharedStrings.xml><?xml version="1.0" encoding="utf-8"?>
<sst xmlns="http://schemas.openxmlformats.org/spreadsheetml/2006/main" count="2922" uniqueCount="315">
  <si>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</si>
  <si>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</si>
  <si>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</si>
  <si>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</si>
  <si>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</si>
  <si>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</si>
  <si>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</si>
  <si>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</si>
  <si>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</si>
  <si>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</si>
  <si>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</si>
  <si>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Budget</t>
  </si>
  <si>
    <t>Variance</t>
  </si>
  <si>
    <t xml:space="preserve">Forty Niner Shops, Inc. </t>
  </si>
  <si>
    <t>G &amp; A Allocation</t>
  </si>
  <si>
    <t>% of Sales</t>
  </si>
  <si>
    <t>% Budget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</si>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</sst>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8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0" fontId="0" fillId="0" borderId="0" xfId="0" applyFont="1" applyFill="1" applyBorder="1"/>
    <xf numFmtId="164" fontId="2" fillId="2" borderId="0" xfId="1" applyNumberFormat="1" applyFont="1" applyFill="1" applyBorder="1"/>
    <xf numFmtId="0" fontId="2" fillId="2" borderId="1" xfId="0" applyFont="1" applyFill="1" applyBorder="1" applyAlignment="1">
      <alignment horizontal="centerContinuous"/>
    </xf>
    <xf numFmtId="164" fontId="2" fillId="2" borderId="0" xfId="1" applyNumberFormat="1" applyFont="1" applyFill="1"/>
    <xf numFmtId="0" fontId="0" fillId="0" borderId="0" xfId="0" applyAlignment="1">
      <alignment horizontal="centerContinuous"/>
    </xf>
    <xf numFmtId="164" fontId="0" fillId="0" borderId="0" xfId="1" applyNumberFormat="1" applyFont="1"/>
    <xf numFmtId="167" fontId="1" fillId="0" borderId="0" xfId="3" applyNumberFormat="1" applyFont="1" applyFill="1"/>
    <xf numFmtId="168" fontId="2" fillId="2" borderId="2" xfId="2" applyNumberFormat="1" applyFont="1" applyFill="1" applyBorder="1"/>
    <xf numFmtId="164" fontId="2" fillId="0" borderId="0" xfId="1" applyNumberFormat="1" applyFont="1" applyFill="1" applyBorder="1"/>
    <xf numFmtId="167" fontId="2" fillId="2" borderId="2" xfId="3" applyNumberFormat="1" applyFont="1" applyFill="1" applyBorder="1"/>
    <xf numFmtId="0" fontId="2" fillId="0" borderId="0" xfId="0" applyFont="1"/>
    <xf numFmtId="0" fontId="1" fillId="0" borderId="0" xfId="0" applyFont="1"/>
    <xf numFmtId="49" fontId="1" fillId="0" borderId="0" xfId="0" applyNumberFormat="1" applyFont="1" applyFill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0" fontId="0" fillId="0" borderId="0" xfId="0" applyFont="1" applyBorder="1"/>
    <xf numFmtId="0" fontId="2" fillId="2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167" fontId="2" fillId="0" borderId="0" xfId="3" applyNumberFormat="1" applyFont="1" applyFill="1" applyBorder="1"/>
    <xf numFmtId="168" fontId="2" fillId="2" borderId="3" xfId="2" applyNumberFormat="1" applyFont="1" applyFill="1" applyBorder="1"/>
    <xf numFmtId="168" fontId="2" fillId="2" borderId="4" xfId="2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167" fontId="2" fillId="2" borderId="3" xfId="3" applyNumberFormat="1" applyFont="1" applyFill="1" applyBorder="1"/>
    <xf numFmtId="167" fontId="2" fillId="2" borderId="4" xfId="3" applyNumberFormat="1" applyFont="1" applyFill="1" applyBorder="1"/>
    <xf numFmtId="0" fontId="0" fillId="0" borderId="0" xfId="0" applyFill="1" applyBorder="1"/>
    <xf numFmtId="167" fontId="2" fillId="2" borderId="1" xfId="3" applyNumberFormat="1" applyFont="1" applyFill="1" applyBorder="1" applyAlignment="1">
      <alignment horizontal="center"/>
    </xf>
    <xf numFmtId="167" fontId="0" fillId="0" borderId="0" xfId="0" applyNumberFormat="1"/>
    <xf numFmtId="167" fontId="0" fillId="0" borderId="0" xfId="0" applyNumberFormat="1" applyAlignment="1">
      <alignment horizontal="centerContinuous"/>
    </xf>
    <xf numFmtId="167" fontId="2" fillId="2" borderId="1" xfId="3" applyNumberFormat="1" applyFont="1" applyFill="1" applyBorder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167" fontId="0" fillId="0" borderId="0" xfId="1" applyNumberFormat="1" applyFont="1"/>
    <xf numFmtId="0" fontId="2" fillId="2" borderId="1" xfId="0" applyFont="1" applyFill="1" applyBorder="1" applyAlignment="1">
      <alignment horizontal="center"/>
    </xf>
    <xf numFmtId="49" fontId="1" fillId="0" borderId="0" xfId="0" applyNumberFormat="1" applyFont="1" applyFill="1"/>
    <xf numFmtId="167" fontId="0" fillId="0" borderId="0" xfId="0" applyNumberFormat="1" applyFill="1"/>
    <xf numFmtId="167" fontId="0" fillId="0" borderId="0" xfId="3" applyNumberFormat="1" applyFont="1"/>
    <xf numFmtId="167" fontId="2" fillId="2" borderId="1" xfId="0" applyNumberFormat="1" applyFont="1" applyFill="1" applyBorder="1" applyAlignment="1">
      <alignment horizontal="center"/>
    </xf>
    <xf numFmtId="0" fontId="2" fillId="2" borderId="1" xfId="0" applyNumberFormat="1" applyFont="1" applyFill="1" applyBorder="1" applyAlignment="1">
      <alignment horizontal="center"/>
    </xf>
    <xf numFmtId="167" fontId="0" fillId="0" borderId="0" xfId="3" applyNumberFormat="1" applyFont="1" applyAlignment="1">
      <alignment horizontal="centerContinuous"/>
    </xf>
    <xf numFmtId="164" fontId="2" fillId="0" borderId="0" xfId="1" applyNumberFormat="1" applyFont="1" applyAlignment="1">
      <alignment horizontal="left"/>
    </xf>
    <xf numFmtId="167" fontId="2" fillId="2" borderId="1" xfId="0" applyNumberFormat="1" applyFont="1" applyFill="1" applyBorder="1" applyAlignment="1">
      <alignment horizontal="centerContinuous"/>
    </xf>
    <xf numFmtId="49" fontId="2" fillId="0" borderId="0" xfId="0" applyNumberFormat="1" applyFont="1" applyFill="1"/>
    <xf numFmtId="164" fontId="2" fillId="0" borderId="0" xfId="1" applyNumberFormat="1" applyFont="1" applyFill="1" applyAlignment="1">
      <alignment horizontal="centerContinuous"/>
    </xf>
    <xf numFmtId="0" fontId="2" fillId="0" borderId="0" xfId="0" applyFont="1" applyAlignment="1">
      <alignment horizontal="left"/>
    </xf>
    <xf numFmtId="0" fontId="0" fillId="0" borderId="0" xfId="0" applyFill="1" applyAlignment="1">
      <alignment horizontal="centerContinuous"/>
    </xf>
    <xf numFmtId="0" fontId="0" fillId="0" borderId="0" xfId="0" applyBorder="1"/>
    <xf numFmtId="166" fontId="3" fillId="0" borderId="0" xfId="0" applyNumberFormat="1" applyFont="1" applyAlignment="1">
      <alignment horizontal="left"/>
    </xf>
    <xf numFmtId="0" fontId="2" fillId="0" borderId="0" xfId="0" applyFont="1" applyFill="1" applyBorder="1"/>
    <xf numFmtId="49" fontId="2" fillId="2" borderId="1" xfId="0" applyNumberFormat="1" applyFont="1" applyFill="1" applyBorder="1" applyAlignment="1">
      <alignment horizontal="center"/>
    </xf>
    <xf numFmtId="0" fontId="4" fillId="0" borderId="0" xfId="0" applyFont="1"/>
    <xf numFmtId="165" fontId="0" fillId="0" borderId="0" xfId="0" applyNumberFormat="1"/>
    <xf numFmtId="0" fontId="3" fillId="0" borderId="0" xfId="0" applyFont="1" applyAlignment="1">
      <alignment horizontal="left"/>
    </xf>
    <xf numFmtId="0" fontId="5" fillId="0" borderId="0" xfId="0" applyFont="1" applyFill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0" borderId="0" xfId="0" applyNumberFormat="1"/>
    <xf numFmtId="49" fontId="0" fillId="3" borderId="5" xfId="0" applyNumberForma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244</v>
      </c>
      <c r="B3" s="41" t="s">
        <v>245</v>
      </c>
      <c r="C3" s="41" t="s">
        <v>18</v>
      </c>
      <c r="D3" s="41" t="s">
        <v>246</v>
      </c>
      <c r="E3" s="41" t="s">
        <v>247</v>
      </c>
      <c r="F3" s="41" t="s">
        <v>20</v>
      </c>
      <c r="G3" s="41" t="s">
        <v>248</v>
      </c>
      <c r="H3" s="41" t="s">
        <v>249</v>
      </c>
      <c r="I3" s="41" t="s">
        <v>250</v>
      </c>
      <c r="J3" s="41" t="s">
        <v>251</v>
      </c>
      <c r="K3" s="41" t="s">
        <v>252</v>
      </c>
      <c r="L3" s="41" t="s">
        <v>253</v>
      </c>
      <c r="M3" s="41" t="s">
        <v>254</v>
      </c>
      <c r="N3" s="41" t="s">
        <v>255</v>
      </c>
      <c r="O3" s="41" t="s">
        <v>256</v>
      </c>
      <c r="P3" s="41" t="s">
        <v>257</v>
      </c>
      <c r="Q3" s="41" t="s">
        <v>258</v>
      </c>
      <c r="R3" s="41" t="s">
        <v>259</v>
      </c>
      <c r="S3" s="41" t="s">
        <v>260</v>
      </c>
      <c r="T3" s="41" t="s">
        <v>261</v>
      </c>
      <c r="U3" s="41" t="s">
        <v>264</v>
      </c>
      <c r="V3" s="41" t="s">
        <v>265</v>
      </c>
      <c r="W3" s="41" t="s">
        <v>266</v>
      </c>
      <c r="X3" s="41" t="s">
        <v>267</v>
      </c>
      <c r="Y3" s="41" t="s">
        <v>268</v>
      </c>
      <c r="Z3" s="41" t="s">
        <v>269</v>
      </c>
      <c r="AA3" s="41" t="s">
        <v>270</v>
      </c>
      <c r="AB3" s="41" t="s">
        <v>271</v>
      </c>
      <c r="AC3" s="41" t="s">
        <v>272</v>
      </c>
      <c r="AD3" s="41" t="s">
        <v>273</v>
      </c>
      <c r="AE3" s="41" t="s">
        <v>274</v>
      </c>
      <c r="AF3" s="41" t="s">
        <v>275</v>
      </c>
      <c r="AG3" s="41" t="s">
        <v>276</v>
      </c>
      <c r="AH3" s="41" t="s">
        <v>277</v>
      </c>
      <c r="AI3" s="41" t="s">
        <v>278</v>
      </c>
      <c r="AJ3" s="41" t="s">
        <v>279</v>
      </c>
      <c r="AK3" s="41" t="s">
        <v>280</v>
      </c>
      <c r="AL3" s="41" t="s">
        <v>281</v>
      </c>
      <c r="AM3" s="41" t="s">
        <v>282</v>
      </c>
      <c r="AN3" s="41" t="s">
        <v>283</v>
      </c>
      <c r="AO3" s="41" t="s">
        <v>284</v>
      </c>
      <c r="AP3" s="41" t="s">
        <v>285</v>
      </c>
      <c r="AQ3" s="41" t="s">
        <v>286</v>
      </c>
      <c r="AR3" s="41" t="s">
        <v>287</v>
      </c>
      <c r="AS3" s="41" t="s">
        <v>288</v>
      </c>
      <c r="AT3" s="41" t="s">
        <v>289</v>
      </c>
      <c r="AU3" s="41" t="s">
        <v>290</v>
      </c>
      <c r="AV3" s="41" t="s">
        <v>262</v>
      </c>
      <c r="AW3" s="41" t="s">
        <v>263</v>
      </c>
      <c r="AX3" s="41" t="s">
        <v>291</v>
      </c>
      <c r="AY3" s="41" t="s">
        <v>292</v>
      </c>
      <c r="AZ3" s="41" t="s">
        <v>293</v>
      </c>
      <c r="BA3" s="41" t="s">
        <v>45</v>
      </c>
      <c r="BB3" s="41" t="s">
        <v>46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308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308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309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309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312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312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307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307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306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306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6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18</v>
      </c>
      <c r="B3" s="41" t="s">
        <v>19</v>
      </c>
      <c r="C3" s="41" t="s">
        <v>20</v>
      </c>
      <c r="D3" s="41" t="s">
        <v>21</v>
      </c>
      <c r="E3" s="41" t="s">
        <v>22</v>
      </c>
      <c r="F3" s="41" t="s">
        <v>23</v>
      </c>
      <c r="G3" s="41" t="s">
        <v>24</v>
      </c>
      <c r="H3" s="41" t="s">
        <v>25</v>
      </c>
      <c r="I3" s="41" t="s">
        <v>26</v>
      </c>
      <c r="J3" s="41" t="s">
        <v>27</v>
      </c>
      <c r="K3" s="41" t="s">
        <v>28</v>
      </c>
      <c r="L3" s="41" t="s">
        <v>29</v>
      </c>
      <c r="M3" s="41" t="s">
        <v>30</v>
      </c>
      <c r="N3" s="41" t="s">
        <v>31</v>
      </c>
      <c r="O3" s="41" t="s">
        <v>32</v>
      </c>
      <c r="P3" s="41" t="s">
        <v>33</v>
      </c>
      <c r="Q3" s="41" t="s">
        <v>34</v>
      </c>
      <c r="R3" s="41" t="s">
        <v>35</v>
      </c>
      <c r="S3" s="41" t="s">
        <v>36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48</v>
      </c>
      <c r="AB3" s="41" t="s">
        <v>49</v>
      </c>
      <c r="AC3" s="41" t="s">
        <v>50</v>
      </c>
      <c r="AD3" s="41" t="s">
        <v>51</v>
      </c>
      <c r="AE3" s="41" t="s">
        <v>52</v>
      </c>
      <c r="AF3" s="41" t="s">
        <v>53</v>
      </c>
      <c r="AG3" s="41" t="s">
        <v>54</v>
      </c>
      <c r="AH3" s="41" t="s">
        <v>55</v>
      </c>
      <c r="AI3" s="41" t="s">
        <v>56</v>
      </c>
      <c r="AJ3" s="41" t="s">
        <v>57</v>
      </c>
      <c r="AK3" s="41" t="s">
        <v>58</v>
      </c>
      <c r="AL3" s="41" t="s">
        <v>59</v>
      </c>
      <c r="AM3" s="41" t="s">
        <v>60</v>
      </c>
      <c r="AN3" s="41" t="s">
        <v>61</v>
      </c>
      <c r="AO3" s="41" t="s">
        <v>62</v>
      </c>
      <c r="AP3" s="41" t="s">
        <v>63</v>
      </c>
      <c r="AQ3" s="41" t="s">
        <v>64</v>
      </c>
      <c r="AR3" s="41" t="s">
        <v>65</v>
      </c>
      <c r="AS3" s="41" t="s">
        <v>66</v>
      </c>
      <c r="AT3" s="41" t="s">
        <v>67</v>
      </c>
      <c r="AU3" s="41" t="s">
        <v>68</v>
      </c>
      <c r="AV3" s="41" t="s">
        <v>69</v>
      </c>
      <c r="AW3" s="41" t="s">
        <v>70</v>
      </c>
      <c r="AX3" s="41" t="s">
        <v>71</v>
      </c>
      <c r="AY3" s="41" t="s">
        <v>72</v>
      </c>
      <c r="AZ3" s="41" t="s">
        <v>73</v>
      </c>
      <c r="BA3" s="41" t="s">
        <v>74</v>
      </c>
      <c r="BB3" s="41" t="s">
        <v>75</v>
      </c>
      <c r="BC3" s="41" t="s">
        <v>76</v>
      </c>
      <c r="BD3" s="41" t="s">
        <v>77</v>
      </c>
      <c r="BE3" s="41" t="s">
        <v>78</v>
      </c>
      <c r="BF3" s="41" t="s">
        <v>79</v>
      </c>
      <c r="BG3" s="41" t="s">
        <v>80</v>
      </c>
      <c r="BH3" s="41" t="s">
        <v>81</v>
      </c>
      <c r="BI3" s="41" t="s">
        <v>82</v>
      </c>
      <c r="BJ3" s="41" t="s">
        <v>83</v>
      </c>
      <c r="BK3" s="41" t="s">
        <v>84</v>
      </c>
      <c r="BL3" s="41" t="s">
        <v>85</v>
      </c>
      <c r="BM3" s="41" t="s">
        <v>86</v>
      </c>
      <c r="BN3" s="41" t="s">
        <v>87</v>
      </c>
      <c r="BO3" s="41" t="s">
        <v>88</v>
      </c>
      <c r="BP3" s="41" t="s">
        <v>89</v>
      </c>
      <c r="BQ3" s="41" t="s">
        <v>90</v>
      </c>
      <c r="BR3" s="41" t="s">
        <v>91</v>
      </c>
      <c r="BS3" s="41" t="s">
        <v>92</v>
      </c>
      <c r="BT3" s="41" t="s">
        <v>93</v>
      </c>
      <c r="BU3" s="41" t="s">
        <v>94</v>
      </c>
      <c r="BV3" s="41" t="s">
        <v>95</v>
      </c>
      <c r="BW3" s="41" t="s">
        <v>96</v>
      </c>
      <c r="BX3" s="41" t="s">
        <v>97</v>
      </c>
      <c r="BY3" s="41" t="s">
        <v>98</v>
      </c>
      <c r="BZ3" s="41" t="s">
        <v>99</v>
      </c>
      <c r="CA3" s="41" t="s">
        <v>100</v>
      </c>
      <c r="CB3" s="41" t="s">
        <v>101</v>
      </c>
      <c r="CC3" s="41" t="s">
        <v>102</v>
      </c>
      <c r="CD3" s="41" t="s">
        <v>103</v>
      </c>
      <c r="CE3" s="41" t="s">
        <v>104</v>
      </c>
      <c r="CF3" s="41" t="s">
        <v>105</v>
      </c>
      <c r="CG3" s="41" t="s">
        <v>106</v>
      </c>
      <c r="CH3" s="41" t="s">
        <v>107</v>
      </c>
      <c r="CI3" s="41" t="s">
        <v>108</v>
      </c>
      <c r="CJ3" s="41" t="s">
        <v>109</v>
      </c>
      <c r="CK3" s="41" t="s">
        <v>110</v>
      </c>
      <c r="CL3" s="41" t="s">
        <v>111</v>
      </c>
      <c r="CM3" s="41" t="s">
        <v>112</v>
      </c>
      <c r="CN3" s="41" t="s">
        <v>113</v>
      </c>
      <c r="CO3" s="41" t="s">
        <v>114</v>
      </c>
      <c r="CP3" s="41" t="s">
        <v>115</v>
      </c>
      <c r="CQ3" s="41" t="s">
        <v>116</v>
      </c>
      <c r="CR3" s="41" t="s">
        <v>117</v>
      </c>
      <c r="CS3" s="41" t="s">
        <v>118</v>
      </c>
      <c r="CT3" s="41" t="s">
        <v>119</v>
      </c>
      <c r="CU3" s="41" t="s">
        <v>120</v>
      </c>
      <c r="CV3" s="41" t="s">
        <v>121</v>
      </c>
      <c r="CW3" s="41" t="s">
        <v>122</v>
      </c>
      <c r="CX3" s="41" t="s">
        <v>123</v>
      </c>
      <c r="CY3" s="41" t="s">
        <v>124</v>
      </c>
      <c r="CZ3" s="41" t="s">
        <v>125</v>
      </c>
      <c r="DA3" s="41" t="s">
        <v>126</v>
      </c>
      <c r="DB3" s="41" t="s">
        <v>127</v>
      </c>
      <c r="DC3" s="41" t="s">
        <v>128</v>
      </c>
      <c r="DD3" s="41" t="s">
        <v>129</v>
      </c>
      <c r="DE3" s="41" t="s">
        <v>130</v>
      </c>
      <c r="DF3" s="41" t="s">
        <v>131</v>
      </c>
      <c r="DG3" s="41" t="s">
        <v>132</v>
      </c>
      <c r="DH3" s="41" t="s">
        <v>133</v>
      </c>
      <c r="DI3" s="41" t="s">
        <v>134</v>
      </c>
      <c r="DJ3" s="41" t="s">
        <v>135</v>
      </c>
      <c r="DK3" s="41" t="s">
        <v>136</v>
      </c>
      <c r="DL3" s="41" t="s">
        <v>137</v>
      </c>
      <c r="DM3" s="41" t="s">
        <v>138</v>
      </c>
      <c r="DN3" s="41" t="s">
        <v>139</v>
      </c>
      <c r="DO3" s="41" t="s">
        <v>140</v>
      </c>
      <c r="DP3" s="41" t="s">
        <v>141</v>
      </c>
      <c r="DQ3" s="41" t="s">
        <v>142</v>
      </c>
      <c r="DR3" s="41" t="s">
        <v>143</v>
      </c>
      <c r="DS3" s="41" t="s">
        <v>144</v>
      </c>
      <c r="DT3" s="41" t="s">
        <v>145</v>
      </c>
      <c r="DU3" s="41" t="s">
        <v>146</v>
      </c>
      <c r="DV3" s="41" t="s">
        <v>147</v>
      </c>
      <c r="DW3" s="41" t="s">
        <v>148</v>
      </c>
      <c r="DX3" s="41" t="s">
        <v>149</v>
      </c>
      <c r="DY3" s="41" t="s">
        <v>150</v>
      </c>
      <c r="DZ3" s="41" t="s">
        <v>151</v>
      </c>
      <c r="EA3" s="41" t="s">
        <v>152</v>
      </c>
      <c r="EB3" s="41" t="s">
        <v>153</v>
      </c>
      <c r="EC3" s="41" t="s">
        <v>154</v>
      </c>
      <c r="ED3" s="41" t="s">
        <v>155</v>
      </c>
      <c r="EE3" s="41" t="s">
        <v>156</v>
      </c>
      <c r="EF3" s="41" t="s">
        <v>157</v>
      </c>
      <c r="EG3" s="41" t="s">
        <v>158</v>
      </c>
      <c r="EH3" s="41" t="s">
        <v>159</v>
      </c>
      <c r="EI3" s="41" t="s">
        <v>160</v>
      </c>
      <c r="EJ3" s="41" t="s">
        <v>161</v>
      </c>
      <c r="EK3" s="41" t="s">
        <v>162</v>
      </c>
      <c r="EL3" s="41" t="s">
        <v>163</v>
      </c>
      <c r="EM3" s="41" t="s">
        <v>164</v>
      </c>
      <c r="EN3" s="41" t="s">
        <v>165</v>
      </c>
      <c r="EO3" s="41" t="s">
        <v>166</v>
      </c>
      <c r="EP3" s="41" t="s">
        <v>167</v>
      </c>
      <c r="EQ3" s="41" t="s">
        <v>168</v>
      </c>
      <c r="ER3" s="41" t="s">
        <v>169</v>
      </c>
      <c r="ES3" s="41" t="s">
        <v>170</v>
      </c>
      <c r="ET3" s="41" t="s">
        <v>171</v>
      </c>
      <c r="EU3" s="41" t="s">
        <v>172</v>
      </c>
      <c r="EV3" s="41" t="s">
        <v>173</v>
      </c>
      <c r="EW3" s="41" t="s">
        <v>174</v>
      </c>
      <c r="EX3" s="41" t="s">
        <v>175</v>
      </c>
      <c r="EY3" s="41" t="s">
        <v>176</v>
      </c>
      <c r="EZ3" s="41" t="s">
        <v>177</v>
      </c>
      <c r="FA3" s="41" t="s">
        <v>178</v>
      </c>
      <c r="FB3" s="41" t="s">
        <v>179</v>
      </c>
      <c r="FC3" s="41" t="s">
        <v>180</v>
      </c>
      <c r="FD3" s="41" t="s">
        <v>181</v>
      </c>
      <c r="FE3" s="41" t="s">
        <v>182</v>
      </c>
      <c r="FF3" s="41" t="s">
        <v>183</v>
      </c>
      <c r="FG3" s="41" t="s">
        <v>184</v>
      </c>
      <c r="FH3" s="41" t="s">
        <v>185</v>
      </c>
      <c r="FI3" s="41" t="s">
        <v>186</v>
      </c>
      <c r="FJ3" s="41" t="s">
        <v>187</v>
      </c>
      <c r="FK3" s="41" t="s">
        <v>188</v>
      </c>
      <c r="FL3" s="41" t="s">
        <v>189</v>
      </c>
      <c r="FM3" s="41" t="s">
        <v>190</v>
      </c>
      <c r="FN3" s="41" t="s">
        <v>191</v>
      </c>
      <c r="FO3" s="41" t="s">
        <v>192</v>
      </c>
      <c r="FP3" s="41" t="s">
        <v>193</v>
      </c>
      <c r="FQ3" s="41" t="s">
        <v>194</v>
      </c>
      <c r="FR3" s="41" t="s">
        <v>195</v>
      </c>
      <c r="FS3" s="41" t="s">
        <v>196</v>
      </c>
      <c r="FT3" s="41" t="s">
        <v>197</v>
      </c>
      <c r="FU3" s="41" t="s">
        <v>198</v>
      </c>
      <c r="FV3" s="41" t="s">
        <v>199</v>
      </c>
      <c r="FW3" s="41" t="s">
        <v>200</v>
      </c>
      <c r="FX3" s="41" t="s">
        <v>201</v>
      </c>
      <c r="FY3" s="41" t="s">
        <v>202</v>
      </c>
      <c r="FZ3" s="41" t="s">
        <v>203</v>
      </c>
      <c r="GA3" s="41" t="s">
        <v>204</v>
      </c>
      <c r="GB3" s="41" t="s">
        <v>205</v>
      </c>
      <c r="GC3" s="41" t="s">
        <v>206</v>
      </c>
      <c r="GD3" s="41" t="s">
        <v>207</v>
      </c>
      <c r="GE3" s="41" t="s">
        <v>208</v>
      </c>
      <c r="GF3" s="41" t="s">
        <v>209</v>
      </c>
      <c r="GG3" s="41" t="s">
        <v>210</v>
      </c>
      <c r="GH3" s="41" t="s">
        <v>211</v>
      </c>
      <c r="GI3" s="41" t="s">
        <v>212</v>
      </c>
      <c r="GJ3" s="41" t="s">
        <v>213</v>
      </c>
      <c r="GK3" s="41" t="s">
        <v>214</v>
      </c>
      <c r="GL3" s="41" t="s">
        <v>215</v>
      </c>
      <c r="GM3" s="41" t="s">
        <v>216</v>
      </c>
      <c r="GN3" s="41" t="s">
        <v>217</v>
      </c>
      <c r="GO3" s="41" t="s">
        <v>218</v>
      </c>
      <c r="GP3" s="41" t="s">
        <v>219</v>
      </c>
      <c r="GQ3" s="41" t="s">
        <v>220</v>
      </c>
      <c r="GR3" s="41" t="s">
        <v>221</v>
      </c>
      <c r="GS3" s="41" t="s">
        <v>222</v>
      </c>
      <c r="GT3" s="41" t="s">
        <v>223</v>
      </c>
      <c r="GU3" s="41" t="s">
        <v>224</v>
      </c>
      <c r="GV3" s="41" t="s">
        <v>225</v>
      </c>
      <c r="GW3" s="41" t="s">
        <v>226</v>
      </c>
      <c r="GX3" s="41" t="s">
        <v>227</v>
      </c>
      <c r="GY3" s="41" t="s">
        <v>228</v>
      </c>
      <c r="GZ3" s="41" t="s">
        <v>229</v>
      </c>
      <c r="HA3" s="41" t="s">
        <v>230</v>
      </c>
      <c r="HB3" s="41" t="s">
        <v>231</v>
      </c>
      <c r="HC3" s="41" t="s">
        <v>232</v>
      </c>
      <c r="HD3" s="41" t="s">
        <v>233</v>
      </c>
      <c r="HE3" s="41" t="s">
        <v>234</v>
      </c>
      <c r="HF3" s="41" t="s">
        <v>235</v>
      </c>
      <c r="HG3" s="41" t="s">
        <v>236</v>
      </c>
      <c r="HH3" s="41" t="s">
        <v>237</v>
      </c>
      <c r="HI3" s="41" t="s">
        <v>242</v>
      </c>
      <c r="HJ3" s="41" t="s">
        <v>243</v>
      </c>
      <c r="HK3" s="41"/>
      <c r="HL3" s="41" t="s">
        <v>44</v>
      </c>
      <c r="HM3" s="67"/>
      <c r="HN3" s="41" t="s">
        <v>45</v>
      </c>
      <c r="HO3" s="41" t="s">
        <v>46</v>
      </c>
      <c r="HP3" t="s">
        <v>47</v>
      </c>
      <c r="JK3" s="41" t="s">
        <v>238</v>
      </c>
      <c r="JL3" s="41" t="s">
        <v>239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240</v>
      </c>
      <c r="JL10002" s="41" t="s">
        <v>241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303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303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304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304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305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305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310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310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313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313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338"/>
  <sheetViews>
    <sheetView tabSelected="1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297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1847036.6400000008</v>
      </c>
      <c r="E12" s="4"/>
      <c r="F12" s="12"/>
      <c r="G12" s="4"/>
      <c r="H12" s="4">
        <f>SUM(OSRRefH13x_0)</f>
        <v>3663286.3910400001</v>
      </c>
      <c r="I12" s="4"/>
      <c r="J12" s="12"/>
      <c r="K12" s="4"/>
      <c r="L12" s="4">
        <f t="shared" ref="L12:L136" si="0">+D12-H12</f>
        <v>-1816249.7510399993</v>
      </c>
      <c r="M12" s="4"/>
      <c r="N12" s="12">
        <f t="shared" ref="N12:N136" si="1">IF(H12=0,0,L12/H12)</f>
        <v>-0.49579791399393414</v>
      </c>
      <c r="O12" s="10"/>
      <c r="P12" s="4">
        <f>SUM(OSRRefP13x_0)</f>
        <v>27045444.340000011</v>
      </c>
      <c r="Q12" s="4"/>
      <c r="R12" s="12"/>
      <c r="S12" s="4"/>
      <c r="T12" s="4">
        <f>SUM(OSRRefT13x_0)</f>
        <v>29945546.698180001</v>
      </c>
      <c r="U12" s="4"/>
      <c r="V12" s="12"/>
      <c r="W12" s="4"/>
      <c r="X12" s="4">
        <f t="shared" ref="X12:X136" si="2">+P12-T12</f>
        <v>-2900102.3581799902</v>
      </c>
      <c r="Y12" s="4"/>
      <c r="Z12" s="12">
        <f t="shared" ref="Z12:Z136" si="3">IF(T12=0,0,X12/T12)</f>
        <v>-9.6845864509003926E-2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1310766.3910400001</v>
      </c>
      <c r="I13" s="2"/>
      <c r="J13" s="19"/>
      <c r="K13" s="2"/>
      <c r="L13" s="2">
        <f t="shared" si="0"/>
        <v>-1310766.3910400001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9350767.6981800012</v>
      </c>
      <c r="U13" s="2"/>
      <c r="V13" s="19"/>
      <c r="W13" s="2"/>
      <c r="X13" s="2">
        <f t="shared" si="2"/>
        <v>-9350767.6981800012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--6131.56</f>
        <v>6131.56</v>
      </c>
      <c r="E14" s="2"/>
      <c r="F14" s="19"/>
      <c r="G14" s="2"/>
      <c r="H14" s="2"/>
      <c r="I14" s="2"/>
      <c r="J14" s="19"/>
      <c r="K14" s="2"/>
      <c r="L14" s="2">
        <f t="shared" si="0"/>
        <v>6131.56</v>
      </c>
      <c r="M14" s="2"/>
      <c r="N14" s="19">
        <f t="shared" si="1"/>
        <v>0</v>
      </c>
      <c r="O14" s="11"/>
      <c r="P14" s="2">
        <f>--2396893.28</f>
        <v>2396893.2799999998</v>
      </c>
      <c r="Q14" s="2"/>
      <c r="R14" s="19"/>
      <c r="S14" s="2"/>
      <c r="T14" s="2"/>
      <c r="U14" s="2"/>
      <c r="V14" s="19"/>
      <c r="W14" s="2"/>
      <c r="X14" s="2">
        <f t="shared" si="2"/>
        <v>2396893.2799999998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--4341.5</f>
        <v>4341.5</v>
      </c>
      <c r="E15" s="2"/>
      <c r="F15" s="19"/>
      <c r="G15" s="2"/>
      <c r="H15" s="2"/>
      <c r="I15" s="2"/>
      <c r="J15" s="19"/>
      <c r="K15" s="2"/>
      <c r="L15" s="2">
        <f t="shared" si="0"/>
        <v>4341.5</v>
      </c>
      <c r="M15" s="2"/>
      <c r="N15" s="19">
        <f t="shared" si="1"/>
        <v>0</v>
      </c>
      <c r="O15" s="11"/>
      <c r="P15" s="2">
        <f>--1244314.69</f>
        <v>1244314.69</v>
      </c>
      <c r="Q15" s="2"/>
      <c r="R15" s="19"/>
      <c r="S15" s="2"/>
      <c r="T15" s="2"/>
      <c r="U15" s="2"/>
      <c r="V15" s="19"/>
      <c r="W15" s="2"/>
      <c r="X15" s="2">
        <f t="shared" si="2"/>
        <v>1244314.69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--78</f>
        <v>78</v>
      </c>
      <c r="E16" s="2"/>
      <c r="F16" s="19"/>
      <c r="G16" s="2"/>
      <c r="H16" s="2"/>
      <c r="I16" s="2"/>
      <c r="J16" s="19"/>
      <c r="K16" s="2"/>
      <c r="L16" s="2">
        <f t="shared" si="0"/>
        <v>78</v>
      </c>
      <c r="M16" s="2"/>
      <c r="N16" s="19">
        <f t="shared" si="1"/>
        <v>0</v>
      </c>
      <c r="O16" s="11"/>
      <c r="P16" s="2">
        <f>--33694.89</f>
        <v>33694.89</v>
      </c>
      <c r="Q16" s="2"/>
      <c r="R16" s="19"/>
      <c r="S16" s="2"/>
      <c r="T16" s="2"/>
      <c r="U16" s="2"/>
      <c r="V16" s="19"/>
      <c r="W16" s="2"/>
      <c r="X16" s="2">
        <f t="shared" si="2"/>
        <v>33694.89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/>
      <c r="U17" s="2"/>
      <c r="V17" s="19"/>
      <c r="W17" s="2"/>
      <c r="X17" s="2">
        <f t="shared" si="2"/>
        <v>42195.3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--253.6</f>
        <v>253.6</v>
      </c>
      <c r="E18" s="2"/>
      <c r="F18" s="19"/>
      <c r="G18" s="2"/>
      <c r="H18" s="2"/>
      <c r="I18" s="2"/>
      <c r="J18" s="19"/>
      <c r="K18" s="2"/>
      <c r="L18" s="2">
        <f t="shared" si="0"/>
        <v>253.6</v>
      </c>
      <c r="M18" s="2"/>
      <c r="N18" s="19">
        <f t="shared" si="1"/>
        <v>0</v>
      </c>
      <c r="O18" s="11"/>
      <c r="P18" s="2">
        <f>--1052.48</f>
        <v>1052.48</v>
      </c>
      <c r="Q18" s="2"/>
      <c r="R18" s="19"/>
      <c r="S18" s="2"/>
      <c r="T18" s="2"/>
      <c r="U18" s="2"/>
      <c r="V18" s="19"/>
      <c r="W18" s="2"/>
      <c r="X18" s="2">
        <f t="shared" si="2"/>
        <v>1052.48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--412.75</f>
        <v>412.75</v>
      </c>
      <c r="E19" s="2"/>
      <c r="F19" s="19"/>
      <c r="G19" s="2"/>
      <c r="H19" s="2"/>
      <c r="I19" s="2"/>
      <c r="J19" s="19"/>
      <c r="K19" s="2"/>
      <c r="L19" s="2">
        <f t="shared" si="0"/>
        <v>412.75</v>
      </c>
      <c r="M19" s="2"/>
      <c r="N19" s="19">
        <f t="shared" si="1"/>
        <v>0</v>
      </c>
      <c r="O19" s="11"/>
      <c r="P19" s="2">
        <f>--2695</f>
        <v>2695</v>
      </c>
      <c r="Q19" s="2"/>
      <c r="R19" s="19"/>
      <c r="S19" s="2"/>
      <c r="T19" s="2"/>
      <c r="U19" s="2"/>
      <c r="V19" s="19"/>
      <c r="W19" s="2"/>
      <c r="X19" s="2">
        <f t="shared" si="2"/>
        <v>2695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--67.24</f>
        <v>67.239999999999995</v>
      </c>
      <c r="E20" s="2"/>
      <c r="F20" s="19"/>
      <c r="G20" s="2"/>
      <c r="H20" s="2"/>
      <c r="I20" s="2"/>
      <c r="J20" s="19"/>
      <c r="K20" s="2"/>
      <c r="L20" s="2">
        <f t="shared" si="0"/>
        <v>67.239999999999995</v>
      </c>
      <c r="M20" s="2"/>
      <c r="N20" s="19">
        <f t="shared" si="1"/>
        <v>0</v>
      </c>
      <c r="O20" s="11"/>
      <c r="P20" s="2">
        <f>--1219.18</f>
        <v>1219.18</v>
      </c>
      <c r="Q20" s="2"/>
      <c r="R20" s="19"/>
      <c r="S20" s="2"/>
      <c r="T20" s="2"/>
      <c r="U20" s="2"/>
      <c r="V20" s="19"/>
      <c r="W20" s="2"/>
      <c r="X20" s="2">
        <f t="shared" si="2"/>
        <v>1219.18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--10.98</f>
        <v>10.98</v>
      </c>
      <c r="E21" s="2"/>
      <c r="F21" s="19"/>
      <c r="G21" s="2"/>
      <c r="H21" s="2"/>
      <c r="I21" s="2"/>
      <c r="J21" s="19"/>
      <c r="K21" s="2"/>
      <c r="L21" s="2">
        <f t="shared" si="0"/>
        <v>10.98</v>
      </c>
      <c r="M21" s="2"/>
      <c r="N21" s="19">
        <f t="shared" si="1"/>
        <v>0</v>
      </c>
      <c r="O21" s="11"/>
      <c r="P21" s="2">
        <f>--282.57</f>
        <v>282.57</v>
      </c>
      <c r="Q21" s="2"/>
      <c r="R21" s="19"/>
      <c r="S21" s="2"/>
      <c r="T21" s="2"/>
      <c r="U21" s="2"/>
      <c r="V21" s="19"/>
      <c r="W21" s="2"/>
      <c r="X21" s="2">
        <f t="shared" si="2"/>
        <v>282.57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--56.6</f>
        <v>56.6</v>
      </c>
      <c r="E22" s="2"/>
      <c r="F22" s="19"/>
      <c r="G22" s="2"/>
      <c r="H22" s="2"/>
      <c r="I22" s="2"/>
      <c r="J22" s="19"/>
      <c r="K22" s="2"/>
      <c r="L22" s="2">
        <f t="shared" si="0"/>
        <v>56.6</v>
      </c>
      <c r="M22" s="2"/>
      <c r="N22" s="19">
        <f t="shared" si="1"/>
        <v>0</v>
      </c>
      <c r="O22" s="11"/>
      <c r="P22" s="2">
        <f>--4154.31</f>
        <v>4154.3100000000004</v>
      </c>
      <c r="Q22" s="2"/>
      <c r="R22" s="19"/>
      <c r="S22" s="2"/>
      <c r="T22" s="2"/>
      <c r="U22" s="2"/>
      <c r="V22" s="19"/>
      <c r="W22" s="2"/>
      <c r="X22" s="2">
        <f t="shared" si="2"/>
        <v>4154.3100000000004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/>
      <c r="U23" s="2"/>
      <c r="V23" s="19"/>
      <c r="W23" s="2"/>
      <c r="X23" s="2">
        <f t="shared" si="2"/>
        <v>42.85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--2919.17</f>
        <v>2919.17</v>
      </c>
      <c r="E24" s="2"/>
      <c r="F24" s="19"/>
      <c r="G24" s="2"/>
      <c r="H24" s="2"/>
      <c r="I24" s="2"/>
      <c r="J24" s="19"/>
      <c r="K24" s="2"/>
      <c r="L24" s="2">
        <f t="shared" si="0"/>
        <v>2919.17</v>
      </c>
      <c r="M24" s="2"/>
      <c r="N24" s="19">
        <f t="shared" si="1"/>
        <v>0</v>
      </c>
      <c r="O24" s="11"/>
      <c r="P24" s="2">
        <f>--54702.86</f>
        <v>54702.86</v>
      </c>
      <c r="Q24" s="2"/>
      <c r="R24" s="19"/>
      <c r="S24" s="2"/>
      <c r="T24" s="2"/>
      <c r="U24" s="2"/>
      <c r="V24" s="19"/>
      <c r="W24" s="2"/>
      <c r="X24" s="2">
        <f t="shared" si="2"/>
        <v>54702.86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--4393.86</f>
        <v>4393.8599999999997</v>
      </c>
      <c r="E25" s="2"/>
      <c r="F25" s="19"/>
      <c r="G25" s="2"/>
      <c r="H25" s="2"/>
      <c r="I25" s="2"/>
      <c r="J25" s="19"/>
      <c r="K25" s="2"/>
      <c r="L25" s="2">
        <f t="shared" si="0"/>
        <v>4393.8599999999997</v>
      </c>
      <c r="M25" s="2"/>
      <c r="N25" s="19">
        <f t="shared" si="1"/>
        <v>0</v>
      </c>
      <c r="O25" s="11"/>
      <c r="P25" s="2">
        <f>--79868.06</f>
        <v>79868.06</v>
      </c>
      <c r="Q25" s="2"/>
      <c r="R25" s="19"/>
      <c r="S25" s="2"/>
      <c r="T25" s="2"/>
      <c r="U25" s="2"/>
      <c r="V25" s="19"/>
      <c r="W25" s="2"/>
      <c r="X25" s="2">
        <f t="shared" si="2"/>
        <v>79868.06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--8153.25</f>
        <v>8153.25</v>
      </c>
      <c r="E26" s="2"/>
      <c r="F26" s="19"/>
      <c r="G26" s="2"/>
      <c r="H26" s="2"/>
      <c r="I26" s="2"/>
      <c r="J26" s="19"/>
      <c r="K26" s="2"/>
      <c r="L26" s="2">
        <f t="shared" si="0"/>
        <v>8153.25</v>
      </c>
      <c r="M26" s="2"/>
      <c r="N26" s="19">
        <f t="shared" si="1"/>
        <v>0</v>
      </c>
      <c r="O26" s="11"/>
      <c r="P26" s="2">
        <f>--269846.58</f>
        <v>269846.58</v>
      </c>
      <c r="Q26" s="2"/>
      <c r="R26" s="19"/>
      <c r="S26" s="2"/>
      <c r="T26" s="2"/>
      <c r="U26" s="2"/>
      <c r="V26" s="19"/>
      <c r="W26" s="2"/>
      <c r="X26" s="2">
        <f t="shared" si="2"/>
        <v>269846.58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--17260.82</f>
        <v>17260.82</v>
      </c>
      <c r="E27" s="2"/>
      <c r="F27" s="19"/>
      <c r="G27" s="2"/>
      <c r="H27" s="2"/>
      <c r="I27" s="2"/>
      <c r="J27" s="19"/>
      <c r="K27" s="2"/>
      <c r="L27" s="2">
        <f t="shared" si="0"/>
        <v>17260.82</v>
      </c>
      <c r="M27" s="2"/>
      <c r="N27" s="19">
        <f t="shared" si="1"/>
        <v>0</v>
      </c>
      <c r="O27" s="11"/>
      <c r="P27" s="2">
        <f>--292597.05</f>
        <v>292597.05</v>
      </c>
      <c r="Q27" s="2"/>
      <c r="R27" s="19"/>
      <c r="S27" s="2"/>
      <c r="T27" s="2"/>
      <c r="U27" s="2"/>
      <c r="V27" s="19"/>
      <c r="W27" s="2"/>
      <c r="X27" s="2">
        <f t="shared" si="2"/>
        <v>292597.05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--44.3</f>
        <v>44.3</v>
      </c>
      <c r="E28" s="2"/>
      <c r="F28" s="19"/>
      <c r="G28" s="2"/>
      <c r="H28" s="2"/>
      <c r="I28" s="2"/>
      <c r="J28" s="19"/>
      <c r="K28" s="2"/>
      <c r="L28" s="2">
        <f t="shared" si="0"/>
        <v>44.3</v>
      </c>
      <c r="M28" s="2"/>
      <c r="N28" s="19">
        <f t="shared" si="1"/>
        <v>0</v>
      </c>
      <c r="O28" s="11"/>
      <c r="P28" s="2">
        <f>--486.34</f>
        <v>486.34</v>
      </c>
      <c r="Q28" s="2"/>
      <c r="R28" s="19"/>
      <c r="S28" s="2"/>
      <c r="T28" s="2"/>
      <c r="U28" s="2"/>
      <c r="V28" s="19"/>
      <c r="W28" s="2"/>
      <c r="X28" s="2">
        <f t="shared" si="2"/>
        <v>486.34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--19182.55</f>
        <v>19182.55</v>
      </c>
      <c r="E29" s="2"/>
      <c r="F29" s="19"/>
      <c r="G29" s="2"/>
      <c r="H29" s="2"/>
      <c r="I29" s="2"/>
      <c r="J29" s="19"/>
      <c r="K29" s="2"/>
      <c r="L29" s="2">
        <f t="shared" si="0"/>
        <v>19182.55</v>
      </c>
      <c r="M29" s="2"/>
      <c r="N29" s="19">
        <f t="shared" si="1"/>
        <v>0</v>
      </c>
      <c r="O29" s="11"/>
      <c r="P29" s="2">
        <f>--277653.17</f>
        <v>277653.17</v>
      </c>
      <c r="Q29" s="2"/>
      <c r="R29" s="19"/>
      <c r="S29" s="2"/>
      <c r="T29" s="2"/>
      <c r="U29" s="2"/>
      <c r="V29" s="19"/>
      <c r="W29" s="2"/>
      <c r="X29" s="2">
        <f t="shared" si="2"/>
        <v>277653.17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--25.55</f>
        <v>25.55</v>
      </c>
      <c r="E30" s="2"/>
      <c r="F30" s="19"/>
      <c r="G30" s="2"/>
      <c r="H30" s="2"/>
      <c r="I30" s="2"/>
      <c r="J30" s="19"/>
      <c r="K30" s="2"/>
      <c r="L30" s="2">
        <f t="shared" si="0"/>
        <v>25.55</v>
      </c>
      <c r="M30" s="2"/>
      <c r="N30" s="19">
        <f t="shared" si="1"/>
        <v>0</v>
      </c>
      <c r="O30" s="11"/>
      <c r="P30" s="2">
        <f>--205.53</f>
        <v>205.53</v>
      </c>
      <c r="Q30" s="2"/>
      <c r="R30" s="19"/>
      <c r="S30" s="2"/>
      <c r="T30" s="2"/>
      <c r="U30" s="2"/>
      <c r="V30" s="19"/>
      <c r="W30" s="2"/>
      <c r="X30" s="2">
        <f t="shared" si="2"/>
        <v>205.53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--758.61</f>
        <v>758.61</v>
      </c>
      <c r="E31" s="2"/>
      <c r="F31" s="19"/>
      <c r="G31" s="2"/>
      <c r="H31" s="2"/>
      <c r="I31" s="2"/>
      <c r="J31" s="19"/>
      <c r="K31" s="2"/>
      <c r="L31" s="2">
        <f t="shared" si="0"/>
        <v>758.61</v>
      </c>
      <c r="M31" s="2"/>
      <c r="N31" s="19">
        <f t="shared" si="1"/>
        <v>0</v>
      </c>
      <c r="O31" s="11"/>
      <c r="P31" s="2">
        <f>--10922.06</f>
        <v>10922.06</v>
      </c>
      <c r="Q31" s="2"/>
      <c r="R31" s="19"/>
      <c r="S31" s="2"/>
      <c r="T31" s="2"/>
      <c r="U31" s="2"/>
      <c r="V31" s="19"/>
      <c r="W31" s="2"/>
      <c r="X31" s="2">
        <f t="shared" si="2"/>
        <v>10922.06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--101.32</f>
        <v>101.32</v>
      </c>
      <c r="E32" s="2"/>
      <c r="F32" s="19"/>
      <c r="G32" s="2"/>
      <c r="H32" s="2"/>
      <c r="I32" s="2"/>
      <c r="J32" s="19"/>
      <c r="K32" s="2"/>
      <c r="L32" s="2">
        <f t="shared" si="0"/>
        <v>101.32</v>
      </c>
      <c r="M32" s="2"/>
      <c r="N32" s="19">
        <f t="shared" si="1"/>
        <v>0</v>
      </c>
      <c r="O32" s="11"/>
      <c r="P32" s="2">
        <f>--1981.84</f>
        <v>1981.84</v>
      </c>
      <c r="Q32" s="2"/>
      <c r="R32" s="19"/>
      <c r="S32" s="2"/>
      <c r="T32" s="2"/>
      <c r="U32" s="2"/>
      <c r="V32" s="19"/>
      <c r="W32" s="2"/>
      <c r="X32" s="2">
        <f t="shared" si="2"/>
        <v>1981.84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--24.8</f>
        <v>24.8</v>
      </c>
      <c r="E33" s="2"/>
      <c r="F33" s="19"/>
      <c r="G33" s="2"/>
      <c r="H33" s="2"/>
      <c r="I33" s="2"/>
      <c r="J33" s="19"/>
      <c r="K33" s="2"/>
      <c r="L33" s="2">
        <f t="shared" si="0"/>
        <v>24.8</v>
      </c>
      <c r="M33" s="2"/>
      <c r="N33" s="19">
        <f t="shared" si="1"/>
        <v>0</v>
      </c>
      <c r="O33" s="11"/>
      <c r="P33" s="2">
        <f>--513.51</f>
        <v>513.51</v>
      </c>
      <c r="Q33" s="2"/>
      <c r="R33" s="19"/>
      <c r="S33" s="2"/>
      <c r="T33" s="2"/>
      <c r="U33" s="2"/>
      <c r="V33" s="19"/>
      <c r="W33" s="2"/>
      <c r="X33" s="2">
        <f t="shared" si="2"/>
        <v>513.51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--93833.27</f>
        <v>93833.27</v>
      </c>
      <c r="E34" s="2"/>
      <c r="F34" s="19"/>
      <c r="G34" s="2"/>
      <c r="H34" s="2"/>
      <c r="I34" s="2"/>
      <c r="J34" s="19"/>
      <c r="K34" s="2"/>
      <c r="L34" s="2">
        <f t="shared" si="0"/>
        <v>93833.27</v>
      </c>
      <c r="M34" s="2"/>
      <c r="N34" s="19">
        <f t="shared" si="1"/>
        <v>0</v>
      </c>
      <c r="O34" s="11"/>
      <c r="P34" s="2">
        <f>--1776128.49</f>
        <v>1776128.49</v>
      </c>
      <c r="Q34" s="2"/>
      <c r="R34" s="19"/>
      <c r="S34" s="2"/>
      <c r="T34" s="2"/>
      <c r="U34" s="2"/>
      <c r="V34" s="19"/>
      <c r="W34" s="2"/>
      <c r="X34" s="2">
        <f t="shared" si="2"/>
        <v>1776128.49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--25196.53</f>
        <v>25196.53</v>
      </c>
      <c r="E35" s="2"/>
      <c r="F35" s="19"/>
      <c r="G35" s="2"/>
      <c r="H35" s="2"/>
      <c r="I35" s="2"/>
      <c r="J35" s="19"/>
      <c r="K35" s="2"/>
      <c r="L35" s="2">
        <f t="shared" si="0"/>
        <v>25196.53</v>
      </c>
      <c r="M35" s="2"/>
      <c r="N35" s="19">
        <f t="shared" si="1"/>
        <v>0</v>
      </c>
      <c r="O35" s="11"/>
      <c r="P35" s="2">
        <f>--467017.72</f>
        <v>467017.72</v>
      </c>
      <c r="Q35" s="2"/>
      <c r="R35" s="19"/>
      <c r="S35" s="2"/>
      <c r="T35" s="2"/>
      <c r="U35" s="2"/>
      <c r="V35" s="19"/>
      <c r="W35" s="2"/>
      <c r="X35" s="2">
        <f t="shared" si="2"/>
        <v>467017.72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--18014.27</f>
        <v>18014.27</v>
      </c>
      <c r="E36" s="2"/>
      <c r="F36" s="19"/>
      <c r="G36" s="2"/>
      <c r="H36" s="2"/>
      <c r="I36" s="2"/>
      <c r="J36" s="19"/>
      <c r="K36" s="2"/>
      <c r="L36" s="2">
        <f t="shared" si="0"/>
        <v>18014.27</v>
      </c>
      <c r="M36" s="2"/>
      <c r="N36" s="19">
        <f t="shared" si="1"/>
        <v>0</v>
      </c>
      <c r="O36" s="11"/>
      <c r="P36" s="2">
        <f>--277580.41</f>
        <v>277580.40999999997</v>
      </c>
      <c r="Q36" s="2"/>
      <c r="R36" s="19"/>
      <c r="S36" s="2"/>
      <c r="T36" s="2"/>
      <c r="U36" s="2"/>
      <c r="V36" s="19"/>
      <c r="W36" s="2"/>
      <c r="X36" s="2">
        <f t="shared" si="2"/>
        <v>277580.40999999997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--666.52</f>
        <v>666.52</v>
      </c>
      <c r="E37" s="2"/>
      <c r="F37" s="19"/>
      <c r="G37" s="2"/>
      <c r="H37" s="2"/>
      <c r="I37" s="2"/>
      <c r="J37" s="19"/>
      <c r="K37" s="2"/>
      <c r="L37" s="2">
        <f t="shared" si="0"/>
        <v>666.52</v>
      </c>
      <c r="M37" s="2"/>
      <c r="N37" s="19">
        <f t="shared" si="1"/>
        <v>0</v>
      </c>
      <c r="O37" s="11"/>
      <c r="P37" s="2">
        <f>--76568.23</f>
        <v>76568.23</v>
      </c>
      <c r="Q37" s="2"/>
      <c r="R37" s="19"/>
      <c r="S37" s="2"/>
      <c r="T37" s="2"/>
      <c r="U37" s="2"/>
      <c r="V37" s="19"/>
      <c r="W37" s="2"/>
      <c r="X37" s="2">
        <f t="shared" si="2"/>
        <v>76568.23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--3732.24</f>
        <v>3732.24</v>
      </c>
      <c r="E38" s="2"/>
      <c r="F38" s="19"/>
      <c r="G38" s="2"/>
      <c r="H38" s="2"/>
      <c r="I38" s="2"/>
      <c r="J38" s="19"/>
      <c r="K38" s="2"/>
      <c r="L38" s="2">
        <f t="shared" si="0"/>
        <v>3732.24</v>
      </c>
      <c r="M38" s="2"/>
      <c r="N38" s="19">
        <f t="shared" si="1"/>
        <v>0</v>
      </c>
      <c r="O38" s="11"/>
      <c r="P38" s="2">
        <f>--66666.73</f>
        <v>66666.73</v>
      </c>
      <c r="Q38" s="2"/>
      <c r="R38" s="19"/>
      <c r="S38" s="2"/>
      <c r="T38" s="2"/>
      <c r="U38" s="2"/>
      <c r="V38" s="19"/>
      <c r="W38" s="2"/>
      <c r="X38" s="2">
        <f t="shared" si="2"/>
        <v>66666.73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--3847.78</f>
        <v>3847.78</v>
      </c>
      <c r="E39" s="2"/>
      <c r="F39" s="19"/>
      <c r="G39" s="2"/>
      <c r="H39" s="2"/>
      <c r="I39" s="2"/>
      <c r="J39" s="19"/>
      <c r="K39" s="2"/>
      <c r="L39" s="2">
        <f t="shared" si="0"/>
        <v>3847.78</v>
      </c>
      <c r="M39" s="2"/>
      <c r="N39" s="19">
        <f t="shared" si="1"/>
        <v>0</v>
      </c>
      <c r="O39" s="11"/>
      <c r="P39" s="2">
        <f>--74400.82</f>
        <v>74400.820000000007</v>
      </c>
      <c r="Q39" s="2"/>
      <c r="R39" s="19"/>
      <c r="S39" s="2"/>
      <c r="T39" s="2"/>
      <c r="U39" s="2"/>
      <c r="V39" s="19"/>
      <c r="W39" s="2"/>
      <c r="X39" s="2">
        <f t="shared" si="2"/>
        <v>74400.820000000007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--490.15</f>
        <v>490.15</v>
      </c>
      <c r="E40" s="2"/>
      <c r="F40" s="19"/>
      <c r="G40" s="2"/>
      <c r="H40" s="2"/>
      <c r="I40" s="2"/>
      <c r="J40" s="19"/>
      <c r="K40" s="2"/>
      <c r="L40" s="2">
        <f t="shared" si="0"/>
        <v>490.15</v>
      </c>
      <c r="M40" s="2"/>
      <c r="N40" s="19">
        <f t="shared" si="1"/>
        <v>0</v>
      </c>
      <c r="O40" s="11"/>
      <c r="P40" s="2">
        <f>--2676.14</f>
        <v>2676.14</v>
      </c>
      <c r="Q40" s="2"/>
      <c r="R40" s="19"/>
      <c r="S40" s="2"/>
      <c r="T40" s="2"/>
      <c r="U40" s="2"/>
      <c r="V40" s="19"/>
      <c r="W40" s="2"/>
      <c r="X40" s="2">
        <f t="shared" si="2"/>
        <v>2676.14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>--36958.41</f>
        <v>36958.410000000003</v>
      </c>
      <c r="E41" s="2"/>
      <c r="F41" s="19"/>
      <c r="G41" s="2"/>
      <c r="H41" s="2"/>
      <c r="I41" s="2"/>
      <c r="J41" s="19"/>
      <c r="K41" s="2"/>
      <c r="L41" s="2">
        <f t="shared" si="0"/>
        <v>36958.410000000003</v>
      </c>
      <c r="M41" s="2"/>
      <c r="N41" s="19">
        <f t="shared" si="1"/>
        <v>0</v>
      </c>
      <c r="O41" s="11"/>
      <c r="P41" s="2">
        <f>--604143.21</f>
        <v>604143.21</v>
      </c>
      <c r="Q41" s="2"/>
      <c r="R41" s="19"/>
      <c r="S41" s="2"/>
      <c r="T41" s="2"/>
      <c r="U41" s="2"/>
      <c r="V41" s="19"/>
      <c r="W41" s="2"/>
      <c r="X41" s="2">
        <f t="shared" si="2"/>
        <v>604143.21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"4052", " - ", "TAXABLE SALES-FOOD")</f>
        <v xml:space="preserve">          4052 - TAXABLE SALES-FOOD</v>
      </c>
      <c r="C42" s="11"/>
      <c r="D42" s="2">
        <f>--48334.99</f>
        <v>48334.99</v>
      </c>
      <c r="E42" s="2"/>
      <c r="F42" s="19"/>
      <c r="G42" s="2"/>
      <c r="H42" s="2"/>
      <c r="I42" s="2"/>
      <c r="J42" s="19"/>
      <c r="K42" s="2"/>
      <c r="L42" s="2">
        <f t="shared" si="0"/>
        <v>48334.99</v>
      </c>
      <c r="M42" s="2"/>
      <c r="N42" s="19">
        <f t="shared" si="1"/>
        <v>0</v>
      </c>
      <c r="O42" s="11"/>
      <c r="P42" s="2">
        <f>--836487.29</f>
        <v>836487.29</v>
      </c>
      <c r="Q42" s="2"/>
      <c r="R42" s="19"/>
      <c r="S42" s="2"/>
      <c r="T42" s="2"/>
      <c r="U42" s="2"/>
      <c r="V42" s="19"/>
      <c r="W42" s="2"/>
      <c r="X42" s="2">
        <f t="shared" si="2"/>
        <v>836487.29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"4053", " - ", "TAXABLE SALES-FOOD")</f>
        <v xml:space="preserve">          4053 - TAXABLE SALES-FOOD</v>
      </c>
      <c r="C43" s="11"/>
      <c r="D43" s="2">
        <f>--34924.26</f>
        <v>34924.26</v>
      </c>
      <c r="E43" s="2"/>
      <c r="F43" s="19"/>
      <c r="G43" s="2"/>
      <c r="H43" s="2"/>
      <c r="I43" s="2"/>
      <c r="J43" s="19"/>
      <c r="K43" s="2"/>
      <c r="L43" s="2">
        <f t="shared" si="0"/>
        <v>34924.26</v>
      </c>
      <c r="M43" s="2"/>
      <c r="N43" s="19">
        <f t="shared" si="1"/>
        <v>0</v>
      </c>
      <c r="O43" s="11"/>
      <c r="P43" s="2">
        <f>--279880.13</f>
        <v>279880.13</v>
      </c>
      <c r="Q43" s="2"/>
      <c r="R43" s="19"/>
      <c r="S43" s="2"/>
      <c r="T43" s="2"/>
      <c r="U43" s="2"/>
      <c r="V43" s="19"/>
      <c r="W43" s="2"/>
      <c r="X43" s="2">
        <f t="shared" si="2"/>
        <v>279880.13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"4055", " - ", "TAXABLE SALES-FOOD")</f>
        <v xml:space="preserve">          4055 - TAXABLE SALES-FOOD</v>
      </c>
      <c r="C44" s="11"/>
      <c r="D44" s="2">
        <f>--24162.83</f>
        <v>24162.83</v>
      </c>
      <c r="E44" s="2"/>
      <c r="F44" s="19"/>
      <c r="G44" s="2"/>
      <c r="H44" s="2"/>
      <c r="I44" s="2"/>
      <c r="J44" s="19"/>
      <c r="K44" s="2"/>
      <c r="L44" s="2">
        <f t="shared" si="0"/>
        <v>24162.83</v>
      </c>
      <c r="M44" s="2"/>
      <c r="N44" s="19">
        <f t="shared" si="1"/>
        <v>0</v>
      </c>
      <c r="O44" s="11"/>
      <c r="P44" s="2">
        <f>--382379.53</f>
        <v>382379.53</v>
      </c>
      <c r="Q44" s="2"/>
      <c r="R44" s="19"/>
      <c r="S44" s="2"/>
      <c r="T44" s="2"/>
      <c r="U44" s="2"/>
      <c r="V44" s="19"/>
      <c r="W44" s="2"/>
      <c r="X44" s="2">
        <f t="shared" si="2"/>
        <v>382379.53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"4058", " - ", "TAXABLE SALES-FOOD")</f>
        <v xml:space="preserve">          4058 - TAXABLE SALES-FOOD</v>
      </c>
      <c r="C45" s="11"/>
      <c r="D45" s="2">
        <f>--6106.33</f>
        <v>6106.33</v>
      </c>
      <c r="E45" s="2"/>
      <c r="F45" s="19"/>
      <c r="G45" s="2"/>
      <c r="H45" s="2"/>
      <c r="I45" s="2"/>
      <c r="J45" s="19"/>
      <c r="K45" s="2"/>
      <c r="L45" s="2">
        <f t="shared" si="0"/>
        <v>6106.33</v>
      </c>
      <c r="M45" s="2"/>
      <c r="N45" s="19">
        <f t="shared" si="1"/>
        <v>0</v>
      </c>
      <c r="O45" s="11"/>
      <c r="P45" s="2">
        <f>--117077.57</f>
        <v>117077.57</v>
      </c>
      <c r="Q45" s="2"/>
      <c r="R45" s="19"/>
      <c r="S45" s="2"/>
      <c r="T45" s="2"/>
      <c r="U45" s="2"/>
      <c r="V45" s="19"/>
      <c r="W45" s="2"/>
      <c r="X45" s="2">
        <f t="shared" si="2"/>
        <v>117077.57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"4081", " - ", "TAXABLE SALES-ELECTRONICS")</f>
        <v xml:space="preserve">          4081 - TAXABLE SALES-ELECTRONICS</v>
      </c>
      <c r="C46" s="11"/>
      <c r="D46" s="2">
        <f>--15039.9</f>
        <v>15039.9</v>
      </c>
      <c r="E46" s="2"/>
      <c r="F46" s="19"/>
      <c r="G46" s="2"/>
      <c r="H46" s="2"/>
      <c r="I46" s="2"/>
      <c r="J46" s="19"/>
      <c r="K46" s="2"/>
      <c r="L46" s="2">
        <f t="shared" si="0"/>
        <v>15039.9</v>
      </c>
      <c r="M46" s="2"/>
      <c r="N46" s="19">
        <f t="shared" si="1"/>
        <v>0</v>
      </c>
      <c r="O46" s="11"/>
      <c r="P46" s="2">
        <f>--314372.05</f>
        <v>314372.05</v>
      </c>
      <c r="Q46" s="2"/>
      <c r="R46" s="19"/>
      <c r="S46" s="2"/>
      <c r="T46" s="2"/>
      <c r="U46" s="2"/>
      <c r="V46" s="19"/>
      <c r="W46" s="2"/>
      <c r="X46" s="2">
        <f t="shared" si="2"/>
        <v>314372.05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"4082", " - ", "TAXABLE SALES-COMPUTER HARDWAR")</f>
        <v xml:space="preserve">          4082 - TAXABLE SALES-COMPUTER HARDWAR</v>
      </c>
      <c r="C47" s="11"/>
      <c r="D47" s="2">
        <f>--77631.44</f>
        <v>77631.44</v>
      </c>
      <c r="E47" s="2"/>
      <c r="F47" s="19"/>
      <c r="G47" s="2"/>
      <c r="H47" s="2"/>
      <c r="I47" s="2"/>
      <c r="J47" s="19"/>
      <c r="K47" s="2"/>
      <c r="L47" s="2">
        <f t="shared" si="0"/>
        <v>77631.44</v>
      </c>
      <c r="M47" s="2"/>
      <c r="N47" s="19">
        <f t="shared" si="1"/>
        <v>0</v>
      </c>
      <c r="O47" s="11"/>
      <c r="P47" s="2">
        <f>--1661472.97</f>
        <v>1661472.97</v>
      </c>
      <c r="Q47" s="2"/>
      <c r="R47" s="19"/>
      <c r="S47" s="2"/>
      <c r="T47" s="2"/>
      <c r="U47" s="2"/>
      <c r="V47" s="19"/>
      <c r="W47" s="2"/>
      <c r="X47" s="2">
        <f t="shared" si="2"/>
        <v>1661472.97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"4083", " - ", "TAXABLE SALES-COMPUTER EQUIPME")</f>
        <v xml:space="preserve">          4083 - TAXABLE SALES-COMPUTER EQUIPME</v>
      </c>
      <c r="C48" s="11"/>
      <c r="D48" s="2">
        <f>--4751.21</f>
        <v>4751.21</v>
      </c>
      <c r="E48" s="2"/>
      <c r="F48" s="19"/>
      <c r="G48" s="2"/>
      <c r="H48" s="2"/>
      <c r="I48" s="2"/>
      <c r="J48" s="19"/>
      <c r="K48" s="2"/>
      <c r="L48" s="2">
        <f t="shared" si="0"/>
        <v>4751.21</v>
      </c>
      <c r="M48" s="2"/>
      <c r="N48" s="19">
        <f t="shared" si="1"/>
        <v>0</v>
      </c>
      <c r="O48" s="11"/>
      <c r="P48" s="2">
        <f>--100882.65</f>
        <v>100882.65</v>
      </c>
      <c r="Q48" s="2"/>
      <c r="R48" s="19"/>
      <c r="S48" s="2"/>
      <c r="T48" s="2"/>
      <c r="U48" s="2"/>
      <c r="V48" s="19"/>
      <c r="W48" s="2"/>
      <c r="X48" s="2">
        <f t="shared" si="2"/>
        <v>100882.65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"4084", " - ", "TAXABLE SALES-SOFTWARE LICENSE")</f>
        <v xml:space="preserve">          4084 - TAXABLE SALES-SOFTWARE LICENSE</v>
      </c>
      <c r="C49" s="11"/>
      <c r="D49" s="2">
        <f t="shared" ref="D49:D50" si="4">0</f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--129</f>
        <v>129</v>
      </c>
      <c r="Q49" s="2"/>
      <c r="R49" s="19"/>
      <c r="S49" s="2"/>
      <c r="T49" s="2"/>
      <c r="U49" s="2"/>
      <c r="V49" s="19"/>
      <c r="W49" s="2"/>
      <c r="X49" s="2">
        <f t="shared" si="2"/>
        <v>129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"4085", " - ", "TAXABLE SALES-SOFTWARE")</f>
        <v xml:space="preserve">          4085 - TAXABLE SALES-SOFTWARE</v>
      </c>
      <c r="C50" s="11"/>
      <c r="D50" s="2">
        <f t="shared" si="4"/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--4557.93</f>
        <v>4557.93</v>
      </c>
      <c r="Q50" s="2"/>
      <c r="R50" s="19"/>
      <c r="S50" s="2"/>
      <c r="T50" s="2"/>
      <c r="U50" s="2"/>
      <c r="V50" s="19"/>
      <c r="W50" s="2"/>
      <c r="X50" s="2">
        <f t="shared" si="2"/>
        <v>4557.93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"4086", " - ", "TAXABLE SALES-COMPUTER SUPPLIE")</f>
        <v xml:space="preserve">          4086 - TAXABLE SALES-COMPUTER SUPPLIE</v>
      </c>
      <c r="C51" s="11"/>
      <c r="D51" s="2">
        <f>--2057.99</f>
        <v>2057.9899999999998</v>
      </c>
      <c r="E51" s="2"/>
      <c r="F51" s="19"/>
      <c r="G51" s="2"/>
      <c r="H51" s="2"/>
      <c r="I51" s="2"/>
      <c r="J51" s="19"/>
      <c r="K51" s="2"/>
      <c r="L51" s="2">
        <f t="shared" si="0"/>
        <v>2057.9899999999998</v>
      </c>
      <c r="M51" s="2"/>
      <c r="N51" s="19">
        <f t="shared" si="1"/>
        <v>0</v>
      </c>
      <c r="O51" s="11"/>
      <c r="P51" s="2">
        <f>--49080.06</f>
        <v>49080.06</v>
      </c>
      <c r="Q51" s="2"/>
      <c r="R51" s="19"/>
      <c r="S51" s="2"/>
      <c r="T51" s="2"/>
      <c r="U51" s="2"/>
      <c r="V51" s="19"/>
      <c r="W51" s="2"/>
      <c r="X51" s="2">
        <f t="shared" si="2"/>
        <v>49080.06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"4088", " - ", "TAXABLE SALES-MUSIC")</f>
        <v xml:space="preserve">          4088 - TAXABLE SALES-MUSIC</v>
      </c>
      <c r="C52" s="11"/>
      <c r="D52" s="2">
        <f>--199.99</f>
        <v>199.99</v>
      </c>
      <c r="E52" s="2"/>
      <c r="F52" s="19"/>
      <c r="G52" s="2"/>
      <c r="H52" s="2"/>
      <c r="I52" s="2"/>
      <c r="J52" s="19"/>
      <c r="K52" s="2"/>
      <c r="L52" s="2">
        <f t="shared" si="0"/>
        <v>199.99</v>
      </c>
      <c r="M52" s="2"/>
      <c r="N52" s="19">
        <f t="shared" si="1"/>
        <v>0</v>
      </c>
      <c r="O52" s="11"/>
      <c r="P52" s="2">
        <f>--1294.83</f>
        <v>1294.83</v>
      </c>
      <c r="Q52" s="2"/>
      <c r="R52" s="19"/>
      <c r="S52" s="2"/>
      <c r="T52" s="2"/>
      <c r="U52" s="2"/>
      <c r="V52" s="19"/>
      <c r="W52" s="2"/>
      <c r="X52" s="2">
        <f t="shared" si="2"/>
        <v>1294.83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"4092", " - ", "TAXABLE SALES-GRAD MERCH")</f>
        <v xml:space="preserve">          4092 - TAXABLE SALES-GRAD MERCH</v>
      </c>
      <c r="C53" s="11"/>
      <c r="D53" s="2">
        <f>--10952.9</f>
        <v>10952.9</v>
      </c>
      <c r="E53" s="2"/>
      <c r="F53" s="19"/>
      <c r="G53" s="2"/>
      <c r="H53" s="2"/>
      <c r="I53" s="2"/>
      <c r="J53" s="19"/>
      <c r="K53" s="2"/>
      <c r="L53" s="2">
        <f t="shared" si="0"/>
        <v>10952.9</v>
      </c>
      <c r="M53" s="2"/>
      <c r="N53" s="19">
        <f t="shared" si="1"/>
        <v>0</v>
      </c>
      <c r="O53" s="11"/>
      <c r="P53" s="2">
        <f>--18612.27</f>
        <v>18612.27</v>
      </c>
      <c r="Q53" s="2"/>
      <c r="R53" s="19"/>
      <c r="S53" s="2"/>
      <c r="T53" s="2"/>
      <c r="U53" s="2"/>
      <c r="V53" s="19"/>
      <c r="W53" s="2"/>
      <c r="X53" s="2">
        <f t="shared" si="2"/>
        <v>18612.27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"4095", " - ", "TAXABLE SALES-CUSTOMER SERVICE")</f>
        <v xml:space="preserve">          4095 - TAXABLE SALES-CUSTOMER SERVICE</v>
      </c>
      <c r="C54" s="11"/>
      <c r="D54" s="2">
        <f>0</f>
        <v>0</v>
      </c>
      <c r="E54" s="2"/>
      <c r="F54" s="19"/>
      <c r="G54" s="2"/>
      <c r="H54" s="2"/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--309.26</f>
        <v>309.26</v>
      </c>
      <c r="Q54" s="2"/>
      <c r="R54" s="19"/>
      <c r="S54" s="2"/>
      <c r="T54" s="2"/>
      <c r="U54" s="2"/>
      <c r="V54" s="19"/>
      <c r="W54" s="2"/>
      <c r="X54" s="2">
        <f t="shared" si="2"/>
        <v>309.26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"4100", " - ", "NON-TAXABLE SALES")</f>
        <v xml:space="preserve">          4100 - NON-TAXABLE SALES</v>
      </c>
      <c r="C55" s="11"/>
      <c r="D55" s="2">
        <f>--44892.53</f>
        <v>44892.53</v>
      </c>
      <c r="E55" s="2"/>
      <c r="F55" s="19"/>
      <c r="G55" s="2"/>
      <c r="H55" s="2">
        <v>2352520</v>
      </c>
      <c r="I55" s="2"/>
      <c r="J55" s="19"/>
      <c r="K55" s="2"/>
      <c r="L55" s="2">
        <f t="shared" si="0"/>
        <v>-2307627.4700000002</v>
      </c>
      <c r="M55" s="2"/>
      <c r="N55" s="19">
        <f t="shared" si="1"/>
        <v>-0.98091725893935022</v>
      </c>
      <c r="O55" s="11"/>
      <c r="P55" s="2">
        <f>--953812.65</f>
        <v>953812.65</v>
      </c>
      <c r="Q55" s="2"/>
      <c r="R55" s="19"/>
      <c r="S55" s="2"/>
      <c r="T55" s="2">
        <v>20594779</v>
      </c>
      <c r="U55" s="2"/>
      <c r="V55" s="19"/>
      <c r="W55" s="2"/>
      <c r="X55" s="2">
        <f t="shared" si="2"/>
        <v>-19640966.350000001</v>
      </c>
      <c r="Y55" s="2"/>
      <c r="Z55" s="19">
        <f t="shared" si="3"/>
        <v>-0.95368667709422861</v>
      </c>
    </row>
    <row r="56" spans="1:26" s="24" customFormat="1" hidden="1" outlineLevel="1" x14ac:dyDescent="0.25">
      <c r="A56" s="44"/>
      <c r="B56" s="11" t="str">
        <f>CONCATENATE("          ", "4101", " - ", "NON-TAXABLE SALES-NEW TEXT")</f>
        <v xml:space="preserve">          4101 - NON-TAXABLE SALES-NEW TEXT</v>
      </c>
      <c r="C56" s="11"/>
      <c r="D56" s="2">
        <f>--2453.65</f>
        <v>2453.65</v>
      </c>
      <c r="E56" s="2"/>
      <c r="F56" s="19"/>
      <c r="G56" s="2"/>
      <c r="H56" s="2"/>
      <c r="I56" s="2"/>
      <c r="J56" s="19"/>
      <c r="K56" s="2"/>
      <c r="L56" s="2">
        <f t="shared" si="0"/>
        <v>2453.65</v>
      </c>
      <c r="M56" s="2"/>
      <c r="N56" s="19">
        <f t="shared" si="1"/>
        <v>0</v>
      </c>
      <c r="O56" s="11"/>
      <c r="P56" s="2">
        <f>--142191.42</f>
        <v>142191.42000000001</v>
      </c>
      <c r="Q56" s="2"/>
      <c r="R56" s="19"/>
      <c r="S56" s="2"/>
      <c r="T56" s="2"/>
      <c r="U56" s="2"/>
      <c r="V56" s="19"/>
      <c r="W56" s="2"/>
      <c r="X56" s="2">
        <f t="shared" si="2"/>
        <v>142191.42000000001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"4102", " - ", "NON-TAXABLE SALES-USED TEXT")</f>
        <v xml:space="preserve">          4102 - NON-TAXABLE SALES-USED TEXT</v>
      </c>
      <c r="C57" s="11"/>
      <c r="D57" s="2">
        <f>--388.84</f>
        <v>388.84</v>
      </c>
      <c r="E57" s="2"/>
      <c r="F57" s="19"/>
      <c r="G57" s="2"/>
      <c r="H57" s="2"/>
      <c r="I57" s="2"/>
      <c r="J57" s="19"/>
      <c r="K57" s="2"/>
      <c r="L57" s="2">
        <f t="shared" si="0"/>
        <v>388.84</v>
      </c>
      <c r="M57" s="2"/>
      <c r="N57" s="19">
        <f t="shared" si="1"/>
        <v>0</v>
      </c>
      <c r="O57" s="11"/>
      <c r="P57" s="2">
        <f>--68855.7</f>
        <v>68855.7</v>
      </c>
      <c r="Q57" s="2"/>
      <c r="R57" s="19"/>
      <c r="S57" s="2"/>
      <c r="T57" s="2"/>
      <c r="U57" s="2"/>
      <c r="V57" s="19"/>
      <c r="W57" s="2"/>
      <c r="X57" s="2">
        <f t="shared" si="2"/>
        <v>68855.7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"4103", " - ", "NON-TAXABLE SALES-RENTAL TEXT")</f>
        <v xml:space="preserve">          4103 - NON-TAXABLE SALES-RENTAL TEXT</v>
      </c>
      <c r="C58" s="11"/>
      <c r="D58" s="2">
        <f>0</f>
        <v>0</v>
      </c>
      <c r="E58" s="2"/>
      <c r="F58" s="19"/>
      <c r="G58" s="2"/>
      <c r="H58" s="2"/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1"/>
      <c r="P58" s="2">
        <f>--664.97</f>
        <v>664.97</v>
      </c>
      <c r="Q58" s="2"/>
      <c r="R58" s="19"/>
      <c r="S58" s="2"/>
      <c r="T58" s="2"/>
      <c r="U58" s="2"/>
      <c r="V58" s="19"/>
      <c r="W58" s="2"/>
      <c r="X58" s="2">
        <f t="shared" si="2"/>
        <v>664.97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"4104", " - ", "NON-TAXABLE SALES-DIGITAL TEXT")</f>
        <v xml:space="preserve">          4104 - NON-TAXABLE SALES-DIGITAL TEXT</v>
      </c>
      <c r="C59" s="11"/>
      <c r="D59" s="2">
        <f>--961.31</f>
        <v>961.31</v>
      </c>
      <c r="E59" s="2"/>
      <c r="F59" s="19"/>
      <c r="G59" s="2"/>
      <c r="H59" s="2"/>
      <c r="I59" s="2"/>
      <c r="J59" s="19"/>
      <c r="K59" s="2"/>
      <c r="L59" s="2">
        <f t="shared" si="0"/>
        <v>961.31</v>
      </c>
      <c r="M59" s="2"/>
      <c r="N59" s="19">
        <f t="shared" si="1"/>
        <v>0</v>
      </c>
      <c r="O59" s="11"/>
      <c r="P59" s="2">
        <f>--524351.65</f>
        <v>524351.65</v>
      </c>
      <c r="Q59" s="2"/>
      <c r="R59" s="19"/>
      <c r="S59" s="2"/>
      <c r="T59" s="2"/>
      <c r="U59" s="2"/>
      <c r="V59" s="19"/>
      <c r="W59" s="2"/>
      <c r="X59" s="2">
        <f t="shared" si="2"/>
        <v>524351.65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"4111", " - ", "NON-TAXABLE SALES-NO VALUE TEX")</f>
        <v xml:space="preserve">          4111 - NON-TAXABLE SALES-NO VALUE TEX</v>
      </c>
      <c r="C60" s="11"/>
      <c r="D60" s="2">
        <f>--369.34</f>
        <v>369.34</v>
      </c>
      <c r="E60" s="2"/>
      <c r="F60" s="19"/>
      <c r="G60" s="2"/>
      <c r="H60" s="2"/>
      <c r="I60" s="2"/>
      <c r="J60" s="19"/>
      <c r="K60" s="2"/>
      <c r="L60" s="2">
        <f t="shared" si="0"/>
        <v>369.34</v>
      </c>
      <c r="M60" s="2"/>
      <c r="N60" s="19">
        <f t="shared" si="1"/>
        <v>0</v>
      </c>
      <c r="O60" s="11"/>
      <c r="P60" s="2">
        <f>--14729.33</f>
        <v>14729.33</v>
      </c>
      <c r="Q60" s="2"/>
      <c r="R60" s="19"/>
      <c r="S60" s="2"/>
      <c r="T60" s="2"/>
      <c r="U60" s="2"/>
      <c r="V60" s="19"/>
      <c r="W60" s="2"/>
      <c r="X60" s="2">
        <f t="shared" si="2"/>
        <v>14729.33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"4113", " - ", "NON-TAXABLE SALES-TRADE BOOKS")</f>
        <v xml:space="preserve">          4113 - NON-TAXABLE SALES-TRADE BOOKS</v>
      </c>
      <c r="C61" s="11"/>
      <c r="D61" s="2">
        <f>--2440</f>
        <v>2440</v>
      </c>
      <c r="E61" s="2"/>
      <c r="F61" s="19"/>
      <c r="G61" s="2"/>
      <c r="H61" s="2"/>
      <c r="I61" s="2"/>
      <c r="J61" s="19"/>
      <c r="K61" s="2"/>
      <c r="L61" s="2">
        <f t="shared" si="0"/>
        <v>2440</v>
      </c>
      <c r="M61" s="2"/>
      <c r="N61" s="19">
        <f t="shared" si="1"/>
        <v>0</v>
      </c>
      <c r="O61" s="11"/>
      <c r="P61" s="2">
        <f>--5801.92</f>
        <v>5801.92</v>
      </c>
      <c r="Q61" s="2"/>
      <c r="R61" s="19"/>
      <c r="S61" s="2"/>
      <c r="T61" s="2"/>
      <c r="U61" s="2"/>
      <c r="V61" s="19"/>
      <c r="W61" s="2"/>
      <c r="X61" s="2">
        <f t="shared" si="2"/>
        <v>5801.92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"4118", " - ", "NON-TAXABLE SALES-STUDY GUIDES")</f>
        <v xml:space="preserve">          4118 - NON-TAXABLE SALES-STUDY GUIDES</v>
      </c>
      <c r="C62" s="11"/>
      <c r="D62" s="2">
        <f>--7.02</f>
        <v>7.02</v>
      </c>
      <c r="E62" s="2"/>
      <c r="F62" s="19"/>
      <c r="G62" s="2"/>
      <c r="H62" s="2"/>
      <c r="I62" s="2"/>
      <c r="J62" s="19"/>
      <c r="K62" s="2"/>
      <c r="L62" s="2">
        <f t="shared" si="0"/>
        <v>7.02</v>
      </c>
      <c r="M62" s="2"/>
      <c r="N62" s="19">
        <f t="shared" si="1"/>
        <v>0</v>
      </c>
      <c r="O62" s="11"/>
      <c r="P62" s="2">
        <f>--68.92</f>
        <v>68.92</v>
      </c>
      <c r="Q62" s="2"/>
      <c r="R62" s="19"/>
      <c r="S62" s="2"/>
      <c r="T62" s="2"/>
      <c r="U62" s="2"/>
      <c r="V62" s="19"/>
      <c r="W62" s="2"/>
      <c r="X62" s="2">
        <f t="shared" si="2"/>
        <v>68.92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"4125", " - ", "NON-TAXABLE SALES-TEST FORMS")</f>
        <v xml:space="preserve">          4125 - NON-TAXABLE SALES-TEST FORMS</v>
      </c>
      <c r="C63" s="11"/>
      <c r="D63" s="2">
        <f>--4.54</f>
        <v>4.54</v>
      </c>
      <c r="E63" s="2"/>
      <c r="F63" s="19"/>
      <c r="G63" s="2"/>
      <c r="H63" s="2"/>
      <c r="I63" s="2"/>
      <c r="J63" s="19"/>
      <c r="K63" s="2"/>
      <c r="L63" s="2">
        <f t="shared" si="0"/>
        <v>4.54</v>
      </c>
      <c r="M63" s="2"/>
      <c r="N63" s="19">
        <f t="shared" si="1"/>
        <v>0</v>
      </c>
      <c r="O63" s="11"/>
      <c r="P63" s="2">
        <f>--267.61</f>
        <v>267.61</v>
      </c>
      <c r="Q63" s="2"/>
      <c r="R63" s="19"/>
      <c r="S63" s="2"/>
      <c r="T63" s="2"/>
      <c r="U63" s="2"/>
      <c r="V63" s="19"/>
      <c r="W63" s="2"/>
      <c r="X63" s="2">
        <f t="shared" si="2"/>
        <v>267.61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"4126", " - ", "NON-TAXABLE SALES-WRITING INST")</f>
        <v xml:space="preserve">          4126 - NON-TAXABLE SALES-WRITING INST</v>
      </c>
      <c r="C64" s="11"/>
      <c r="D64" s="2">
        <f>--110.71</f>
        <v>110.71</v>
      </c>
      <c r="E64" s="2"/>
      <c r="F64" s="19"/>
      <c r="G64" s="2"/>
      <c r="H64" s="2"/>
      <c r="I64" s="2"/>
      <c r="J64" s="19"/>
      <c r="K64" s="2"/>
      <c r="L64" s="2">
        <f t="shared" si="0"/>
        <v>110.71</v>
      </c>
      <c r="M64" s="2"/>
      <c r="N64" s="19">
        <f t="shared" si="1"/>
        <v>0</v>
      </c>
      <c r="O64" s="11"/>
      <c r="P64" s="2">
        <f>--3017.29</f>
        <v>3017.29</v>
      </c>
      <c r="Q64" s="2"/>
      <c r="R64" s="19"/>
      <c r="S64" s="2"/>
      <c r="T64" s="2"/>
      <c r="U64" s="2"/>
      <c r="V64" s="19"/>
      <c r="W64" s="2"/>
      <c r="X64" s="2">
        <f t="shared" si="2"/>
        <v>3017.29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"4127", " - ", "NON-TAXABLE SALES-SCHOOL SUPPL")</f>
        <v xml:space="preserve">          4127 - NON-TAXABLE SALES-SCHOOL SUPPL</v>
      </c>
      <c r="C65" s="11"/>
      <c r="D65" s="2">
        <f>--53.81</f>
        <v>53.81</v>
      </c>
      <c r="E65" s="2"/>
      <c r="F65" s="19"/>
      <c r="G65" s="2"/>
      <c r="H65" s="2"/>
      <c r="I65" s="2"/>
      <c r="J65" s="19"/>
      <c r="K65" s="2"/>
      <c r="L65" s="2">
        <f t="shared" si="0"/>
        <v>53.81</v>
      </c>
      <c r="M65" s="2"/>
      <c r="N65" s="19">
        <f t="shared" si="1"/>
        <v>0</v>
      </c>
      <c r="O65" s="11"/>
      <c r="P65" s="2">
        <f>--4716.22</f>
        <v>4716.22</v>
      </c>
      <c r="Q65" s="2"/>
      <c r="R65" s="19"/>
      <c r="S65" s="2"/>
      <c r="T65" s="2"/>
      <c r="U65" s="2"/>
      <c r="V65" s="19"/>
      <c r="W65" s="2"/>
      <c r="X65" s="2">
        <f t="shared" si="2"/>
        <v>4716.22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"4128", " - ", "NON-TAXABLE SALES-ART/TECH")</f>
        <v xml:space="preserve">          4128 - NON-TAXABLE SALES-ART/TECH</v>
      </c>
      <c r="C66" s="11"/>
      <c r="D66" s="2">
        <f>--52.12</f>
        <v>52.12</v>
      </c>
      <c r="E66" s="2"/>
      <c r="F66" s="19"/>
      <c r="G66" s="2"/>
      <c r="H66" s="2"/>
      <c r="I66" s="2"/>
      <c r="J66" s="19"/>
      <c r="K66" s="2"/>
      <c r="L66" s="2">
        <f t="shared" si="0"/>
        <v>52.12</v>
      </c>
      <c r="M66" s="2"/>
      <c r="N66" s="19">
        <f t="shared" si="1"/>
        <v>0</v>
      </c>
      <c r="O66" s="11"/>
      <c r="P66" s="2">
        <f>--730.62</f>
        <v>730.62</v>
      </c>
      <c r="Q66" s="2"/>
      <c r="R66" s="19"/>
      <c r="S66" s="2"/>
      <c r="T66" s="2"/>
      <c r="U66" s="2"/>
      <c r="V66" s="19"/>
      <c r="W66" s="2"/>
      <c r="X66" s="2">
        <f t="shared" si="2"/>
        <v>730.62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"4131", " - ", "NON-TAXABLE SALES-FOOD")</f>
        <v xml:space="preserve">          4131 - NON-TAXABLE SALES-FOOD</v>
      </c>
      <c r="C67" s="11"/>
      <c r="D67" s="2">
        <f>--4482.02</f>
        <v>4482.0200000000004</v>
      </c>
      <c r="E67" s="2"/>
      <c r="F67" s="19"/>
      <c r="G67" s="2"/>
      <c r="H67" s="2"/>
      <c r="I67" s="2"/>
      <c r="J67" s="19"/>
      <c r="K67" s="2"/>
      <c r="L67" s="2">
        <f t="shared" si="0"/>
        <v>4482.0200000000004</v>
      </c>
      <c r="M67" s="2"/>
      <c r="N67" s="19">
        <f t="shared" si="1"/>
        <v>0</v>
      </c>
      <c r="O67" s="11"/>
      <c r="P67" s="2">
        <f>--57883.57</f>
        <v>57883.57</v>
      </c>
      <c r="Q67" s="2"/>
      <c r="R67" s="19"/>
      <c r="S67" s="2"/>
      <c r="T67" s="2"/>
      <c r="U67" s="2"/>
      <c r="V67" s="19"/>
      <c r="W67" s="2"/>
      <c r="X67" s="2">
        <f t="shared" si="2"/>
        <v>57883.57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"4132", " - ", "NON-TAXABLE SALES-JUICE")</f>
        <v xml:space="preserve">          4132 - NON-TAXABLE SALES-JUICE</v>
      </c>
      <c r="C68" s="11"/>
      <c r="D68" s="2">
        <f>--79319.9</f>
        <v>79319.899999999994</v>
      </c>
      <c r="E68" s="2"/>
      <c r="F68" s="19"/>
      <c r="G68" s="2"/>
      <c r="H68" s="2"/>
      <c r="I68" s="2"/>
      <c r="J68" s="19"/>
      <c r="K68" s="2"/>
      <c r="L68" s="2">
        <f t="shared" si="0"/>
        <v>79319.899999999994</v>
      </c>
      <c r="M68" s="2"/>
      <c r="N68" s="19">
        <f t="shared" si="1"/>
        <v>0</v>
      </c>
      <c r="O68" s="11"/>
      <c r="P68" s="2">
        <f>--1109977.73</f>
        <v>1109977.73</v>
      </c>
      <c r="Q68" s="2"/>
      <c r="R68" s="19"/>
      <c r="S68" s="2"/>
      <c r="T68" s="2"/>
      <c r="U68" s="2"/>
      <c r="V68" s="19"/>
      <c r="W68" s="2"/>
      <c r="X68" s="2">
        <f t="shared" si="2"/>
        <v>1109977.73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"4133", " - ", "NON-TAXABLE SALES-CANDY")</f>
        <v xml:space="preserve">          4133 - NON-TAXABLE SALES-CANDY</v>
      </c>
      <c r="C69" s="11"/>
      <c r="D69" s="2">
        <f>--1261.31</f>
        <v>1261.31</v>
      </c>
      <c r="E69" s="2"/>
      <c r="F69" s="19"/>
      <c r="G69" s="2"/>
      <c r="H69" s="2"/>
      <c r="I69" s="2"/>
      <c r="J69" s="19"/>
      <c r="K69" s="2"/>
      <c r="L69" s="2">
        <f t="shared" si="0"/>
        <v>1261.31</v>
      </c>
      <c r="M69" s="2"/>
      <c r="N69" s="19">
        <f t="shared" si="1"/>
        <v>0</v>
      </c>
      <c r="O69" s="11"/>
      <c r="P69" s="2">
        <f>--18085.88</f>
        <v>18085.88</v>
      </c>
      <c r="Q69" s="2"/>
      <c r="R69" s="19"/>
      <c r="S69" s="2"/>
      <c r="T69" s="2"/>
      <c r="U69" s="2"/>
      <c r="V69" s="19"/>
      <c r="W69" s="2"/>
      <c r="X69" s="2">
        <f t="shared" si="2"/>
        <v>18085.88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"4134", " - ", "NON-TAXABLE SALES-SODA")</f>
        <v xml:space="preserve">          4134 - NON-TAXABLE SALES-SODA</v>
      </c>
      <c r="C70" s="11"/>
      <c r="D70" s="2">
        <f>--26.93</f>
        <v>26.93</v>
      </c>
      <c r="E70" s="2"/>
      <c r="F70" s="19"/>
      <c r="G70" s="2"/>
      <c r="H70" s="2"/>
      <c r="I70" s="2"/>
      <c r="J70" s="19"/>
      <c r="K70" s="2"/>
      <c r="L70" s="2">
        <f t="shared" si="0"/>
        <v>26.93</v>
      </c>
      <c r="M70" s="2"/>
      <c r="N70" s="19">
        <f t="shared" si="1"/>
        <v>0</v>
      </c>
      <c r="O70" s="11"/>
      <c r="P70" s="2">
        <f>--37.23</f>
        <v>37.229999999999997</v>
      </c>
      <c r="Q70" s="2"/>
      <c r="R70" s="19"/>
      <c r="S70" s="2"/>
      <c r="T70" s="2"/>
      <c r="U70" s="2"/>
      <c r="V70" s="19"/>
      <c r="W70" s="2"/>
      <c r="X70" s="2">
        <f t="shared" si="2"/>
        <v>37.229999999999997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"4135", " - ", "NON-TAXABLE SALES")</f>
        <v xml:space="preserve">          4135 - NON-TAXABLE SALES</v>
      </c>
      <c r="C71" s="11"/>
      <c r="D71" s="2">
        <f>0</f>
        <v>0</v>
      </c>
      <c r="E71" s="2"/>
      <c r="F71" s="19"/>
      <c r="G71" s="2"/>
      <c r="H71" s="2"/>
      <c r="I71" s="2"/>
      <c r="J71" s="19"/>
      <c r="K71" s="2"/>
      <c r="L71" s="2">
        <f t="shared" si="0"/>
        <v>0</v>
      </c>
      <c r="M71" s="2"/>
      <c r="N71" s="19">
        <f t="shared" si="1"/>
        <v>0</v>
      </c>
      <c r="O71" s="11"/>
      <c r="P71" s="2">
        <f>--161.4</f>
        <v>161.4</v>
      </c>
      <c r="Q71" s="2"/>
      <c r="R71" s="19"/>
      <c r="S71" s="2"/>
      <c r="T71" s="2"/>
      <c r="U71" s="2"/>
      <c r="V71" s="19"/>
      <c r="W71" s="2"/>
      <c r="X71" s="2">
        <f t="shared" si="2"/>
        <v>161.4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"4137", " - ", "NON-TAXABLE SALES-WATER")</f>
        <v xml:space="preserve">          4137 - NON-TAXABLE SALES-WATER</v>
      </c>
      <c r="C72" s="11"/>
      <c r="D72" s="2">
        <f>--727.4</f>
        <v>727.4</v>
      </c>
      <c r="E72" s="2"/>
      <c r="F72" s="19"/>
      <c r="G72" s="2"/>
      <c r="H72" s="2"/>
      <c r="I72" s="2"/>
      <c r="J72" s="19"/>
      <c r="K72" s="2"/>
      <c r="L72" s="2">
        <f t="shared" si="0"/>
        <v>727.4</v>
      </c>
      <c r="M72" s="2"/>
      <c r="N72" s="19">
        <f t="shared" si="1"/>
        <v>0</v>
      </c>
      <c r="O72" s="11"/>
      <c r="P72" s="2">
        <f>--10087.85</f>
        <v>10087.85</v>
      </c>
      <c r="Q72" s="2"/>
      <c r="R72" s="19"/>
      <c r="S72" s="2"/>
      <c r="T72" s="2"/>
      <c r="U72" s="2"/>
      <c r="V72" s="19"/>
      <c r="W72" s="2"/>
      <c r="X72" s="2">
        <f t="shared" si="2"/>
        <v>10087.85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"4140", " - ", "NON-TAXABLE SALES-LOGO CLOTHIN")</f>
        <v xml:space="preserve">          4140 - NON-TAXABLE SALES-LOGO CLOTHIN</v>
      </c>
      <c r="C73" s="11"/>
      <c r="D73" s="2">
        <f>--5466.31</f>
        <v>5466.31</v>
      </c>
      <c r="E73" s="2"/>
      <c r="F73" s="19"/>
      <c r="G73" s="2"/>
      <c r="H73" s="2"/>
      <c r="I73" s="2"/>
      <c r="J73" s="19"/>
      <c r="K73" s="2"/>
      <c r="L73" s="2">
        <f t="shared" si="0"/>
        <v>5466.31</v>
      </c>
      <c r="M73" s="2"/>
      <c r="N73" s="19">
        <f t="shared" si="1"/>
        <v>0</v>
      </c>
      <c r="O73" s="11"/>
      <c r="P73" s="2">
        <f>--48048.98</f>
        <v>48048.98</v>
      </c>
      <c r="Q73" s="2"/>
      <c r="R73" s="19"/>
      <c r="S73" s="2"/>
      <c r="T73" s="2"/>
      <c r="U73" s="2"/>
      <c r="V73" s="19"/>
      <c r="W73" s="2"/>
      <c r="X73" s="2">
        <f t="shared" si="2"/>
        <v>48048.98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"4141", " - ", "NON-TAXABLE SALES-LOGO GIFTS")</f>
        <v xml:space="preserve">          4141 - NON-TAXABLE SALES-LOGO GIFTS</v>
      </c>
      <c r="C74" s="11"/>
      <c r="D74" s="2">
        <f>--242.39</f>
        <v>242.39</v>
      </c>
      <c r="E74" s="2"/>
      <c r="F74" s="19"/>
      <c r="G74" s="2"/>
      <c r="H74" s="2"/>
      <c r="I74" s="2"/>
      <c r="J74" s="19"/>
      <c r="K74" s="2"/>
      <c r="L74" s="2">
        <f t="shared" si="0"/>
        <v>242.39</v>
      </c>
      <c r="M74" s="2"/>
      <c r="N74" s="19">
        <f t="shared" si="1"/>
        <v>0</v>
      </c>
      <c r="O74" s="11"/>
      <c r="P74" s="2">
        <f>--10914.56</f>
        <v>10914.56</v>
      </c>
      <c r="Q74" s="2"/>
      <c r="R74" s="19"/>
      <c r="S74" s="2"/>
      <c r="T74" s="2"/>
      <c r="U74" s="2"/>
      <c r="V74" s="19"/>
      <c r="W74" s="2"/>
      <c r="X74" s="2">
        <f t="shared" si="2"/>
        <v>10914.56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"4142", " - ", "NON-TAXABLE SALES-EVERYDAY GIF")</f>
        <v xml:space="preserve">          4142 - NON-TAXABLE SALES-EVERYDAY GIF</v>
      </c>
      <c r="C75" s="11"/>
      <c r="D75" s="2">
        <f>--48.58</f>
        <v>48.58</v>
      </c>
      <c r="E75" s="2"/>
      <c r="F75" s="19"/>
      <c r="G75" s="2"/>
      <c r="H75" s="2"/>
      <c r="I75" s="2"/>
      <c r="J75" s="19"/>
      <c r="K75" s="2"/>
      <c r="L75" s="2">
        <f t="shared" si="0"/>
        <v>48.58</v>
      </c>
      <c r="M75" s="2"/>
      <c r="N75" s="19">
        <f t="shared" si="1"/>
        <v>0</v>
      </c>
      <c r="O75" s="11"/>
      <c r="P75" s="2">
        <f>--13741.43</f>
        <v>13741.43</v>
      </c>
      <c r="Q75" s="2"/>
      <c r="R75" s="19"/>
      <c r="S75" s="2"/>
      <c r="T75" s="2"/>
      <c r="U75" s="2"/>
      <c r="V75" s="19"/>
      <c r="W75" s="2"/>
      <c r="X75" s="2">
        <f t="shared" si="2"/>
        <v>13741.43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"4143", " - ", "NON-TAXABLE SALES-CARDS")</f>
        <v xml:space="preserve">          4143 - NON-TAXABLE SALES-CARDS</v>
      </c>
      <c r="C76" s="11"/>
      <c r="D76" s="2">
        <f>0</f>
        <v>0</v>
      </c>
      <c r="E76" s="2"/>
      <c r="F76" s="19"/>
      <c r="G76" s="2"/>
      <c r="H76" s="2"/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>--9.99</f>
        <v>9.99</v>
      </c>
      <c r="Q76" s="2"/>
      <c r="R76" s="19"/>
      <c r="S76" s="2"/>
      <c r="T76" s="2"/>
      <c r="U76" s="2"/>
      <c r="V76" s="19"/>
      <c r="W76" s="2"/>
      <c r="X76" s="2">
        <f t="shared" si="2"/>
        <v>9.99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"4144", " - ", "NON-TAXABLE SALES-ACCESSORIES")</f>
        <v xml:space="preserve">          4144 - NON-TAXABLE SALES-ACCESSORIES</v>
      </c>
      <c r="C77" s="11"/>
      <c r="D77" s="2">
        <f>--150</f>
        <v>150</v>
      </c>
      <c r="E77" s="2"/>
      <c r="F77" s="19"/>
      <c r="G77" s="2"/>
      <c r="H77" s="2"/>
      <c r="I77" s="2"/>
      <c r="J77" s="19"/>
      <c r="K77" s="2"/>
      <c r="L77" s="2">
        <f t="shared" si="0"/>
        <v>150</v>
      </c>
      <c r="M77" s="2"/>
      <c r="N77" s="19">
        <f t="shared" si="1"/>
        <v>0</v>
      </c>
      <c r="O77" s="11"/>
      <c r="P77" s="2">
        <f>--2040.27</f>
        <v>2040.27</v>
      </c>
      <c r="Q77" s="2"/>
      <c r="R77" s="19"/>
      <c r="S77" s="2"/>
      <c r="T77" s="2"/>
      <c r="U77" s="2"/>
      <c r="V77" s="19"/>
      <c r="W77" s="2"/>
      <c r="X77" s="2">
        <f t="shared" si="2"/>
        <v>2040.27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"4145", " - ", "NON-TAXABLE SALES-SPECIAL ORDE")</f>
        <v xml:space="preserve">          4145 - NON-TAXABLE SALES-SPECIAL ORDE</v>
      </c>
      <c r="C78" s="11"/>
      <c r="D78" s="2">
        <f>0</f>
        <v>0</v>
      </c>
      <c r="E78" s="2"/>
      <c r="F78" s="19"/>
      <c r="G78" s="2"/>
      <c r="H78" s="2"/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--140</f>
        <v>140</v>
      </c>
      <c r="Q78" s="2"/>
      <c r="R78" s="19"/>
      <c r="S78" s="2"/>
      <c r="T78" s="2"/>
      <c r="U78" s="2"/>
      <c r="V78" s="19"/>
      <c r="W78" s="2"/>
      <c r="X78" s="2">
        <f t="shared" si="2"/>
        <v>140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"4146", " - ", "NON-TAXABLE SALES-COIN OP MACH")</f>
        <v xml:space="preserve">          4146 - NON-TAXABLE SALES-COIN OP MACH</v>
      </c>
      <c r="C79" s="11"/>
      <c r="D79" s="2">
        <f>--13383.2</f>
        <v>13383.2</v>
      </c>
      <c r="E79" s="2"/>
      <c r="F79" s="19"/>
      <c r="G79" s="2"/>
      <c r="H79" s="2"/>
      <c r="I79" s="2"/>
      <c r="J79" s="19"/>
      <c r="K79" s="2"/>
      <c r="L79" s="2">
        <f t="shared" si="0"/>
        <v>13383.2</v>
      </c>
      <c r="M79" s="2"/>
      <c r="N79" s="19">
        <f t="shared" si="1"/>
        <v>0</v>
      </c>
      <c r="O79" s="11"/>
      <c r="P79" s="2">
        <f>--205786.95</f>
        <v>205786.95</v>
      </c>
      <c r="Q79" s="2"/>
      <c r="R79" s="19"/>
      <c r="S79" s="2"/>
      <c r="T79" s="2"/>
      <c r="U79" s="2"/>
      <c r="V79" s="19"/>
      <c r="W79" s="2"/>
      <c r="X79" s="2">
        <f t="shared" si="2"/>
        <v>205786.95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"4147", " - ", "NON-TAXABLE SALES-MISC")</f>
        <v xml:space="preserve">          4147 - NON-TAXABLE SALES-MISC</v>
      </c>
      <c r="C80" s="11"/>
      <c r="D80" s="2">
        <f>--933.53</f>
        <v>933.53</v>
      </c>
      <c r="E80" s="2"/>
      <c r="F80" s="19"/>
      <c r="G80" s="2"/>
      <c r="H80" s="2"/>
      <c r="I80" s="2"/>
      <c r="J80" s="19"/>
      <c r="K80" s="2"/>
      <c r="L80" s="2">
        <f t="shared" si="0"/>
        <v>933.53</v>
      </c>
      <c r="M80" s="2"/>
      <c r="N80" s="19">
        <f t="shared" si="1"/>
        <v>0</v>
      </c>
      <c r="O80" s="11"/>
      <c r="P80" s="2">
        <f>--3436.37</f>
        <v>3436.37</v>
      </c>
      <c r="Q80" s="2"/>
      <c r="R80" s="19"/>
      <c r="S80" s="2"/>
      <c r="T80" s="2"/>
      <c r="U80" s="2"/>
      <c r="V80" s="19"/>
      <c r="W80" s="2"/>
      <c r="X80" s="2">
        <f t="shared" si="2"/>
        <v>3436.37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"4151", " - ", "NON-TAXABLE SALES-FOOD")</f>
        <v xml:space="preserve">          4151 - NON-TAXABLE SALES-FOOD</v>
      </c>
      <c r="C81" s="11"/>
      <c r="D81" s="2">
        <f>--1117055.86</f>
        <v>1117055.8600000001</v>
      </c>
      <c r="E81" s="2"/>
      <c r="F81" s="19"/>
      <c r="G81" s="2"/>
      <c r="H81" s="2"/>
      <c r="I81" s="2"/>
      <c r="J81" s="19"/>
      <c r="K81" s="2"/>
      <c r="L81" s="2">
        <f t="shared" si="0"/>
        <v>1117055.8600000001</v>
      </c>
      <c r="M81" s="2"/>
      <c r="N81" s="19">
        <f t="shared" si="1"/>
        <v>0</v>
      </c>
      <c r="O81" s="11"/>
      <c r="P81" s="2">
        <f>--10904380.56</f>
        <v>10904380.560000001</v>
      </c>
      <c r="Q81" s="2"/>
      <c r="R81" s="19"/>
      <c r="S81" s="2"/>
      <c r="T81" s="2"/>
      <c r="U81" s="2"/>
      <c r="V81" s="19"/>
      <c r="W81" s="2"/>
      <c r="X81" s="2">
        <f t="shared" si="2"/>
        <v>10904380.560000001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"4152", " - ", "NON-TAXABLE SALES-FOOD")</f>
        <v xml:space="preserve">          4152 - NON-TAXABLE SALES-FOOD</v>
      </c>
      <c r="C82" s="11"/>
      <c r="D82" s="2">
        <f>--3688.2</f>
        <v>3688.2</v>
      </c>
      <c r="E82" s="2"/>
      <c r="F82" s="19"/>
      <c r="G82" s="2"/>
      <c r="H82" s="2"/>
      <c r="I82" s="2"/>
      <c r="J82" s="19"/>
      <c r="K82" s="2"/>
      <c r="L82" s="2">
        <f t="shared" si="0"/>
        <v>3688.2</v>
      </c>
      <c r="M82" s="2"/>
      <c r="N82" s="19">
        <f t="shared" si="1"/>
        <v>0</v>
      </c>
      <c r="O82" s="11"/>
      <c r="P82" s="2">
        <f>--51415.27</f>
        <v>51415.27</v>
      </c>
      <c r="Q82" s="2"/>
      <c r="R82" s="19"/>
      <c r="S82" s="2"/>
      <c r="T82" s="2"/>
      <c r="U82" s="2"/>
      <c r="V82" s="19"/>
      <c r="W82" s="2"/>
      <c r="X82" s="2">
        <f t="shared" si="2"/>
        <v>51415.27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"4153", " - ", "NON-TAXABLE SALES-FOOD")</f>
        <v xml:space="preserve">          4153 - NON-TAXABLE SALES-FOOD</v>
      </c>
      <c r="C83" s="11"/>
      <c r="D83" s="2">
        <f>--11350.59</f>
        <v>11350.59</v>
      </c>
      <c r="E83" s="2"/>
      <c r="F83" s="19"/>
      <c r="G83" s="2"/>
      <c r="H83" s="2"/>
      <c r="I83" s="2"/>
      <c r="J83" s="19"/>
      <c r="K83" s="2"/>
      <c r="L83" s="2">
        <f t="shared" si="0"/>
        <v>11350.59</v>
      </c>
      <c r="M83" s="2"/>
      <c r="N83" s="19">
        <f t="shared" si="1"/>
        <v>0</v>
      </c>
      <c r="O83" s="11"/>
      <c r="P83" s="2">
        <f>--313330.52</f>
        <v>313330.52</v>
      </c>
      <c r="Q83" s="2"/>
      <c r="R83" s="19"/>
      <c r="S83" s="2"/>
      <c r="T83" s="2"/>
      <c r="U83" s="2"/>
      <c r="V83" s="19"/>
      <c r="W83" s="2"/>
      <c r="X83" s="2">
        <f t="shared" si="2"/>
        <v>313330.52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"4155", " - ", "NON-TAXABLE SALES-FOOD")</f>
        <v xml:space="preserve">          4155 - NON-TAXABLE SALES-FOOD</v>
      </c>
      <c r="C84" s="11"/>
      <c r="D84" s="2">
        <f>--43938.14</f>
        <v>43938.14</v>
      </c>
      <c r="E84" s="2"/>
      <c r="F84" s="19"/>
      <c r="G84" s="2"/>
      <c r="H84" s="2"/>
      <c r="I84" s="2"/>
      <c r="J84" s="19"/>
      <c r="K84" s="2"/>
      <c r="L84" s="2">
        <f t="shared" si="0"/>
        <v>43938.14</v>
      </c>
      <c r="M84" s="2"/>
      <c r="N84" s="19">
        <f t="shared" si="1"/>
        <v>0</v>
      </c>
      <c r="O84" s="11"/>
      <c r="P84" s="2">
        <f>--691123.63</f>
        <v>691123.63</v>
      </c>
      <c r="Q84" s="2"/>
      <c r="R84" s="19"/>
      <c r="S84" s="2"/>
      <c r="T84" s="2"/>
      <c r="U84" s="2"/>
      <c r="V84" s="19"/>
      <c r="W84" s="2"/>
      <c r="X84" s="2">
        <f t="shared" si="2"/>
        <v>691123.63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"4158", " - ", "NON-TAXABLE SALES-FOOD")</f>
        <v xml:space="preserve">          4158 - NON-TAXABLE SALES-FOOD</v>
      </c>
      <c r="C85" s="11"/>
      <c r="D85" s="2">
        <f>--33459.89</f>
        <v>33459.89</v>
      </c>
      <c r="E85" s="2"/>
      <c r="F85" s="19"/>
      <c r="G85" s="2"/>
      <c r="H85" s="2"/>
      <c r="I85" s="2"/>
      <c r="J85" s="19"/>
      <c r="K85" s="2"/>
      <c r="L85" s="2">
        <f t="shared" si="0"/>
        <v>33459.89</v>
      </c>
      <c r="M85" s="2"/>
      <c r="N85" s="19">
        <f t="shared" si="1"/>
        <v>0</v>
      </c>
      <c r="O85" s="11"/>
      <c r="P85" s="2">
        <f>--474853.67</f>
        <v>474853.67</v>
      </c>
      <c r="Q85" s="2"/>
      <c r="R85" s="19"/>
      <c r="S85" s="2"/>
      <c r="T85" s="2"/>
      <c r="U85" s="2"/>
      <c r="V85" s="19"/>
      <c r="W85" s="2"/>
      <c r="X85" s="2">
        <f t="shared" si="2"/>
        <v>474853.67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"4181", " - ", "NON-TAXABLE SALES-ELECTRONICS")</f>
        <v xml:space="preserve">          4181 - NON-TAXABLE SALES-ELECTRONICS</v>
      </c>
      <c r="C86" s="11"/>
      <c r="D86" s="2">
        <f>--13.99</f>
        <v>13.99</v>
      </c>
      <c r="E86" s="2"/>
      <c r="F86" s="19"/>
      <c r="G86" s="2"/>
      <c r="H86" s="2"/>
      <c r="I86" s="2"/>
      <c r="J86" s="19"/>
      <c r="K86" s="2"/>
      <c r="L86" s="2">
        <f t="shared" si="0"/>
        <v>13.99</v>
      </c>
      <c r="M86" s="2"/>
      <c r="N86" s="19">
        <f t="shared" si="1"/>
        <v>0</v>
      </c>
      <c r="O86" s="11"/>
      <c r="P86" s="2">
        <f>--2078.37</f>
        <v>2078.37</v>
      </c>
      <c r="Q86" s="2"/>
      <c r="R86" s="19"/>
      <c r="S86" s="2"/>
      <c r="T86" s="2"/>
      <c r="U86" s="2"/>
      <c r="V86" s="19"/>
      <c r="W86" s="2"/>
      <c r="X86" s="2">
        <f t="shared" si="2"/>
        <v>2078.37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"4182", " - ", "NON-TAXABLE SALES-COMPUTER HAR")</f>
        <v xml:space="preserve">          4182 - NON-TAXABLE SALES-COMPUTER HAR</v>
      </c>
      <c r="C87" s="11"/>
      <c r="D87" s="2">
        <f>--20132</f>
        <v>20132</v>
      </c>
      <c r="E87" s="2"/>
      <c r="F87" s="19"/>
      <c r="G87" s="2"/>
      <c r="H87" s="2"/>
      <c r="I87" s="2"/>
      <c r="J87" s="19"/>
      <c r="K87" s="2"/>
      <c r="L87" s="2">
        <f t="shared" si="0"/>
        <v>20132</v>
      </c>
      <c r="M87" s="2"/>
      <c r="N87" s="19">
        <f t="shared" si="1"/>
        <v>0</v>
      </c>
      <c r="O87" s="11"/>
      <c r="P87" s="2">
        <f>--118010.96</f>
        <v>118010.96</v>
      </c>
      <c r="Q87" s="2"/>
      <c r="R87" s="19"/>
      <c r="S87" s="2"/>
      <c r="T87" s="2"/>
      <c r="U87" s="2"/>
      <c r="V87" s="19"/>
      <c r="W87" s="2"/>
      <c r="X87" s="2">
        <f t="shared" si="2"/>
        <v>118010.96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"4183", " - ", "NON-TAXABLE SALES-COMPUTER EQU")</f>
        <v xml:space="preserve">          4183 - NON-TAXABLE SALES-COMPUTER EQU</v>
      </c>
      <c r="C88" s="11"/>
      <c r="D88" s="2">
        <f>--705.91</f>
        <v>705.91</v>
      </c>
      <c r="E88" s="2"/>
      <c r="F88" s="19"/>
      <c r="G88" s="2"/>
      <c r="H88" s="2"/>
      <c r="I88" s="2"/>
      <c r="J88" s="19"/>
      <c r="K88" s="2"/>
      <c r="L88" s="2">
        <f t="shared" si="0"/>
        <v>705.91</v>
      </c>
      <c r="M88" s="2"/>
      <c r="N88" s="19">
        <f t="shared" si="1"/>
        <v>0</v>
      </c>
      <c r="O88" s="11"/>
      <c r="P88" s="2">
        <f>--6762.22</f>
        <v>6762.22</v>
      </c>
      <c r="Q88" s="2"/>
      <c r="R88" s="19"/>
      <c r="S88" s="2"/>
      <c r="T88" s="2"/>
      <c r="U88" s="2"/>
      <c r="V88" s="19"/>
      <c r="W88" s="2"/>
      <c r="X88" s="2">
        <f t="shared" si="2"/>
        <v>6762.22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"4184", " - ", "NON-TAXABLE SALES-SOFTWARE LIC")</f>
        <v xml:space="preserve">          4184 - NON-TAXABLE SALES-SOFTWARE LIC</v>
      </c>
      <c r="C89" s="11"/>
      <c r="D89" s="2">
        <f>0</f>
        <v>0</v>
      </c>
      <c r="E89" s="2"/>
      <c r="F89" s="19"/>
      <c r="G89" s="2"/>
      <c r="H89" s="2"/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>--2728</f>
        <v>2728</v>
      </c>
      <c r="Q89" s="2"/>
      <c r="R89" s="19"/>
      <c r="S89" s="2"/>
      <c r="T89" s="2"/>
      <c r="U89" s="2"/>
      <c r="V89" s="19"/>
      <c r="W89" s="2"/>
      <c r="X89" s="2">
        <f t="shared" si="2"/>
        <v>2728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"4185", " - ", "NON-TAXABLE SALES-SOFTWARE")</f>
        <v xml:space="preserve">          4185 - NON-TAXABLE SALES-SOFTWARE</v>
      </c>
      <c r="C90" s="11"/>
      <c r="D90" s="2">
        <f>--976.95</f>
        <v>976.95</v>
      </c>
      <c r="E90" s="2"/>
      <c r="F90" s="19"/>
      <c r="G90" s="2"/>
      <c r="H90" s="2"/>
      <c r="I90" s="2"/>
      <c r="J90" s="19"/>
      <c r="K90" s="2"/>
      <c r="L90" s="2">
        <f t="shared" si="0"/>
        <v>976.95</v>
      </c>
      <c r="M90" s="2"/>
      <c r="N90" s="19">
        <f t="shared" si="1"/>
        <v>0</v>
      </c>
      <c r="O90" s="11"/>
      <c r="P90" s="2">
        <f>--13122.74</f>
        <v>13122.74</v>
      </c>
      <c r="Q90" s="2"/>
      <c r="R90" s="19"/>
      <c r="S90" s="2"/>
      <c r="T90" s="2"/>
      <c r="U90" s="2"/>
      <c r="V90" s="19"/>
      <c r="W90" s="2"/>
      <c r="X90" s="2">
        <f t="shared" si="2"/>
        <v>13122.74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"4186", " - ", "NON-TAXABLE SALES-COMPUTER SUP")</f>
        <v xml:space="preserve">          4186 - NON-TAXABLE SALES-COMPUTER SUP</v>
      </c>
      <c r="C91" s="11"/>
      <c r="D91" s="2">
        <f>--149.98</f>
        <v>149.97999999999999</v>
      </c>
      <c r="E91" s="2"/>
      <c r="F91" s="19"/>
      <c r="G91" s="2"/>
      <c r="H91" s="2"/>
      <c r="I91" s="2"/>
      <c r="J91" s="19"/>
      <c r="K91" s="2"/>
      <c r="L91" s="2">
        <f t="shared" si="0"/>
        <v>149.97999999999999</v>
      </c>
      <c r="M91" s="2"/>
      <c r="N91" s="19">
        <f t="shared" si="1"/>
        <v>0</v>
      </c>
      <c r="O91" s="11"/>
      <c r="P91" s="2">
        <f>--2619.19</f>
        <v>2619.19</v>
      </c>
      <c r="Q91" s="2"/>
      <c r="R91" s="19"/>
      <c r="S91" s="2"/>
      <c r="T91" s="2"/>
      <c r="U91" s="2"/>
      <c r="V91" s="19"/>
      <c r="W91" s="2"/>
      <c r="X91" s="2">
        <f t="shared" si="2"/>
        <v>2619.19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"4188", " - ", "NON-TAXABLE SALES-MUSIC")</f>
        <v xml:space="preserve">          4188 - NON-TAXABLE SALES-MUSIC</v>
      </c>
      <c r="C92" s="11"/>
      <c r="D92" s="2">
        <f>0</f>
        <v>0</v>
      </c>
      <c r="E92" s="2"/>
      <c r="F92" s="19"/>
      <c r="G92" s="2"/>
      <c r="H92" s="2"/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>--219.96</f>
        <v>219.96</v>
      </c>
      <c r="Q92" s="2"/>
      <c r="R92" s="19"/>
      <c r="S92" s="2"/>
      <c r="T92" s="2"/>
      <c r="U92" s="2"/>
      <c r="V92" s="19"/>
      <c r="W92" s="2"/>
      <c r="X92" s="2">
        <f t="shared" si="2"/>
        <v>219.96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"4201", " - ", "SALES RETURN TAXABLE-NEW TEXT")</f>
        <v xml:space="preserve">          4201 - SALES RETURN TAXABLE-NEW TEXT</v>
      </c>
      <c r="C93" s="11"/>
      <c r="D93" s="2">
        <f>-420.3</f>
        <v>-420.3</v>
      </c>
      <c r="E93" s="2"/>
      <c r="F93" s="19"/>
      <c r="G93" s="2"/>
      <c r="H93" s="2"/>
      <c r="I93" s="2"/>
      <c r="J93" s="19"/>
      <c r="K93" s="2"/>
      <c r="L93" s="2">
        <f t="shared" si="0"/>
        <v>-420.3</v>
      </c>
      <c r="M93" s="2"/>
      <c r="N93" s="19">
        <f t="shared" si="1"/>
        <v>0</v>
      </c>
      <c r="O93" s="11"/>
      <c r="P93" s="2">
        <f>-121160.71</f>
        <v>-121160.71</v>
      </c>
      <c r="Q93" s="2"/>
      <c r="R93" s="19"/>
      <c r="S93" s="2"/>
      <c r="T93" s="2"/>
      <c r="U93" s="2"/>
      <c r="V93" s="19"/>
      <c r="W93" s="2"/>
      <c r="X93" s="2">
        <f t="shared" si="2"/>
        <v>-121160.71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"4202", " - ", "SALES RETURN TAXABLE-USED TEXT")</f>
        <v xml:space="preserve">          4202 - SALES RETURN TAXABLE-USED TEXT</v>
      </c>
      <c r="C94" s="11"/>
      <c r="D94" s="2">
        <f>-133.45</f>
        <v>-133.44999999999999</v>
      </c>
      <c r="E94" s="2"/>
      <c r="F94" s="19"/>
      <c r="G94" s="2"/>
      <c r="H94" s="2"/>
      <c r="I94" s="2"/>
      <c r="J94" s="19"/>
      <c r="K94" s="2"/>
      <c r="L94" s="2">
        <f t="shared" si="0"/>
        <v>-133.44999999999999</v>
      </c>
      <c r="M94" s="2"/>
      <c r="N94" s="19">
        <f t="shared" si="1"/>
        <v>0</v>
      </c>
      <c r="O94" s="11"/>
      <c r="P94" s="2">
        <f>-45520.76</f>
        <v>-45520.76</v>
      </c>
      <c r="Q94" s="2"/>
      <c r="R94" s="19"/>
      <c r="S94" s="2"/>
      <c r="T94" s="2"/>
      <c r="U94" s="2"/>
      <c r="V94" s="19"/>
      <c r="W94" s="2"/>
      <c r="X94" s="2">
        <f t="shared" si="2"/>
        <v>-45520.76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"4203", " - ", "SALES RETURN TAXABLE-RENTAL TE")</f>
        <v xml:space="preserve">          4203 - SALES RETURN TAXABLE-RENTAL TE</v>
      </c>
      <c r="C95" s="11"/>
      <c r="D95" s="2">
        <f t="shared" ref="D95:D96" si="5">0</f>
        <v>0</v>
      </c>
      <c r="E95" s="2"/>
      <c r="F95" s="19"/>
      <c r="G95" s="2"/>
      <c r="H95" s="2"/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-144.99</f>
        <v>-144.99</v>
      </c>
      <c r="Q95" s="2"/>
      <c r="R95" s="19"/>
      <c r="S95" s="2"/>
      <c r="T95" s="2"/>
      <c r="U95" s="2"/>
      <c r="V95" s="19"/>
      <c r="W95" s="2"/>
      <c r="X95" s="2">
        <f t="shared" si="2"/>
        <v>-144.99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"4204", " - ", "SALES RETURN TAXABLE-DIGITAL T")</f>
        <v xml:space="preserve">          4204 - SALES RETURN TAXABLE-DIGITAL T</v>
      </c>
      <c r="C96" s="11"/>
      <c r="D96" s="2">
        <f t="shared" si="5"/>
        <v>0</v>
      </c>
      <c r="E96" s="2"/>
      <c r="F96" s="19"/>
      <c r="G96" s="2"/>
      <c r="H96" s="2"/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>-17255.33</f>
        <v>-17255.330000000002</v>
      </c>
      <c r="Q96" s="2"/>
      <c r="R96" s="19"/>
      <c r="S96" s="2"/>
      <c r="T96" s="2"/>
      <c r="U96" s="2"/>
      <c r="V96" s="19"/>
      <c r="W96" s="2"/>
      <c r="X96" s="2">
        <f t="shared" si="2"/>
        <v>-17255.330000000002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"4213", " - ", "NON-TAXABLE SALES-TRADE BOOKS")</f>
        <v xml:space="preserve">          4213 - NON-TAXABLE SALES-TRADE BOOKS</v>
      </c>
      <c r="C97" s="11"/>
      <c r="D97" s="2">
        <f>-374.85</f>
        <v>-374.85</v>
      </c>
      <c r="E97" s="2"/>
      <c r="F97" s="19"/>
      <c r="G97" s="2"/>
      <c r="H97" s="2"/>
      <c r="I97" s="2"/>
      <c r="J97" s="19"/>
      <c r="K97" s="2"/>
      <c r="L97" s="2">
        <f t="shared" si="0"/>
        <v>-374.85</v>
      </c>
      <c r="M97" s="2"/>
      <c r="N97" s="19">
        <f t="shared" si="1"/>
        <v>0</v>
      </c>
      <c r="O97" s="11"/>
      <c r="P97" s="2">
        <f>-594.91</f>
        <v>-594.91</v>
      </c>
      <c r="Q97" s="2"/>
      <c r="R97" s="19"/>
      <c r="S97" s="2"/>
      <c r="T97" s="2"/>
      <c r="U97" s="2"/>
      <c r="V97" s="19"/>
      <c r="W97" s="2"/>
      <c r="X97" s="2">
        <f t="shared" si="2"/>
        <v>-594.91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"4214", " - ", "SALES RETURN TAXABLE-REMAINDER")</f>
        <v xml:space="preserve">          4214 - SALES RETURN TAXABLE-REMAINDER</v>
      </c>
      <c r="C98" s="11"/>
      <c r="D98" s="2">
        <f t="shared" ref="D98:D100" si="6">0</f>
        <v>0</v>
      </c>
      <c r="E98" s="2"/>
      <c r="F98" s="19"/>
      <c r="G98" s="2"/>
      <c r="H98" s="2"/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-11.94</f>
        <v>-11.94</v>
      </c>
      <c r="Q98" s="2"/>
      <c r="R98" s="19"/>
      <c r="S98" s="2"/>
      <c r="T98" s="2"/>
      <c r="U98" s="2"/>
      <c r="V98" s="19"/>
      <c r="W98" s="2"/>
      <c r="X98" s="2">
        <f t="shared" si="2"/>
        <v>-11.94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"4217", " - ", "NON-TAXABLE SALES-DORM/HOUSEWA")</f>
        <v xml:space="preserve">          4217 - NON-TAXABLE SALES-DORM/HOUSEWA</v>
      </c>
      <c r="C99" s="11"/>
      <c r="D99" s="2">
        <f t="shared" si="6"/>
        <v>0</v>
      </c>
      <c r="E99" s="2"/>
      <c r="F99" s="19"/>
      <c r="G99" s="2"/>
      <c r="H99" s="2"/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>-2.98</f>
        <v>-2.98</v>
      </c>
      <c r="Q99" s="2"/>
      <c r="R99" s="19"/>
      <c r="S99" s="2"/>
      <c r="T99" s="2"/>
      <c r="U99" s="2"/>
      <c r="V99" s="19"/>
      <c r="W99" s="2"/>
      <c r="X99" s="2">
        <f t="shared" si="2"/>
        <v>-2.98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"4218", " - ", "SALES RETURN TAXABLE-STUDY GUI")</f>
        <v xml:space="preserve">          4218 - SALES RETURN TAXABLE-STUDY GUI</v>
      </c>
      <c r="C100" s="11"/>
      <c r="D100" s="2">
        <f t="shared" si="6"/>
        <v>0</v>
      </c>
      <c r="E100" s="2"/>
      <c r="F100" s="19"/>
      <c r="G100" s="2"/>
      <c r="H100" s="2"/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>-39.25</f>
        <v>-39.25</v>
      </c>
      <c r="Q100" s="2"/>
      <c r="R100" s="19"/>
      <c r="S100" s="2"/>
      <c r="T100" s="2"/>
      <c r="U100" s="2"/>
      <c r="V100" s="19"/>
      <c r="W100" s="2"/>
      <c r="X100" s="2">
        <f t="shared" si="2"/>
        <v>-39.25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"4225", " - ", "SALES RETURN TAXABLE-TEST FORM")</f>
        <v xml:space="preserve">          4225 - SALES RETURN TAXABLE-TEST FORM</v>
      </c>
      <c r="C101" s="11"/>
      <c r="D101" s="2">
        <f>-8.16</f>
        <v>-8.16</v>
      </c>
      <c r="E101" s="2"/>
      <c r="F101" s="19"/>
      <c r="G101" s="2"/>
      <c r="H101" s="2"/>
      <c r="I101" s="2"/>
      <c r="J101" s="19"/>
      <c r="K101" s="2"/>
      <c r="L101" s="2">
        <f t="shared" si="0"/>
        <v>-8.16</v>
      </c>
      <c r="M101" s="2"/>
      <c r="N101" s="19">
        <f t="shared" si="1"/>
        <v>0</v>
      </c>
      <c r="O101" s="11"/>
      <c r="P101" s="2">
        <f>-176.41</f>
        <v>-176.41</v>
      </c>
      <c r="Q101" s="2"/>
      <c r="R101" s="19"/>
      <c r="S101" s="2"/>
      <c r="T101" s="2"/>
      <c r="U101" s="2"/>
      <c r="V101" s="19"/>
      <c r="W101" s="2"/>
      <c r="X101" s="2">
        <f t="shared" si="2"/>
        <v>-176.41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"4226", " - ", "SALES RETURN TAXABLE-WRITING I")</f>
        <v xml:space="preserve">          4226 - SALES RETURN TAXABLE-WRITING I</v>
      </c>
      <c r="C102" s="11"/>
      <c r="D102" s="2">
        <f>-11.25</f>
        <v>-11.25</v>
      </c>
      <c r="E102" s="2"/>
      <c r="F102" s="19"/>
      <c r="G102" s="2"/>
      <c r="H102" s="2"/>
      <c r="I102" s="2"/>
      <c r="J102" s="19"/>
      <c r="K102" s="2"/>
      <c r="L102" s="2">
        <f t="shared" si="0"/>
        <v>-11.25</v>
      </c>
      <c r="M102" s="2"/>
      <c r="N102" s="19">
        <f t="shared" si="1"/>
        <v>0</v>
      </c>
      <c r="O102" s="11"/>
      <c r="P102" s="2">
        <f>-765.04</f>
        <v>-765.04</v>
      </c>
      <c r="Q102" s="2"/>
      <c r="R102" s="19"/>
      <c r="S102" s="2"/>
      <c r="T102" s="2"/>
      <c r="U102" s="2"/>
      <c r="V102" s="19"/>
      <c r="W102" s="2"/>
      <c r="X102" s="2">
        <f t="shared" si="2"/>
        <v>-765.04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"4227", " - ", "SALES RETURN TAXABLE-SCHOOL SU")</f>
        <v xml:space="preserve">          4227 - SALES RETURN TAXABLE-SCHOOL SU</v>
      </c>
      <c r="C103" s="11"/>
      <c r="D103" s="2">
        <f>-979.19</f>
        <v>-979.19</v>
      </c>
      <c r="E103" s="2"/>
      <c r="F103" s="19"/>
      <c r="G103" s="2"/>
      <c r="H103" s="2"/>
      <c r="I103" s="2"/>
      <c r="J103" s="19"/>
      <c r="K103" s="2"/>
      <c r="L103" s="2">
        <f t="shared" si="0"/>
        <v>-979.19</v>
      </c>
      <c r="M103" s="2"/>
      <c r="N103" s="19">
        <f t="shared" si="1"/>
        <v>0</v>
      </c>
      <c r="O103" s="11"/>
      <c r="P103" s="2">
        <f>-8593.61</f>
        <v>-8593.61</v>
      </c>
      <c r="Q103" s="2"/>
      <c r="R103" s="19"/>
      <c r="S103" s="2"/>
      <c r="T103" s="2"/>
      <c r="U103" s="2"/>
      <c r="V103" s="19"/>
      <c r="W103" s="2"/>
      <c r="X103" s="2">
        <f t="shared" si="2"/>
        <v>-8593.61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"4228", " - ", "SALES RETURN TAXABLE-ART/TECH")</f>
        <v xml:space="preserve">          4228 - SALES RETURN TAXABLE-ART/TECH</v>
      </c>
      <c r="C104" s="11"/>
      <c r="D104" s="2">
        <f>-139.18</f>
        <v>-139.18</v>
      </c>
      <c r="E104" s="2"/>
      <c r="F104" s="19"/>
      <c r="G104" s="2"/>
      <c r="H104" s="2"/>
      <c r="I104" s="2"/>
      <c r="J104" s="19"/>
      <c r="K104" s="2"/>
      <c r="L104" s="2">
        <f t="shared" si="0"/>
        <v>-139.18</v>
      </c>
      <c r="M104" s="2"/>
      <c r="N104" s="19">
        <f t="shared" si="1"/>
        <v>0</v>
      </c>
      <c r="O104" s="11"/>
      <c r="P104" s="2">
        <f>-4739.1</f>
        <v>-4739.1000000000004</v>
      </c>
      <c r="Q104" s="2"/>
      <c r="R104" s="19"/>
      <c r="S104" s="2"/>
      <c r="T104" s="2"/>
      <c r="U104" s="2"/>
      <c r="V104" s="19"/>
      <c r="W104" s="2"/>
      <c r="X104" s="2">
        <f t="shared" si="2"/>
        <v>-4739.1000000000004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"4233", " - ", "SALES RETURN TAXABLE-CANDY")</f>
        <v xml:space="preserve">          4233 - SALES RETURN TAXABLE-CANDY</v>
      </c>
      <c r="C105" s="11"/>
      <c r="D105" s="2">
        <f>-6.96</f>
        <v>-6.96</v>
      </c>
      <c r="E105" s="2"/>
      <c r="F105" s="19"/>
      <c r="G105" s="2"/>
      <c r="H105" s="2"/>
      <c r="I105" s="2"/>
      <c r="J105" s="19"/>
      <c r="K105" s="2"/>
      <c r="L105" s="2">
        <f t="shared" si="0"/>
        <v>-6.96</v>
      </c>
      <c r="M105" s="2"/>
      <c r="N105" s="19">
        <f t="shared" si="1"/>
        <v>0</v>
      </c>
      <c r="O105" s="11"/>
      <c r="P105" s="2">
        <f>-8.25</f>
        <v>-8.25</v>
      </c>
      <c r="Q105" s="2"/>
      <c r="R105" s="19"/>
      <c r="S105" s="2"/>
      <c r="T105" s="2"/>
      <c r="U105" s="2"/>
      <c r="V105" s="19"/>
      <c r="W105" s="2"/>
      <c r="X105" s="2">
        <f t="shared" si="2"/>
        <v>-8.25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"4240", " - ", "SALES RETURN TAXABLE-LOGO CLOT")</f>
        <v xml:space="preserve">          4240 - SALES RETURN TAXABLE-LOGO CLOT</v>
      </c>
      <c r="C106" s="11"/>
      <c r="D106" s="2">
        <f>-3000.56</f>
        <v>-3000.56</v>
      </c>
      <c r="E106" s="2"/>
      <c r="F106" s="19"/>
      <c r="G106" s="2"/>
      <c r="H106" s="2"/>
      <c r="I106" s="2"/>
      <c r="J106" s="19"/>
      <c r="K106" s="2"/>
      <c r="L106" s="2">
        <f t="shared" si="0"/>
        <v>-3000.56</v>
      </c>
      <c r="M106" s="2"/>
      <c r="N106" s="19">
        <f t="shared" si="1"/>
        <v>0</v>
      </c>
      <c r="O106" s="11"/>
      <c r="P106" s="2">
        <f>-72812.23</f>
        <v>-72812.23</v>
      </c>
      <c r="Q106" s="2"/>
      <c r="R106" s="19"/>
      <c r="S106" s="2"/>
      <c r="T106" s="2"/>
      <c r="U106" s="2"/>
      <c r="V106" s="19"/>
      <c r="W106" s="2"/>
      <c r="X106" s="2">
        <f t="shared" si="2"/>
        <v>-72812.23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"4241", " - ", "SALES RETURN TAXABLE-LOGO GIFT")</f>
        <v xml:space="preserve">          4241 - SALES RETURN TAXABLE-LOGO GIFT</v>
      </c>
      <c r="C107" s="11"/>
      <c r="D107" s="2">
        <f>-214.4</f>
        <v>-214.4</v>
      </c>
      <c r="E107" s="2"/>
      <c r="F107" s="19"/>
      <c r="G107" s="2"/>
      <c r="H107" s="2"/>
      <c r="I107" s="2"/>
      <c r="J107" s="19"/>
      <c r="K107" s="2"/>
      <c r="L107" s="2">
        <f t="shared" si="0"/>
        <v>-214.4</v>
      </c>
      <c r="M107" s="2"/>
      <c r="N107" s="19">
        <f t="shared" si="1"/>
        <v>0</v>
      </c>
      <c r="O107" s="11"/>
      <c r="P107" s="2">
        <f>-6141.38</f>
        <v>-6141.38</v>
      </c>
      <c r="Q107" s="2"/>
      <c r="R107" s="19"/>
      <c r="S107" s="2"/>
      <c r="T107" s="2"/>
      <c r="U107" s="2"/>
      <c r="V107" s="19"/>
      <c r="W107" s="2"/>
      <c r="X107" s="2">
        <f t="shared" si="2"/>
        <v>-6141.38</v>
      </c>
      <c r="Y107" s="2"/>
      <c r="Z107" s="19">
        <f t="shared" si="3"/>
        <v>0</v>
      </c>
    </row>
    <row r="108" spans="1:26" s="24" customFormat="1" hidden="1" outlineLevel="1" x14ac:dyDescent="0.25">
      <c r="A108" s="44"/>
      <c r="B108" s="11" t="str">
        <f>CONCATENATE("          ", "4242", " - ", "SALES RETURN TAXABLE-EVERYDAY")</f>
        <v xml:space="preserve">          4242 - SALES RETURN TAXABLE-EVERYDAY</v>
      </c>
      <c r="C108" s="11"/>
      <c r="D108" s="2">
        <f>-284.33</f>
        <v>-284.33</v>
      </c>
      <c r="E108" s="2"/>
      <c r="F108" s="19"/>
      <c r="G108" s="2"/>
      <c r="H108" s="2"/>
      <c r="I108" s="2"/>
      <c r="J108" s="19"/>
      <c r="K108" s="2"/>
      <c r="L108" s="2">
        <f t="shared" si="0"/>
        <v>-284.33</v>
      </c>
      <c r="M108" s="2"/>
      <c r="N108" s="19">
        <f t="shared" si="1"/>
        <v>0</v>
      </c>
      <c r="O108" s="11"/>
      <c r="P108" s="2">
        <f>-4178.41</f>
        <v>-4178.41</v>
      </c>
      <c r="Q108" s="2"/>
      <c r="R108" s="19"/>
      <c r="S108" s="2"/>
      <c r="T108" s="2"/>
      <c r="U108" s="2"/>
      <c r="V108" s="19"/>
      <c r="W108" s="2"/>
      <c r="X108" s="2">
        <f t="shared" si="2"/>
        <v>-4178.41</v>
      </c>
      <c r="Y108" s="2"/>
      <c r="Z108" s="19">
        <f t="shared" si="3"/>
        <v>0</v>
      </c>
    </row>
    <row r="109" spans="1:26" s="24" customFormat="1" hidden="1" outlineLevel="1" x14ac:dyDescent="0.25">
      <c r="A109" s="44"/>
      <c r="B109" s="11" t="str">
        <f>CONCATENATE("          ", "4243", " - ", "SALES RETURN TAXABLE-CARDS")</f>
        <v xml:space="preserve">          4243 - SALES RETURN TAXABLE-CARDS</v>
      </c>
      <c r="C109" s="11"/>
      <c r="D109" s="2">
        <f>-159.92</f>
        <v>-159.91999999999999</v>
      </c>
      <c r="E109" s="2"/>
      <c r="F109" s="19"/>
      <c r="G109" s="2"/>
      <c r="H109" s="2"/>
      <c r="I109" s="2"/>
      <c r="J109" s="19"/>
      <c r="K109" s="2"/>
      <c r="L109" s="2">
        <f t="shared" si="0"/>
        <v>-159.91999999999999</v>
      </c>
      <c r="M109" s="2"/>
      <c r="N109" s="19">
        <f t="shared" si="1"/>
        <v>0</v>
      </c>
      <c r="O109" s="11"/>
      <c r="P109" s="2">
        <f>-2993.31</f>
        <v>-2993.31</v>
      </c>
      <c r="Q109" s="2"/>
      <c r="R109" s="19"/>
      <c r="S109" s="2"/>
      <c r="T109" s="2"/>
      <c r="U109" s="2"/>
      <c r="V109" s="19"/>
      <c r="W109" s="2"/>
      <c r="X109" s="2">
        <f t="shared" si="2"/>
        <v>-2993.31</v>
      </c>
      <c r="Y109" s="2"/>
      <c r="Z109" s="19">
        <f t="shared" si="3"/>
        <v>0</v>
      </c>
    </row>
    <row r="110" spans="1:26" s="24" customFormat="1" hidden="1" outlineLevel="1" x14ac:dyDescent="0.25">
      <c r="A110" s="44"/>
      <c r="B110" s="11" t="str">
        <f>CONCATENATE("          ", "4244", " - ", "SALES RETURN TAXABLE-ACCESSORI")</f>
        <v xml:space="preserve">          4244 - SALES RETURN TAXABLE-ACCESSORI</v>
      </c>
      <c r="C110" s="11"/>
      <c r="D110" s="2">
        <f>-39.9</f>
        <v>-39.9</v>
      </c>
      <c r="E110" s="2"/>
      <c r="F110" s="19"/>
      <c r="G110" s="2"/>
      <c r="H110" s="2"/>
      <c r="I110" s="2"/>
      <c r="J110" s="19"/>
      <c r="K110" s="2"/>
      <c r="L110" s="2">
        <f t="shared" si="0"/>
        <v>-39.9</v>
      </c>
      <c r="M110" s="2"/>
      <c r="N110" s="19">
        <f t="shared" si="1"/>
        <v>0</v>
      </c>
      <c r="O110" s="11"/>
      <c r="P110" s="2">
        <f>-2470.7</f>
        <v>-2470.6999999999998</v>
      </c>
      <c r="Q110" s="2"/>
      <c r="R110" s="19"/>
      <c r="S110" s="2"/>
      <c r="T110" s="2"/>
      <c r="U110" s="2"/>
      <c r="V110" s="19"/>
      <c r="W110" s="2"/>
      <c r="X110" s="2">
        <f t="shared" si="2"/>
        <v>-2470.6999999999998</v>
      </c>
      <c r="Y110" s="2"/>
      <c r="Z110" s="19">
        <f t="shared" si="3"/>
        <v>0</v>
      </c>
    </row>
    <row r="111" spans="1:26" s="24" customFormat="1" hidden="1" outlineLevel="1" x14ac:dyDescent="0.25">
      <c r="A111" s="44"/>
      <c r="B111" s="11" t="str">
        <f>CONCATENATE("          ", "4245", " - ", "SALES RETURN TAXABLE-SPECIAL O")</f>
        <v xml:space="preserve">          4245 - SALES RETURN TAXABLE-SPECIAL O</v>
      </c>
      <c r="C111" s="11"/>
      <c r="D111" s="2">
        <f>-19.98</f>
        <v>-19.98</v>
      </c>
      <c r="E111" s="2"/>
      <c r="F111" s="19"/>
      <c r="G111" s="2"/>
      <c r="H111" s="2"/>
      <c r="I111" s="2"/>
      <c r="J111" s="19"/>
      <c r="K111" s="2"/>
      <c r="L111" s="2">
        <f t="shared" si="0"/>
        <v>-19.98</v>
      </c>
      <c r="M111" s="2"/>
      <c r="N111" s="19">
        <f t="shared" si="1"/>
        <v>0</v>
      </c>
      <c r="O111" s="11"/>
      <c r="P111" s="2">
        <f>-1735.03</f>
        <v>-1735.03</v>
      </c>
      <c r="Q111" s="2"/>
      <c r="R111" s="19"/>
      <c r="S111" s="2"/>
      <c r="T111" s="2"/>
      <c r="U111" s="2"/>
      <c r="V111" s="19"/>
      <c r="W111" s="2"/>
      <c r="X111" s="2">
        <f t="shared" si="2"/>
        <v>-1735.03</v>
      </c>
      <c r="Y111" s="2"/>
      <c r="Z111" s="19">
        <f t="shared" si="3"/>
        <v>0</v>
      </c>
    </row>
    <row r="112" spans="1:26" s="24" customFormat="1" hidden="1" outlineLevel="1" x14ac:dyDescent="0.25">
      <c r="A112" s="44"/>
      <c r="B112" s="11" t="str">
        <f>CONCATENATE("          ", "4281", " - ", "SALES RETURN TAXABLE-ELECTRONI")</f>
        <v xml:space="preserve">          4281 - SALES RETURN TAXABLE-ELECTRONI</v>
      </c>
      <c r="C112" s="11"/>
      <c r="D112" s="2">
        <f>-213.97</f>
        <v>-213.97</v>
      </c>
      <c r="E112" s="2"/>
      <c r="F112" s="19"/>
      <c r="G112" s="2"/>
      <c r="H112" s="2"/>
      <c r="I112" s="2"/>
      <c r="J112" s="19"/>
      <c r="K112" s="2"/>
      <c r="L112" s="2">
        <f t="shared" si="0"/>
        <v>-213.97</v>
      </c>
      <c r="M112" s="2"/>
      <c r="N112" s="19">
        <f t="shared" si="1"/>
        <v>0</v>
      </c>
      <c r="O112" s="11"/>
      <c r="P112" s="2">
        <f>-7836.67</f>
        <v>-7836.67</v>
      </c>
      <c r="Q112" s="2"/>
      <c r="R112" s="19"/>
      <c r="S112" s="2"/>
      <c r="T112" s="2"/>
      <c r="U112" s="2"/>
      <c r="V112" s="19"/>
      <c r="W112" s="2"/>
      <c r="X112" s="2">
        <f t="shared" si="2"/>
        <v>-7836.67</v>
      </c>
      <c r="Y112" s="2"/>
      <c r="Z112" s="19">
        <f t="shared" si="3"/>
        <v>0</v>
      </c>
    </row>
    <row r="113" spans="1:26" s="24" customFormat="1" hidden="1" outlineLevel="1" x14ac:dyDescent="0.25">
      <c r="A113" s="44"/>
      <c r="B113" s="11" t="str">
        <f>CONCATENATE("          ", "4282", " - ", "SALES RETURN TAXABLE-COMPUTER")</f>
        <v xml:space="preserve">          4282 - SALES RETURN TAXABLE-COMPUTER</v>
      </c>
      <c r="C113" s="11"/>
      <c r="D113" s="2">
        <f>-6266.02</f>
        <v>-6266.02</v>
      </c>
      <c r="E113" s="2"/>
      <c r="F113" s="19"/>
      <c r="G113" s="2"/>
      <c r="H113" s="2"/>
      <c r="I113" s="2"/>
      <c r="J113" s="19"/>
      <c r="K113" s="2"/>
      <c r="L113" s="2">
        <f t="shared" si="0"/>
        <v>-6266.02</v>
      </c>
      <c r="M113" s="2"/>
      <c r="N113" s="19">
        <f t="shared" si="1"/>
        <v>0</v>
      </c>
      <c r="O113" s="11"/>
      <c r="P113" s="2">
        <f>-213491.15</f>
        <v>-213491.15</v>
      </c>
      <c r="Q113" s="2"/>
      <c r="R113" s="19"/>
      <c r="S113" s="2"/>
      <c r="T113" s="2"/>
      <c r="U113" s="2"/>
      <c r="V113" s="19"/>
      <c r="W113" s="2"/>
      <c r="X113" s="2">
        <f t="shared" si="2"/>
        <v>-213491.15</v>
      </c>
      <c r="Y113" s="2"/>
      <c r="Z113" s="19">
        <f t="shared" si="3"/>
        <v>0</v>
      </c>
    </row>
    <row r="114" spans="1:26" s="24" customFormat="1" hidden="1" outlineLevel="1" x14ac:dyDescent="0.25">
      <c r="A114" s="44"/>
      <c r="B114" s="11" t="str">
        <f>CONCATENATE("          ", "4283", " - ", "SALES RETURN TAXABLE-COMPUTER")</f>
        <v xml:space="preserve">          4283 - SALES RETURN TAXABLE-COMPUTER</v>
      </c>
      <c r="C114" s="11"/>
      <c r="D114" s="2">
        <f>-627.65</f>
        <v>-627.65</v>
      </c>
      <c r="E114" s="2"/>
      <c r="F114" s="19"/>
      <c r="G114" s="2"/>
      <c r="H114" s="2"/>
      <c r="I114" s="2"/>
      <c r="J114" s="19"/>
      <c r="K114" s="2"/>
      <c r="L114" s="2">
        <f t="shared" si="0"/>
        <v>-627.65</v>
      </c>
      <c r="M114" s="2"/>
      <c r="N114" s="19">
        <f t="shared" si="1"/>
        <v>0</v>
      </c>
      <c r="O114" s="11"/>
      <c r="P114" s="2">
        <f>-6453.06</f>
        <v>-6453.06</v>
      </c>
      <c r="Q114" s="2"/>
      <c r="R114" s="19"/>
      <c r="S114" s="2"/>
      <c r="T114" s="2"/>
      <c r="U114" s="2"/>
      <c r="V114" s="19"/>
      <c r="W114" s="2"/>
      <c r="X114" s="2">
        <f t="shared" si="2"/>
        <v>-6453.06</v>
      </c>
      <c r="Y114" s="2"/>
      <c r="Z114" s="19">
        <f t="shared" si="3"/>
        <v>0</v>
      </c>
    </row>
    <row r="115" spans="1:26" s="24" customFormat="1" hidden="1" outlineLevel="1" x14ac:dyDescent="0.25">
      <c r="A115" s="44"/>
      <c r="B115" s="11" t="str">
        <f>CONCATENATE("          ", "4284", " - ", "SALES RETURN TAXABLE-SOFTWARE")</f>
        <v xml:space="preserve">          4284 - SALES RETURN TAXABLE-SOFTWARE</v>
      </c>
      <c r="C115" s="11"/>
      <c r="D115" s="2">
        <f t="shared" ref="D115:D116" si="7">0</f>
        <v>0</v>
      </c>
      <c r="E115" s="2"/>
      <c r="F115" s="19"/>
      <c r="G115" s="2"/>
      <c r="H115" s="2"/>
      <c r="I115" s="2"/>
      <c r="J115" s="19"/>
      <c r="K115" s="2"/>
      <c r="L115" s="2">
        <f t="shared" si="0"/>
        <v>0</v>
      </c>
      <c r="M115" s="2"/>
      <c r="N115" s="19">
        <f t="shared" si="1"/>
        <v>0</v>
      </c>
      <c r="O115" s="11"/>
      <c r="P115" s="2">
        <f>-129</f>
        <v>-129</v>
      </c>
      <c r="Q115" s="2"/>
      <c r="R115" s="19"/>
      <c r="S115" s="2"/>
      <c r="T115" s="2"/>
      <c r="U115" s="2"/>
      <c r="V115" s="19"/>
      <c r="W115" s="2"/>
      <c r="X115" s="2">
        <f t="shared" si="2"/>
        <v>-129</v>
      </c>
      <c r="Y115" s="2"/>
      <c r="Z115" s="19">
        <f t="shared" si="3"/>
        <v>0</v>
      </c>
    </row>
    <row r="116" spans="1:26" s="24" customFormat="1" hidden="1" outlineLevel="1" x14ac:dyDescent="0.25">
      <c r="A116" s="44"/>
      <c r="B116" s="11" t="str">
        <f>CONCATENATE("          ", "4285", " - ", "SALES RETURN TAXABLE-SOFTWARE")</f>
        <v xml:space="preserve">          4285 - SALES RETURN TAXABLE-SOFTWARE</v>
      </c>
      <c r="C116" s="11"/>
      <c r="D116" s="2">
        <f t="shared" si="7"/>
        <v>0</v>
      </c>
      <c r="E116" s="2"/>
      <c r="F116" s="19"/>
      <c r="G116" s="2"/>
      <c r="H116" s="2"/>
      <c r="I116" s="2"/>
      <c r="J116" s="19"/>
      <c r="K116" s="2"/>
      <c r="L116" s="2">
        <f t="shared" si="0"/>
        <v>0</v>
      </c>
      <c r="M116" s="2"/>
      <c r="N116" s="19">
        <f t="shared" si="1"/>
        <v>0</v>
      </c>
      <c r="O116" s="11"/>
      <c r="P116" s="2">
        <f>-805.97</f>
        <v>-805.97</v>
      </c>
      <c r="Q116" s="2"/>
      <c r="R116" s="19"/>
      <c r="S116" s="2"/>
      <c r="T116" s="2"/>
      <c r="U116" s="2"/>
      <c r="V116" s="19"/>
      <c r="W116" s="2"/>
      <c r="X116" s="2">
        <f t="shared" si="2"/>
        <v>-805.97</v>
      </c>
      <c r="Y116" s="2"/>
      <c r="Z116" s="19">
        <f t="shared" si="3"/>
        <v>0</v>
      </c>
    </row>
    <row r="117" spans="1:26" s="24" customFormat="1" hidden="1" outlineLevel="1" x14ac:dyDescent="0.25">
      <c r="A117" s="44"/>
      <c r="B117" s="11" t="str">
        <f>CONCATENATE("          ", "4286", " - ", "SALES RETURN TAXABLE-COMPUTER")</f>
        <v xml:space="preserve">          4286 - SALES RETURN TAXABLE-COMPUTER</v>
      </c>
      <c r="C117" s="11"/>
      <c r="D117" s="2">
        <f>-77.97</f>
        <v>-77.97</v>
      </c>
      <c r="E117" s="2"/>
      <c r="F117" s="19"/>
      <c r="G117" s="2"/>
      <c r="H117" s="2"/>
      <c r="I117" s="2"/>
      <c r="J117" s="19"/>
      <c r="K117" s="2"/>
      <c r="L117" s="2">
        <f t="shared" si="0"/>
        <v>-77.97</v>
      </c>
      <c r="M117" s="2"/>
      <c r="N117" s="19">
        <f t="shared" si="1"/>
        <v>0</v>
      </c>
      <c r="O117" s="11"/>
      <c r="P117" s="2">
        <f>-3660.86</f>
        <v>-3660.86</v>
      </c>
      <c r="Q117" s="2"/>
      <c r="R117" s="19"/>
      <c r="S117" s="2"/>
      <c r="T117" s="2"/>
      <c r="U117" s="2"/>
      <c r="V117" s="19"/>
      <c r="W117" s="2"/>
      <c r="X117" s="2">
        <f t="shared" si="2"/>
        <v>-3660.86</v>
      </c>
      <c r="Y117" s="2"/>
      <c r="Z117" s="19">
        <f t="shared" si="3"/>
        <v>0</v>
      </c>
    </row>
    <row r="118" spans="1:26" s="24" customFormat="1" hidden="1" outlineLevel="1" x14ac:dyDescent="0.25">
      <c r="A118" s="44"/>
      <c r="B118" s="11" t="str">
        <f>CONCATENATE("          ", "4288", " - ", "TAXABLE SALES RETURN-MUSIC")</f>
        <v xml:space="preserve">          4288 - TAXABLE SALES RETURN-MUSIC</v>
      </c>
      <c r="C118" s="11"/>
      <c r="D118" s="2">
        <f>0</f>
        <v>0</v>
      </c>
      <c r="E118" s="2"/>
      <c r="F118" s="19"/>
      <c r="G118" s="2"/>
      <c r="H118" s="2"/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1"/>
      <c r="P118" s="2">
        <f>-3.99</f>
        <v>-3.99</v>
      </c>
      <c r="Q118" s="2"/>
      <c r="R118" s="19"/>
      <c r="S118" s="2"/>
      <c r="T118" s="2"/>
      <c r="U118" s="2"/>
      <c r="V118" s="19"/>
      <c r="W118" s="2"/>
      <c r="X118" s="2">
        <f t="shared" si="2"/>
        <v>-3.99</v>
      </c>
      <c r="Y118" s="2"/>
      <c r="Z118" s="19">
        <f t="shared" si="3"/>
        <v>0</v>
      </c>
    </row>
    <row r="119" spans="1:26" s="24" customFormat="1" hidden="1" outlineLevel="1" x14ac:dyDescent="0.25">
      <c r="A119" s="44"/>
      <c r="B119" s="11" t="str">
        <f>CONCATENATE("          ", "4292", " - ", "SALES RETURN TAXABLE-GRAD MERC")</f>
        <v xml:space="preserve">          4292 - SALES RETURN TAXABLE-GRAD MERC</v>
      </c>
      <c r="C119" s="11"/>
      <c r="D119" s="2">
        <f>-94.9</f>
        <v>-94.9</v>
      </c>
      <c r="E119" s="2"/>
      <c r="F119" s="19"/>
      <c r="G119" s="2"/>
      <c r="H119" s="2"/>
      <c r="I119" s="2"/>
      <c r="J119" s="19"/>
      <c r="K119" s="2"/>
      <c r="L119" s="2">
        <f t="shared" si="0"/>
        <v>-94.9</v>
      </c>
      <c r="M119" s="2"/>
      <c r="N119" s="19">
        <f t="shared" si="1"/>
        <v>0</v>
      </c>
      <c r="O119" s="11"/>
      <c r="P119" s="2">
        <f>-513.95</f>
        <v>-513.95000000000005</v>
      </c>
      <c r="Q119" s="2"/>
      <c r="R119" s="19"/>
      <c r="S119" s="2"/>
      <c r="T119" s="2"/>
      <c r="U119" s="2"/>
      <c r="V119" s="19"/>
      <c r="W119" s="2"/>
      <c r="X119" s="2">
        <f t="shared" si="2"/>
        <v>-513.95000000000005</v>
      </c>
      <c r="Y119" s="2"/>
      <c r="Z119" s="19">
        <f t="shared" si="3"/>
        <v>0</v>
      </c>
    </row>
    <row r="120" spans="1:26" s="24" customFormat="1" hidden="1" outlineLevel="1" x14ac:dyDescent="0.25">
      <c r="A120" s="44"/>
      <c r="B120" s="11" t="str">
        <f>CONCATENATE("          ", "4295", " - ", "SALES RETURN TAXABLE-CUSTOMER")</f>
        <v xml:space="preserve">          4295 - SALES RETURN TAXABLE-CUSTOMER</v>
      </c>
      <c r="C120" s="11"/>
      <c r="D120" s="2">
        <f t="shared" ref="D120:D123" si="8">0</f>
        <v>0</v>
      </c>
      <c r="E120" s="2"/>
      <c r="F120" s="19"/>
      <c r="G120" s="2"/>
      <c r="H120" s="2"/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1"/>
      <c r="P120" s="2">
        <f>--0.99</f>
        <v>0.99</v>
      </c>
      <c r="Q120" s="2"/>
      <c r="R120" s="19"/>
      <c r="S120" s="2"/>
      <c r="T120" s="2"/>
      <c r="U120" s="2"/>
      <c r="V120" s="19"/>
      <c r="W120" s="2"/>
      <c r="X120" s="2">
        <f t="shared" si="2"/>
        <v>0.99</v>
      </c>
      <c r="Y120" s="2"/>
      <c r="Z120" s="19">
        <f t="shared" si="3"/>
        <v>0</v>
      </c>
    </row>
    <row r="121" spans="1:26" s="24" customFormat="1" hidden="1" outlineLevel="1" x14ac:dyDescent="0.25">
      <c r="A121" s="44"/>
      <c r="B121" s="11" t="str">
        <f>CONCATENATE("          ", "4301", " - ", "SALES RETURN NON TAXABLE-NEW T")</f>
        <v xml:space="preserve">          4301 - SALES RETURN NON TAXABLE-NEW T</v>
      </c>
      <c r="C121" s="11"/>
      <c r="D121" s="2">
        <f t="shared" si="8"/>
        <v>0</v>
      </c>
      <c r="E121" s="2"/>
      <c r="F121" s="19"/>
      <c r="G121" s="2"/>
      <c r="H121" s="2"/>
      <c r="I121" s="2"/>
      <c r="J121" s="19"/>
      <c r="K121" s="2"/>
      <c r="L121" s="2">
        <f t="shared" si="0"/>
        <v>0</v>
      </c>
      <c r="M121" s="2"/>
      <c r="N121" s="19">
        <f t="shared" si="1"/>
        <v>0</v>
      </c>
      <c r="O121" s="11"/>
      <c r="P121" s="2">
        <f>-15221.62</f>
        <v>-15221.62</v>
      </c>
      <c r="Q121" s="2"/>
      <c r="R121" s="19"/>
      <c r="S121" s="2"/>
      <c r="T121" s="2"/>
      <c r="U121" s="2"/>
      <c r="V121" s="19"/>
      <c r="W121" s="2"/>
      <c r="X121" s="2">
        <f t="shared" si="2"/>
        <v>-15221.62</v>
      </c>
      <c r="Y121" s="2"/>
      <c r="Z121" s="19">
        <f t="shared" si="3"/>
        <v>0</v>
      </c>
    </row>
    <row r="122" spans="1:26" s="24" customFormat="1" hidden="1" outlineLevel="1" x14ac:dyDescent="0.25">
      <c r="A122" s="44"/>
      <c r="B122" s="11" t="str">
        <f>CONCATENATE("          ", "4302", " - ", "SALES RETURN NON TAXABLE-TEXT")</f>
        <v xml:space="preserve">          4302 - SALES RETURN NON TAXABLE-TEXT</v>
      </c>
      <c r="C122" s="11"/>
      <c r="D122" s="2">
        <f t="shared" si="8"/>
        <v>0</v>
      </c>
      <c r="E122" s="2"/>
      <c r="F122" s="19"/>
      <c r="G122" s="2"/>
      <c r="H122" s="2"/>
      <c r="I122" s="2"/>
      <c r="J122" s="19"/>
      <c r="K122" s="2"/>
      <c r="L122" s="2">
        <f t="shared" si="0"/>
        <v>0</v>
      </c>
      <c r="M122" s="2"/>
      <c r="N122" s="19">
        <f t="shared" si="1"/>
        <v>0</v>
      </c>
      <c r="O122" s="11"/>
      <c r="P122" s="2">
        <f>-1312.37</f>
        <v>-1312.37</v>
      </c>
      <c r="Q122" s="2"/>
      <c r="R122" s="19"/>
      <c r="S122" s="2"/>
      <c r="T122" s="2"/>
      <c r="U122" s="2"/>
      <c r="V122" s="19"/>
      <c r="W122" s="2"/>
      <c r="X122" s="2">
        <f t="shared" si="2"/>
        <v>-1312.37</v>
      </c>
      <c r="Y122" s="2"/>
      <c r="Z122" s="19">
        <f t="shared" si="3"/>
        <v>0</v>
      </c>
    </row>
    <row r="123" spans="1:26" s="24" customFormat="1" hidden="1" outlineLevel="1" x14ac:dyDescent="0.25">
      <c r="A123" s="44"/>
      <c r="B123" s="11" t="str">
        <f>CONCATENATE("          ", "4303", " - ", "SALES RETURN NON-TAXABLE-RENTA")</f>
        <v xml:space="preserve">          4303 - SALES RETURN NON-TAXABLE-RENTA</v>
      </c>
      <c r="C123" s="11"/>
      <c r="D123" s="2">
        <f t="shared" si="8"/>
        <v>0</v>
      </c>
      <c r="E123" s="2"/>
      <c r="F123" s="19"/>
      <c r="G123" s="2"/>
      <c r="H123" s="2"/>
      <c r="I123" s="2"/>
      <c r="J123" s="19"/>
      <c r="K123" s="2"/>
      <c r="L123" s="2">
        <f t="shared" si="0"/>
        <v>0</v>
      </c>
      <c r="M123" s="2"/>
      <c r="N123" s="19">
        <f t="shared" si="1"/>
        <v>0</v>
      </c>
      <c r="O123" s="11"/>
      <c r="P123" s="2">
        <f>-184.99</f>
        <v>-184.99</v>
      </c>
      <c r="Q123" s="2"/>
      <c r="R123" s="19"/>
      <c r="S123" s="2"/>
      <c r="T123" s="2"/>
      <c r="U123" s="2"/>
      <c r="V123" s="19"/>
      <c r="W123" s="2"/>
      <c r="X123" s="2">
        <f t="shared" si="2"/>
        <v>-184.99</v>
      </c>
      <c r="Y123" s="2"/>
      <c r="Z123" s="19">
        <f t="shared" si="3"/>
        <v>0</v>
      </c>
    </row>
    <row r="124" spans="1:26" s="24" customFormat="1" hidden="1" outlineLevel="1" x14ac:dyDescent="0.25">
      <c r="A124" s="44"/>
      <c r="B124" s="11" t="str">
        <f>CONCATENATE("          ", "4304", " - ", "SALES RETURN NON TAXABLE-DIGIT")</f>
        <v xml:space="preserve">          4304 - SALES RETURN NON TAXABLE-DIGIT</v>
      </c>
      <c r="C124" s="11"/>
      <c r="D124" s="2">
        <f>-44.15</f>
        <v>-44.15</v>
      </c>
      <c r="E124" s="2"/>
      <c r="F124" s="19"/>
      <c r="G124" s="2"/>
      <c r="H124" s="2"/>
      <c r="I124" s="2"/>
      <c r="J124" s="19"/>
      <c r="K124" s="2"/>
      <c r="L124" s="2">
        <f t="shared" si="0"/>
        <v>-44.15</v>
      </c>
      <c r="M124" s="2"/>
      <c r="N124" s="19">
        <f t="shared" si="1"/>
        <v>0</v>
      </c>
      <c r="O124" s="11"/>
      <c r="P124" s="2">
        <f>-19036.13</f>
        <v>-19036.13</v>
      </c>
      <c r="Q124" s="2"/>
      <c r="R124" s="19"/>
      <c r="S124" s="2"/>
      <c r="T124" s="2"/>
      <c r="U124" s="2"/>
      <c r="V124" s="19"/>
      <c r="W124" s="2"/>
      <c r="X124" s="2">
        <f t="shared" si="2"/>
        <v>-19036.13</v>
      </c>
      <c r="Y124" s="2"/>
      <c r="Z124" s="19">
        <f t="shared" si="3"/>
        <v>0</v>
      </c>
    </row>
    <row r="125" spans="1:26" s="24" customFormat="1" hidden="1" outlineLevel="1" x14ac:dyDescent="0.25">
      <c r="A125" s="44"/>
      <c r="B125" s="11" t="str">
        <f>CONCATENATE("          ", "4311", " - ", "SALES RETURN NON TAXABLE-NO VA")</f>
        <v xml:space="preserve">          4311 - SALES RETURN NON TAXABLE-NO VA</v>
      </c>
      <c r="C125" s="11"/>
      <c r="D125" s="2">
        <f>-57.9</f>
        <v>-57.9</v>
      </c>
      <c r="E125" s="2"/>
      <c r="F125" s="19"/>
      <c r="G125" s="2"/>
      <c r="H125" s="2"/>
      <c r="I125" s="2"/>
      <c r="J125" s="19"/>
      <c r="K125" s="2"/>
      <c r="L125" s="2">
        <f t="shared" si="0"/>
        <v>-57.9</v>
      </c>
      <c r="M125" s="2"/>
      <c r="N125" s="19">
        <f t="shared" si="1"/>
        <v>0</v>
      </c>
      <c r="O125" s="11"/>
      <c r="P125" s="2">
        <f>-852.66</f>
        <v>-852.66</v>
      </c>
      <c r="Q125" s="2"/>
      <c r="R125" s="19"/>
      <c r="S125" s="2"/>
      <c r="T125" s="2"/>
      <c r="U125" s="2"/>
      <c r="V125" s="19"/>
      <c r="W125" s="2"/>
      <c r="X125" s="2">
        <f t="shared" si="2"/>
        <v>-852.66</v>
      </c>
      <c r="Y125" s="2"/>
      <c r="Z125" s="19">
        <f t="shared" si="3"/>
        <v>0</v>
      </c>
    </row>
    <row r="126" spans="1:26" s="24" customFormat="1" hidden="1" outlineLevel="1" x14ac:dyDescent="0.25">
      <c r="A126" s="44"/>
      <c r="B126" s="11" t="str">
        <f>CONCATENATE("          ", "4327", " - ", "SALES RETURN NON TAXABLE-SCHOO")</f>
        <v xml:space="preserve">          4327 - SALES RETURN NON TAXABLE-SCHOO</v>
      </c>
      <c r="C126" s="11"/>
      <c r="D126" s="2">
        <f>0</f>
        <v>0</v>
      </c>
      <c r="E126" s="2"/>
      <c r="F126" s="19"/>
      <c r="G126" s="2"/>
      <c r="H126" s="2"/>
      <c r="I126" s="2"/>
      <c r="J126" s="19"/>
      <c r="K126" s="2"/>
      <c r="L126" s="2">
        <f t="shared" si="0"/>
        <v>0</v>
      </c>
      <c r="M126" s="2"/>
      <c r="N126" s="19">
        <f t="shared" si="1"/>
        <v>0</v>
      </c>
      <c r="O126" s="11"/>
      <c r="P126" s="2">
        <f>-21.87</f>
        <v>-21.87</v>
      </c>
      <c r="Q126" s="2"/>
      <c r="R126" s="19"/>
      <c r="S126" s="2"/>
      <c r="T126" s="2"/>
      <c r="U126" s="2"/>
      <c r="V126" s="19"/>
      <c r="W126" s="2"/>
      <c r="X126" s="2">
        <f t="shared" si="2"/>
        <v>-21.87</v>
      </c>
      <c r="Y126" s="2"/>
      <c r="Z126" s="19">
        <f t="shared" si="3"/>
        <v>0</v>
      </c>
    </row>
    <row r="127" spans="1:26" s="24" customFormat="1" hidden="1" outlineLevel="1" x14ac:dyDescent="0.25">
      <c r="A127" s="44"/>
      <c r="B127" s="11" t="str">
        <f>CONCATENATE("          ", "4331", " - ", "SALES RETURN NON TAXABLE-FOOD")</f>
        <v xml:space="preserve">          4331 - SALES RETURN NON TAXABLE-FOOD</v>
      </c>
      <c r="C127" s="11"/>
      <c r="D127" s="2">
        <f>-4.99</f>
        <v>-4.99</v>
      </c>
      <c r="E127" s="2"/>
      <c r="F127" s="19"/>
      <c r="G127" s="2"/>
      <c r="H127" s="2"/>
      <c r="I127" s="2"/>
      <c r="J127" s="19"/>
      <c r="K127" s="2"/>
      <c r="L127" s="2">
        <f t="shared" si="0"/>
        <v>-4.99</v>
      </c>
      <c r="M127" s="2"/>
      <c r="N127" s="19">
        <f t="shared" si="1"/>
        <v>0</v>
      </c>
      <c r="O127" s="11"/>
      <c r="P127" s="2">
        <f>-12.57</f>
        <v>-12.57</v>
      </c>
      <c r="Q127" s="2"/>
      <c r="R127" s="19"/>
      <c r="S127" s="2"/>
      <c r="T127" s="2"/>
      <c r="U127" s="2"/>
      <c r="V127" s="19"/>
      <c r="W127" s="2"/>
      <c r="X127" s="2">
        <f t="shared" si="2"/>
        <v>-12.57</v>
      </c>
      <c r="Y127" s="2"/>
      <c r="Z127" s="19">
        <f t="shared" si="3"/>
        <v>0</v>
      </c>
    </row>
    <row r="128" spans="1:26" s="24" customFormat="1" hidden="1" outlineLevel="1" x14ac:dyDescent="0.25">
      <c r="A128" s="44"/>
      <c r="B128" s="11" t="str">
        <f>CONCATENATE("          ", "4332", " - ", "SALES RETURN NON TAXABLE-JUICE")</f>
        <v xml:space="preserve">          4332 - SALES RETURN NON TAXABLE-JUICE</v>
      </c>
      <c r="C128" s="11"/>
      <c r="D128" s="2">
        <f>0</f>
        <v>0</v>
      </c>
      <c r="E128" s="2"/>
      <c r="F128" s="19"/>
      <c r="G128" s="2"/>
      <c r="H128" s="2"/>
      <c r="I128" s="2"/>
      <c r="J128" s="19"/>
      <c r="K128" s="2"/>
      <c r="L128" s="2">
        <f t="shared" si="0"/>
        <v>0</v>
      </c>
      <c r="M128" s="2"/>
      <c r="N128" s="19">
        <f t="shared" si="1"/>
        <v>0</v>
      </c>
      <c r="O128" s="11"/>
      <c r="P128" s="2">
        <f>-2.79</f>
        <v>-2.79</v>
      </c>
      <c r="Q128" s="2"/>
      <c r="R128" s="19"/>
      <c r="S128" s="2"/>
      <c r="T128" s="2"/>
      <c r="U128" s="2"/>
      <c r="V128" s="19"/>
      <c r="W128" s="2"/>
      <c r="X128" s="2">
        <f t="shared" si="2"/>
        <v>-2.79</v>
      </c>
      <c r="Y128" s="2"/>
      <c r="Z128" s="19">
        <f t="shared" si="3"/>
        <v>0</v>
      </c>
    </row>
    <row r="129" spans="1:26" s="24" customFormat="1" hidden="1" outlineLevel="1" x14ac:dyDescent="0.25">
      <c r="A129" s="44"/>
      <c r="B129" s="11" t="str">
        <f>CONCATENATE("          ", "4340", " - ", "SALES RETURN NON TAXABLE-LOGO")</f>
        <v xml:space="preserve">          4340 - SALES RETURN NON TAXABLE-LOGO</v>
      </c>
      <c r="C129" s="11"/>
      <c r="D129" s="2">
        <f>-63.8</f>
        <v>-63.8</v>
      </c>
      <c r="E129" s="2"/>
      <c r="F129" s="19"/>
      <c r="G129" s="2"/>
      <c r="H129" s="2"/>
      <c r="I129" s="2"/>
      <c r="J129" s="19"/>
      <c r="K129" s="2"/>
      <c r="L129" s="2">
        <f t="shared" si="0"/>
        <v>-63.8</v>
      </c>
      <c r="M129" s="2"/>
      <c r="N129" s="19">
        <f t="shared" si="1"/>
        <v>0</v>
      </c>
      <c r="O129" s="11"/>
      <c r="P129" s="2">
        <f>-995.45</f>
        <v>-995.45</v>
      </c>
      <c r="Q129" s="2"/>
      <c r="R129" s="19"/>
      <c r="S129" s="2"/>
      <c r="T129" s="2"/>
      <c r="U129" s="2"/>
      <c r="V129" s="19"/>
      <c r="W129" s="2"/>
      <c r="X129" s="2">
        <f t="shared" si="2"/>
        <v>-995.45</v>
      </c>
      <c r="Y129" s="2"/>
      <c r="Z129" s="19">
        <f t="shared" si="3"/>
        <v>0</v>
      </c>
    </row>
    <row r="130" spans="1:26" s="24" customFormat="1" hidden="1" outlineLevel="1" x14ac:dyDescent="0.25">
      <c r="A130" s="44"/>
      <c r="B130" s="11" t="str">
        <f>CONCATENATE("          ", "4341", " - ", "SALES RETURN NON TAXABLE-LOGO")</f>
        <v xml:space="preserve">          4341 - SALES RETURN NON TAXABLE-LOGO</v>
      </c>
      <c r="C130" s="11"/>
      <c r="D130" s="2">
        <f t="shared" ref="D130:D132" si="9">0</f>
        <v>0</v>
      </c>
      <c r="E130" s="2"/>
      <c r="F130" s="19"/>
      <c r="G130" s="2"/>
      <c r="H130" s="2"/>
      <c r="I130" s="2"/>
      <c r="J130" s="19"/>
      <c r="K130" s="2"/>
      <c r="L130" s="2">
        <f t="shared" si="0"/>
        <v>0</v>
      </c>
      <c r="M130" s="2"/>
      <c r="N130" s="19">
        <f t="shared" si="1"/>
        <v>0</v>
      </c>
      <c r="O130" s="11"/>
      <c r="P130" s="2">
        <f>-245.5</f>
        <v>-245.5</v>
      </c>
      <c r="Q130" s="2"/>
      <c r="R130" s="19"/>
      <c r="S130" s="2"/>
      <c r="T130" s="2"/>
      <c r="U130" s="2"/>
      <c r="V130" s="19"/>
      <c r="W130" s="2"/>
      <c r="X130" s="2">
        <f t="shared" si="2"/>
        <v>-245.5</v>
      </c>
      <c r="Y130" s="2"/>
      <c r="Z130" s="19">
        <f t="shared" si="3"/>
        <v>0</v>
      </c>
    </row>
    <row r="131" spans="1:26" s="24" customFormat="1" hidden="1" outlineLevel="1" x14ac:dyDescent="0.25">
      <c r="A131" s="44"/>
      <c r="B131" s="11" t="str">
        <f>CONCATENATE("          ", "4342", " - ", "SALES RETURN NON TAXABLE-EVERY")</f>
        <v xml:space="preserve">          4342 - SALES RETURN NON TAXABLE-EVERY</v>
      </c>
      <c r="C131" s="11"/>
      <c r="D131" s="2">
        <f t="shared" si="9"/>
        <v>0</v>
      </c>
      <c r="E131" s="2"/>
      <c r="F131" s="19"/>
      <c r="G131" s="2"/>
      <c r="H131" s="2"/>
      <c r="I131" s="2"/>
      <c r="J131" s="19"/>
      <c r="K131" s="2"/>
      <c r="L131" s="2">
        <f t="shared" si="0"/>
        <v>0</v>
      </c>
      <c r="M131" s="2"/>
      <c r="N131" s="19">
        <f t="shared" si="1"/>
        <v>0</v>
      </c>
      <c r="O131" s="11"/>
      <c r="P131" s="2">
        <f>-149.22</f>
        <v>-149.22</v>
      </c>
      <c r="Q131" s="2"/>
      <c r="R131" s="19"/>
      <c r="S131" s="2"/>
      <c r="T131" s="2"/>
      <c r="U131" s="2"/>
      <c r="V131" s="19"/>
      <c r="W131" s="2"/>
      <c r="X131" s="2">
        <f t="shared" si="2"/>
        <v>-149.22</v>
      </c>
      <c r="Y131" s="2"/>
      <c r="Z131" s="19">
        <f t="shared" si="3"/>
        <v>0</v>
      </c>
    </row>
    <row r="132" spans="1:26" s="24" customFormat="1" hidden="1" outlineLevel="1" x14ac:dyDescent="0.25">
      <c r="A132" s="44"/>
      <c r="B132" s="11" t="str">
        <f>CONCATENATE("          ", "4346", " - ", "SALES RETURN NON TAXABLE-COIN-")</f>
        <v xml:space="preserve">          4346 - SALES RETURN NON TAXABLE-COIN-</v>
      </c>
      <c r="C132" s="11"/>
      <c r="D132" s="2">
        <f t="shared" si="9"/>
        <v>0</v>
      </c>
      <c r="E132" s="2"/>
      <c r="F132" s="19"/>
      <c r="G132" s="2"/>
      <c r="H132" s="2"/>
      <c r="I132" s="2"/>
      <c r="J132" s="19"/>
      <c r="K132" s="2"/>
      <c r="L132" s="2">
        <f t="shared" si="0"/>
        <v>0</v>
      </c>
      <c r="M132" s="2"/>
      <c r="N132" s="19">
        <f t="shared" si="1"/>
        <v>0</v>
      </c>
      <c r="O132" s="11"/>
      <c r="P132" s="2">
        <f>-8.15</f>
        <v>-8.15</v>
      </c>
      <c r="Q132" s="2"/>
      <c r="R132" s="19"/>
      <c r="S132" s="2"/>
      <c r="T132" s="2"/>
      <c r="U132" s="2"/>
      <c r="V132" s="19"/>
      <c r="W132" s="2"/>
      <c r="X132" s="2">
        <f t="shared" si="2"/>
        <v>-8.15</v>
      </c>
      <c r="Y132" s="2"/>
      <c r="Z132" s="19">
        <f t="shared" si="3"/>
        <v>0</v>
      </c>
    </row>
    <row r="133" spans="1:26" s="24" customFormat="1" hidden="1" outlineLevel="1" x14ac:dyDescent="0.25">
      <c r="A133" s="44"/>
      <c r="B133" s="11" t="str">
        <f>CONCATENATE("          ", "4347", " - ", "SALES RETURN NON TAXABLE-MISC")</f>
        <v xml:space="preserve">          4347 - SALES RETURN NON TAXABLE-MISC</v>
      </c>
      <c r="C133" s="11"/>
      <c r="D133" s="2">
        <f>-84</f>
        <v>-84</v>
      </c>
      <c r="E133" s="2"/>
      <c r="F133" s="19"/>
      <c r="G133" s="2"/>
      <c r="H133" s="2"/>
      <c r="I133" s="2"/>
      <c r="J133" s="19"/>
      <c r="K133" s="2"/>
      <c r="L133" s="2">
        <f t="shared" si="0"/>
        <v>-84</v>
      </c>
      <c r="M133" s="2"/>
      <c r="N133" s="19">
        <f t="shared" si="1"/>
        <v>0</v>
      </c>
      <c r="O133" s="11"/>
      <c r="P133" s="2">
        <f>-84</f>
        <v>-84</v>
      </c>
      <c r="Q133" s="2"/>
      <c r="R133" s="19"/>
      <c r="S133" s="2"/>
      <c r="T133" s="2"/>
      <c r="U133" s="2"/>
      <c r="V133" s="19"/>
      <c r="W133" s="2"/>
      <c r="X133" s="2">
        <f t="shared" si="2"/>
        <v>-84</v>
      </c>
      <c r="Y133" s="2"/>
      <c r="Z133" s="19">
        <f t="shared" si="3"/>
        <v>0</v>
      </c>
    </row>
    <row r="134" spans="1:26" s="24" customFormat="1" hidden="1" outlineLevel="1" x14ac:dyDescent="0.25">
      <c r="A134" s="44"/>
      <c r="B134" s="11" t="str">
        <f>CONCATENATE("          ", "4381", " - ", "SALES RETURN NON TAXABLE-ELECT")</f>
        <v xml:space="preserve">          4381 - SALES RETURN NON TAXABLE-ELECT</v>
      </c>
      <c r="C134" s="11"/>
      <c r="D134" s="2">
        <f t="shared" ref="D134:D136" si="10">0</f>
        <v>0</v>
      </c>
      <c r="E134" s="2"/>
      <c r="F134" s="19"/>
      <c r="G134" s="2"/>
      <c r="H134" s="2"/>
      <c r="I134" s="2"/>
      <c r="J134" s="19"/>
      <c r="K134" s="2"/>
      <c r="L134" s="2">
        <f t="shared" si="0"/>
        <v>0</v>
      </c>
      <c r="M134" s="2"/>
      <c r="N134" s="19">
        <f t="shared" si="1"/>
        <v>0</v>
      </c>
      <c r="O134" s="11"/>
      <c r="P134" s="2">
        <f>-1279.84</f>
        <v>-1279.8399999999999</v>
      </c>
      <c r="Q134" s="2"/>
      <c r="R134" s="19"/>
      <c r="S134" s="2"/>
      <c r="T134" s="2"/>
      <c r="U134" s="2"/>
      <c r="V134" s="19"/>
      <c r="W134" s="2"/>
      <c r="X134" s="2">
        <f t="shared" si="2"/>
        <v>-1279.8399999999999</v>
      </c>
      <c r="Y134" s="2"/>
      <c r="Z134" s="19">
        <f t="shared" si="3"/>
        <v>0</v>
      </c>
    </row>
    <row r="135" spans="1:26" s="24" customFormat="1" hidden="1" outlineLevel="1" x14ac:dyDescent="0.25">
      <c r="A135" s="44"/>
      <c r="B135" s="11" t="str">
        <f>CONCATENATE("          ", "4383", " - ", "SALES RETURN NON TAXABLE-COMPU")</f>
        <v xml:space="preserve">          4383 - SALES RETURN NON TAXABLE-COMPU</v>
      </c>
      <c r="C135" s="11"/>
      <c r="D135" s="2">
        <f t="shared" si="10"/>
        <v>0</v>
      </c>
      <c r="E135" s="2"/>
      <c r="F135" s="19"/>
      <c r="G135" s="2"/>
      <c r="H135" s="2"/>
      <c r="I135" s="2"/>
      <c r="J135" s="19"/>
      <c r="K135" s="2"/>
      <c r="L135" s="2">
        <f t="shared" si="0"/>
        <v>0</v>
      </c>
      <c r="M135" s="2"/>
      <c r="N135" s="19">
        <f t="shared" si="1"/>
        <v>0</v>
      </c>
      <c r="O135" s="11"/>
      <c r="P135" s="2">
        <f>-49.98</f>
        <v>-49.98</v>
      </c>
      <c r="Q135" s="2"/>
      <c r="R135" s="19"/>
      <c r="S135" s="2"/>
      <c r="T135" s="2"/>
      <c r="U135" s="2"/>
      <c r="V135" s="19"/>
      <c r="W135" s="2"/>
      <c r="X135" s="2">
        <f t="shared" si="2"/>
        <v>-49.98</v>
      </c>
      <c r="Y135" s="2"/>
      <c r="Z135" s="19">
        <f t="shared" si="3"/>
        <v>0</v>
      </c>
    </row>
    <row r="136" spans="1:26" s="24" customFormat="1" hidden="1" outlineLevel="1" x14ac:dyDescent="0.25">
      <c r="A136" s="44"/>
      <c r="B136" s="11" t="str">
        <f>CONCATENATE("          ", "4386", " - ", "SALES RETURN NON TAXABLE-COMPU")</f>
        <v xml:space="preserve">          4386 - SALES RETURN NON TAXABLE-COMPU</v>
      </c>
      <c r="C136" s="11"/>
      <c r="D136" s="2">
        <f t="shared" si="10"/>
        <v>0</v>
      </c>
      <c r="E136" s="2"/>
      <c r="F136" s="19"/>
      <c r="G136" s="2"/>
      <c r="H136" s="2"/>
      <c r="I136" s="2"/>
      <c r="J136" s="19"/>
      <c r="K136" s="2"/>
      <c r="L136" s="2">
        <f t="shared" si="0"/>
        <v>0</v>
      </c>
      <c r="M136" s="2"/>
      <c r="N136" s="19">
        <f t="shared" si="1"/>
        <v>0</v>
      </c>
      <c r="O136" s="11"/>
      <c r="P136" s="2">
        <f>-104.96</f>
        <v>-104.96</v>
      </c>
      <c r="Q136" s="2"/>
      <c r="R136" s="19"/>
      <c r="S136" s="2"/>
      <c r="T136" s="2"/>
      <c r="U136" s="2"/>
      <c r="V136" s="19"/>
      <c r="W136" s="2"/>
      <c r="X136" s="2">
        <f t="shared" si="2"/>
        <v>-104.96</v>
      </c>
      <c r="Y136" s="2"/>
      <c r="Z136" s="19">
        <f t="shared" si="3"/>
        <v>0</v>
      </c>
    </row>
    <row r="137" spans="1:26" x14ac:dyDescent="0.25">
      <c r="A137" s="9"/>
      <c r="B137" s="10"/>
      <c r="C137" s="9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s="23" customFormat="1" collapsed="1" x14ac:dyDescent="0.25">
      <c r="A138" s="10"/>
      <c r="B138" s="29" t="s">
        <v>8</v>
      </c>
      <c r="C138" s="10"/>
      <c r="D138" s="4">
        <f>SUM(OSRRefD16x_0)</f>
        <v>608125.24</v>
      </c>
      <c r="E138" s="4"/>
      <c r="F138" s="12">
        <f t="shared" ref="F138:F198" si="11">IF(D$12=0,0,D138/D$12)</f>
        <v>0.32924373389799116</v>
      </c>
      <c r="G138" s="4"/>
      <c r="H138" s="4">
        <f>SUM(OSRRefH16x_0)</f>
        <v>1292296.5777699999</v>
      </c>
      <c r="I138" s="4"/>
      <c r="J138" s="12">
        <f t="shared" ref="J138:J198" si="12">IF(H$12=0,0,H138/H$12)</f>
        <v>0.3527697372858471</v>
      </c>
      <c r="K138" s="4"/>
      <c r="L138" s="4">
        <f t="shared" ref="L138:L198" si="13">+D138-H138</f>
        <v>-684171.33776999987</v>
      </c>
      <c r="M138" s="4"/>
      <c r="N138" s="12">
        <f t="shared" ref="N138:N198" si="14">IF(H138=0,0,L138/H138)</f>
        <v>-0.52942285040374626</v>
      </c>
      <c r="O138" s="10"/>
      <c r="P138" s="4">
        <f>SUM(OSRRefP16x_0)</f>
        <v>11624940.310000004</v>
      </c>
      <c r="Q138" s="4"/>
      <c r="R138" s="12">
        <f t="shared" ref="R138:R198" si="15">IF(P$12=0,0,P138/P$12)</f>
        <v>0.42982988794185956</v>
      </c>
      <c r="S138" s="4"/>
      <c r="T138" s="4">
        <f>SUM(OSRRefT16x_0)</f>
        <v>12712617.332</v>
      </c>
      <c r="U138" s="4"/>
      <c r="V138" s="12">
        <f t="shared" ref="V138:V198" si="16">IF(T$12=0,0,T138/T$12)</f>
        <v>0.42452446970262309</v>
      </c>
      <c r="W138" s="4"/>
      <c r="X138" s="4">
        <f t="shared" ref="X138:X198" si="17">+P138-T138</f>
        <v>-1087677.0219999962</v>
      </c>
      <c r="Y138" s="4"/>
      <c r="Z138" s="12">
        <f t="shared" ref="Z138:Z198" si="18">IF(T138=0,0,X138/T138)</f>
        <v>-8.5558858069464006E-2</v>
      </c>
    </row>
    <row r="139" spans="1:26" s="24" customFormat="1" hidden="1" outlineLevel="1" x14ac:dyDescent="0.25">
      <c r="A139" s="44"/>
      <c r="B139" s="11" t="str">
        <f>CONCATENATE("          ", "5000", " - ", "PURCHASES @ COST")</f>
        <v xml:space="preserve">          5000 - PURCHASES @ COST</v>
      </c>
      <c r="C139" s="11"/>
      <c r="D139" s="2"/>
      <c r="E139" s="2"/>
      <c r="F139" s="19">
        <f t="shared" si="11"/>
        <v>0</v>
      </c>
      <c r="G139" s="2"/>
      <c r="H139" s="2">
        <v>1292296.5777699999</v>
      </c>
      <c r="I139" s="2"/>
      <c r="J139" s="19">
        <f t="shared" si="12"/>
        <v>0.3527697372858471</v>
      </c>
      <c r="K139" s="2"/>
      <c r="L139" s="2">
        <f t="shared" si="13"/>
        <v>-1292296.5777699999</v>
      </c>
      <c r="M139" s="2"/>
      <c r="N139" s="19">
        <f t="shared" si="14"/>
        <v>-1</v>
      </c>
      <c r="O139" s="11"/>
      <c r="P139" s="2"/>
      <c r="Q139" s="2"/>
      <c r="R139" s="19">
        <f t="shared" si="15"/>
        <v>0</v>
      </c>
      <c r="S139" s="2"/>
      <c r="T139" s="2">
        <v>12712617.332</v>
      </c>
      <c r="U139" s="2"/>
      <c r="V139" s="19">
        <f t="shared" si="16"/>
        <v>0.42452446970262309</v>
      </c>
      <c r="W139" s="2"/>
      <c r="X139" s="2">
        <f t="shared" si="17"/>
        <v>-12712617.332</v>
      </c>
      <c r="Y139" s="2"/>
      <c r="Z139" s="19">
        <f t="shared" si="18"/>
        <v>-1</v>
      </c>
    </row>
    <row r="140" spans="1:26" s="24" customFormat="1" hidden="1" outlineLevel="1" x14ac:dyDescent="0.25">
      <c r="A140" s="44"/>
      <c r="B140" s="11" t="str">
        <f>CONCATENATE("          ", "5001", " - ", "PURCHASES @ COST-NEW TEXT")</f>
        <v xml:space="preserve">          5001 - PURCHASES @ COST-NEW TEXT</v>
      </c>
      <c r="C140" s="11"/>
      <c r="D140" s="2">
        <v>-921934.35</v>
      </c>
      <c r="E140" s="2"/>
      <c r="F140" s="19">
        <f t="shared" si="11"/>
        <v>-0.49914242632457989</v>
      </c>
      <c r="G140" s="2"/>
      <c r="H140" s="2"/>
      <c r="I140" s="2"/>
      <c r="J140" s="19">
        <f t="shared" si="12"/>
        <v>0</v>
      </c>
      <c r="K140" s="2"/>
      <c r="L140" s="2">
        <f t="shared" si="13"/>
        <v>-921934.35</v>
      </c>
      <c r="M140" s="2"/>
      <c r="N140" s="19">
        <f t="shared" si="14"/>
        <v>0</v>
      </c>
      <c r="O140" s="11"/>
      <c r="P140" s="2">
        <v>1594665.1199999999</v>
      </c>
      <c r="Q140" s="2"/>
      <c r="R140" s="19">
        <f t="shared" si="15"/>
        <v>5.8962430047470211E-2</v>
      </c>
      <c r="S140" s="2"/>
      <c r="T140" s="2"/>
      <c r="U140" s="2"/>
      <c r="V140" s="19">
        <f t="shared" si="16"/>
        <v>0</v>
      </c>
      <c r="W140" s="2"/>
      <c r="X140" s="2">
        <f t="shared" si="17"/>
        <v>1594665.1199999999</v>
      </c>
      <c r="Y140" s="2"/>
      <c r="Z140" s="19">
        <f t="shared" si="18"/>
        <v>0</v>
      </c>
    </row>
    <row r="141" spans="1:26" s="24" customFormat="1" hidden="1" outlineLevel="1" x14ac:dyDescent="0.25">
      <c r="A141" s="44"/>
      <c r="B141" s="11" t="str">
        <f>CONCATENATE("          ", "5002", " - ", "PURCHASES @ COST-USED TEXT")</f>
        <v xml:space="preserve">          5002 - PURCHASES @ COST-USED TEXT</v>
      </c>
      <c r="C141" s="11"/>
      <c r="D141" s="2">
        <v>74144.739999999991</v>
      </c>
      <c r="E141" s="2"/>
      <c r="F141" s="19">
        <f t="shared" si="11"/>
        <v>4.0142538807459695E-2</v>
      </c>
      <c r="G141" s="2"/>
      <c r="H141" s="2"/>
      <c r="I141" s="2"/>
      <c r="J141" s="19">
        <f t="shared" si="12"/>
        <v>0</v>
      </c>
      <c r="K141" s="2"/>
      <c r="L141" s="2">
        <f t="shared" si="13"/>
        <v>74144.739999999991</v>
      </c>
      <c r="M141" s="2"/>
      <c r="N141" s="19">
        <f t="shared" si="14"/>
        <v>0</v>
      </c>
      <c r="O141" s="11"/>
      <c r="P141" s="2">
        <v>598700.11</v>
      </c>
      <c r="Q141" s="2"/>
      <c r="R141" s="19">
        <f t="shared" si="15"/>
        <v>2.2136819143123744E-2</v>
      </c>
      <c r="S141" s="2"/>
      <c r="T141" s="2"/>
      <c r="U141" s="2"/>
      <c r="V141" s="19">
        <f t="shared" si="16"/>
        <v>0</v>
      </c>
      <c r="W141" s="2"/>
      <c r="X141" s="2">
        <f t="shared" si="17"/>
        <v>598700.11</v>
      </c>
      <c r="Y141" s="2"/>
      <c r="Z141" s="19">
        <f t="shared" si="18"/>
        <v>0</v>
      </c>
    </row>
    <row r="142" spans="1:26" s="24" customFormat="1" hidden="1" outlineLevel="1" x14ac:dyDescent="0.25">
      <c r="A142" s="44"/>
      <c r="B142" s="11" t="str">
        <f>CONCATENATE("          ", "5003", " - ", "PURCHASES @ COST-RENTAL TEXT")</f>
        <v xml:space="preserve">          5003 - PURCHASES @ COST-RENTAL TEXT</v>
      </c>
      <c r="C142" s="11"/>
      <c r="D142" s="2"/>
      <c r="E142" s="2"/>
      <c r="F142" s="19">
        <f t="shared" si="11"/>
        <v>0</v>
      </c>
      <c r="G142" s="2"/>
      <c r="H142" s="2"/>
      <c r="I142" s="2"/>
      <c r="J142" s="19">
        <f t="shared" si="12"/>
        <v>0</v>
      </c>
      <c r="K142" s="2"/>
      <c r="L142" s="2">
        <f t="shared" si="13"/>
        <v>0</v>
      </c>
      <c r="M142" s="2"/>
      <c r="N142" s="19">
        <f t="shared" si="14"/>
        <v>0</v>
      </c>
      <c r="O142" s="11"/>
      <c r="P142" s="2">
        <v>-78.400000000000006</v>
      </c>
      <c r="Q142" s="2"/>
      <c r="R142" s="19">
        <f t="shared" si="15"/>
        <v>-2.8988246232674013E-6</v>
      </c>
      <c r="S142" s="2"/>
      <c r="T142" s="2"/>
      <c r="U142" s="2"/>
      <c r="V142" s="19">
        <f t="shared" si="16"/>
        <v>0</v>
      </c>
      <c r="W142" s="2"/>
      <c r="X142" s="2">
        <f t="shared" si="17"/>
        <v>-78.400000000000006</v>
      </c>
      <c r="Y142" s="2"/>
      <c r="Z142" s="19">
        <f t="shared" si="18"/>
        <v>0</v>
      </c>
    </row>
    <row r="143" spans="1:26" s="24" customFormat="1" hidden="1" outlineLevel="1" x14ac:dyDescent="0.25">
      <c r="A143" s="44"/>
      <c r="B143" s="11" t="str">
        <f>CONCATENATE("          ", "5004", " - ", "PURCHASES @ COST-DIGITAL TEXT")</f>
        <v xml:space="preserve">          5004 - PURCHASES @ COST-DIGITAL TEXT</v>
      </c>
      <c r="C143" s="11"/>
      <c r="D143" s="2">
        <v>-96834.95</v>
      </c>
      <c r="E143" s="2"/>
      <c r="F143" s="19">
        <f t="shared" si="11"/>
        <v>-5.2427194947253432E-2</v>
      </c>
      <c r="G143" s="2"/>
      <c r="H143" s="2"/>
      <c r="I143" s="2"/>
      <c r="J143" s="19">
        <f t="shared" si="12"/>
        <v>0</v>
      </c>
      <c r="K143" s="2"/>
      <c r="L143" s="2">
        <f t="shared" si="13"/>
        <v>-96834.95</v>
      </c>
      <c r="M143" s="2"/>
      <c r="N143" s="19">
        <f t="shared" si="14"/>
        <v>0</v>
      </c>
      <c r="O143" s="11"/>
      <c r="P143" s="2">
        <v>438322.88</v>
      </c>
      <c r="Q143" s="2"/>
      <c r="R143" s="19">
        <f t="shared" si="15"/>
        <v>1.6206902518947477E-2</v>
      </c>
      <c r="S143" s="2"/>
      <c r="T143" s="2"/>
      <c r="U143" s="2"/>
      <c r="V143" s="19">
        <f t="shared" si="16"/>
        <v>0</v>
      </c>
      <c r="W143" s="2"/>
      <c r="X143" s="2">
        <f t="shared" si="17"/>
        <v>438322.88</v>
      </c>
      <c r="Y143" s="2"/>
      <c r="Z143" s="19">
        <f t="shared" si="18"/>
        <v>0</v>
      </c>
    </row>
    <row r="144" spans="1:26" s="24" customFormat="1" hidden="1" outlineLevel="1" x14ac:dyDescent="0.25">
      <c r="A144" s="44"/>
      <c r="B144" s="11" t="str">
        <f>CONCATENATE("          ", "5011", " - ", "PURCHASES @ COST-NO VALUE TEXT")</f>
        <v xml:space="preserve">          5011 - PURCHASES @ COST-NO VALUE TEXT</v>
      </c>
      <c r="C144" s="11"/>
      <c r="D144" s="2">
        <v>588</v>
      </c>
      <c r="E144" s="2"/>
      <c r="F144" s="19">
        <f t="shared" si="11"/>
        <v>3.1834777246216392E-4</v>
      </c>
      <c r="G144" s="2"/>
      <c r="H144" s="2"/>
      <c r="I144" s="2"/>
      <c r="J144" s="19">
        <f t="shared" si="12"/>
        <v>0</v>
      </c>
      <c r="K144" s="2"/>
      <c r="L144" s="2">
        <f t="shared" si="13"/>
        <v>588</v>
      </c>
      <c r="M144" s="2"/>
      <c r="N144" s="19">
        <f t="shared" si="14"/>
        <v>0</v>
      </c>
      <c r="O144" s="11"/>
      <c r="P144" s="2">
        <v>6321</v>
      </c>
      <c r="Q144" s="2"/>
      <c r="R144" s="19">
        <f t="shared" si="15"/>
        <v>2.3371773525093423E-4</v>
      </c>
      <c r="S144" s="2"/>
      <c r="T144" s="2"/>
      <c r="U144" s="2"/>
      <c r="V144" s="19">
        <f t="shared" si="16"/>
        <v>0</v>
      </c>
      <c r="W144" s="2"/>
      <c r="X144" s="2">
        <f t="shared" si="17"/>
        <v>6321</v>
      </c>
      <c r="Y144" s="2"/>
      <c r="Z144" s="19">
        <f t="shared" si="18"/>
        <v>0</v>
      </c>
    </row>
    <row r="145" spans="1:26" s="24" customFormat="1" hidden="1" outlineLevel="1" x14ac:dyDescent="0.25">
      <c r="A145" s="44"/>
      <c r="B145" s="11" t="str">
        <f>CONCATENATE("          ", "5013", " - ", "PURCHASES @ COST-TRADE BOOKS")</f>
        <v xml:space="preserve">          5013 - PURCHASES @ COST-TRADE BOOKS</v>
      </c>
      <c r="C145" s="11"/>
      <c r="D145" s="2">
        <v>3297.82</v>
      </c>
      <c r="E145" s="2"/>
      <c r="F145" s="19">
        <f t="shared" si="11"/>
        <v>1.7854653928251248E-3</v>
      </c>
      <c r="G145" s="2"/>
      <c r="H145" s="2"/>
      <c r="I145" s="2"/>
      <c r="J145" s="19">
        <f t="shared" si="12"/>
        <v>0</v>
      </c>
      <c r="K145" s="2"/>
      <c r="L145" s="2">
        <f t="shared" si="13"/>
        <v>3297.82</v>
      </c>
      <c r="M145" s="2"/>
      <c r="N145" s="19">
        <f t="shared" si="14"/>
        <v>0</v>
      </c>
      <c r="O145" s="11"/>
      <c r="P145" s="2">
        <v>6348.54</v>
      </c>
      <c r="Q145" s="2"/>
      <c r="R145" s="19">
        <f t="shared" si="15"/>
        <v>2.3473602134946463E-4</v>
      </c>
      <c r="S145" s="2"/>
      <c r="T145" s="2"/>
      <c r="U145" s="2"/>
      <c r="V145" s="19">
        <f t="shared" si="16"/>
        <v>0</v>
      </c>
      <c r="W145" s="2"/>
      <c r="X145" s="2">
        <f t="shared" si="17"/>
        <v>6348.54</v>
      </c>
      <c r="Y145" s="2"/>
      <c r="Z145" s="19">
        <f t="shared" si="18"/>
        <v>0</v>
      </c>
    </row>
    <row r="146" spans="1:26" s="24" customFormat="1" hidden="1" outlineLevel="1" x14ac:dyDescent="0.25">
      <c r="A146" s="44"/>
      <c r="B146" s="11" t="str">
        <f>CONCATENATE("          ", "5014", " - ", "PURCHASES @ COST-REMAINDERS")</f>
        <v xml:space="preserve">          5014 - PURCHASES @ COST-REMAINDERS</v>
      </c>
      <c r="C146" s="11"/>
      <c r="D146" s="2">
        <v>13.9</v>
      </c>
      <c r="E146" s="2"/>
      <c r="F146" s="19">
        <f t="shared" si="11"/>
        <v>7.5255680905171404E-6</v>
      </c>
      <c r="G146" s="2"/>
      <c r="H146" s="2"/>
      <c r="I146" s="2"/>
      <c r="J146" s="19">
        <f t="shared" si="12"/>
        <v>0</v>
      </c>
      <c r="K146" s="2"/>
      <c r="L146" s="2">
        <f t="shared" si="13"/>
        <v>13.9</v>
      </c>
      <c r="M146" s="2"/>
      <c r="N146" s="19">
        <f t="shared" si="14"/>
        <v>0</v>
      </c>
      <c r="O146" s="11"/>
      <c r="P146" s="2">
        <v>615.07000000000005</v>
      </c>
      <c r="Q146" s="2"/>
      <c r="R146" s="19">
        <f t="shared" si="15"/>
        <v>2.2742092615217863E-5</v>
      </c>
      <c r="S146" s="2"/>
      <c r="T146" s="2"/>
      <c r="U146" s="2"/>
      <c r="V146" s="19">
        <f t="shared" si="16"/>
        <v>0</v>
      </c>
      <c r="W146" s="2"/>
      <c r="X146" s="2">
        <f t="shared" si="17"/>
        <v>615.07000000000005</v>
      </c>
      <c r="Y146" s="2"/>
      <c r="Z146" s="19">
        <f t="shared" si="18"/>
        <v>0</v>
      </c>
    </row>
    <row r="147" spans="1:26" s="24" customFormat="1" hidden="1" outlineLevel="1" x14ac:dyDescent="0.25">
      <c r="A147" s="44"/>
      <c r="B147" s="11" t="str">
        <f>CONCATENATE("          ", "5017", " - ", "PURCHASES @ COST-DORM/HOUSEWAR")</f>
        <v xml:space="preserve">          5017 - PURCHASES @ COST-DORM/HOUSEWAR</v>
      </c>
      <c r="C147" s="11"/>
      <c r="D147" s="2">
        <v>14.46</v>
      </c>
      <c r="E147" s="2"/>
      <c r="F147" s="19">
        <f t="shared" si="11"/>
        <v>7.828756445243011E-6</v>
      </c>
      <c r="G147" s="2"/>
      <c r="H147" s="2"/>
      <c r="I147" s="2"/>
      <c r="J147" s="19">
        <f t="shared" si="12"/>
        <v>0</v>
      </c>
      <c r="K147" s="2"/>
      <c r="L147" s="2">
        <f t="shared" si="13"/>
        <v>14.46</v>
      </c>
      <c r="M147" s="2"/>
      <c r="N147" s="19">
        <f t="shared" si="14"/>
        <v>0</v>
      </c>
      <c r="O147" s="11"/>
      <c r="P147" s="2">
        <v>14.46</v>
      </c>
      <c r="Q147" s="2"/>
      <c r="R147" s="19">
        <f t="shared" si="15"/>
        <v>5.3465566393426817E-7</v>
      </c>
      <c r="S147" s="2"/>
      <c r="T147" s="2"/>
      <c r="U147" s="2"/>
      <c r="V147" s="19">
        <f t="shared" si="16"/>
        <v>0</v>
      </c>
      <c r="W147" s="2"/>
      <c r="X147" s="2">
        <f t="shared" si="17"/>
        <v>14.46</v>
      </c>
      <c r="Y147" s="2"/>
      <c r="Z147" s="19">
        <f t="shared" si="18"/>
        <v>0</v>
      </c>
    </row>
    <row r="148" spans="1:26" s="24" customFormat="1" hidden="1" outlineLevel="1" x14ac:dyDescent="0.25">
      <c r="A148" s="44"/>
      <c r="B148" s="11" t="str">
        <f>CONCATENATE("          ", "5018", " - ", "PURCHASES @ COST-STUDY GUIDES")</f>
        <v xml:space="preserve">          5018 - PURCHASES @ COST-STUDY GUIDES</v>
      </c>
      <c r="C148" s="11"/>
      <c r="D148" s="2">
        <v>108.9</v>
      </c>
      <c r="E148" s="2"/>
      <c r="F148" s="19">
        <f t="shared" si="11"/>
        <v>5.8959306838655865E-5</v>
      </c>
      <c r="G148" s="2"/>
      <c r="H148" s="2"/>
      <c r="I148" s="2"/>
      <c r="J148" s="19">
        <f t="shared" si="12"/>
        <v>0</v>
      </c>
      <c r="K148" s="2"/>
      <c r="L148" s="2">
        <f t="shared" si="13"/>
        <v>108.9</v>
      </c>
      <c r="M148" s="2"/>
      <c r="N148" s="19">
        <f t="shared" si="14"/>
        <v>0</v>
      </c>
      <c r="O148" s="11"/>
      <c r="P148" s="2">
        <v>2377.33</v>
      </c>
      <c r="Q148" s="2"/>
      <c r="R148" s="19">
        <f t="shared" si="15"/>
        <v>8.7901310480003711E-5</v>
      </c>
      <c r="S148" s="2"/>
      <c r="T148" s="2"/>
      <c r="U148" s="2"/>
      <c r="V148" s="19">
        <f t="shared" si="16"/>
        <v>0</v>
      </c>
      <c r="W148" s="2"/>
      <c r="X148" s="2">
        <f t="shared" si="17"/>
        <v>2377.33</v>
      </c>
      <c r="Y148" s="2"/>
      <c r="Z148" s="19">
        <f t="shared" si="18"/>
        <v>0</v>
      </c>
    </row>
    <row r="149" spans="1:26" s="24" customFormat="1" hidden="1" outlineLevel="1" x14ac:dyDescent="0.25">
      <c r="A149" s="44"/>
      <c r="B149" s="11" t="str">
        <f>CONCATENATE("          ", "5025", " - ", "PURCHASES @ COST-TEST FORMS")</f>
        <v xml:space="preserve">          5025 - PURCHASES @ COST-TEST FORMS</v>
      </c>
      <c r="C149" s="11"/>
      <c r="D149" s="2">
        <v>-1</v>
      </c>
      <c r="E149" s="2"/>
      <c r="F149" s="19">
        <f t="shared" si="11"/>
        <v>-5.4140777629619711E-7</v>
      </c>
      <c r="G149" s="2"/>
      <c r="H149" s="2"/>
      <c r="I149" s="2"/>
      <c r="J149" s="19">
        <f t="shared" si="12"/>
        <v>0</v>
      </c>
      <c r="K149" s="2"/>
      <c r="L149" s="2">
        <f t="shared" si="13"/>
        <v>-1</v>
      </c>
      <c r="M149" s="2"/>
      <c r="N149" s="19">
        <f t="shared" si="14"/>
        <v>0</v>
      </c>
      <c r="O149" s="11"/>
      <c r="P149" s="2">
        <v>26400.390000000003</v>
      </c>
      <c r="Q149" s="2"/>
      <c r="R149" s="19">
        <f t="shared" si="15"/>
        <v>9.7614924229416427E-4</v>
      </c>
      <c r="S149" s="2"/>
      <c r="T149" s="2"/>
      <c r="U149" s="2"/>
      <c r="V149" s="19">
        <f t="shared" si="16"/>
        <v>0</v>
      </c>
      <c r="W149" s="2"/>
      <c r="X149" s="2">
        <f t="shared" si="17"/>
        <v>26400.390000000003</v>
      </c>
      <c r="Y149" s="2"/>
      <c r="Z149" s="19">
        <f t="shared" si="18"/>
        <v>0</v>
      </c>
    </row>
    <row r="150" spans="1:26" s="24" customFormat="1" hidden="1" outlineLevel="1" x14ac:dyDescent="0.25">
      <c r="A150" s="44"/>
      <c r="B150" s="11" t="str">
        <f>CONCATENATE("          ", "5026", " - ", "PURCHASES @ COST-WRITING INSTR")</f>
        <v xml:space="preserve">          5026 - PURCHASES @ COST-WRITING INSTR</v>
      </c>
      <c r="C150" s="11"/>
      <c r="D150" s="2">
        <v>3209.26</v>
      </c>
      <c r="E150" s="2"/>
      <c r="F150" s="19">
        <f t="shared" si="11"/>
        <v>1.7375183201563337E-3</v>
      </c>
      <c r="G150" s="2"/>
      <c r="H150" s="2"/>
      <c r="I150" s="2"/>
      <c r="J150" s="19">
        <f t="shared" si="12"/>
        <v>0</v>
      </c>
      <c r="K150" s="2"/>
      <c r="L150" s="2">
        <f t="shared" si="13"/>
        <v>3209.26</v>
      </c>
      <c r="M150" s="2"/>
      <c r="N150" s="19">
        <f t="shared" si="14"/>
        <v>0</v>
      </c>
      <c r="O150" s="11"/>
      <c r="P150" s="2">
        <v>48971.270000000004</v>
      </c>
      <c r="Q150" s="2"/>
      <c r="R150" s="19">
        <f t="shared" si="15"/>
        <v>1.8107031034269923E-3</v>
      </c>
      <c r="S150" s="2"/>
      <c r="T150" s="2"/>
      <c r="U150" s="2"/>
      <c r="V150" s="19">
        <f t="shared" si="16"/>
        <v>0</v>
      </c>
      <c r="W150" s="2"/>
      <c r="X150" s="2">
        <f t="shared" si="17"/>
        <v>48971.270000000004</v>
      </c>
      <c r="Y150" s="2"/>
      <c r="Z150" s="19">
        <f t="shared" si="18"/>
        <v>0</v>
      </c>
    </row>
    <row r="151" spans="1:26" s="24" customFormat="1" hidden="1" outlineLevel="1" x14ac:dyDescent="0.25">
      <c r="A151" s="44"/>
      <c r="B151" s="11" t="str">
        <f>CONCATENATE("          ", "5027", " - ", "PURCHASES @ COST-SCHOOL SUPPLI")</f>
        <v xml:space="preserve">          5027 - PURCHASES @ COST-SCHOOL SUPPLI</v>
      </c>
      <c r="C151" s="11"/>
      <c r="D151" s="2">
        <v>19253.84</v>
      </c>
      <c r="E151" s="2"/>
      <c r="F151" s="19">
        <f t="shared" si="11"/>
        <v>1.0424178699562772E-2</v>
      </c>
      <c r="G151" s="2"/>
      <c r="H151" s="2"/>
      <c r="I151" s="2"/>
      <c r="J151" s="19">
        <f t="shared" si="12"/>
        <v>0</v>
      </c>
      <c r="K151" s="2"/>
      <c r="L151" s="2">
        <f t="shared" si="13"/>
        <v>19253.84</v>
      </c>
      <c r="M151" s="2"/>
      <c r="N151" s="19">
        <f t="shared" si="14"/>
        <v>0</v>
      </c>
      <c r="O151" s="11"/>
      <c r="P151" s="2">
        <v>137605.04</v>
      </c>
      <c r="Q151" s="2"/>
      <c r="R151" s="19">
        <f t="shared" si="15"/>
        <v>5.0879193652767305E-3</v>
      </c>
      <c r="S151" s="2"/>
      <c r="T151" s="2"/>
      <c r="U151" s="2"/>
      <c r="V151" s="19">
        <f t="shared" si="16"/>
        <v>0</v>
      </c>
      <c r="W151" s="2"/>
      <c r="X151" s="2">
        <f t="shared" si="17"/>
        <v>137605.04</v>
      </c>
      <c r="Y151" s="2"/>
      <c r="Z151" s="19">
        <f t="shared" si="18"/>
        <v>0</v>
      </c>
    </row>
    <row r="152" spans="1:26" s="24" customFormat="1" hidden="1" outlineLevel="1" x14ac:dyDescent="0.25">
      <c r="A152" s="44"/>
      <c r="B152" s="11" t="str">
        <f>CONCATENATE("          ", "5028", " - ", "PURCHASES @ COST-ART/TECH")</f>
        <v xml:space="preserve">          5028 - PURCHASES @ COST-ART/TECH</v>
      </c>
      <c r="C152" s="11"/>
      <c r="D152" s="2">
        <v>4417.37</v>
      </c>
      <c r="E152" s="2"/>
      <c r="F152" s="19">
        <f t="shared" si="11"/>
        <v>2.391598468777532E-3</v>
      </c>
      <c r="G152" s="2"/>
      <c r="H152" s="2"/>
      <c r="I152" s="2"/>
      <c r="J152" s="19">
        <f t="shared" si="12"/>
        <v>0</v>
      </c>
      <c r="K152" s="2"/>
      <c r="L152" s="2">
        <f t="shared" si="13"/>
        <v>4417.37</v>
      </c>
      <c r="M152" s="2"/>
      <c r="N152" s="19">
        <f t="shared" si="14"/>
        <v>0</v>
      </c>
      <c r="O152" s="11"/>
      <c r="P152" s="2">
        <v>151070.15</v>
      </c>
      <c r="Q152" s="2"/>
      <c r="R152" s="19">
        <f t="shared" si="15"/>
        <v>5.585789166590558E-3</v>
      </c>
      <c r="S152" s="2"/>
      <c r="T152" s="2"/>
      <c r="U152" s="2"/>
      <c r="V152" s="19">
        <f t="shared" si="16"/>
        <v>0</v>
      </c>
      <c r="W152" s="2"/>
      <c r="X152" s="2">
        <f t="shared" si="17"/>
        <v>151070.15</v>
      </c>
      <c r="Y152" s="2"/>
      <c r="Z152" s="19">
        <f t="shared" si="18"/>
        <v>0</v>
      </c>
    </row>
    <row r="153" spans="1:26" s="24" customFormat="1" hidden="1" outlineLevel="1" x14ac:dyDescent="0.25">
      <c r="A153" s="44"/>
      <c r="B153" s="11" t="str">
        <f>CONCATENATE("          ", "5031", " - ", "PURCHASES @ COST-FOOD")</f>
        <v xml:space="preserve">          5031 - PURCHASES @ COST-FOOD</v>
      </c>
      <c r="C153" s="11"/>
      <c r="D153" s="2">
        <v>3113.82</v>
      </c>
      <c r="E153" s="2"/>
      <c r="F153" s="19">
        <f t="shared" si="11"/>
        <v>1.6858463619866247E-3</v>
      </c>
      <c r="G153" s="2"/>
      <c r="H153" s="2"/>
      <c r="I153" s="2"/>
      <c r="J153" s="19">
        <f t="shared" si="12"/>
        <v>0</v>
      </c>
      <c r="K153" s="2"/>
      <c r="L153" s="2">
        <f t="shared" si="13"/>
        <v>3113.82</v>
      </c>
      <c r="M153" s="2"/>
      <c r="N153" s="19">
        <f t="shared" si="14"/>
        <v>0</v>
      </c>
      <c r="O153" s="11"/>
      <c r="P153" s="2">
        <v>33239.879999999997</v>
      </c>
      <c r="Q153" s="2"/>
      <c r="R153" s="19">
        <f t="shared" si="15"/>
        <v>1.2290380436027247E-3</v>
      </c>
      <c r="S153" s="2"/>
      <c r="T153" s="2"/>
      <c r="U153" s="2"/>
      <c r="V153" s="19">
        <f t="shared" si="16"/>
        <v>0</v>
      </c>
      <c r="W153" s="2"/>
      <c r="X153" s="2">
        <f t="shared" si="17"/>
        <v>33239.879999999997</v>
      </c>
      <c r="Y153" s="2"/>
      <c r="Z153" s="19">
        <f t="shared" si="18"/>
        <v>0</v>
      </c>
    </row>
    <row r="154" spans="1:26" s="24" customFormat="1" hidden="1" outlineLevel="1" x14ac:dyDescent="0.25">
      <c r="A154" s="44"/>
      <c r="B154" s="11" t="str">
        <f>CONCATENATE("          ", "5032", " - ", "PURCHASES @ COST-JUICE")</f>
        <v xml:space="preserve">          5032 - PURCHASES @ COST-JUICE</v>
      </c>
      <c r="C154" s="11"/>
      <c r="D154" s="2">
        <v>688.97</v>
      </c>
      <c r="E154" s="2"/>
      <c r="F154" s="19">
        <f t="shared" si="11"/>
        <v>3.7301371563479096E-4</v>
      </c>
      <c r="G154" s="2"/>
      <c r="H154" s="2"/>
      <c r="I154" s="2"/>
      <c r="J154" s="19">
        <f t="shared" si="12"/>
        <v>0</v>
      </c>
      <c r="K154" s="2"/>
      <c r="L154" s="2">
        <f t="shared" si="13"/>
        <v>688.97</v>
      </c>
      <c r="M154" s="2"/>
      <c r="N154" s="19">
        <f t="shared" si="14"/>
        <v>0</v>
      </c>
      <c r="O154" s="11"/>
      <c r="P154" s="2">
        <v>7802.45</v>
      </c>
      <c r="Q154" s="2"/>
      <c r="R154" s="19">
        <f t="shared" si="15"/>
        <v>2.8849405844148893E-4</v>
      </c>
      <c r="S154" s="2"/>
      <c r="T154" s="2"/>
      <c r="U154" s="2"/>
      <c r="V154" s="19">
        <f t="shared" si="16"/>
        <v>0</v>
      </c>
      <c r="W154" s="2"/>
      <c r="X154" s="2">
        <f t="shared" si="17"/>
        <v>7802.45</v>
      </c>
      <c r="Y154" s="2"/>
      <c r="Z154" s="19">
        <f t="shared" si="18"/>
        <v>0</v>
      </c>
    </row>
    <row r="155" spans="1:26" s="24" customFormat="1" hidden="1" outlineLevel="1" x14ac:dyDescent="0.25">
      <c r="A155" s="44"/>
      <c r="B155" s="11" t="str">
        <f>CONCATENATE("          ", "5033", " - ", "PURCHASES @ COST-CANDY")</f>
        <v xml:space="preserve">          5033 - PURCHASES @ COST-CANDY</v>
      </c>
      <c r="C155" s="11"/>
      <c r="D155" s="2">
        <v>1198.55</v>
      </c>
      <c r="E155" s="2"/>
      <c r="F155" s="19">
        <f t="shared" si="11"/>
        <v>6.4890429027980698E-4</v>
      </c>
      <c r="G155" s="2"/>
      <c r="H155" s="2"/>
      <c r="I155" s="2"/>
      <c r="J155" s="19">
        <f t="shared" si="12"/>
        <v>0</v>
      </c>
      <c r="K155" s="2"/>
      <c r="L155" s="2">
        <f t="shared" si="13"/>
        <v>1198.55</v>
      </c>
      <c r="M155" s="2"/>
      <c r="N155" s="19">
        <f t="shared" si="14"/>
        <v>0</v>
      </c>
      <c r="O155" s="11"/>
      <c r="P155" s="2">
        <v>10023.61</v>
      </c>
      <c r="Q155" s="2"/>
      <c r="R155" s="19">
        <f t="shared" si="15"/>
        <v>3.7062101380139488E-4</v>
      </c>
      <c r="S155" s="2"/>
      <c r="T155" s="2"/>
      <c r="U155" s="2"/>
      <c r="V155" s="19">
        <f t="shared" si="16"/>
        <v>0</v>
      </c>
      <c r="W155" s="2"/>
      <c r="X155" s="2">
        <f t="shared" si="17"/>
        <v>10023.61</v>
      </c>
      <c r="Y155" s="2"/>
      <c r="Z155" s="19">
        <f t="shared" si="18"/>
        <v>0</v>
      </c>
    </row>
    <row r="156" spans="1:26" s="24" customFormat="1" hidden="1" outlineLevel="1" x14ac:dyDescent="0.25">
      <c r="A156" s="44"/>
      <c r="B156" s="11" t="str">
        <f>CONCATENATE("          ", "5034", " - ", "PURCHASES @ COST-SODA")</f>
        <v xml:space="preserve">          5034 - PURCHASES @ COST-SODA</v>
      </c>
      <c r="C156" s="11"/>
      <c r="D156" s="2">
        <v>271.79000000000002</v>
      </c>
      <c r="E156" s="2"/>
      <c r="F156" s="19">
        <f t="shared" si="11"/>
        <v>1.4714921951954342E-4</v>
      </c>
      <c r="G156" s="2"/>
      <c r="H156" s="2"/>
      <c r="I156" s="2"/>
      <c r="J156" s="19">
        <f t="shared" si="12"/>
        <v>0</v>
      </c>
      <c r="K156" s="2"/>
      <c r="L156" s="2">
        <f t="shared" si="13"/>
        <v>271.79000000000002</v>
      </c>
      <c r="M156" s="2"/>
      <c r="N156" s="19">
        <f t="shared" si="14"/>
        <v>0</v>
      </c>
      <c r="O156" s="11"/>
      <c r="P156" s="2">
        <v>4033.88</v>
      </c>
      <c r="Q156" s="2"/>
      <c r="R156" s="19">
        <f t="shared" si="15"/>
        <v>1.4915192182788143E-4</v>
      </c>
      <c r="S156" s="2"/>
      <c r="T156" s="2"/>
      <c r="U156" s="2"/>
      <c r="V156" s="19">
        <f t="shared" si="16"/>
        <v>0</v>
      </c>
      <c r="W156" s="2"/>
      <c r="X156" s="2">
        <f t="shared" si="17"/>
        <v>4033.88</v>
      </c>
      <c r="Y156" s="2"/>
      <c r="Z156" s="19">
        <f t="shared" si="18"/>
        <v>0</v>
      </c>
    </row>
    <row r="157" spans="1:26" s="24" customFormat="1" hidden="1" outlineLevel="1" x14ac:dyDescent="0.25">
      <c r="A157" s="44"/>
      <c r="B157" s="11" t="str">
        <f>CONCATENATE("          ", "5035", " - ", "PURCHASES @ COST-HEALTH &amp; BEAU")</f>
        <v xml:space="preserve">          5035 - PURCHASES @ COST-HEALTH &amp; BEAU</v>
      </c>
      <c r="C157" s="11"/>
      <c r="D157" s="2">
        <v>61.98</v>
      </c>
      <c r="E157" s="2"/>
      <c r="F157" s="19">
        <f t="shared" si="11"/>
        <v>3.3556453974838294E-5</v>
      </c>
      <c r="G157" s="2"/>
      <c r="H157" s="2"/>
      <c r="I157" s="2"/>
      <c r="J157" s="19">
        <f t="shared" si="12"/>
        <v>0</v>
      </c>
      <c r="K157" s="2"/>
      <c r="L157" s="2">
        <f t="shared" si="13"/>
        <v>61.98</v>
      </c>
      <c r="M157" s="2"/>
      <c r="N157" s="19">
        <f t="shared" si="14"/>
        <v>0</v>
      </c>
      <c r="O157" s="11"/>
      <c r="P157" s="2">
        <v>1117.6500000000001</v>
      </c>
      <c r="Q157" s="2"/>
      <c r="R157" s="19">
        <f t="shared" si="15"/>
        <v>4.132488954330116E-5</v>
      </c>
      <c r="S157" s="2"/>
      <c r="T157" s="2"/>
      <c r="U157" s="2"/>
      <c r="V157" s="19">
        <f t="shared" si="16"/>
        <v>0</v>
      </c>
      <c r="W157" s="2"/>
      <c r="X157" s="2">
        <f t="shared" si="17"/>
        <v>1117.6500000000001</v>
      </c>
      <c r="Y157" s="2"/>
      <c r="Z157" s="19">
        <f t="shared" si="18"/>
        <v>0</v>
      </c>
    </row>
    <row r="158" spans="1:26" s="24" customFormat="1" hidden="1" outlineLevel="1" x14ac:dyDescent="0.25">
      <c r="A158" s="44"/>
      <c r="B158" s="11" t="str">
        <f>CONCATENATE("          ", "5037", " - ", "PURCHASES @ COST-WATER")</f>
        <v xml:space="preserve">          5037 - PURCHASES @ COST-WATER</v>
      </c>
      <c r="C158" s="11"/>
      <c r="D158" s="2">
        <v>393.84</v>
      </c>
      <c r="E158" s="2"/>
      <c r="F158" s="19">
        <f t="shared" si="11"/>
        <v>2.1322803861649426E-4</v>
      </c>
      <c r="G158" s="2"/>
      <c r="H158" s="2"/>
      <c r="I158" s="2"/>
      <c r="J158" s="19">
        <f t="shared" si="12"/>
        <v>0</v>
      </c>
      <c r="K158" s="2"/>
      <c r="L158" s="2">
        <f t="shared" si="13"/>
        <v>393.84</v>
      </c>
      <c r="M158" s="2"/>
      <c r="N158" s="19">
        <f t="shared" si="14"/>
        <v>0</v>
      </c>
      <c r="O158" s="11"/>
      <c r="P158" s="2">
        <v>5693.57</v>
      </c>
      <c r="Q158" s="2"/>
      <c r="R158" s="19">
        <f t="shared" si="15"/>
        <v>2.1051863405990531E-4</v>
      </c>
      <c r="S158" s="2"/>
      <c r="T158" s="2"/>
      <c r="U158" s="2"/>
      <c r="V158" s="19">
        <f t="shared" si="16"/>
        <v>0</v>
      </c>
      <c r="W158" s="2"/>
      <c r="X158" s="2">
        <f t="shared" si="17"/>
        <v>5693.57</v>
      </c>
      <c r="Y158" s="2"/>
      <c r="Z158" s="19">
        <f t="shared" si="18"/>
        <v>0</v>
      </c>
    </row>
    <row r="159" spans="1:26" s="24" customFormat="1" hidden="1" outlineLevel="1" x14ac:dyDescent="0.25">
      <c r="A159" s="44"/>
      <c r="B159" s="11" t="str">
        <f>CONCATENATE("          ", "5040", " - ", "PURCHASES @ COST-LOGO CLOTHING")</f>
        <v xml:space="preserve">          5040 - PURCHASES @ COST-LOGO CLOTHING</v>
      </c>
      <c r="C159" s="11"/>
      <c r="D159" s="2">
        <v>65352.979999999996</v>
      </c>
      <c r="E159" s="2"/>
      <c r="F159" s="19">
        <f t="shared" si="11"/>
        <v>3.538261157612984E-2</v>
      </c>
      <c r="G159" s="2"/>
      <c r="H159" s="2"/>
      <c r="I159" s="2"/>
      <c r="J159" s="19">
        <f t="shared" si="12"/>
        <v>0</v>
      </c>
      <c r="K159" s="2"/>
      <c r="L159" s="2">
        <f t="shared" si="13"/>
        <v>65352.979999999996</v>
      </c>
      <c r="M159" s="2"/>
      <c r="N159" s="19">
        <f t="shared" si="14"/>
        <v>0</v>
      </c>
      <c r="O159" s="11"/>
      <c r="P159" s="2">
        <v>966898.54</v>
      </c>
      <c r="Q159" s="2"/>
      <c r="R159" s="19">
        <f t="shared" si="15"/>
        <v>3.575088387695536E-2</v>
      </c>
      <c r="S159" s="2"/>
      <c r="T159" s="2"/>
      <c r="U159" s="2"/>
      <c r="V159" s="19">
        <f t="shared" si="16"/>
        <v>0</v>
      </c>
      <c r="W159" s="2"/>
      <c r="X159" s="2">
        <f t="shared" si="17"/>
        <v>966898.54</v>
      </c>
      <c r="Y159" s="2"/>
      <c r="Z159" s="19">
        <f t="shared" si="18"/>
        <v>0</v>
      </c>
    </row>
    <row r="160" spans="1:26" s="24" customFormat="1" hidden="1" outlineLevel="1" x14ac:dyDescent="0.25">
      <c r="A160" s="44"/>
      <c r="B160" s="11" t="str">
        <f>CONCATENATE("          ", "5041", " - ", "PURCHASES @ COST-LOGO GIFTS")</f>
        <v xml:space="preserve">          5041 - PURCHASES @ COST-LOGO GIFTS</v>
      </c>
      <c r="C160" s="11"/>
      <c r="D160" s="2">
        <v>15128.670000000002</v>
      </c>
      <c r="E160" s="2"/>
      <c r="F160" s="19">
        <f t="shared" si="11"/>
        <v>8.1907795830189895E-3</v>
      </c>
      <c r="G160" s="2"/>
      <c r="H160" s="2"/>
      <c r="I160" s="2"/>
      <c r="J160" s="19">
        <f t="shared" si="12"/>
        <v>0</v>
      </c>
      <c r="K160" s="2"/>
      <c r="L160" s="2">
        <f t="shared" si="13"/>
        <v>15128.670000000002</v>
      </c>
      <c r="M160" s="2"/>
      <c r="N160" s="19">
        <f t="shared" si="14"/>
        <v>0</v>
      </c>
      <c r="O160" s="11"/>
      <c r="P160" s="2">
        <v>149510.73000000001</v>
      </c>
      <c r="Q160" s="2"/>
      <c r="R160" s="19">
        <f t="shared" si="15"/>
        <v>5.5281299179423997E-3</v>
      </c>
      <c r="S160" s="2"/>
      <c r="T160" s="2"/>
      <c r="U160" s="2"/>
      <c r="V160" s="19">
        <f t="shared" si="16"/>
        <v>0</v>
      </c>
      <c r="W160" s="2"/>
      <c r="X160" s="2">
        <f t="shared" si="17"/>
        <v>149510.73000000001</v>
      </c>
      <c r="Y160" s="2"/>
      <c r="Z160" s="19">
        <f t="shared" si="18"/>
        <v>0</v>
      </c>
    </row>
    <row r="161" spans="1:26" s="24" customFormat="1" hidden="1" outlineLevel="1" x14ac:dyDescent="0.25">
      <c r="A161" s="44"/>
      <c r="B161" s="11" t="str">
        <f>CONCATENATE("          ", "5042", " - ", "PURCHASES @ COST-EVERYDAY GIFT")</f>
        <v xml:space="preserve">          5042 - PURCHASES @ COST-EVERYDAY GIFT</v>
      </c>
      <c r="C161" s="11"/>
      <c r="D161" s="2">
        <v>15355.270000000002</v>
      </c>
      <c r="E161" s="2"/>
      <c r="F161" s="19">
        <f t="shared" si="11"/>
        <v>8.3134625851277073E-3</v>
      </c>
      <c r="G161" s="2"/>
      <c r="H161" s="2"/>
      <c r="I161" s="2"/>
      <c r="J161" s="19">
        <f t="shared" si="12"/>
        <v>0</v>
      </c>
      <c r="K161" s="2"/>
      <c r="L161" s="2">
        <f t="shared" si="13"/>
        <v>15355.270000000002</v>
      </c>
      <c r="M161" s="2"/>
      <c r="N161" s="19">
        <f t="shared" si="14"/>
        <v>0</v>
      </c>
      <c r="O161" s="11"/>
      <c r="P161" s="2">
        <v>115363.23999999999</v>
      </c>
      <c r="Q161" s="2"/>
      <c r="R161" s="19">
        <f t="shared" si="15"/>
        <v>4.2655331726008513E-3</v>
      </c>
      <c r="S161" s="2"/>
      <c r="T161" s="2"/>
      <c r="U161" s="2"/>
      <c r="V161" s="19">
        <f t="shared" si="16"/>
        <v>0</v>
      </c>
      <c r="W161" s="2"/>
      <c r="X161" s="2">
        <f t="shared" si="17"/>
        <v>115363.23999999999</v>
      </c>
      <c r="Y161" s="2"/>
      <c r="Z161" s="19">
        <f t="shared" si="18"/>
        <v>0</v>
      </c>
    </row>
    <row r="162" spans="1:26" s="24" customFormat="1" hidden="1" outlineLevel="1" x14ac:dyDescent="0.25">
      <c r="A162" s="44"/>
      <c r="B162" s="11" t="str">
        <f>CONCATENATE("          ", "5043", " - ", "PURCHASES @ COST-CARDS")</f>
        <v xml:space="preserve">          5043 - PURCHASES @ COST-CARDS</v>
      </c>
      <c r="C162" s="11"/>
      <c r="D162" s="2">
        <v>-4258.25</v>
      </c>
      <c r="E162" s="2"/>
      <c r="F162" s="19">
        <f t="shared" si="11"/>
        <v>-2.3054496634132811E-3</v>
      </c>
      <c r="G162" s="2"/>
      <c r="H162" s="2"/>
      <c r="I162" s="2"/>
      <c r="J162" s="19">
        <f t="shared" si="12"/>
        <v>0</v>
      </c>
      <c r="K162" s="2"/>
      <c r="L162" s="2">
        <f t="shared" si="13"/>
        <v>-4258.25</v>
      </c>
      <c r="M162" s="2"/>
      <c r="N162" s="19">
        <f t="shared" si="14"/>
        <v>0</v>
      </c>
      <c r="O162" s="11"/>
      <c r="P162" s="2">
        <v>24776.91</v>
      </c>
      <c r="Q162" s="2"/>
      <c r="R162" s="19">
        <f t="shared" si="15"/>
        <v>9.1612138771020801E-4</v>
      </c>
      <c r="S162" s="2"/>
      <c r="T162" s="2"/>
      <c r="U162" s="2"/>
      <c r="V162" s="19">
        <f t="shared" si="16"/>
        <v>0</v>
      </c>
      <c r="W162" s="2"/>
      <c r="X162" s="2">
        <f t="shared" si="17"/>
        <v>24776.91</v>
      </c>
      <c r="Y162" s="2"/>
      <c r="Z162" s="19">
        <f t="shared" si="18"/>
        <v>0</v>
      </c>
    </row>
    <row r="163" spans="1:26" s="24" customFormat="1" hidden="1" outlineLevel="1" x14ac:dyDescent="0.25">
      <c r="A163" s="44"/>
      <c r="B163" s="11" t="str">
        <f>CONCATENATE("          ", "5044", " - ", "PURCHASES @ COST-ACCESSORIES")</f>
        <v xml:space="preserve">          5044 - PURCHASES @ COST-ACCESSORIES</v>
      </c>
      <c r="C163" s="11"/>
      <c r="D163" s="2">
        <v>-1305.4100000000001</v>
      </c>
      <c r="E163" s="2"/>
      <c r="F163" s="19">
        <f t="shared" si="11"/>
        <v>-7.0675912525481872E-4</v>
      </c>
      <c r="G163" s="2"/>
      <c r="H163" s="2"/>
      <c r="I163" s="2"/>
      <c r="J163" s="19">
        <f t="shared" si="12"/>
        <v>0</v>
      </c>
      <c r="K163" s="2"/>
      <c r="L163" s="2">
        <f t="shared" si="13"/>
        <v>-1305.4100000000001</v>
      </c>
      <c r="M163" s="2"/>
      <c r="N163" s="19">
        <f t="shared" si="14"/>
        <v>0</v>
      </c>
      <c r="O163" s="11"/>
      <c r="P163" s="2">
        <v>32094.030000000002</v>
      </c>
      <c r="Q163" s="2"/>
      <c r="R163" s="19">
        <f t="shared" si="15"/>
        <v>1.1866704645903403E-3</v>
      </c>
      <c r="S163" s="2"/>
      <c r="T163" s="2"/>
      <c r="U163" s="2"/>
      <c r="V163" s="19">
        <f t="shared" si="16"/>
        <v>0</v>
      </c>
      <c r="W163" s="2"/>
      <c r="X163" s="2">
        <f t="shared" si="17"/>
        <v>32094.030000000002</v>
      </c>
      <c r="Y163" s="2"/>
      <c r="Z163" s="19">
        <f t="shared" si="18"/>
        <v>0</v>
      </c>
    </row>
    <row r="164" spans="1:26" s="24" customFormat="1" hidden="1" outlineLevel="1" x14ac:dyDescent="0.25">
      <c r="A164" s="44"/>
      <c r="B164" s="11" t="str">
        <f>CONCATENATE("          ", "5045", " - ", "PURCHASES @ COST-SPECIAL ORDER")</f>
        <v xml:space="preserve">          5045 - PURCHASES @ COST-SPECIAL ORDER</v>
      </c>
      <c r="C164" s="11"/>
      <c r="D164" s="2">
        <v>6736.47</v>
      </c>
      <c r="E164" s="2"/>
      <c r="F164" s="19">
        <f t="shared" si="11"/>
        <v>3.6471772427860432E-3</v>
      </c>
      <c r="G164" s="2"/>
      <c r="H164" s="2"/>
      <c r="I164" s="2"/>
      <c r="J164" s="19">
        <f t="shared" si="12"/>
        <v>0</v>
      </c>
      <c r="K164" s="2"/>
      <c r="L164" s="2">
        <f t="shared" si="13"/>
        <v>6736.47</v>
      </c>
      <c r="M164" s="2"/>
      <c r="N164" s="19">
        <f t="shared" si="14"/>
        <v>0</v>
      </c>
      <c r="O164" s="11"/>
      <c r="P164" s="2">
        <v>57701.25</v>
      </c>
      <c r="Q164" s="2"/>
      <c r="R164" s="19">
        <f t="shared" si="15"/>
        <v>2.133492401700359E-3</v>
      </c>
      <c r="S164" s="2"/>
      <c r="T164" s="2"/>
      <c r="U164" s="2"/>
      <c r="V164" s="19">
        <f t="shared" si="16"/>
        <v>0</v>
      </c>
      <c r="W164" s="2"/>
      <c r="X164" s="2">
        <f t="shared" si="17"/>
        <v>57701.25</v>
      </c>
      <c r="Y164" s="2"/>
      <c r="Z164" s="19">
        <f t="shared" si="18"/>
        <v>0</v>
      </c>
    </row>
    <row r="165" spans="1:26" s="24" customFormat="1" hidden="1" outlineLevel="1" x14ac:dyDescent="0.25">
      <c r="A165" s="44"/>
      <c r="B165" s="11" t="str">
        <f>CONCATENATE("          ", "5053", " - ", "PURCHASES @ COST-FOOD")</f>
        <v xml:space="preserve">          5053 - PURCHASES @ COST-FOOD</v>
      </c>
      <c r="C165" s="11"/>
      <c r="D165" s="2">
        <v>358944.25</v>
      </c>
      <c r="E165" s="2"/>
      <c r="F165" s="19">
        <f t="shared" si="11"/>
        <v>0.19433520820680625</v>
      </c>
      <c r="G165" s="2"/>
      <c r="H165" s="2"/>
      <c r="I165" s="2"/>
      <c r="J165" s="19">
        <f t="shared" si="12"/>
        <v>0</v>
      </c>
      <c r="K165" s="2"/>
      <c r="L165" s="2">
        <f t="shared" si="13"/>
        <v>358944.25</v>
      </c>
      <c r="M165" s="2"/>
      <c r="N165" s="19">
        <f t="shared" si="14"/>
        <v>0</v>
      </c>
      <c r="O165" s="11"/>
      <c r="P165" s="2">
        <v>4891330.9099999992</v>
      </c>
      <c r="Q165" s="2"/>
      <c r="R165" s="19">
        <f t="shared" si="15"/>
        <v>0.18085600105174671</v>
      </c>
      <c r="S165" s="2"/>
      <c r="T165" s="2"/>
      <c r="U165" s="2"/>
      <c r="V165" s="19">
        <f t="shared" si="16"/>
        <v>0</v>
      </c>
      <c r="W165" s="2"/>
      <c r="X165" s="2">
        <f t="shared" si="17"/>
        <v>4891330.9099999992</v>
      </c>
      <c r="Y165" s="2"/>
      <c r="Z165" s="19">
        <f t="shared" si="18"/>
        <v>0</v>
      </c>
    </row>
    <row r="166" spans="1:26" s="24" customFormat="1" hidden="1" outlineLevel="1" x14ac:dyDescent="0.25">
      <c r="A166" s="44"/>
      <c r="B166" s="11" t="str">
        <f>CONCATENATE("          ", "5059", " - ", "PURCHASES @ COST-FOOD")</f>
        <v xml:space="preserve">          5059 - PURCHASES @ COST-FOOD</v>
      </c>
      <c r="C166" s="11"/>
      <c r="D166" s="2">
        <v>45519.78</v>
      </c>
      <c r="E166" s="2"/>
      <c r="F166" s="19">
        <f t="shared" si="11"/>
        <v>2.4644762867292107E-2</v>
      </c>
      <c r="G166" s="2"/>
      <c r="H166" s="2"/>
      <c r="I166" s="2"/>
      <c r="J166" s="19">
        <f t="shared" si="12"/>
        <v>0</v>
      </c>
      <c r="K166" s="2"/>
      <c r="L166" s="2">
        <f t="shared" si="13"/>
        <v>45519.78</v>
      </c>
      <c r="M166" s="2"/>
      <c r="N166" s="19">
        <f t="shared" si="14"/>
        <v>0</v>
      </c>
      <c r="O166" s="11"/>
      <c r="P166" s="2">
        <v>-54509.420000000006</v>
      </c>
      <c r="Q166" s="2"/>
      <c r="R166" s="19">
        <f t="shared" si="15"/>
        <v>-2.0154751134697012E-3</v>
      </c>
      <c r="S166" s="2"/>
      <c r="T166" s="2"/>
      <c r="U166" s="2"/>
      <c r="V166" s="19">
        <f t="shared" si="16"/>
        <v>0</v>
      </c>
      <c r="W166" s="2"/>
      <c r="X166" s="2">
        <f t="shared" si="17"/>
        <v>-54509.420000000006</v>
      </c>
      <c r="Y166" s="2"/>
      <c r="Z166" s="19">
        <f t="shared" si="18"/>
        <v>0</v>
      </c>
    </row>
    <row r="167" spans="1:26" s="24" customFormat="1" hidden="1" outlineLevel="1" x14ac:dyDescent="0.25">
      <c r="A167" s="44"/>
      <c r="B167" s="11" t="str">
        <f>CONCATENATE("          ", "5081", " - ", "PURCHASES @ COST-ELECTRONICS")</f>
        <v xml:space="preserve">          5081 - PURCHASES @ COST-ELECTRONICS</v>
      </c>
      <c r="C167" s="11"/>
      <c r="D167" s="2">
        <v>36011.160000000003</v>
      </c>
      <c r="E167" s="2"/>
      <c r="F167" s="19">
        <f t="shared" si="11"/>
        <v>1.9496722057446562E-2</v>
      </c>
      <c r="G167" s="2"/>
      <c r="H167" s="2"/>
      <c r="I167" s="2"/>
      <c r="J167" s="19">
        <f t="shared" si="12"/>
        <v>0</v>
      </c>
      <c r="K167" s="2"/>
      <c r="L167" s="2">
        <f t="shared" si="13"/>
        <v>36011.160000000003</v>
      </c>
      <c r="M167" s="2"/>
      <c r="N167" s="19">
        <f t="shared" si="14"/>
        <v>0</v>
      </c>
      <c r="O167" s="11"/>
      <c r="P167" s="2">
        <v>265032.64</v>
      </c>
      <c r="Q167" s="2"/>
      <c r="R167" s="19">
        <f t="shared" si="15"/>
        <v>9.799529882673021E-3</v>
      </c>
      <c r="S167" s="2"/>
      <c r="T167" s="2"/>
      <c r="U167" s="2"/>
      <c r="V167" s="19">
        <f t="shared" si="16"/>
        <v>0</v>
      </c>
      <c r="W167" s="2"/>
      <c r="X167" s="2">
        <f t="shared" si="17"/>
        <v>265032.64</v>
      </c>
      <c r="Y167" s="2"/>
      <c r="Z167" s="19">
        <f t="shared" si="18"/>
        <v>0</v>
      </c>
    </row>
    <row r="168" spans="1:26" s="24" customFormat="1" hidden="1" outlineLevel="1" x14ac:dyDescent="0.25">
      <c r="A168" s="44"/>
      <c r="B168" s="11" t="str">
        <f>CONCATENATE("          ", "5082", " - ", "PURCHASES @ COST-COMPUTER HARD")</f>
        <v xml:space="preserve">          5082 - PURCHASES @ COST-COMPUTER HARD</v>
      </c>
      <c r="C168" s="11"/>
      <c r="D168" s="2">
        <v>169875.81</v>
      </c>
      <c r="E168" s="2"/>
      <c r="F168" s="19">
        <f t="shared" si="11"/>
        <v>9.1972084538615287E-2</v>
      </c>
      <c r="G168" s="2"/>
      <c r="H168" s="2"/>
      <c r="I168" s="2"/>
      <c r="J168" s="19">
        <f t="shared" si="12"/>
        <v>0</v>
      </c>
      <c r="K168" s="2"/>
      <c r="L168" s="2">
        <f t="shared" si="13"/>
        <v>169875.81</v>
      </c>
      <c r="M168" s="2"/>
      <c r="N168" s="19">
        <f t="shared" si="14"/>
        <v>0</v>
      </c>
      <c r="O168" s="11"/>
      <c r="P168" s="2">
        <v>1381174.3900000001</v>
      </c>
      <c r="Q168" s="2"/>
      <c r="R168" s="19">
        <f t="shared" si="15"/>
        <v>5.1068652178039964E-2</v>
      </c>
      <c r="S168" s="2"/>
      <c r="T168" s="2"/>
      <c r="U168" s="2"/>
      <c r="V168" s="19">
        <f t="shared" si="16"/>
        <v>0</v>
      </c>
      <c r="W168" s="2"/>
      <c r="X168" s="2">
        <f t="shared" si="17"/>
        <v>1381174.3900000001</v>
      </c>
      <c r="Y168" s="2"/>
      <c r="Z168" s="19">
        <f t="shared" si="18"/>
        <v>0</v>
      </c>
    </row>
    <row r="169" spans="1:26" s="24" customFormat="1" hidden="1" outlineLevel="1" x14ac:dyDescent="0.25">
      <c r="A169" s="44"/>
      <c r="B169" s="11" t="str">
        <f>CONCATENATE("          ", "5083", " - ", "PURCHASES @ COST-COMPUTER EQUI")</f>
        <v xml:space="preserve">          5083 - PURCHASES @ COST-COMPUTER EQUI</v>
      </c>
      <c r="C169" s="11"/>
      <c r="D169" s="2">
        <v>6360.99</v>
      </c>
      <c r="E169" s="2"/>
      <c r="F169" s="19">
        <f t="shared" si="11"/>
        <v>3.4438894509423467E-3</v>
      </c>
      <c r="G169" s="2"/>
      <c r="H169" s="2"/>
      <c r="I169" s="2"/>
      <c r="J169" s="19">
        <f t="shared" si="12"/>
        <v>0</v>
      </c>
      <c r="K169" s="2"/>
      <c r="L169" s="2">
        <f t="shared" si="13"/>
        <v>6360.99</v>
      </c>
      <c r="M169" s="2"/>
      <c r="N169" s="19">
        <f t="shared" si="14"/>
        <v>0</v>
      </c>
      <c r="O169" s="11"/>
      <c r="P169" s="2">
        <v>77872.790000000008</v>
      </c>
      <c r="Q169" s="2"/>
      <c r="R169" s="19">
        <f t="shared" si="15"/>
        <v>2.8793311369200445E-3</v>
      </c>
      <c r="S169" s="2"/>
      <c r="T169" s="2"/>
      <c r="U169" s="2"/>
      <c r="V169" s="19">
        <f t="shared" si="16"/>
        <v>0</v>
      </c>
      <c r="W169" s="2"/>
      <c r="X169" s="2">
        <f t="shared" si="17"/>
        <v>77872.790000000008</v>
      </c>
      <c r="Y169" s="2"/>
      <c r="Z169" s="19">
        <f t="shared" si="18"/>
        <v>0</v>
      </c>
    </row>
    <row r="170" spans="1:26" s="24" customFormat="1" hidden="1" outlineLevel="1" x14ac:dyDescent="0.25">
      <c r="A170" s="44"/>
      <c r="B170" s="11" t="str">
        <f>CONCATENATE("          ", "5084", " - ", "PURCHASES @ COST-SOFTWARE LICE")</f>
        <v xml:space="preserve">          5084 - PURCHASES @ COST-SOFTWARE LICE</v>
      </c>
      <c r="C170" s="11"/>
      <c r="D170" s="2"/>
      <c r="E170" s="2"/>
      <c r="F170" s="19">
        <f t="shared" si="11"/>
        <v>0</v>
      </c>
      <c r="G170" s="2"/>
      <c r="H170" s="2"/>
      <c r="I170" s="2"/>
      <c r="J170" s="19">
        <f t="shared" si="12"/>
        <v>0</v>
      </c>
      <c r="K170" s="2"/>
      <c r="L170" s="2">
        <f t="shared" si="13"/>
        <v>0</v>
      </c>
      <c r="M170" s="2"/>
      <c r="N170" s="19">
        <f t="shared" si="14"/>
        <v>0</v>
      </c>
      <c r="O170" s="11"/>
      <c r="P170" s="2">
        <v>2728</v>
      </c>
      <c r="Q170" s="2"/>
      <c r="R170" s="19">
        <f t="shared" si="15"/>
        <v>1.0086726495246773E-4</v>
      </c>
      <c r="S170" s="2"/>
      <c r="T170" s="2"/>
      <c r="U170" s="2"/>
      <c r="V170" s="19">
        <f t="shared" si="16"/>
        <v>0</v>
      </c>
      <c r="W170" s="2"/>
      <c r="X170" s="2">
        <f t="shared" si="17"/>
        <v>2728</v>
      </c>
      <c r="Y170" s="2"/>
      <c r="Z170" s="19">
        <f t="shared" si="18"/>
        <v>0</v>
      </c>
    </row>
    <row r="171" spans="1:26" s="24" customFormat="1" hidden="1" outlineLevel="1" x14ac:dyDescent="0.25">
      <c r="A171" s="44"/>
      <c r="B171" s="11" t="str">
        <f>CONCATENATE("          ", "5085", " - ", "PURCHASES @ COST-SOFTWARE")</f>
        <v xml:space="preserve">          5085 - PURCHASES @ COST-SOFTWARE</v>
      </c>
      <c r="C171" s="11"/>
      <c r="D171" s="2"/>
      <c r="E171" s="2"/>
      <c r="F171" s="19">
        <f t="shared" si="11"/>
        <v>0</v>
      </c>
      <c r="G171" s="2"/>
      <c r="H171" s="2"/>
      <c r="I171" s="2"/>
      <c r="J171" s="19">
        <f t="shared" si="12"/>
        <v>0</v>
      </c>
      <c r="K171" s="2"/>
      <c r="L171" s="2">
        <f t="shared" si="13"/>
        <v>0</v>
      </c>
      <c r="M171" s="2"/>
      <c r="N171" s="19">
        <f t="shared" si="14"/>
        <v>0</v>
      </c>
      <c r="O171" s="11"/>
      <c r="P171" s="2">
        <v>9162.39</v>
      </c>
      <c r="Q171" s="2"/>
      <c r="R171" s="19">
        <f t="shared" si="15"/>
        <v>3.3877757321401788E-4</v>
      </c>
      <c r="S171" s="2"/>
      <c r="T171" s="2"/>
      <c r="U171" s="2"/>
      <c r="V171" s="19">
        <f t="shared" si="16"/>
        <v>0</v>
      </c>
      <c r="W171" s="2"/>
      <c r="X171" s="2">
        <f t="shared" si="17"/>
        <v>9162.39</v>
      </c>
      <c r="Y171" s="2"/>
      <c r="Z171" s="19">
        <f t="shared" si="18"/>
        <v>0</v>
      </c>
    </row>
    <row r="172" spans="1:26" s="24" customFormat="1" hidden="1" outlineLevel="1" x14ac:dyDescent="0.25">
      <c r="A172" s="44"/>
      <c r="B172" s="11" t="str">
        <f>CONCATENATE("          ", "5086", " - ", "PURCHASES @ COST-COMPUTER SUPP")</f>
        <v xml:space="preserve">          5086 - PURCHASES @ COST-COMPUTER SUPP</v>
      </c>
      <c r="C172" s="11"/>
      <c r="D172" s="2">
        <v>948.45</v>
      </c>
      <c r="E172" s="2"/>
      <c r="F172" s="19">
        <f t="shared" si="11"/>
        <v>5.1349820542812821E-4</v>
      </c>
      <c r="G172" s="2"/>
      <c r="H172" s="2"/>
      <c r="I172" s="2"/>
      <c r="J172" s="19">
        <f t="shared" si="12"/>
        <v>0</v>
      </c>
      <c r="K172" s="2"/>
      <c r="L172" s="2">
        <f t="shared" si="13"/>
        <v>948.45</v>
      </c>
      <c r="M172" s="2"/>
      <c r="N172" s="19">
        <f t="shared" si="14"/>
        <v>0</v>
      </c>
      <c r="O172" s="11"/>
      <c r="P172" s="2">
        <v>30376.769999999997</v>
      </c>
      <c r="Q172" s="2"/>
      <c r="R172" s="19">
        <f t="shared" si="15"/>
        <v>1.1231751128996236E-3</v>
      </c>
      <c r="S172" s="2"/>
      <c r="T172" s="2"/>
      <c r="U172" s="2"/>
      <c r="V172" s="19">
        <f t="shared" si="16"/>
        <v>0</v>
      </c>
      <c r="W172" s="2"/>
      <c r="X172" s="2">
        <f t="shared" si="17"/>
        <v>30376.769999999997</v>
      </c>
      <c r="Y172" s="2"/>
      <c r="Z172" s="19">
        <f t="shared" si="18"/>
        <v>0</v>
      </c>
    </row>
    <row r="173" spans="1:26" s="24" customFormat="1" hidden="1" outlineLevel="1" x14ac:dyDescent="0.25">
      <c r="A173" s="44"/>
      <c r="B173" s="11" t="str">
        <f>CONCATENATE("          ", "5088", " - ", "PURCHASES @ COST-MUSIC")</f>
        <v xml:space="preserve">          5088 - PURCHASES @ COST-MUSIC</v>
      </c>
      <c r="C173" s="11"/>
      <c r="D173" s="2"/>
      <c r="E173" s="2"/>
      <c r="F173" s="19">
        <f t="shared" si="11"/>
        <v>0</v>
      </c>
      <c r="G173" s="2"/>
      <c r="H173" s="2"/>
      <c r="I173" s="2"/>
      <c r="J173" s="19">
        <f t="shared" si="12"/>
        <v>0</v>
      </c>
      <c r="K173" s="2"/>
      <c r="L173" s="2">
        <f t="shared" si="13"/>
        <v>0</v>
      </c>
      <c r="M173" s="2"/>
      <c r="N173" s="19">
        <f t="shared" si="14"/>
        <v>0</v>
      </c>
      <c r="O173" s="11"/>
      <c r="P173" s="2">
        <v>95.65</v>
      </c>
      <c r="Q173" s="2"/>
      <c r="R173" s="19">
        <f t="shared" si="15"/>
        <v>3.5366399899939659E-6</v>
      </c>
      <c r="S173" s="2"/>
      <c r="T173" s="2"/>
      <c r="U173" s="2"/>
      <c r="V173" s="19">
        <f t="shared" si="16"/>
        <v>0</v>
      </c>
      <c r="W173" s="2"/>
      <c r="X173" s="2">
        <f t="shared" si="17"/>
        <v>95.65</v>
      </c>
      <c r="Y173" s="2"/>
      <c r="Z173" s="19">
        <f t="shared" si="18"/>
        <v>0</v>
      </c>
    </row>
    <row r="174" spans="1:26" s="24" customFormat="1" hidden="1" outlineLevel="1" x14ac:dyDescent="0.25">
      <c r="A174" s="44"/>
      <c r="B174" s="11" t="str">
        <f>CONCATENATE("          ", "5092", " - ", "PURCHASES @ COST-GRAD MERCH")</f>
        <v xml:space="preserve">          5092 - PURCHASES @ COST-GRAD MERCH</v>
      </c>
      <c r="C174" s="11"/>
      <c r="D174" s="2">
        <v>1036.33</v>
      </c>
      <c r="E174" s="2"/>
      <c r="F174" s="19">
        <f t="shared" si="11"/>
        <v>5.610771208090379E-4</v>
      </c>
      <c r="G174" s="2"/>
      <c r="H174" s="2"/>
      <c r="I174" s="2"/>
      <c r="J174" s="19">
        <f t="shared" si="12"/>
        <v>0</v>
      </c>
      <c r="K174" s="2"/>
      <c r="L174" s="2">
        <f t="shared" si="13"/>
        <v>1036.33</v>
      </c>
      <c r="M174" s="2"/>
      <c r="N174" s="19">
        <f t="shared" si="14"/>
        <v>0</v>
      </c>
      <c r="O174" s="11"/>
      <c r="P174" s="2">
        <v>2946.13</v>
      </c>
      <c r="Q174" s="2"/>
      <c r="R174" s="19">
        <f t="shared" si="15"/>
        <v>1.0893257892023966E-4</v>
      </c>
      <c r="S174" s="2"/>
      <c r="T174" s="2"/>
      <c r="U174" s="2"/>
      <c r="V174" s="19">
        <f t="shared" si="16"/>
        <v>0</v>
      </c>
      <c r="W174" s="2"/>
      <c r="X174" s="2">
        <f t="shared" si="17"/>
        <v>2946.13</v>
      </c>
      <c r="Y174" s="2"/>
      <c r="Z174" s="19">
        <f t="shared" si="18"/>
        <v>0</v>
      </c>
    </row>
    <row r="175" spans="1:26" s="24" customFormat="1" hidden="1" outlineLevel="1" x14ac:dyDescent="0.25">
      <c r="A175" s="44"/>
      <c r="B175" s="11" t="str">
        <f>CONCATENATE("          ", "5095", " - ", "PURCHASES @ COST-CUSTOMER SERV")</f>
        <v xml:space="preserve">          5095 - PURCHASES @ COST-CUSTOMER SERV</v>
      </c>
      <c r="C175" s="11"/>
      <c r="D175" s="2"/>
      <c r="E175" s="2"/>
      <c r="F175" s="19">
        <f t="shared" si="11"/>
        <v>0</v>
      </c>
      <c r="G175" s="2"/>
      <c r="H175" s="2"/>
      <c r="I175" s="2"/>
      <c r="J175" s="19">
        <f t="shared" si="12"/>
        <v>0</v>
      </c>
      <c r="K175" s="2"/>
      <c r="L175" s="2">
        <f t="shared" si="13"/>
        <v>0</v>
      </c>
      <c r="M175" s="2"/>
      <c r="N175" s="19">
        <f t="shared" si="14"/>
        <v>0</v>
      </c>
      <c r="O175" s="11"/>
      <c r="P175" s="2">
        <v>0</v>
      </c>
      <c r="Q175" s="2"/>
      <c r="R175" s="19">
        <f t="shared" si="15"/>
        <v>0</v>
      </c>
      <c r="S175" s="2"/>
      <c r="T175" s="2"/>
      <c r="U175" s="2"/>
      <c r="V175" s="19">
        <f t="shared" si="16"/>
        <v>0</v>
      </c>
      <c r="W175" s="2"/>
      <c r="X175" s="2">
        <f t="shared" si="17"/>
        <v>0</v>
      </c>
      <c r="Y175" s="2"/>
      <c r="Z175" s="19">
        <f t="shared" si="18"/>
        <v>0</v>
      </c>
    </row>
    <row r="176" spans="1:26" s="24" customFormat="1" hidden="1" outlineLevel="1" x14ac:dyDescent="0.25">
      <c r="A176" s="44"/>
      <c r="B176" s="11" t="str">
        <f>CONCATENATE("          ", "5200", " - ", "PURCHASES OFFSET")</f>
        <v xml:space="preserve">          5200 - PURCHASES OFFSET</v>
      </c>
      <c r="C176" s="11"/>
      <c r="D176" s="2">
        <v>593468</v>
      </c>
      <c r="E176" s="2"/>
      <c r="F176" s="19">
        <f t="shared" si="11"/>
        <v>0.32130819018295148</v>
      </c>
      <c r="G176" s="2"/>
      <c r="H176" s="2"/>
      <c r="I176" s="2"/>
      <c r="J176" s="19">
        <f t="shared" si="12"/>
        <v>0</v>
      </c>
      <c r="K176" s="2"/>
      <c r="L176" s="2">
        <f t="shared" si="13"/>
        <v>593468</v>
      </c>
      <c r="M176" s="2"/>
      <c r="N176" s="19">
        <f t="shared" si="14"/>
        <v>0</v>
      </c>
      <c r="O176" s="11"/>
      <c r="P176" s="2">
        <v>-5131493</v>
      </c>
      <c r="Q176" s="2"/>
      <c r="R176" s="19">
        <f t="shared" si="15"/>
        <v>-0.18973594722607534</v>
      </c>
      <c r="S176" s="2"/>
      <c r="T176" s="2"/>
      <c r="U176" s="2"/>
      <c r="V176" s="19">
        <f t="shared" si="16"/>
        <v>0</v>
      </c>
      <c r="W176" s="2"/>
      <c r="X176" s="2">
        <f t="shared" si="17"/>
        <v>-5131493</v>
      </c>
      <c r="Y176" s="2"/>
      <c r="Z176" s="19">
        <f t="shared" si="18"/>
        <v>0</v>
      </c>
    </row>
    <row r="177" spans="1:26" s="24" customFormat="1" hidden="1" outlineLevel="1" x14ac:dyDescent="0.25">
      <c r="A177" s="44"/>
      <c r="B177" s="11" t="str">
        <f>CONCATENATE("          ", "5300", " - ", "COG$ OFFSET")</f>
        <v xml:space="preserve">          5300 - COG$ OFFSET</v>
      </c>
      <c r="C177" s="11"/>
      <c r="D177" s="2">
        <v>200750</v>
      </c>
      <c r="E177" s="2"/>
      <c r="F177" s="19">
        <f t="shared" si="11"/>
        <v>0.10868761109146156</v>
      </c>
      <c r="G177" s="2"/>
      <c r="H177" s="2"/>
      <c r="I177" s="2"/>
      <c r="J177" s="19">
        <f t="shared" si="12"/>
        <v>0</v>
      </c>
      <c r="K177" s="2"/>
      <c r="L177" s="2">
        <f t="shared" si="13"/>
        <v>200750</v>
      </c>
      <c r="M177" s="2"/>
      <c r="N177" s="19">
        <f t="shared" si="14"/>
        <v>0</v>
      </c>
      <c r="O177" s="11"/>
      <c r="P177" s="2">
        <v>5599707.4699999997</v>
      </c>
      <c r="Q177" s="2"/>
      <c r="R177" s="19">
        <f t="shared" si="15"/>
        <v>0.20704808542258166</v>
      </c>
      <c r="S177" s="2"/>
      <c r="T177" s="2"/>
      <c r="U177" s="2"/>
      <c r="V177" s="19">
        <f t="shared" si="16"/>
        <v>0</v>
      </c>
      <c r="W177" s="2"/>
      <c r="X177" s="2">
        <f t="shared" si="17"/>
        <v>5599707.4699999997</v>
      </c>
      <c r="Y177" s="2"/>
      <c r="Z177" s="19">
        <f t="shared" si="18"/>
        <v>0</v>
      </c>
    </row>
    <row r="178" spans="1:26" s="24" customFormat="1" hidden="1" outlineLevel="1" x14ac:dyDescent="0.25">
      <c r="A178" s="44"/>
      <c r="B178" s="11" t="str">
        <f>CONCATENATE("          ", "5500", " - ", "FREIGHT-IN")</f>
        <v xml:space="preserve">          5500 - FREIGHT-IN</v>
      </c>
      <c r="C178" s="11"/>
      <c r="D178" s="2"/>
      <c r="E178" s="2"/>
      <c r="F178" s="19">
        <f t="shared" si="11"/>
        <v>0</v>
      </c>
      <c r="G178" s="2"/>
      <c r="H178" s="2"/>
      <c r="I178" s="2"/>
      <c r="J178" s="19">
        <f t="shared" si="12"/>
        <v>0</v>
      </c>
      <c r="K178" s="2"/>
      <c r="L178" s="2">
        <f t="shared" si="13"/>
        <v>0</v>
      </c>
      <c r="M178" s="2"/>
      <c r="N178" s="19">
        <f t="shared" si="14"/>
        <v>0</v>
      </c>
      <c r="O178" s="11"/>
      <c r="P178" s="2">
        <v>156.47999999999999</v>
      </c>
      <c r="Q178" s="2"/>
      <c r="R178" s="19">
        <f t="shared" si="15"/>
        <v>5.7858173092969763E-6</v>
      </c>
      <c r="S178" s="2"/>
      <c r="T178" s="2"/>
      <c r="U178" s="2"/>
      <c r="V178" s="19">
        <f t="shared" si="16"/>
        <v>0</v>
      </c>
      <c r="W178" s="2"/>
      <c r="X178" s="2">
        <f t="shared" si="17"/>
        <v>156.47999999999999</v>
      </c>
      <c r="Y178" s="2"/>
      <c r="Z178" s="19">
        <f t="shared" si="18"/>
        <v>0</v>
      </c>
    </row>
    <row r="179" spans="1:26" s="24" customFormat="1" hidden="1" outlineLevel="1" x14ac:dyDescent="0.25">
      <c r="A179" s="44"/>
      <c r="B179" s="11" t="str">
        <f>CONCATENATE("          ", "5501", " - ", "FREIGHT-IN-NEW TEXT")</f>
        <v xml:space="preserve">          5501 - FREIGHT-IN-NEW TEXT</v>
      </c>
      <c r="C179" s="11"/>
      <c r="D179" s="2">
        <v>1315.81</v>
      </c>
      <c r="E179" s="2"/>
      <c r="F179" s="19">
        <f t="shared" si="11"/>
        <v>7.1238976612829905E-4</v>
      </c>
      <c r="G179" s="2"/>
      <c r="H179" s="2"/>
      <c r="I179" s="2"/>
      <c r="J179" s="19">
        <f t="shared" si="12"/>
        <v>0</v>
      </c>
      <c r="K179" s="2"/>
      <c r="L179" s="2">
        <f t="shared" si="13"/>
        <v>1315.81</v>
      </c>
      <c r="M179" s="2"/>
      <c r="N179" s="19">
        <f t="shared" si="14"/>
        <v>0</v>
      </c>
      <c r="O179" s="11"/>
      <c r="P179" s="2">
        <v>67340.55</v>
      </c>
      <c r="Q179" s="2"/>
      <c r="R179" s="19">
        <f t="shared" si="15"/>
        <v>2.4899036286271633E-3</v>
      </c>
      <c r="S179" s="2"/>
      <c r="T179" s="2"/>
      <c r="U179" s="2"/>
      <c r="V179" s="19">
        <f t="shared" si="16"/>
        <v>0</v>
      </c>
      <c r="W179" s="2"/>
      <c r="X179" s="2">
        <f t="shared" si="17"/>
        <v>67340.55</v>
      </c>
      <c r="Y179" s="2"/>
      <c r="Z179" s="19">
        <f t="shared" si="18"/>
        <v>0</v>
      </c>
    </row>
    <row r="180" spans="1:26" s="24" customFormat="1" hidden="1" outlineLevel="1" x14ac:dyDescent="0.25">
      <c r="A180" s="44"/>
      <c r="B180" s="11" t="str">
        <f>CONCATENATE("          ", "5502", " - ", "FREIGHT-IN-USED TEXT")</f>
        <v xml:space="preserve">          5502 - FREIGHT-IN-USED TEXT</v>
      </c>
      <c r="C180" s="11"/>
      <c r="D180" s="2">
        <v>506.55</v>
      </c>
      <c r="E180" s="2"/>
      <c r="F180" s="19">
        <f t="shared" si="11"/>
        <v>2.7425010908283865E-4</v>
      </c>
      <c r="G180" s="2"/>
      <c r="H180" s="2"/>
      <c r="I180" s="2"/>
      <c r="J180" s="19">
        <f t="shared" si="12"/>
        <v>0</v>
      </c>
      <c r="K180" s="2"/>
      <c r="L180" s="2">
        <f t="shared" si="13"/>
        <v>506.55</v>
      </c>
      <c r="M180" s="2"/>
      <c r="N180" s="19">
        <f t="shared" si="14"/>
        <v>0</v>
      </c>
      <c r="O180" s="11"/>
      <c r="P180" s="2">
        <v>15264.64</v>
      </c>
      <c r="Q180" s="2"/>
      <c r="R180" s="19">
        <f t="shared" si="15"/>
        <v>5.6440707011878193E-4</v>
      </c>
      <c r="S180" s="2"/>
      <c r="T180" s="2"/>
      <c r="U180" s="2"/>
      <c r="V180" s="19">
        <f t="shared" si="16"/>
        <v>0</v>
      </c>
      <c r="W180" s="2"/>
      <c r="X180" s="2">
        <f t="shared" si="17"/>
        <v>15264.64</v>
      </c>
      <c r="Y180" s="2"/>
      <c r="Z180" s="19">
        <f t="shared" si="18"/>
        <v>0</v>
      </c>
    </row>
    <row r="181" spans="1:26" s="24" customFormat="1" hidden="1" outlineLevel="1" x14ac:dyDescent="0.25">
      <c r="A181" s="44"/>
      <c r="B181" s="11" t="str">
        <f>CONCATENATE("          ", "5504", " - ", "FREIGHT-IN-DIGITAL TEXT")</f>
        <v xml:space="preserve">          5504 - FREIGHT-IN-DIGITAL TEXT</v>
      </c>
      <c r="C181" s="11"/>
      <c r="D181" s="2">
        <v>12.78</v>
      </c>
      <c r="E181" s="2"/>
      <c r="F181" s="19">
        <f t="shared" si="11"/>
        <v>6.9191913810653983E-6</v>
      </c>
      <c r="G181" s="2"/>
      <c r="H181" s="2"/>
      <c r="I181" s="2"/>
      <c r="J181" s="19">
        <f t="shared" si="12"/>
        <v>0</v>
      </c>
      <c r="K181" s="2"/>
      <c r="L181" s="2">
        <f t="shared" si="13"/>
        <v>12.78</v>
      </c>
      <c r="M181" s="2"/>
      <c r="N181" s="19">
        <f t="shared" si="14"/>
        <v>0</v>
      </c>
      <c r="O181" s="11"/>
      <c r="P181" s="2">
        <v>118.75</v>
      </c>
      <c r="Q181" s="2"/>
      <c r="R181" s="19">
        <f t="shared" si="15"/>
        <v>4.3907579593495392E-6</v>
      </c>
      <c r="S181" s="2"/>
      <c r="T181" s="2"/>
      <c r="U181" s="2"/>
      <c r="V181" s="19">
        <f t="shared" si="16"/>
        <v>0</v>
      </c>
      <c r="W181" s="2"/>
      <c r="X181" s="2">
        <f t="shared" si="17"/>
        <v>118.75</v>
      </c>
      <c r="Y181" s="2"/>
      <c r="Z181" s="19">
        <f t="shared" si="18"/>
        <v>0</v>
      </c>
    </row>
    <row r="182" spans="1:26" s="24" customFormat="1" hidden="1" outlineLevel="1" x14ac:dyDescent="0.25">
      <c r="A182" s="44"/>
      <c r="B182" s="11" t="str">
        <f>CONCATENATE("          ", "5513", " - ", "FREIGHT-IN-TRADE BOOKS")</f>
        <v xml:space="preserve">          5513 - FREIGHT-IN-TRADE BOOKS</v>
      </c>
      <c r="C182" s="11"/>
      <c r="D182" s="2">
        <v>8.83</v>
      </c>
      <c r="E182" s="2"/>
      <c r="F182" s="19">
        <f t="shared" si="11"/>
        <v>4.7806306646954207E-6</v>
      </c>
      <c r="G182" s="2"/>
      <c r="H182" s="2"/>
      <c r="I182" s="2"/>
      <c r="J182" s="19">
        <f t="shared" si="12"/>
        <v>0</v>
      </c>
      <c r="K182" s="2"/>
      <c r="L182" s="2">
        <f t="shared" si="13"/>
        <v>8.83</v>
      </c>
      <c r="M182" s="2"/>
      <c r="N182" s="19">
        <f t="shared" si="14"/>
        <v>0</v>
      </c>
      <c r="O182" s="11"/>
      <c r="P182" s="2">
        <v>30.24</v>
      </c>
      <c r="Q182" s="2"/>
      <c r="R182" s="19">
        <f t="shared" si="15"/>
        <v>1.118118068974569E-6</v>
      </c>
      <c r="S182" s="2"/>
      <c r="T182" s="2"/>
      <c r="U182" s="2"/>
      <c r="V182" s="19">
        <f t="shared" si="16"/>
        <v>0</v>
      </c>
      <c r="W182" s="2"/>
      <c r="X182" s="2">
        <f t="shared" si="17"/>
        <v>30.24</v>
      </c>
      <c r="Y182" s="2"/>
      <c r="Z182" s="19">
        <f t="shared" si="18"/>
        <v>0</v>
      </c>
    </row>
    <row r="183" spans="1:26" s="24" customFormat="1" hidden="1" outlineLevel="1" x14ac:dyDescent="0.25">
      <c r="A183" s="44"/>
      <c r="B183" s="11" t="str">
        <f>CONCATENATE("          ", "5518", " - ", "FREIGHT-IN-STUDY GUIDES")</f>
        <v xml:space="preserve">          5518 - FREIGHT-IN-STUDY GUIDES</v>
      </c>
      <c r="C183" s="11"/>
      <c r="D183" s="2"/>
      <c r="E183" s="2"/>
      <c r="F183" s="19">
        <f t="shared" si="11"/>
        <v>0</v>
      </c>
      <c r="G183" s="2"/>
      <c r="H183" s="2"/>
      <c r="I183" s="2"/>
      <c r="J183" s="19">
        <f t="shared" si="12"/>
        <v>0</v>
      </c>
      <c r="K183" s="2"/>
      <c r="L183" s="2">
        <f t="shared" si="13"/>
        <v>0</v>
      </c>
      <c r="M183" s="2"/>
      <c r="N183" s="19">
        <f t="shared" si="14"/>
        <v>0</v>
      </c>
      <c r="O183" s="11"/>
      <c r="P183" s="2">
        <v>21.13</v>
      </c>
      <c r="Q183" s="2"/>
      <c r="R183" s="19">
        <f t="shared" si="15"/>
        <v>7.812776057352064E-7</v>
      </c>
      <c r="S183" s="2"/>
      <c r="T183" s="2"/>
      <c r="U183" s="2"/>
      <c r="V183" s="19">
        <f t="shared" si="16"/>
        <v>0</v>
      </c>
      <c r="W183" s="2"/>
      <c r="X183" s="2">
        <f t="shared" si="17"/>
        <v>21.13</v>
      </c>
      <c r="Y183" s="2"/>
      <c r="Z183" s="19">
        <f t="shared" si="18"/>
        <v>0</v>
      </c>
    </row>
    <row r="184" spans="1:26" s="24" customFormat="1" hidden="1" outlineLevel="1" x14ac:dyDescent="0.25">
      <c r="A184" s="44"/>
      <c r="B184" s="11" t="str">
        <f>CONCATENATE("          ", "5525", " - ", "FREIGHT-IN-TEST FORMS")</f>
        <v xml:space="preserve">          5525 - FREIGHT-IN-TEST FORMS</v>
      </c>
      <c r="C184" s="11"/>
      <c r="D184" s="2">
        <v>82.2</v>
      </c>
      <c r="E184" s="2"/>
      <c r="F184" s="19">
        <f t="shared" si="11"/>
        <v>4.4503719211547404E-5</v>
      </c>
      <c r="G184" s="2"/>
      <c r="H184" s="2"/>
      <c r="I184" s="2"/>
      <c r="J184" s="19">
        <f t="shared" si="12"/>
        <v>0</v>
      </c>
      <c r="K184" s="2"/>
      <c r="L184" s="2">
        <f t="shared" si="13"/>
        <v>82.2</v>
      </c>
      <c r="M184" s="2"/>
      <c r="N184" s="19">
        <f t="shared" si="14"/>
        <v>0</v>
      </c>
      <c r="O184" s="11"/>
      <c r="P184" s="2">
        <v>1237.22</v>
      </c>
      <c r="Q184" s="2"/>
      <c r="R184" s="19">
        <f t="shared" si="15"/>
        <v>4.574596684182263E-5</v>
      </c>
      <c r="S184" s="2"/>
      <c r="T184" s="2"/>
      <c r="U184" s="2"/>
      <c r="V184" s="19">
        <f t="shared" si="16"/>
        <v>0</v>
      </c>
      <c r="W184" s="2"/>
      <c r="X184" s="2">
        <f t="shared" si="17"/>
        <v>1237.22</v>
      </c>
      <c r="Y184" s="2"/>
      <c r="Z184" s="19">
        <f t="shared" si="18"/>
        <v>0</v>
      </c>
    </row>
    <row r="185" spans="1:26" s="24" customFormat="1" hidden="1" outlineLevel="1" x14ac:dyDescent="0.25">
      <c r="A185" s="44"/>
      <c r="B185" s="11" t="str">
        <f>CONCATENATE("          ", "5526", " - ", "FREIGHT-IN-WRITING INSTRUMENTS")</f>
        <v xml:space="preserve">          5526 - FREIGHT-IN-WRITING INSTRUMENTS</v>
      </c>
      <c r="C185" s="11"/>
      <c r="D185" s="2"/>
      <c r="E185" s="2"/>
      <c r="F185" s="19">
        <f t="shared" si="11"/>
        <v>0</v>
      </c>
      <c r="G185" s="2"/>
      <c r="H185" s="2"/>
      <c r="I185" s="2"/>
      <c r="J185" s="19">
        <f t="shared" si="12"/>
        <v>0</v>
      </c>
      <c r="K185" s="2"/>
      <c r="L185" s="2">
        <f t="shared" si="13"/>
        <v>0</v>
      </c>
      <c r="M185" s="2"/>
      <c r="N185" s="19">
        <f t="shared" si="14"/>
        <v>0</v>
      </c>
      <c r="O185" s="11"/>
      <c r="P185" s="2">
        <v>260.35000000000002</v>
      </c>
      <c r="Q185" s="2"/>
      <c r="R185" s="19">
        <f t="shared" si="15"/>
        <v>9.6263901870876018E-6</v>
      </c>
      <c r="S185" s="2"/>
      <c r="T185" s="2"/>
      <c r="U185" s="2"/>
      <c r="V185" s="19">
        <f t="shared" si="16"/>
        <v>0</v>
      </c>
      <c r="W185" s="2"/>
      <c r="X185" s="2">
        <f t="shared" si="17"/>
        <v>260.35000000000002</v>
      </c>
      <c r="Y185" s="2"/>
      <c r="Z185" s="19">
        <f t="shared" si="18"/>
        <v>0</v>
      </c>
    </row>
    <row r="186" spans="1:26" s="24" customFormat="1" hidden="1" outlineLevel="1" x14ac:dyDescent="0.25">
      <c r="A186" s="44"/>
      <c r="B186" s="11" t="str">
        <f>CONCATENATE("          ", "5527", " - ", "FREIGHT-IN-SCHOOL SUPPLIES")</f>
        <v xml:space="preserve">          5527 - FREIGHT-IN-SCHOOL SUPPLIES</v>
      </c>
      <c r="C186" s="11"/>
      <c r="D186" s="2">
        <v>407.31</v>
      </c>
      <c r="E186" s="2"/>
      <c r="F186" s="19">
        <f t="shared" si="11"/>
        <v>2.2052080136320405E-4</v>
      </c>
      <c r="G186" s="2"/>
      <c r="H186" s="2"/>
      <c r="I186" s="2"/>
      <c r="J186" s="19">
        <f t="shared" si="12"/>
        <v>0</v>
      </c>
      <c r="K186" s="2"/>
      <c r="L186" s="2">
        <f t="shared" si="13"/>
        <v>407.31</v>
      </c>
      <c r="M186" s="2"/>
      <c r="N186" s="19">
        <f t="shared" si="14"/>
        <v>0</v>
      </c>
      <c r="O186" s="11"/>
      <c r="P186" s="2">
        <v>2058.91</v>
      </c>
      <c r="Q186" s="2"/>
      <c r="R186" s="19">
        <f t="shared" si="15"/>
        <v>7.612779343228935E-5</v>
      </c>
      <c r="S186" s="2"/>
      <c r="T186" s="2"/>
      <c r="U186" s="2"/>
      <c r="V186" s="19">
        <f t="shared" si="16"/>
        <v>0</v>
      </c>
      <c r="W186" s="2"/>
      <c r="X186" s="2">
        <f t="shared" si="17"/>
        <v>2058.91</v>
      </c>
      <c r="Y186" s="2"/>
      <c r="Z186" s="19">
        <f t="shared" si="18"/>
        <v>0</v>
      </c>
    </row>
    <row r="187" spans="1:26" s="24" customFormat="1" hidden="1" outlineLevel="1" x14ac:dyDescent="0.25">
      <c r="A187" s="44"/>
      <c r="B187" s="11" t="str">
        <f>CONCATENATE("          ", "5528", " - ", "FREIGHT-IN-ART/TECH")</f>
        <v xml:space="preserve">          5528 - FREIGHT-IN-ART/TECH</v>
      </c>
      <c r="C187" s="11"/>
      <c r="D187" s="2">
        <v>771.27</v>
      </c>
      <c r="E187" s="2"/>
      <c r="F187" s="19">
        <f t="shared" si="11"/>
        <v>4.1757157562396792E-4</v>
      </c>
      <c r="G187" s="2"/>
      <c r="H187" s="2"/>
      <c r="I187" s="2"/>
      <c r="J187" s="19">
        <f t="shared" si="12"/>
        <v>0</v>
      </c>
      <c r="K187" s="2"/>
      <c r="L187" s="2">
        <f t="shared" si="13"/>
        <v>771.27</v>
      </c>
      <c r="M187" s="2"/>
      <c r="N187" s="19">
        <f t="shared" si="14"/>
        <v>0</v>
      </c>
      <c r="O187" s="11"/>
      <c r="P187" s="2">
        <v>2267.52</v>
      </c>
      <c r="Q187" s="2"/>
      <c r="R187" s="19">
        <f t="shared" si="15"/>
        <v>8.3841107267235932E-5</v>
      </c>
      <c r="S187" s="2"/>
      <c r="T187" s="2"/>
      <c r="U187" s="2"/>
      <c r="V187" s="19">
        <f t="shared" si="16"/>
        <v>0</v>
      </c>
      <c r="W187" s="2"/>
      <c r="X187" s="2">
        <f t="shared" si="17"/>
        <v>2267.52</v>
      </c>
      <c r="Y187" s="2"/>
      <c r="Z187" s="19">
        <f t="shared" si="18"/>
        <v>0</v>
      </c>
    </row>
    <row r="188" spans="1:26" s="24" customFormat="1" hidden="1" outlineLevel="1" x14ac:dyDescent="0.25">
      <c r="A188" s="44"/>
      <c r="B188" s="11" t="str">
        <f>CONCATENATE("          ", "5540", " - ", "FREIGHT-IN-LOGO CLOTHING")</f>
        <v xml:space="preserve">          5540 - FREIGHT-IN-LOGO CLOTHING</v>
      </c>
      <c r="C188" s="11"/>
      <c r="D188" s="2">
        <v>2177.09</v>
      </c>
      <c r="E188" s="2"/>
      <c r="F188" s="19">
        <f t="shared" si="11"/>
        <v>1.1786934556966878E-3</v>
      </c>
      <c r="G188" s="2"/>
      <c r="H188" s="2"/>
      <c r="I188" s="2"/>
      <c r="J188" s="19">
        <f t="shared" si="12"/>
        <v>0</v>
      </c>
      <c r="K188" s="2"/>
      <c r="L188" s="2">
        <f t="shared" si="13"/>
        <v>2177.09</v>
      </c>
      <c r="M188" s="2"/>
      <c r="N188" s="19">
        <f t="shared" si="14"/>
        <v>0</v>
      </c>
      <c r="O188" s="11"/>
      <c r="P188" s="2">
        <v>30658.390000000003</v>
      </c>
      <c r="Q188" s="2"/>
      <c r="R188" s="19">
        <f t="shared" si="15"/>
        <v>1.133587957164988E-3</v>
      </c>
      <c r="S188" s="2"/>
      <c r="T188" s="2"/>
      <c r="U188" s="2"/>
      <c r="V188" s="19">
        <f t="shared" si="16"/>
        <v>0</v>
      </c>
      <c r="W188" s="2"/>
      <c r="X188" s="2">
        <f t="shared" si="17"/>
        <v>30658.390000000003</v>
      </c>
      <c r="Y188" s="2"/>
      <c r="Z188" s="19">
        <f t="shared" si="18"/>
        <v>0</v>
      </c>
    </row>
    <row r="189" spans="1:26" s="24" customFormat="1" hidden="1" outlineLevel="1" x14ac:dyDescent="0.25">
      <c r="A189" s="44"/>
      <c r="B189" s="11" t="str">
        <f>CONCATENATE("          ", "5541", " - ", "FREIGHT-IN-LOGO GIFTS")</f>
        <v xml:space="preserve">          5541 - FREIGHT-IN-LOGO GIFTS</v>
      </c>
      <c r="C189" s="11"/>
      <c r="D189" s="2">
        <v>622.03</v>
      </c>
      <c r="E189" s="2"/>
      <c r="F189" s="19">
        <f t="shared" si="11"/>
        <v>3.3677187908952348E-4</v>
      </c>
      <c r="G189" s="2"/>
      <c r="H189" s="2"/>
      <c r="I189" s="2"/>
      <c r="J189" s="19">
        <f t="shared" si="12"/>
        <v>0</v>
      </c>
      <c r="K189" s="2"/>
      <c r="L189" s="2">
        <f t="shared" si="13"/>
        <v>622.03</v>
      </c>
      <c r="M189" s="2"/>
      <c r="N189" s="19">
        <f t="shared" si="14"/>
        <v>0</v>
      </c>
      <c r="O189" s="11"/>
      <c r="P189" s="2">
        <v>4695.95</v>
      </c>
      <c r="Q189" s="2"/>
      <c r="R189" s="19">
        <f t="shared" si="15"/>
        <v>1.7363183022490501E-4</v>
      </c>
      <c r="S189" s="2"/>
      <c r="T189" s="2"/>
      <c r="U189" s="2"/>
      <c r="V189" s="19">
        <f t="shared" si="16"/>
        <v>0</v>
      </c>
      <c r="W189" s="2"/>
      <c r="X189" s="2">
        <f t="shared" si="17"/>
        <v>4695.95</v>
      </c>
      <c r="Y189" s="2"/>
      <c r="Z189" s="19">
        <f t="shared" si="18"/>
        <v>0</v>
      </c>
    </row>
    <row r="190" spans="1:26" s="24" customFormat="1" hidden="1" outlineLevel="1" x14ac:dyDescent="0.25">
      <c r="A190" s="44"/>
      <c r="B190" s="11" t="str">
        <f>CONCATENATE("          ", "5542", " - ", "FREIGHT-IN-EVERYDAY GIFTS")</f>
        <v xml:space="preserve">          5542 - FREIGHT-IN-EVERYDAY GIFTS</v>
      </c>
      <c r="C190" s="11"/>
      <c r="D190" s="2">
        <v>42.24</v>
      </c>
      <c r="E190" s="2"/>
      <c r="F190" s="19">
        <f t="shared" si="11"/>
        <v>2.2869064470751367E-5</v>
      </c>
      <c r="G190" s="2"/>
      <c r="H190" s="2"/>
      <c r="I190" s="2"/>
      <c r="J190" s="19">
        <f t="shared" si="12"/>
        <v>0</v>
      </c>
      <c r="K190" s="2"/>
      <c r="L190" s="2">
        <f t="shared" si="13"/>
        <v>42.24</v>
      </c>
      <c r="M190" s="2"/>
      <c r="N190" s="19">
        <f t="shared" si="14"/>
        <v>0</v>
      </c>
      <c r="O190" s="11"/>
      <c r="P190" s="2">
        <v>1793.94</v>
      </c>
      <c r="Q190" s="2"/>
      <c r="R190" s="19">
        <f t="shared" si="15"/>
        <v>6.6330579651330634E-5</v>
      </c>
      <c r="S190" s="2"/>
      <c r="T190" s="2"/>
      <c r="U190" s="2"/>
      <c r="V190" s="19">
        <f t="shared" si="16"/>
        <v>0</v>
      </c>
      <c r="W190" s="2"/>
      <c r="X190" s="2">
        <f t="shared" si="17"/>
        <v>1793.94</v>
      </c>
      <c r="Y190" s="2"/>
      <c r="Z190" s="19">
        <f t="shared" si="18"/>
        <v>0</v>
      </c>
    </row>
    <row r="191" spans="1:26" s="24" customFormat="1" hidden="1" outlineLevel="1" x14ac:dyDescent="0.25">
      <c r="A191" s="44"/>
      <c r="B191" s="11" t="str">
        <f>CONCATENATE("          ", "5543", " - ", "FREIGHT-IN-CARDS")</f>
        <v xml:space="preserve">          5543 - FREIGHT-IN-CARDS</v>
      </c>
      <c r="C191" s="11"/>
      <c r="D191" s="2">
        <v>25.64</v>
      </c>
      <c r="E191" s="2"/>
      <c r="F191" s="19">
        <f t="shared" si="11"/>
        <v>1.3881695384234495E-5</v>
      </c>
      <c r="G191" s="2"/>
      <c r="H191" s="2"/>
      <c r="I191" s="2"/>
      <c r="J191" s="19">
        <f t="shared" si="12"/>
        <v>0</v>
      </c>
      <c r="K191" s="2"/>
      <c r="L191" s="2">
        <f t="shared" si="13"/>
        <v>25.64</v>
      </c>
      <c r="M191" s="2"/>
      <c r="N191" s="19">
        <f t="shared" si="14"/>
        <v>0</v>
      </c>
      <c r="O191" s="11"/>
      <c r="P191" s="2">
        <v>2926.76</v>
      </c>
      <c r="Q191" s="2"/>
      <c r="R191" s="19">
        <f t="shared" si="15"/>
        <v>1.0821637696931249E-4</v>
      </c>
      <c r="S191" s="2"/>
      <c r="T191" s="2"/>
      <c r="U191" s="2"/>
      <c r="V191" s="19">
        <f t="shared" si="16"/>
        <v>0</v>
      </c>
      <c r="W191" s="2"/>
      <c r="X191" s="2">
        <f t="shared" si="17"/>
        <v>2926.76</v>
      </c>
      <c r="Y191" s="2"/>
      <c r="Z191" s="19">
        <f t="shared" si="18"/>
        <v>0</v>
      </c>
    </row>
    <row r="192" spans="1:26" s="24" customFormat="1" hidden="1" outlineLevel="1" x14ac:dyDescent="0.25">
      <c r="A192" s="44"/>
      <c r="B192" s="11" t="str">
        <f>CONCATENATE("          ", "5544", " - ", "FREIGHT-IN-ACCESSORIES")</f>
        <v xml:space="preserve">          5544 - FREIGHT-IN-ACCESSORIES</v>
      </c>
      <c r="C192" s="11"/>
      <c r="D192" s="2"/>
      <c r="E192" s="2"/>
      <c r="F192" s="19">
        <f t="shared" si="11"/>
        <v>0</v>
      </c>
      <c r="G192" s="2"/>
      <c r="H192" s="2"/>
      <c r="I192" s="2"/>
      <c r="J192" s="19">
        <f t="shared" si="12"/>
        <v>0</v>
      </c>
      <c r="K192" s="2"/>
      <c r="L192" s="2">
        <f t="shared" si="13"/>
        <v>0</v>
      </c>
      <c r="M192" s="2"/>
      <c r="N192" s="19">
        <f t="shared" si="14"/>
        <v>0</v>
      </c>
      <c r="O192" s="11"/>
      <c r="P192" s="2">
        <v>483.44</v>
      </c>
      <c r="Q192" s="2"/>
      <c r="R192" s="19">
        <f t="shared" si="15"/>
        <v>1.787509918204582E-5</v>
      </c>
      <c r="S192" s="2"/>
      <c r="T192" s="2"/>
      <c r="U192" s="2"/>
      <c r="V192" s="19">
        <f t="shared" si="16"/>
        <v>0</v>
      </c>
      <c r="W192" s="2"/>
      <c r="X192" s="2">
        <f t="shared" si="17"/>
        <v>483.44</v>
      </c>
      <c r="Y192" s="2"/>
      <c r="Z192" s="19">
        <f t="shared" si="18"/>
        <v>0</v>
      </c>
    </row>
    <row r="193" spans="1:26" s="24" customFormat="1" hidden="1" outlineLevel="1" x14ac:dyDescent="0.25">
      <c r="A193" s="44"/>
      <c r="B193" s="11" t="str">
        <f>CONCATENATE("          ", "5545", " - ", "FREIGHT-IN-SPECIAL ORDERS")</f>
        <v xml:space="preserve">          5545 - FREIGHT-IN-SPECIAL ORDERS</v>
      </c>
      <c r="C193" s="11"/>
      <c r="D193" s="2">
        <v>28.68</v>
      </c>
      <c r="E193" s="2"/>
      <c r="F193" s="19">
        <f t="shared" si="11"/>
        <v>1.5527575024174932E-5</v>
      </c>
      <c r="G193" s="2"/>
      <c r="H193" s="2"/>
      <c r="I193" s="2"/>
      <c r="J193" s="19">
        <f t="shared" si="12"/>
        <v>0</v>
      </c>
      <c r="K193" s="2"/>
      <c r="L193" s="2">
        <f t="shared" si="13"/>
        <v>28.68</v>
      </c>
      <c r="M193" s="2"/>
      <c r="N193" s="19">
        <f t="shared" si="14"/>
        <v>0</v>
      </c>
      <c r="O193" s="11"/>
      <c r="P193" s="2">
        <v>875.07</v>
      </c>
      <c r="Q193" s="2"/>
      <c r="R193" s="19">
        <f t="shared" si="15"/>
        <v>3.2355541620951591E-5</v>
      </c>
      <c r="S193" s="2"/>
      <c r="T193" s="2"/>
      <c r="U193" s="2"/>
      <c r="V193" s="19">
        <f t="shared" si="16"/>
        <v>0</v>
      </c>
      <c r="W193" s="2"/>
      <c r="X193" s="2">
        <f t="shared" si="17"/>
        <v>875.07</v>
      </c>
      <c r="Y193" s="2"/>
      <c r="Z193" s="19">
        <f t="shared" si="18"/>
        <v>0</v>
      </c>
    </row>
    <row r="194" spans="1:26" s="24" customFormat="1" hidden="1" outlineLevel="1" x14ac:dyDescent="0.25">
      <c r="A194" s="44"/>
      <c r="B194" s="11" t="str">
        <f>CONCATENATE("          ", "5581", " - ", "FREIGHT-IN-ELECTRONICS")</f>
        <v xml:space="preserve">          5581 - FREIGHT-IN-ELECTRONICS</v>
      </c>
      <c r="C194" s="11"/>
      <c r="D194" s="2"/>
      <c r="E194" s="2"/>
      <c r="F194" s="19">
        <f t="shared" si="11"/>
        <v>0</v>
      </c>
      <c r="G194" s="2"/>
      <c r="H194" s="2"/>
      <c r="I194" s="2"/>
      <c r="J194" s="19">
        <f t="shared" si="12"/>
        <v>0</v>
      </c>
      <c r="K194" s="2"/>
      <c r="L194" s="2">
        <f t="shared" si="13"/>
        <v>0</v>
      </c>
      <c r="M194" s="2"/>
      <c r="N194" s="19">
        <f t="shared" si="14"/>
        <v>0</v>
      </c>
      <c r="O194" s="11"/>
      <c r="P194" s="2">
        <v>105.75</v>
      </c>
      <c r="Q194" s="2"/>
      <c r="R194" s="19">
        <f t="shared" si="15"/>
        <v>3.9100855090628531E-6</v>
      </c>
      <c r="S194" s="2"/>
      <c r="T194" s="2"/>
      <c r="U194" s="2"/>
      <c r="V194" s="19">
        <f t="shared" si="16"/>
        <v>0</v>
      </c>
      <c r="W194" s="2"/>
      <c r="X194" s="2">
        <f t="shared" si="17"/>
        <v>105.75</v>
      </c>
      <c r="Y194" s="2"/>
      <c r="Z194" s="19">
        <f t="shared" si="18"/>
        <v>0</v>
      </c>
    </row>
    <row r="195" spans="1:26" s="24" customFormat="1" hidden="1" outlineLevel="1" x14ac:dyDescent="0.25">
      <c r="A195" s="44"/>
      <c r="B195" s="11" t="str">
        <f>CONCATENATE("          ", "5582", " - ", "FREIGHT-IN-COMPUTER HARDWARE")</f>
        <v xml:space="preserve">          5582 - FREIGHT-IN-COMPUTER HARDWARE</v>
      </c>
      <c r="C195" s="11"/>
      <c r="D195" s="2">
        <v>149.46</v>
      </c>
      <c r="E195" s="2"/>
      <c r="F195" s="19">
        <f t="shared" si="11"/>
        <v>8.0918806245229623E-5</v>
      </c>
      <c r="G195" s="2"/>
      <c r="H195" s="2"/>
      <c r="I195" s="2"/>
      <c r="J195" s="19">
        <f t="shared" si="12"/>
        <v>0</v>
      </c>
      <c r="K195" s="2"/>
      <c r="L195" s="2">
        <f t="shared" si="13"/>
        <v>149.46</v>
      </c>
      <c r="M195" s="2"/>
      <c r="N195" s="19">
        <f t="shared" si="14"/>
        <v>0</v>
      </c>
      <c r="O195" s="11"/>
      <c r="P195" s="2">
        <v>154.30000000000001</v>
      </c>
      <c r="Q195" s="2"/>
      <c r="R195" s="19">
        <f t="shared" si="15"/>
        <v>5.7052122368642861E-6</v>
      </c>
      <c r="S195" s="2"/>
      <c r="T195" s="2"/>
      <c r="U195" s="2"/>
      <c r="V195" s="19">
        <f t="shared" si="16"/>
        <v>0</v>
      </c>
      <c r="W195" s="2"/>
      <c r="X195" s="2">
        <f t="shared" si="17"/>
        <v>154.30000000000001</v>
      </c>
      <c r="Y195" s="2"/>
      <c r="Z195" s="19">
        <f t="shared" si="18"/>
        <v>0</v>
      </c>
    </row>
    <row r="196" spans="1:26" s="24" customFormat="1" hidden="1" outlineLevel="1" x14ac:dyDescent="0.25">
      <c r="A196" s="44"/>
      <c r="B196" s="11" t="str">
        <f>CONCATENATE("          ", "5583", " - ", "FREIGHT-IN-COMPUTER EQUIPMENT")</f>
        <v xml:space="preserve">          5583 - FREIGHT-IN-COMPUTER EQUIPMENT</v>
      </c>
      <c r="C196" s="11"/>
      <c r="D196" s="2"/>
      <c r="E196" s="2"/>
      <c r="F196" s="19">
        <f t="shared" si="11"/>
        <v>0</v>
      </c>
      <c r="G196" s="2"/>
      <c r="H196" s="2"/>
      <c r="I196" s="2"/>
      <c r="J196" s="19">
        <f t="shared" si="12"/>
        <v>0</v>
      </c>
      <c r="K196" s="2"/>
      <c r="L196" s="2">
        <f t="shared" si="13"/>
        <v>0</v>
      </c>
      <c r="M196" s="2"/>
      <c r="N196" s="19">
        <f t="shared" si="14"/>
        <v>0</v>
      </c>
      <c r="O196" s="11"/>
      <c r="P196" s="2">
        <v>57.5</v>
      </c>
      <c r="Q196" s="2"/>
      <c r="R196" s="19">
        <f t="shared" si="15"/>
        <v>2.1260512224218823E-6</v>
      </c>
      <c r="S196" s="2"/>
      <c r="T196" s="2"/>
      <c r="U196" s="2"/>
      <c r="V196" s="19">
        <f t="shared" si="16"/>
        <v>0</v>
      </c>
      <c r="W196" s="2"/>
      <c r="X196" s="2">
        <f t="shared" si="17"/>
        <v>57.5</v>
      </c>
      <c r="Y196" s="2"/>
      <c r="Z196" s="19">
        <f t="shared" si="18"/>
        <v>0</v>
      </c>
    </row>
    <row r="197" spans="1:26" s="24" customFormat="1" hidden="1" outlineLevel="1" x14ac:dyDescent="0.25">
      <c r="A197" s="44"/>
      <c r="B197" s="11" t="str">
        <f>CONCATENATE("          ", "5586", " - ", "FREIGHT-IN-COMPUTER SUPPLIES")</f>
        <v xml:space="preserve">          5586 - FREIGHT-IN-COMPUTER SUPPLIES</v>
      </c>
      <c r="C197" s="11"/>
      <c r="D197" s="2">
        <v>30.96</v>
      </c>
      <c r="E197" s="2"/>
      <c r="F197" s="19">
        <f t="shared" si="11"/>
        <v>1.6761984754130265E-5</v>
      </c>
      <c r="G197" s="2"/>
      <c r="H197" s="2"/>
      <c r="I197" s="2"/>
      <c r="J197" s="19">
        <f t="shared" si="12"/>
        <v>0</v>
      </c>
      <c r="K197" s="2"/>
      <c r="L197" s="2">
        <f t="shared" si="13"/>
        <v>30.96</v>
      </c>
      <c r="M197" s="2"/>
      <c r="N197" s="19">
        <f t="shared" si="14"/>
        <v>0</v>
      </c>
      <c r="O197" s="11"/>
      <c r="P197" s="2">
        <v>301.27</v>
      </c>
      <c r="Q197" s="2"/>
      <c r="R197" s="19">
        <f t="shared" si="15"/>
        <v>1.1139399161374616E-5</v>
      </c>
      <c r="S197" s="2"/>
      <c r="T197" s="2"/>
      <c r="U197" s="2"/>
      <c r="V197" s="19">
        <f t="shared" si="16"/>
        <v>0</v>
      </c>
      <c r="W197" s="2"/>
      <c r="X197" s="2">
        <f t="shared" si="17"/>
        <v>301.27</v>
      </c>
      <c r="Y197" s="2"/>
      <c r="Z197" s="19">
        <f t="shared" si="18"/>
        <v>0</v>
      </c>
    </row>
    <row r="198" spans="1:26" s="24" customFormat="1" hidden="1" outlineLevel="1" x14ac:dyDescent="0.25">
      <c r="A198" s="44"/>
      <c r="B198" s="11" t="str">
        <f>CONCATENATE("          ", "5592", " - ", "FREIGHT-IN-GRAD MERCH")</f>
        <v xml:space="preserve">          5592 - FREIGHT-IN-GRAD MERCH</v>
      </c>
      <c r="C198" s="11"/>
      <c r="D198" s="2">
        <v>12.95</v>
      </c>
      <c r="E198" s="2"/>
      <c r="F198" s="19">
        <f t="shared" si="11"/>
        <v>7.0112307030357524E-6</v>
      </c>
      <c r="G198" s="2"/>
      <c r="H198" s="2"/>
      <c r="I198" s="2"/>
      <c r="J198" s="19">
        <f t="shared" si="12"/>
        <v>0</v>
      </c>
      <c r="K198" s="2"/>
      <c r="L198" s="2">
        <f t="shared" si="13"/>
        <v>12.95</v>
      </c>
      <c r="M198" s="2"/>
      <c r="N198" s="19">
        <f t="shared" si="14"/>
        <v>0</v>
      </c>
      <c r="O198" s="11"/>
      <c r="P198" s="2">
        <v>118.73</v>
      </c>
      <c r="Q198" s="2"/>
      <c r="R198" s="19">
        <f t="shared" si="15"/>
        <v>4.3900184632721755E-6</v>
      </c>
      <c r="S198" s="2"/>
      <c r="T198" s="2"/>
      <c r="U198" s="2"/>
      <c r="V198" s="19">
        <f t="shared" si="16"/>
        <v>0</v>
      </c>
      <c r="W198" s="2"/>
      <c r="X198" s="2">
        <f t="shared" si="17"/>
        <v>118.73</v>
      </c>
      <c r="Y198" s="2"/>
      <c r="Z198" s="19">
        <f t="shared" si="18"/>
        <v>0</v>
      </c>
    </row>
    <row r="199" spans="1:26" x14ac:dyDescent="0.25">
      <c r="A199" s="9"/>
      <c r="B199" s="10"/>
      <c r="C199" s="10"/>
      <c r="D199" s="3"/>
      <c r="E199" s="3"/>
      <c r="F199" s="8"/>
      <c r="G199" s="3"/>
      <c r="H199" s="3"/>
      <c r="I199" s="3"/>
      <c r="J199" s="8"/>
      <c r="K199" s="3"/>
      <c r="L199" s="3"/>
      <c r="M199" s="3"/>
      <c r="N199" s="8"/>
      <c r="O199" s="10"/>
      <c r="P199" s="3"/>
      <c r="Q199" s="3"/>
      <c r="R199" s="8"/>
      <c r="S199" s="3"/>
      <c r="T199" s="3"/>
      <c r="U199" s="3"/>
      <c r="V199" s="8"/>
      <c r="W199" s="3"/>
      <c r="X199" s="3"/>
      <c r="Y199" s="3"/>
      <c r="Z199" s="8"/>
    </row>
    <row r="200" spans="1:26" s="23" customFormat="1" x14ac:dyDescent="0.25">
      <c r="A200" s="10"/>
      <c r="B200" s="28" t="s">
        <v>6</v>
      </c>
      <c r="C200" s="28"/>
      <c r="D200" s="20">
        <f>D12-D138</f>
        <v>1238911.4000000008</v>
      </c>
      <c r="E200" s="14"/>
      <c r="F200" s="22">
        <f>IF(D$12=0,0,D200/D$12)</f>
        <v>0.67075626610200878</v>
      </c>
      <c r="G200" s="14"/>
      <c r="H200" s="20">
        <f>H12-H138</f>
        <v>2370989.8132700003</v>
      </c>
      <c r="I200" s="14"/>
      <c r="J200" s="22">
        <f>IF(H$12=0,0,H200/H$12)</f>
        <v>0.64723026271415285</v>
      </c>
      <c r="K200" s="16"/>
      <c r="L200" s="20">
        <f>+D200-H200</f>
        <v>-1132078.4132699994</v>
      </c>
      <c r="M200" s="16"/>
      <c r="N200" s="22">
        <f>IF(H200=0,0,L200/H200)</f>
        <v>-0.47747080435941214</v>
      </c>
      <c r="O200" s="29"/>
      <c r="P200" s="20">
        <f>P12-P138</f>
        <v>15420504.030000007</v>
      </c>
      <c r="Q200" s="14"/>
      <c r="R200" s="22">
        <f>IF(P$12=0,0,P200/P$12)</f>
        <v>0.5701701120581405</v>
      </c>
      <c r="S200" s="14"/>
      <c r="T200" s="20">
        <f>T12-T138</f>
        <v>17232929.366180003</v>
      </c>
      <c r="U200" s="14"/>
      <c r="V200" s="22">
        <f>IF(T$12=0,0,T200/T$12)</f>
        <v>0.57547553029737697</v>
      </c>
      <c r="W200" s="16"/>
      <c r="X200" s="20">
        <f>+P200-T200</f>
        <v>-1812425.3361799959</v>
      </c>
      <c r="Y200" s="16"/>
      <c r="Z200" s="22">
        <f>IF(T200=0,0,X200/T200)</f>
        <v>-0.10517221405995662</v>
      </c>
    </row>
    <row r="201" spans="1:26" x14ac:dyDescent="0.25">
      <c r="A201" s="9"/>
      <c r="B201" s="10"/>
      <c r="C201" s="9"/>
      <c r="D201" s="1"/>
      <c r="E201" s="1"/>
      <c r="F201" s="5"/>
      <c r="G201" s="1"/>
      <c r="H201" s="1"/>
      <c r="I201" s="1"/>
      <c r="J201" s="5"/>
      <c r="K201" s="1"/>
      <c r="L201" s="1"/>
      <c r="M201" s="1"/>
      <c r="N201" s="5"/>
      <c r="O201" s="36"/>
      <c r="P201" s="1"/>
      <c r="Q201" s="1"/>
      <c r="R201" s="5"/>
      <c r="S201" s="1"/>
      <c r="T201" s="1"/>
      <c r="U201" s="1"/>
      <c r="V201" s="5"/>
      <c r="W201" s="1"/>
      <c r="X201" s="1"/>
      <c r="Y201" s="1"/>
      <c r="Z201" s="5"/>
    </row>
    <row r="202" spans="1:26" s="23" customFormat="1" x14ac:dyDescent="0.25">
      <c r="A202" s="10"/>
      <c r="B202" s="29" t="s">
        <v>9</v>
      </c>
      <c r="C202" s="10"/>
      <c r="D202" s="21">
        <f>SUM(OSRRefD22x_0)</f>
        <v>1596741.36</v>
      </c>
      <c r="E202" s="21"/>
      <c r="F202" s="30">
        <f t="shared" ref="F202:F213" si="19">IF(D$12=0,0,D202/D$12)</f>
        <v>0.86448818903776559</v>
      </c>
      <c r="G202" s="21"/>
      <c r="H202" s="21">
        <f>SUM(OSRRefH22x_0)</f>
        <v>1636445.0631706938</v>
      </c>
      <c r="I202" s="21"/>
      <c r="J202" s="30">
        <f t="shared" ref="J202:J213" si="20">IF(H$12=0,0,H202/H$12)</f>
        <v>0.44671502265650331</v>
      </c>
      <c r="K202" s="4"/>
      <c r="L202" s="21">
        <f t="shared" ref="L202:L213" si="21">+D202-H202</f>
        <v>-39703.703170693712</v>
      </c>
      <c r="M202" s="4"/>
      <c r="N202" s="30">
        <f t="shared" ref="N202:N213" si="22">IF(H202=0,0,L202/H202)</f>
        <v>-2.4262166854392173E-2</v>
      </c>
      <c r="O202" s="10"/>
      <c r="P202" s="21">
        <f>SUM(OSRRefP22x_0)</f>
        <v>13899523.169999998</v>
      </c>
      <c r="Q202" s="21"/>
      <c r="R202" s="30">
        <f t="shared" ref="R202:R213" si="23">IF(P$12=0,0,P202/P$12)</f>
        <v>0.51393214307234381</v>
      </c>
      <c r="S202" s="21"/>
      <c r="T202" s="21">
        <f>SUM(OSRRefT22x_0)</f>
        <v>13846818.845964365</v>
      </c>
      <c r="U202" s="21"/>
      <c r="V202" s="30">
        <f t="shared" ref="V202:V213" si="24">IF(T$12=0,0,T202/T$12)</f>
        <v>0.46239993497283294</v>
      </c>
      <c r="W202" s="4"/>
      <c r="X202" s="21">
        <f t="shared" ref="X202:X213" si="25">+P202-T202</f>
        <v>52704.324035633355</v>
      </c>
      <c r="Y202" s="4"/>
      <c r="Z202" s="30">
        <f t="shared" ref="Z202:Z213" si="26">IF(T202=0,0,X202/T202)</f>
        <v>3.8062405973480293E-3</v>
      </c>
    </row>
    <row r="203" spans="1:26" s="27" customFormat="1" outlineLevel="1" collapsed="1" x14ac:dyDescent="0.25">
      <c r="A203" s="26"/>
      <c r="B203" s="13" t="str">
        <f>CONCATENATE("     ","*Benefits                                         ")</f>
        <v xml:space="preserve">     *Benefits                                         </v>
      </c>
      <c r="C203" s="13"/>
      <c r="D203" s="1">
        <f>SUM(OSRRefD22_0x_0)</f>
        <v>229623.28</v>
      </c>
      <c r="E203" s="1"/>
      <c r="F203" s="5">
        <f t="shared" si="19"/>
        <v>0.12431982941063903</v>
      </c>
      <c r="G203" s="1"/>
      <c r="H203" s="1">
        <f>SUM(OSRRefH22_0x_0)</f>
        <v>216879.11284126632</v>
      </c>
      <c r="I203" s="1"/>
      <c r="J203" s="5">
        <f t="shared" si="20"/>
        <v>5.9203428203628589E-2</v>
      </c>
      <c r="K203" s="1"/>
      <c r="L203" s="1">
        <f t="shared" si="21"/>
        <v>12744.167158733675</v>
      </c>
      <c r="M203" s="1"/>
      <c r="N203" s="5">
        <f t="shared" si="22"/>
        <v>5.8761616053184071E-2</v>
      </c>
      <c r="O203" s="13"/>
      <c r="P203" s="1">
        <f>SUM(OSRRefP22_0x_0)</f>
        <v>2100211.0499999998</v>
      </c>
      <c r="Q203" s="1"/>
      <c r="R203" s="5">
        <f t="shared" si="23"/>
        <v>7.7654891655590336E-2</v>
      </c>
      <c r="S203" s="1"/>
      <c r="T203" s="1">
        <f>SUM(OSRRefT22_0x_0)</f>
        <v>1970300.0340078105</v>
      </c>
      <c r="U203" s="1"/>
      <c r="V203" s="5">
        <f t="shared" si="24"/>
        <v>6.5796094954164233E-2</v>
      </c>
      <c r="W203" s="1"/>
      <c r="X203" s="1">
        <f t="shared" si="25"/>
        <v>129911.01599218929</v>
      </c>
      <c r="Y203" s="1"/>
      <c r="Z203" s="5">
        <f t="shared" si="26"/>
        <v>6.5934636222857779E-2</v>
      </c>
    </row>
    <row r="204" spans="1:26" s="24" customFormat="1" hidden="1" outlineLevel="2" x14ac:dyDescent="0.25">
      <c r="A204" s="25"/>
      <c r="B204" s="11" t="str">
        <f>CONCATENATE("          ", "6111", " - ", "F.I.C.A.")</f>
        <v xml:space="preserve">          6111 - F.I.C.A.</v>
      </c>
      <c r="C204" s="11"/>
      <c r="D204" s="6">
        <v>55184.369999999995</v>
      </c>
      <c r="E204" s="2"/>
      <c r="F204" s="7">
        <f t="shared" si="19"/>
        <v>2.9877247048006567E-2</v>
      </c>
      <c r="G204" s="2"/>
      <c r="H204" s="6">
        <v>34550.693982543009</v>
      </c>
      <c r="I204" s="2"/>
      <c r="J204" s="7">
        <f t="shared" si="20"/>
        <v>9.4316114806230408E-3</v>
      </c>
      <c r="K204" s="2"/>
      <c r="L204" s="6">
        <f t="shared" si="21"/>
        <v>20633.676017456986</v>
      </c>
      <c r="M204" s="2"/>
      <c r="N204" s="7">
        <f t="shared" si="22"/>
        <v>0.59720004547180161</v>
      </c>
      <c r="O204" s="11"/>
      <c r="P204" s="6">
        <v>375467.43</v>
      </c>
      <c r="Q204" s="2"/>
      <c r="R204" s="7">
        <f t="shared" si="23"/>
        <v>1.3882834583149609E-2</v>
      </c>
      <c r="S204" s="2"/>
      <c r="T204" s="6">
        <v>322142.21042370453</v>
      </c>
      <c r="U204" s="2"/>
      <c r="V204" s="7">
        <f t="shared" si="24"/>
        <v>1.07575999086129E-2</v>
      </c>
      <c r="W204" s="2"/>
      <c r="X204" s="6">
        <f t="shared" si="25"/>
        <v>53325.219576295465</v>
      </c>
      <c r="Y204" s="2"/>
      <c r="Z204" s="7">
        <f t="shared" si="26"/>
        <v>0.16553316470436555</v>
      </c>
    </row>
    <row r="205" spans="1:26" s="24" customFormat="1" hidden="1" outlineLevel="2" x14ac:dyDescent="0.25">
      <c r="A205" s="25"/>
      <c r="B205" s="11" t="str">
        <f>CONCATENATE("          ", "6112", " - ", "COMPENSATION INSURANCE")</f>
        <v xml:space="preserve">          6112 - COMPENSATION INSURANCE</v>
      </c>
      <c r="C205" s="11"/>
      <c r="D205" s="6">
        <v>35883.699999999997</v>
      </c>
      <c r="E205" s="2"/>
      <c r="F205" s="7">
        <f t="shared" si="19"/>
        <v>1.9427714222279846E-2</v>
      </c>
      <c r="G205" s="2"/>
      <c r="H205" s="6">
        <v>26024.563298392306</v>
      </c>
      <c r="I205" s="2"/>
      <c r="J205" s="7">
        <f t="shared" si="20"/>
        <v>7.1041574478166803E-3</v>
      </c>
      <c r="K205" s="2"/>
      <c r="L205" s="6">
        <f t="shared" si="21"/>
        <v>9859.1367016076911</v>
      </c>
      <c r="M205" s="2"/>
      <c r="N205" s="7">
        <f t="shared" si="22"/>
        <v>0.37883965961560434</v>
      </c>
      <c r="O205" s="11"/>
      <c r="P205" s="6">
        <v>185458.1</v>
      </c>
      <c r="Q205" s="2"/>
      <c r="R205" s="7">
        <f t="shared" si="23"/>
        <v>6.8572768732702554E-3</v>
      </c>
      <c r="S205" s="2"/>
      <c r="T205" s="6">
        <v>213781.38476112497</v>
      </c>
      <c r="U205" s="2"/>
      <c r="V205" s="7">
        <f t="shared" si="24"/>
        <v>7.1390042371181003E-3</v>
      </c>
      <c r="W205" s="2"/>
      <c r="X205" s="6">
        <f t="shared" si="25"/>
        <v>-28323.28476112496</v>
      </c>
      <c r="Y205" s="2"/>
      <c r="Z205" s="7">
        <f t="shared" si="26"/>
        <v>-0.13248714238039402</v>
      </c>
    </row>
    <row r="206" spans="1:26" s="24" customFormat="1" hidden="1" outlineLevel="2" x14ac:dyDescent="0.25">
      <c r="A206" s="25"/>
      <c r="B206" s="11" t="str">
        <f>CONCATENATE("          ", "6113", " - ", "GROUP INSURANCE")</f>
        <v xml:space="preserve">          6113 - GROUP INSURANCE</v>
      </c>
      <c r="C206" s="11"/>
      <c r="D206" s="6">
        <v>105577.47</v>
      </c>
      <c r="E206" s="2"/>
      <c r="F206" s="7">
        <f t="shared" si="19"/>
        <v>5.7160463259678461E-2</v>
      </c>
      <c r="G206" s="2"/>
      <c r="H206" s="6">
        <v>93673.773076923069</v>
      </c>
      <c r="I206" s="2"/>
      <c r="J206" s="7">
        <f t="shared" si="20"/>
        <v>2.5570966361253906E-2</v>
      </c>
      <c r="K206" s="2"/>
      <c r="L206" s="6">
        <f t="shared" si="21"/>
        <v>11903.696923076932</v>
      </c>
      <c r="M206" s="2"/>
      <c r="N206" s="7">
        <f t="shared" si="22"/>
        <v>0.12707609111999629</v>
      </c>
      <c r="O206" s="11"/>
      <c r="P206" s="6">
        <v>877118.78</v>
      </c>
      <c r="Q206" s="2"/>
      <c r="R206" s="7">
        <f t="shared" si="23"/>
        <v>3.2431294859620693E-2</v>
      </c>
      <c r="S206" s="2"/>
      <c r="T206" s="6">
        <v>851738.20961538446</v>
      </c>
      <c r="U206" s="2"/>
      <c r="V206" s="7">
        <f t="shared" si="24"/>
        <v>2.8442900648968632E-2</v>
      </c>
      <c r="W206" s="2"/>
      <c r="X206" s="6">
        <f t="shared" si="25"/>
        <v>25380.570384615567</v>
      </c>
      <c r="Y206" s="2"/>
      <c r="Z206" s="7">
        <f t="shared" si="26"/>
        <v>2.9798557934927628E-2</v>
      </c>
    </row>
    <row r="207" spans="1:26" s="24" customFormat="1" hidden="1" outlineLevel="2" x14ac:dyDescent="0.25">
      <c r="A207" s="25"/>
      <c r="B207" s="11" t="str">
        <f>CONCATENATE("          ", "6114", " - ", "STATE UNEMPLOYMENT INSURANCE")</f>
        <v xml:space="preserve">          6114 - STATE UNEMPLOYMENT INSURANCE</v>
      </c>
      <c r="C207" s="11"/>
      <c r="D207" s="6">
        <v>2984.6</v>
      </c>
      <c r="E207" s="2"/>
      <c r="F207" s="7">
        <f t="shared" si="19"/>
        <v>1.6158856491336299E-3</v>
      </c>
      <c r="G207" s="2"/>
      <c r="H207" s="6">
        <v>2173.6231294270315</v>
      </c>
      <c r="I207" s="2"/>
      <c r="J207" s="7">
        <f t="shared" si="20"/>
        <v>5.9335331650385765E-4</v>
      </c>
      <c r="K207" s="2"/>
      <c r="L207" s="6">
        <f t="shared" si="21"/>
        <v>810.97687057296844</v>
      </c>
      <c r="M207" s="2"/>
      <c r="N207" s="7">
        <f t="shared" si="22"/>
        <v>0.37309911713478244</v>
      </c>
      <c r="O207" s="11"/>
      <c r="P207" s="6">
        <v>18994.38</v>
      </c>
      <c r="Q207" s="2"/>
      <c r="R207" s="7">
        <f t="shared" si="23"/>
        <v>7.0231347509818701E-4</v>
      </c>
      <c r="S207" s="2"/>
      <c r="T207" s="6">
        <v>18101.072455771508</v>
      </c>
      <c r="U207" s="2"/>
      <c r="V207" s="7">
        <f t="shared" si="24"/>
        <v>6.0446625463917933E-4</v>
      </c>
      <c r="W207" s="2"/>
      <c r="X207" s="6">
        <f t="shared" si="25"/>
        <v>893.3075442284935</v>
      </c>
      <c r="Y207" s="2"/>
      <c r="Z207" s="7">
        <f t="shared" si="26"/>
        <v>4.9351083832807008E-2</v>
      </c>
    </row>
    <row r="208" spans="1:26" s="24" customFormat="1" hidden="1" outlineLevel="2" x14ac:dyDescent="0.25">
      <c r="A208" s="25"/>
      <c r="B208" s="11" t="str">
        <f>CONCATENATE("          ", "6115", " - ", "P.E.R.S.")</f>
        <v xml:space="preserve">          6115 - P.E.R.S.</v>
      </c>
      <c r="C208" s="11"/>
      <c r="D208" s="6">
        <v>22902.510000000002</v>
      </c>
      <c r="E208" s="2"/>
      <c r="F208" s="7">
        <f t="shared" si="19"/>
        <v>1.2399597010701419E-2</v>
      </c>
      <c r="G208" s="2"/>
      <c r="H208" s="6">
        <v>18385.742724600001</v>
      </c>
      <c r="I208" s="2"/>
      <c r="J208" s="7">
        <f t="shared" si="20"/>
        <v>5.0189203796813502E-3</v>
      </c>
      <c r="K208" s="2"/>
      <c r="L208" s="6">
        <f t="shared" si="21"/>
        <v>4516.7672754000014</v>
      </c>
      <c r="M208" s="2"/>
      <c r="N208" s="7">
        <f t="shared" si="22"/>
        <v>0.24566683778059165</v>
      </c>
      <c r="O208" s="11"/>
      <c r="P208" s="6">
        <v>195895.6</v>
      </c>
      <c r="Q208" s="2"/>
      <c r="R208" s="7">
        <f t="shared" si="23"/>
        <v>7.2432013886446628E-3</v>
      </c>
      <c r="S208" s="2"/>
      <c r="T208" s="6">
        <v>178646.88044285</v>
      </c>
      <c r="U208" s="2"/>
      <c r="V208" s="7">
        <f t="shared" si="24"/>
        <v>5.9657244612504471E-3</v>
      </c>
      <c r="W208" s="2"/>
      <c r="X208" s="6">
        <f t="shared" si="25"/>
        <v>17248.719557150005</v>
      </c>
      <c r="Y208" s="2"/>
      <c r="Z208" s="7">
        <f t="shared" si="26"/>
        <v>9.6552033343050472E-2</v>
      </c>
    </row>
    <row r="209" spans="1:26" s="24" customFormat="1" hidden="1" outlineLevel="2" x14ac:dyDescent="0.25">
      <c r="A209" s="25"/>
      <c r="B209" s="11" t="str">
        <f>CONCATENATE("          ", "6116", " - ", "EDUCATIONAL BENEFITS")</f>
        <v xml:space="preserve">          6116 - EDUCATIONAL BENEFITS</v>
      </c>
      <c r="C209" s="11"/>
      <c r="D209" s="6"/>
      <c r="E209" s="2"/>
      <c r="F209" s="7">
        <f t="shared" si="19"/>
        <v>0</v>
      </c>
      <c r="G209" s="2"/>
      <c r="H209" s="6">
        <v>0</v>
      </c>
      <c r="I209" s="2"/>
      <c r="J209" s="7">
        <f t="shared" si="20"/>
        <v>0</v>
      </c>
      <c r="K209" s="2"/>
      <c r="L209" s="6">
        <f t="shared" si="21"/>
        <v>0</v>
      </c>
      <c r="M209" s="2"/>
      <c r="N209" s="7">
        <f t="shared" si="22"/>
        <v>0</v>
      </c>
      <c r="O209" s="11"/>
      <c r="P209" s="6"/>
      <c r="Q209" s="2"/>
      <c r="R209" s="7">
        <f t="shared" si="23"/>
        <v>0</v>
      </c>
      <c r="S209" s="2"/>
      <c r="T209" s="6">
        <v>16000</v>
      </c>
      <c r="U209" s="2"/>
      <c r="V209" s="7">
        <f t="shared" si="24"/>
        <v>5.3430315236062897E-4</v>
      </c>
      <c r="W209" s="2"/>
      <c r="X209" s="6">
        <f t="shared" si="25"/>
        <v>-16000</v>
      </c>
      <c r="Y209" s="2"/>
      <c r="Z209" s="7">
        <f t="shared" si="26"/>
        <v>-1</v>
      </c>
    </row>
    <row r="210" spans="1:26" s="24" customFormat="1" hidden="1" outlineLevel="2" x14ac:dyDescent="0.25">
      <c r="A210" s="25"/>
      <c r="B210" s="11" t="str">
        <f>CONCATENATE("          ", "6117", " - ", "RETIREMENT STAFF HOURLY")</f>
        <v xml:space="preserve">          6117 - RETIREMENT STAFF HOURLY</v>
      </c>
      <c r="C210" s="11"/>
      <c r="D210" s="6">
        <v>1259.6400000000001</v>
      </c>
      <c r="E210" s="2"/>
      <c r="F210" s="7">
        <f t="shared" si="19"/>
        <v>6.8197889133374181E-4</v>
      </c>
      <c r="G210" s="2"/>
      <c r="H210" s="6"/>
      <c r="I210" s="2"/>
      <c r="J210" s="7">
        <f t="shared" si="20"/>
        <v>0</v>
      </c>
      <c r="K210" s="2"/>
      <c r="L210" s="6">
        <f t="shared" si="21"/>
        <v>1259.6400000000001</v>
      </c>
      <c r="M210" s="2"/>
      <c r="N210" s="7">
        <f t="shared" si="22"/>
        <v>0</v>
      </c>
      <c r="O210" s="11"/>
      <c r="P210" s="6">
        <v>17944.43</v>
      </c>
      <c r="Q210" s="2"/>
      <c r="R210" s="7">
        <f t="shared" si="23"/>
        <v>6.6349177977676344E-4</v>
      </c>
      <c r="S210" s="2"/>
      <c r="T210" s="6"/>
      <c r="U210" s="2"/>
      <c r="V210" s="7">
        <f t="shared" si="24"/>
        <v>0</v>
      </c>
      <c r="W210" s="2"/>
      <c r="X210" s="6">
        <f t="shared" si="25"/>
        <v>17944.43</v>
      </c>
      <c r="Y210" s="2"/>
      <c r="Z210" s="7">
        <f t="shared" si="26"/>
        <v>0</v>
      </c>
    </row>
    <row r="211" spans="1:26" s="24" customFormat="1" hidden="1" outlineLevel="2" x14ac:dyDescent="0.25">
      <c r="A211" s="25"/>
      <c r="B211" s="11" t="str">
        <f>CONCATENATE("          ", "6118", " - ", "VACATION")</f>
        <v xml:space="preserve">          6118 - VACATION</v>
      </c>
      <c r="C211" s="11"/>
      <c r="D211" s="6">
        <v>32451.279999999999</v>
      </c>
      <c r="E211" s="2"/>
      <c r="F211" s="7">
        <f t="shared" si="19"/>
        <v>1.7569375342765255E-2</v>
      </c>
      <c r="G211" s="2"/>
      <c r="H211" s="6">
        <v>14231.099359246149</v>
      </c>
      <c r="I211" s="2"/>
      <c r="J211" s="7">
        <f t="shared" si="20"/>
        <v>3.8847902784925224E-3</v>
      </c>
      <c r="K211" s="2"/>
      <c r="L211" s="6">
        <f t="shared" si="21"/>
        <v>18220.18064075385</v>
      </c>
      <c r="M211" s="2"/>
      <c r="N211" s="7">
        <f t="shared" si="22"/>
        <v>1.2803073171515691</v>
      </c>
      <c r="O211" s="11"/>
      <c r="P211" s="6">
        <v>218691.43</v>
      </c>
      <c r="Q211" s="2"/>
      <c r="R211" s="7">
        <f t="shared" si="23"/>
        <v>8.0860727319076436E-3</v>
      </c>
      <c r="S211" s="2"/>
      <c r="T211" s="6">
        <v>136902.00523264994</v>
      </c>
      <c r="U211" s="2"/>
      <c r="V211" s="7">
        <f t="shared" si="24"/>
        <v>4.5716983100185116E-3</v>
      </c>
      <c r="W211" s="2"/>
      <c r="X211" s="6">
        <f t="shared" si="25"/>
        <v>81789.42476735005</v>
      </c>
      <c r="Y211" s="2"/>
      <c r="Z211" s="7">
        <f t="shared" si="26"/>
        <v>0.5974304366715294</v>
      </c>
    </row>
    <row r="212" spans="1:26" s="24" customFormat="1" hidden="1" outlineLevel="2" x14ac:dyDescent="0.25">
      <c r="A212" s="25"/>
      <c r="B212" s="11" t="str">
        <f>CONCATENATE("          ", "6119", " - ", "SICK LEAVE")</f>
        <v xml:space="preserve">          6119 - SICK LEAVE</v>
      </c>
      <c r="C212" s="11"/>
      <c r="D212" s="6">
        <v>-33955.980000000003</v>
      </c>
      <c r="E212" s="2"/>
      <c r="F212" s="7">
        <f t="shared" si="19"/>
        <v>-1.8384031623758144E-2</v>
      </c>
      <c r="G212" s="2"/>
      <c r="H212" s="6">
        <v>22914.617270134735</v>
      </c>
      <c r="I212" s="2"/>
      <c r="J212" s="7">
        <f t="shared" si="20"/>
        <v>6.2552077080791158E-3</v>
      </c>
      <c r="K212" s="2"/>
      <c r="L212" s="6">
        <f t="shared" si="21"/>
        <v>-56870.597270134735</v>
      </c>
      <c r="M212" s="2"/>
      <c r="N212" s="7">
        <f t="shared" si="22"/>
        <v>-2.4818480099275226</v>
      </c>
      <c r="O212" s="11"/>
      <c r="P212" s="6">
        <v>125297.26999999999</v>
      </c>
      <c r="Q212" s="2"/>
      <c r="R212" s="7">
        <f t="shared" si="23"/>
        <v>4.6328419834717324E-3</v>
      </c>
      <c r="S212" s="2"/>
      <c r="T212" s="6">
        <v>188538.27107632501</v>
      </c>
      <c r="U212" s="2"/>
      <c r="V212" s="7">
        <f t="shared" si="24"/>
        <v>6.2960370360439534E-3</v>
      </c>
      <c r="W212" s="2"/>
      <c r="X212" s="6">
        <f t="shared" si="25"/>
        <v>-63241.001076325017</v>
      </c>
      <c r="Y212" s="2"/>
      <c r="Z212" s="7">
        <f t="shared" si="26"/>
        <v>-0.3354279251384642</v>
      </c>
    </row>
    <row r="213" spans="1:26" s="24" customFormat="1" hidden="1" outlineLevel="2" x14ac:dyDescent="0.25">
      <c r="A213" s="25"/>
      <c r="B213" s="11" t="str">
        <f>CONCATENATE("          ", "6156", " - ", "EMPLOYEE MEALS")</f>
        <v xml:space="preserve">          6156 - EMPLOYEE MEALS</v>
      </c>
      <c r="C213" s="11"/>
      <c r="D213" s="6">
        <v>7335.69</v>
      </c>
      <c r="E213" s="2"/>
      <c r="F213" s="7">
        <f t="shared" si="19"/>
        <v>3.9715996104982502E-3</v>
      </c>
      <c r="G213" s="2"/>
      <c r="H213" s="6">
        <v>4925</v>
      </c>
      <c r="I213" s="2"/>
      <c r="J213" s="7">
        <f t="shared" si="20"/>
        <v>1.3444212311781065E-3</v>
      </c>
      <c r="K213" s="2"/>
      <c r="L213" s="6">
        <f t="shared" si="21"/>
        <v>2410.6899999999996</v>
      </c>
      <c r="M213" s="2"/>
      <c r="N213" s="7">
        <f t="shared" si="22"/>
        <v>0.48948020304568518</v>
      </c>
      <c r="O213" s="11"/>
      <c r="P213" s="6">
        <v>85343.62999999999</v>
      </c>
      <c r="Q213" s="2"/>
      <c r="R213" s="7">
        <f t="shared" si="23"/>
        <v>3.1555639806507964E-3</v>
      </c>
      <c r="S213" s="2"/>
      <c r="T213" s="6">
        <v>44450</v>
      </c>
      <c r="U213" s="2"/>
      <c r="V213" s="7">
        <f t="shared" si="24"/>
        <v>1.4843609451518725E-3</v>
      </c>
      <c r="W213" s="2"/>
      <c r="X213" s="6">
        <f t="shared" si="25"/>
        <v>40893.62999999999</v>
      </c>
      <c r="Y213" s="2"/>
      <c r="Z213" s="7">
        <f t="shared" si="26"/>
        <v>0.9199916760404947</v>
      </c>
    </row>
    <row r="214" spans="1:26" s="27" customFormat="1" outlineLevel="1" collapsed="1" x14ac:dyDescent="0.25">
      <c r="A214" s="26"/>
      <c r="B214" s="13" t="str">
        <f>CONCATENATE("     ","*Payroll                                          ")</f>
        <v xml:space="preserve">     *Payroll                                          </v>
      </c>
      <c r="C214" s="13"/>
      <c r="D214" s="1">
        <f>SUM(OSRRefD22_1x_0)</f>
        <v>903621.22</v>
      </c>
      <c r="E214" s="1"/>
      <c r="F214" s="5">
        <f t="shared" ref="F214:F224" si="27">IF(D$12=0,0,D214/D$12)</f>
        <v>0.48922755533425671</v>
      </c>
      <c r="G214" s="1"/>
      <c r="H214" s="1">
        <f>SUM(OSRRefH22_1x_0)</f>
        <v>800842.39032942755</v>
      </c>
      <c r="I214" s="1"/>
      <c r="J214" s="5">
        <f t="shared" ref="J214:J224" si="28">IF(H$12=0,0,H214/H$12)</f>
        <v>0.21861309896168668</v>
      </c>
      <c r="K214" s="1"/>
      <c r="L214" s="1">
        <f t="shared" ref="L214:L224" si="29">+D214-H214</f>
        <v>102778.82967057242</v>
      </c>
      <c r="M214" s="1"/>
      <c r="N214" s="5">
        <f t="shared" ref="N214:N224" si="30">IF(H214=0,0,L214/H214)</f>
        <v>0.12833839830618135</v>
      </c>
      <c r="O214" s="13"/>
      <c r="P214" s="1">
        <f>SUM(OSRRefP22_1x_0)</f>
        <v>6821074.7000000002</v>
      </c>
      <c r="Q214" s="1"/>
      <c r="R214" s="5">
        <f t="shared" ref="R214:R224" si="31">IF(P$12=0,0,P214/P$12)</f>
        <v>0.2522078992028865</v>
      </c>
      <c r="S214" s="1"/>
      <c r="T214" s="1">
        <f>SUM(OSRRefT22_1x_0)</f>
        <v>6644099.4519565534</v>
      </c>
      <c r="U214" s="1"/>
      <c r="V214" s="5">
        <f t="shared" ref="V214:V224" si="32">IF(T$12=0,0,T214/T$12)</f>
        <v>0.22187270511111962</v>
      </c>
      <c r="W214" s="1"/>
      <c r="X214" s="1">
        <f t="shared" ref="X214:X224" si="33">+P214-T214</f>
        <v>176975.2480434468</v>
      </c>
      <c r="Y214" s="1"/>
      <c r="Z214" s="5">
        <f t="shared" ref="Z214:Z224" si="34">IF(T214=0,0,X214/T214)</f>
        <v>2.6636453792294026E-2</v>
      </c>
    </row>
    <row r="215" spans="1:26" s="24" customFormat="1" hidden="1" outlineLevel="2" x14ac:dyDescent="0.25">
      <c r="A215" s="25"/>
      <c r="B215" s="11" t="str">
        <f>CONCATENATE("          ", "6001", " - ", "ADMINISTRATIVE SALARIES")</f>
        <v xml:space="preserve">          6001 - ADMINISTRATIVE SALARIES</v>
      </c>
      <c r="C215" s="11"/>
      <c r="D215" s="6">
        <v>23408</v>
      </c>
      <c r="E215" s="2"/>
      <c r="F215" s="7">
        <f t="shared" si="27"/>
        <v>1.2673273227541382E-2</v>
      </c>
      <c r="G215" s="2"/>
      <c r="H215" s="6">
        <v>61054.71516184615</v>
      </c>
      <c r="I215" s="2"/>
      <c r="J215" s="7">
        <f t="shared" si="28"/>
        <v>1.6666650827841183E-2</v>
      </c>
      <c r="K215" s="2"/>
      <c r="L215" s="6">
        <f t="shared" si="29"/>
        <v>-37646.71516184615</v>
      </c>
      <c r="M215" s="2"/>
      <c r="N215" s="7">
        <f t="shared" si="30"/>
        <v>-0.61660618777846743</v>
      </c>
      <c r="O215" s="11"/>
      <c r="P215" s="6">
        <v>317582.64</v>
      </c>
      <c r="Q215" s="2"/>
      <c r="R215" s="7">
        <f t="shared" si="31"/>
        <v>1.1742555825947279E-2</v>
      </c>
      <c r="S215" s="2"/>
      <c r="T215" s="6">
        <v>592767.84717800003</v>
      </c>
      <c r="U215" s="2"/>
      <c r="V215" s="7">
        <f t="shared" si="32"/>
        <v>1.9794858085326814E-2</v>
      </c>
      <c r="W215" s="2"/>
      <c r="X215" s="6">
        <f t="shared" si="33"/>
        <v>-275185.20717800001</v>
      </c>
      <c r="Y215" s="2"/>
      <c r="Z215" s="7">
        <f t="shared" si="34"/>
        <v>-0.46423774246204297</v>
      </c>
    </row>
    <row r="216" spans="1:26" s="24" customFormat="1" hidden="1" outlineLevel="2" x14ac:dyDescent="0.25">
      <c r="A216" s="25"/>
      <c r="B216" s="11" t="str">
        <f>CONCATENATE("          ", "6002", " - ", "STAFF SALARIES")</f>
        <v xml:space="preserve">          6002 - STAFF SALARIES</v>
      </c>
      <c r="C216" s="11"/>
      <c r="D216" s="6">
        <v>206221.84</v>
      </c>
      <c r="E216" s="2"/>
      <c r="F216" s="7">
        <f t="shared" si="27"/>
        <v>0.11165010781811015</v>
      </c>
      <c r="G216" s="2"/>
      <c r="H216" s="6">
        <v>134951.77562810775</v>
      </c>
      <c r="I216" s="2"/>
      <c r="J216" s="7">
        <f t="shared" si="28"/>
        <v>3.683899133799233E-2</v>
      </c>
      <c r="K216" s="2"/>
      <c r="L216" s="6">
        <f t="shared" si="29"/>
        <v>71270.064371892251</v>
      </c>
      <c r="M216" s="2"/>
      <c r="N216" s="7">
        <f t="shared" si="30"/>
        <v>0.52811505473106302</v>
      </c>
      <c r="O216" s="11"/>
      <c r="P216" s="6">
        <v>1690485.27</v>
      </c>
      <c r="Q216" s="2"/>
      <c r="R216" s="7">
        <f t="shared" si="31"/>
        <v>6.2505361300342357E-2</v>
      </c>
      <c r="S216" s="2"/>
      <c r="T216" s="6">
        <v>1311766.2443740501</v>
      </c>
      <c r="U216" s="2"/>
      <c r="V216" s="7">
        <f t="shared" si="32"/>
        <v>4.3805052470582383E-2</v>
      </c>
      <c r="W216" s="2"/>
      <c r="X216" s="6">
        <f t="shared" si="33"/>
        <v>378719.02562594996</v>
      </c>
      <c r="Y216" s="2"/>
      <c r="Z216" s="7">
        <f t="shared" si="34"/>
        <v>0.28870923249490038</v>
      </c>
    </row>
    <row r="217" spans="1:26" s="24" customFormat="1" hidden="1" outlineLevel="2" x14ac:dyDescent="0.25">
      <c r="A217" s="25"/>
      <c r="B217" s="11" t="str">
        <f>CONCATENATE("          ", "6003", " - ", "STAFF HOURLY-9 MONTH")</f>
        <v xml:space="preserve">          6003 - STAFF HOURLY-9 MONTH</v>
      </c>
      <c r="C217" s="11"/>
      <c r="D217" s="6"/>
      <c r="E217" s="2"/>
      <c r="F217" s="7">
        <f t="shared" si="27"/>
        <v>0</v>
      </c>
      <c r="G217" s="2"/>
      <c r="H217" s="6">
        <v>0</v>
      </c>
      <c r="I217" s="2"/>
      <c r="J217" s="7">
        <f t="shared" si="28"/>
        <v>0</v>
      </c>
      <c r="K217" s="2"/>
      <c r="L217" s="6">
        <f t="shared" si="29"/>
        <v>0</v>
      </c>
      <c r="M217" s="2"/>
      <c r="N217" s="7">
        <f t="shared" si="30"/>
        <v>0</v>
      </c>
      <c r="O217" s="11"/>
      <c r="P217" s="6"/>
      <c r="Q217" s="2"/>
      <c r="R217" s="7">
        <f t="shared" si="31"/>
        <v>0</v>
      </c>
      <c r="S217" s="2"/>
      <c r="T217" s="6">
        <v>0</v>
      </c>
      <c r="U217" s="2"/>
      <c r="V217" s="7">
        <f t="shared" si="32"/>
        <v>0</v>
      </c>
      <c r="W217" s="2"/>
      <c r="X217" s="6">
        <f t="shared" si="33"/>
        <v>0</v>
      </c>
      <c r="Y217" s="2"/>
      <c r="Z217" s="7">
        <f t="shared" si="34"/>
        <v>0</v>
      </c>
    </row>
    <row r="218" spans="1:26" s="24" customFormat="1" hidden="1" outlineLevel="2" x14ac:dyDescent="0.25">
      <c r="A218" s="25"/>
      <c r="B218" s="11" t="str">
        <f>CONCATENATE("          ", "6004", " - ", "STAFF HOURLY")</f>
        <v xml:space="preserve">          6004 - STAFF HOURLY</v>
      </c>
      <c r="C218" s="11"/>
      <c r="D218" s="6">
        <v>138779.76</v>
      </c>
      <c r="E218" s="2"/>
      <c r="F218" s="7">
        <f t="shared" si="27"/>
        <v>7.5136441256519929E-2</v>
      </c>
      <c r="G218" s="2"/>
      <c r="H218" s="6">
        <v>176143.34502200002</v>
      </c>
      <c r="I218" s="2"/>
      <c r="J218" s="7">
        <f t="shared" si="28"/>
        <v>4.8083421883920265E-2</v>
      </c>
      <c r="K218" s="2"/>
      <c r="L218" s="6">
        <f t="shared" si="29"/>
        <v>-37363.585022000014</v>
      </c>
      <c r="M218" s="2"/>
      <c r="N218" s="7">
        <f t="shared" si="30"/>
        <v>-0.21212033311467635</v>
      </c>
      <c r="O218" s="11"/>
      <c r="P218" s="6">
        <v>818169.99</v>
      </c>
      <c r="Q218" s="2"/>
      <c r="R218" s="7">
        <f t="shared" si="31"/>
        <v>3.0251674911102595E-2</v>
      </c>
      <c r="S218" s="2"/>
      <c r="T218" s="6">
        <v>1438258.4041220001</v>
      </c>
      <c r="U218" s="2"/>
      <c r="V218" s="7">
        <f t="shared" si="32"/>
        <v>4.8029124951972008E-2</v>
      </c>
      <c r="W218" s="2"/>
      <c r="X218" s="6">
        <f t="shared" si="33"/>
        <v>-620088.4141220001</v>
      </c>
      <c r="Y218" s="2"/>
      <c r="Z218" s="7">
        <f t="shared" si="34"/>
        <v>-0.43113839094897527</v>
      </c>
    </row>
    <row r="219" spans="1:26" s="24" customFormat="1" hidden="1" outlineLevel="2" x14ac:dyDescent="0.25">
      <c r="A219" s="25"/>
      <c r="B219" s="11" t="str">
        <f>CONCATENATE("          ", "6005", " - ", "TEMPORARY WAGES-HOURLY")</f>
        <v xml:space="preserve">          6005 - TEMPORARY WAGES-HOURLY</v>
      </c>
      <c r="C219" s="11"/>
      <c r="D219" s="6">
        <v>168081.19</v>
      </c>
      <c r="E219" s="2"/>
      <c r="F219" s="7">
        <f t="shared" si="27"/>
        <v>9.1000463315118602E-2</v>
      </c>
      <c r="G219" s="2"/>
      <c r="H219" s="6">
        <v>64444.077615999995</v>
      </c>
      <c r="I219" s="2"/>
      <c r="J219" s="7">
        <f t="shared" si="28"/>
        <v>1.7591875364596991E-2</v>
      </c>
      <c r="K219" s="2"/>
      <c r="L219" s="6">
        <f t="shared" si="29"/>
        <v>103637.11238400001</v>
      </c>
      <c r="M219" s="2"/>
      <c r="N219" s="7">
        <f t="shared" si="30"/>
        <v>1.608171242694135</v>
      </c>
      <c r="O219" s="11"/>
      <c r="P219" s="6">
        <v>1161119.1599999999</v>
      </c>
      <c r="Q219" s="2"/>
      <c r="R219" s="7">
        <f t="shared" si="31"/>
        <v>4.2932153208616854E-2</v>
      </c>
      <c r="S219" s="2"/>
      <c r="T219" s="6">
        <v>519509.05812999996</v>
      </c>
      <c r="U219" s="2"/>
      <c r="V219" s="7">
        <f t="shared" si="32"/>
        <v>1.7348457964922515E-2</v>
      </c>
      <c r="W219" s="2"/>
      <c r="X219" s="6">
        <f t="shared" si="33"/>
        <v>641610.1018699999</v>
      </c>
      <c r="Y219" s="2"/>
      <c r="Z219" s="7">
        <f t="shared" si="34"/>
        <v>1.2350315972920838</v>
      </c>
    </row>
    <row r="220" spans="1:26" s="24" customFormat="1" hidden="1" outlineLevel="2" x14ac:dyDescent="0.25">
      <c r="A220" s="25"/>
      <c r="B220" s="11" t="str">
        <f>CONCATENATE("          ", "6006", " - ", "TEMPORARY PART TIME")</f>
        <v xml:space="preserve">          6006 - TEMPORARY PART TIME</v>
      </c>
      <c r="C220" s="11"/>
      <c r="D220" s="6">
        <v>15102.87</v>
      </c>
      <c r="E220" s="2"/>
      <c r="F220" s="7">
        <f t="shared" si="27"/>
        <v>8.1768112623905476E-3</v>
      </c>
      <c r="G220" s="2"/>
      <c r="H220" s="6">
        <v>0</v>
      </c>
      <c r="I220" s="2"/>
      <c r="J220" s="7">
        <f t="shared" si="28"/>
        <v>0</v>
      </c>
      <c r="K220" s="2"/>
      <c r="L220" s="6">
        <f t="shared" si="29"/>
        <v>15102.87</v>
      </c>
      <c r="M220" s="2"/>
      <c r="N220" s="7">
        <f t="shared" si="30"/>
        <v>0</v>
      </c>
      <c r="O220" s="11"/>
      <c r="P220" s="6">
        <v>106598.54000000001</v>
      </c>
      <c r="Q220" s="2"/>
      <c r="R220" s="7">
        <f t="shared" si="31"/>
        <v>3.941460109137181E-3</v>
      </c>
      <c r="S220" s="2"/>
      <c r="T220" s="6">
        <v>0</v>
      </c>
      <c r="U220" s="2"/>
      <c r="V220" s="7">
        <f t="shared" si="32"/>
        <v>0</v>
      </c>
      <c r="W220" s="2"/>
      <c r="X220" s="6">
        <f t="shared" si="33"/>
        <v>106598.54000000001</v>
      </c>
      <c r="Y220" s="2"/>
      <c r="Z220" s="7">
        <f t="shared" si="34"/>
        <v>0</v>
      </c>
    </row>
    <row r="221" spans="1:26" s="24" customFormat="1" hidden="1" outlineLevel="2" x14ac:dyDescent="0.25">
      <c r="A221" s="25"/>
      <c r="B221" s="11" t="str">
        <f>CONCATENATE("          ", "6007", " - ", "STUDENT HOURLY")</f>
        <v xml:space="preserve">          6007 - STUDENT HOURLY</v>
      </c>
      <c r="C221" s="11"/>
      <c r="D221" s="6">
        <v>311863.37</v>
      </c>
      <c r="E221" s="2"/>
      <c r="F221" s="7">
        <f t="shared" si="27"/>
        <v>0.16884525365993813</v>
      </c>
      <c r="G221" s="2"/>
      <c r="H221" s="6">
        <v>54776.752307999996</v>
      </c>
      <c r="I221" s="2"/>
      <c r="J221" s="7">
        <f t="shared" si="28"/>
        <v>1.4952899244235441E-2</v>
      </c>
      <c r="K221" s="2"/>
      <c r="L221" s="6">
        <f t="shared" si="29"/>
        <v>257086.617692</v>
      </c>
      <c r="M221" s="2"/>
      <c r="N221" s="7">
        <f t="shared" si="30"/>
        <v>4.6933526881339622</v>
      </c>
      <c r="O221" s="11"/>
      <c r="P221" s="6">
        <v>2486128.56</v>
      </c>
      <c r="Q221" s="2"/>
      <c r="R221" s="7">
        <f t="shared" si="31"/>
        <v>9.1924115897147024E-2</v>
      </c>
      <c r="S221" s="2"/>
      <c r="T221" s="6">
        <v>623627.28564320004</v>
      </c>
      <c r="U221" s="2"/>
      <c r="V221" s="7">
        <f t="shared" si="32"/>
        <v>2.0825376538579014E-2</v>
      </c>
      <c r="W221" s="2"/>
      <c r="X221" s="6">
        <f t="shared" si="33"/>
        <v>1862501.2743568001</v>
      </c>
      <c r="Y221" s="2"/>
      <c r="Z221" s="7">
        <f t="shared" si="34"/>
        <v>2.9865615524436904</v>
      </c>
    </row>
    <row r="222" spans="1:26" s="24" customFormat="1" hidden="1" outlineLevel="2" x14ac:dyDescent="0.25">
      <c r="A222" s="25"/>
      <c r="B222" s="11" t="str">
        <f>CONCATENATE("          ", "6008", " - ", "STUDENT HOURLY-FICA EXEMPT")</f>
        <v xml:space="preserve">          6008 - STUDENT HOURLY-FICA EXEMPT</v>
      </c>
      <c r="C222" s="11"/>
      <c r="D222" s="6">
        <v>40164.19</v>
      </c>
      <c r="E222" s="2"/>
      <c r="F222" s="7">
        <f t="shared" si="27"/>
        <v>2.1745204794637957E-2</v>
      </c>
      <c r="G222" s="2"/>
      <c r="H222" s="6">
        <v>309471.7245934736</v>
      </c>
      <c r="I222" s="2"/>
      <c r="J222" s="7">
        <f t="shared" si="28"/>
        <v>8.4479260303100448E-2</v>
      </c>
      <c r="K222" s="2"/>
      <c r="L222" s="6">
        <f t="shared" si="29"/>
        <v>-269307.5345934736</v>
      </c>
      <c r="M222" s="2"/>
      <c r="N222" s="7">
        <f t="shared" si="30"/>
        <v>-0.87021693160252278</v>
      </c>
      <c r="O222" s="11"/>
      <c r="P222" s="6">
        <v>240990.54</v>
      </c>
      <c r="Q222" s="2"/>
      <c r="R222" s="7">
        <f t="shared" si="31"/>
        <v>8.9105779505932094E-3</v>
      </c>
      <c r="S222" s="2"/>
      <c r="T222" s="6">
        <v>2158170.6125093023</v>
      </c>
      <c r="U222" s="2"/>
      <c r="V222" s="7">
        <f t="shared" si="32"/>
        <v>7.2069835099736856E-2</v>
      </c>
      <c r="W222" s="2"/>
      <c r="X222" s="6">
        <f t="shared" si="33"/>
        <v>-1917180.0725093023</v>
      </c>
      <c r="Y222" s="2"/>
      <c r="Z222" s="7">
        <f t="shared" si="34"/>
        <v>-0.88833573277146949</v>
      </c>
    </row>
    <row r="223" spans="1:26" s="24" customFormat="1" hidden="1" outlineLevel="2" x14ac:dyDescent="0.25">
      <c r="A223" s="25"/>
      <c r="B223" s="11" t="str">
        <f>CONCATENATE("          ", "6009", " - ", "TEMPORARY-SEASONAL")</f>
        <v xml:space="preserve">          6009 - TEMPORARY-SEASONAL</v>
      </c>
      <c r="C223" s="11"/>
      <c r="D223" s="6"/>
      <c r="E223" s="2"/>
      <c r="F223" s="7">
        <f t="shared" si="27"/>
        <v>0</v>
      </c>
      <c r="G223" s="2"/>
      <c r="H223" s="6">
        <v>0</v>
      </c>
      <c r="I223" s="2"/>
      <c r="J223" s="7">
        <f t="shared" si="28"/>
        <v>0</v>
      </c>
      <c r="K223" s="2"/>
      <c r="L223" s="6">
        <f t="shared" si="29"/>
        <v>0</v>
      </c>
      <c r="M223" s="2"/>
      <c r="N223" s="7">
        <f t="shared" si="30"/>
        <v>0</v>
      </c>
      <c r="O223" s="11"/>
      <c r="P223" s="6"/>
      <c r="Q223" s="2"/>
      <c r="R223" s="7">
        <f t="shared" si="31"/>
        <v>0</v>
      </c>
      <c r="S223" s="2"/>
      <c r="T223" s="6">
        <v>0</v>
      </c>
      <c r="U223" s="2"/>
      <c r="V223" s="7">
        <f t="shared" si="32"/>
        <v>0</v>
      </c>
      <c r="W223" s="2"/>
      <c r="X223" s="6">
        <f t="shared" si="33"/>
        <v>0</v>
      </c>
      <c r="Y223" s="2"/>
      <c r="Z223" s="7">
        <f t="shared" si="34"/>
        <v>0</v>
      </c>
    </row>
    <row r="224" spans="1:26" s="24" customFormat="1" hidden="1" outlineLevel="2" x14ac:dyDescent="0.25">
      <c r="A224" s="25"/>
      <c r="B224" s="11" t="str">
        <f>CONCATENATE("          ", "6010", " - ", "GRATUITY")</f>
        <v xml:space="preserve">          6010 - GRATUITY</v>
      </c>
      <c r="C224" s="11"/>
      <c r="D224" s="6"/>
      <c r="E224" s="2"/>
      <c r="F224" s="7">
        <f t="shared" si="27"/>
        <v>0</v>
      </c>
      <c r="G224" s="2"/>
      <c r="H224" s="6">
        <v>0</v>
      </c>
      <c r="I224" s="2"/>
      <c r="J224" s="7">
        <f t="shared" si="28"/>
        <v>0</v>
      </c>
      <c r="K224" s="2"/>
      <c r="L224" s="6">
        <f t="shared" si="29"/>
        <v>0</v>
      </c>
      <c r="M224" s="2"/>
      <c r="N224" s="7">
        <f t="shared" si="30"/>
        <v>0</v>
      </c>
      <c r="O224" s="11"/>
      <c r="P224" s="6"/>
      <c r="Q224" s="2"/>
      <c r="R224" s="7">
        <f t="shared" si="31"/>
        <v>0</v>
      </c>
      <c r="S224" s="2"/>
      <c r="T224" s="6">
        <v>0</v>
      </c>
      <c r="U224" s="2"/>
      <c r="V224" s="7">
        <f t="shared" si="32"/>
        <v>0</v>
      </c>
      <c r="W224" s="2"/>
      <c r="X224" s="6">
        <f t="shared" si="33"/>
        <v>0</v>
      </c>
      <c r="Y224" s="2"/>
      <c r="Z224" s="7">
        <f t="shared" si="34"/>
        <v>0</v>
      </c>
    </row>
    <row r="225" spans="1:26" s="27" customFormat="1" outlineLevel="1" collapsed="1" x14ac:dyDescent="0.25">
      <c r="A225" s="26"/>
      <c r="B225" s="13" t="str">
        <f>CONCATENATE("     ","Advertising/Promo                                 ")</f>
        <v xml:space="preserve">     Advertising/Promo                                 </v>
      </c>
      <c r="C225" s="13"/>
      <c r="D225" s="1">
        <f>SUM(OSRRefD22_2x_0)</f>
        <v>2675.53</v>
      </c>
      <c r="E225" s="1"/>
      <c r="F225" s="5">
        <f t="shared" ref="F225:F229" si="35">IF(D$12=0,0,D225/D$12)</f>
        <v>1.4485527477137643E-3</v>
      </c>
      <c r="G225" s="1"/>
      <c r="H225" s="1">
        <f>SUM(OSRRefH22_2x_0)</f>
        <v>5835</v>
      </c>
      <c r="I225" s="1"/>
      <c r="J225" s="5">
        <f t="shared" ref="J225:J229" si="36">IF(H$12=0,0,H225/H$12)</f>
        <v>1.5928320576495943E-3</v>
      </c>
      <c r="K225" s="1"/>
      <c r="L225" s="1">
        <f t="shared" ref="L225:L229" si="37">+D225-H225</f>
        <v>-3159.47</v>
      </c>
      <c r="M225" s="1"/>
      <c r="N225" s="5">
        <f t="shared" ref="N225:N229" si="38">IF(H225=0,0,L225/H225)</f>
        <v>-0.54146872322193651</v>
      </c>
      <c r="O225" s="13"/>
      <c r="P225" s="1">
        <f>SUM(OSRRefP22_2x_0)</f>
        <v>85766.819999999992</v>
      </c>
      <c r="Q225" s="1"/>
      <c r="R225" s="5">
        <f t="shared" ref="R225:R229" si="39">IF(P$12=0,0,P225/P$12)</f>
        <v>3.1712113478997829E-3</v>
      </c>
      <c r="S225" s="1"/>
      <c r="T225" s="1">
        <f>SUM(OSRRefT22_2x_0)</f>
        <v>95590</v>
      </c>
      <c r="U225" s="1"/>
      <c r="V225" s="5">
        <f t="shared" ref="V225:V229" si="40">IF(T$12=0,0,T225/T$12)</f>
        <v>3.192127395884533E-3</v>
      </c>
      <c r="W225" s="1"/>
      <c r="X225" s="1">
        <f t="shared" ref="X225:X229" si="41">+P225-T225</f>
        <v>-9823.1800000000076</v>
      </c>
      <c r="Y225" s="1"/>
      <c r="Z225" s="5">
        <f t="shared" ref="Z225:Z229" si="42">IF(T225=0,0,X225/T225)</f>
        <v>-0.10276367820901776</v>
      </c>
    </row>
    <row r="226" spans="1:26" s="24" customFormat="1" hidden="1" outlineLevel="2" x14ac:dyDescent="0.25">
      <c r="A226" s="25"/>
      <c r="B226" s="11" t="str">
        <f>CONCATENATE("          ", "6362", " - ", "ADVERTISING EXPENSE")</f>
        <v xml:space="preserve">          6362 - ADVERTISING EXPENSE</v>
      </c>
      <c r="C226" s="11"/>
      <c r="D226" s="6">
        <v>2675.53</v>
      </c>
      <c r="E226" s="2"/>
      <c r="F226" s="7">
        <f t="shared" si="35"/>
        <v>1.4485527477137643E-3</v>
      </c>
      <c r="G226" s="2"/>
      <c r="H226" s="6">
        <v>5835</v>
      </c>
      <c r="I226" s="2"/>
      <c r="J226" s="7">
        <f t="shared" si="36"/>
        <v>1.5928320576495943E-3</v>
      </c>
      <c r="K226" s="2"/>
      <c r="L226" s="6">
        <f t="shared" si="37"/>
        <v>-3159.47</v>
      </c>
      <c r="M226" s="2"/>
      <c r="N226" s="7">
        <f t="shared" si="38"/>
        <v>-0.54146872322193651</v>
      </c>
      <c r="O226" s="11"/>
      <c r="P226" s="6">
        <v>85766.819999999992</v>
      </c>
      <c r="Q226" s="2"/>
      <c r="R226" s="7">
        <f t="shared" si="39"/>
        <v>3.1712113478997829E-3</v>
      </c>
      <c r="S226" s="2"/>
      <c r="T226" s="6">
        <v>95590</v>
      </c>
      <c r="U226" s="2"/>
      <c r="V226" s="7">
        <f t="shared" si="40"/>
        <v>3.192127395884533E-3</v>
      </c>
      <c r="W226" s="2"/>
      <c r="X226" s="6">
        <f t="shared" si="41"/>
        <v>-9823.1800000000076</v>
      </c>
      <c r="Y226" s="2"/>
      <c r="Z226" s="7">
        <f t="shared" si="42"/>
        <v>-0.10276367820901776</v>
      </c>
    </row>
    <row r="227" spans="1:26" s="27" customFormat="1" outlineLevel="1" collapsed="1" x14ac:dyDescent="0.25">
      <c r="A227" s="26"/>
      <c r="B227" s="13" t="str">
        <f>CONCATENATE("     ","Bad Debts/Over/Short                              ")</f>
        <v xml:space="preserve">     Bad Debts/Over/Short                              </v>
      </c>
      <c r="C227" s="13"/>
      <c r="D227" s="1">
        <f>SUM(OSRRefD22_3x_0)</f>
        <v>-49.44</v>
      </c>
      <c r="E227" s="1"/>
      <c r="F227" s="5">
        <f t="shared" si="35"/>
        <v>-2.6767200460083984E-5</v>
      </c>
      <c r="G227" s="1"/>
      <c r="H227" s="1">
        <f>SUM(OSRRefH22_3x_0)</f>
        <v>427</v>
      </c>
      <c r="I227" s="1"/>
      <c r="J227" s="5">
        <f t="shared" si="36"/>
        <v>1.1656200319046731E-4</v>
      </c>
      <c r="K227" s="1"/>
      <c r="L227" s="1">
        <f t="shared" si="37"/>
        <v>-476.44</v>
      </c>
      <c r="M227" s="1"/>
      <c r="N227" s="5">
        <f t="shared" si="38"/>
        <v>-1.1157845433255269</v>
      </c>
      <c r="O227" s="13"/>
      <c r="P227" s="1">
        <f>SUM(OSRRefP22_3x_0)</f>
        <v>-657.04000000000008</v>
      </c>
      <c r="Q227" s="1"/>
      <c r="R227" s="5">
        <f t="shared" si="39"/>
        <v>-2.4293925133566497E-5</v>
      </c>
      <c r="S227" s="1"/>
      <c r="T227" s="1">
        <f>SUM(OSRRefT22_3x_0)</f>
        <v>3580</v>
      </c>
      <c r="U227" s="1"/>
      <c r="V227" s="5">
        <f t="shared" si="40"/>
        <v>1.1955033034069073E-4</v>
      </c>
      <c r="W227" s="1"/>
      <c r="X227" s="1">
        <f t="shared" si="41"/>
        <v>-4237.04</v>
      </c>
      <c r="Y227" s="1"/>
      <c r="Z227" s="5">
        <f t="shared" si="42"/>
        <v>-1.1835307262569832</v>
      </c>
    </row>
    <row r="228" spans="1:26" s="24" customFormat="1" hidden="1" outlineLevel="2" x14ac:dyDescent="0.25">
      <c r="A228" s="25"/>
      <c r="B228" s="11" t="str">
        <f>CONCATENATE("          ", "6272", " - ", "CASH (OVER/SHORT)")</f>
        <v xml:space="preserve">          6272 - CASH (OVER/SHORT)</v>
      </c>
      <c r="C228" s="11"/>
      <c r="D228" s="6">
        <v>-49.44</v>
      </c>
      <c r="E228" s="2"/>
      <c r="F228" s="7">
        <f t="shared" si="35"/>
        <v>-2.6767200460083984E-5</v>
      </c>
      <c r="G228" s="2"/>
      <c r="H228" s="6">
        <v>367</v>
      </c>
      <c r="I228" s="2"/>
      <c r="J228" s="7">
        <f t="shared" si="36"/>
        <v>1.0018326737916044E-4</v>
      </c>
      <c r="K228" s="2"/>
      <c r="L228" s="6">
        <f t="shared" si="37"/>
        <v>-416.44</v>
      </c>
      <c r="M228" s="2"/>
      <c r="N228" s="7">
        <f t="shared" si="38"/>
        <v>-1.1347138964577657</v>
      </c>
      <c r="O228" s="11"/>
      <c r="P228" s="6">
        <v>-701.84</v>
      </c>
      <c r="Q228" s="2"/>
      <c r="R228" s="7">
        <f t="shared" si="39"/>
        <v>-2.5950396346862154E-5</v>
      </c>
      <c r="S228" s="2"/>
      <c r="T228" s="6">
        <v>3090</v>
      </c>
      <c r="U228" s="2"/>
      <c r="V228" s="7">
        <f t="shared" si="40"/>
        <v>1.0318729629964648E-4</v>
      </c>
      <c r="W228" s="2"/>
      <c r="X228" s="6">
        <f t="shared" si="41"/>
        <v>-3791.84</v>
      </c>
      <c r="Y228" s="2"/>
      <c r="Z228" s="7">
        <f t="shared" si="42"/>
        <v>-1.2271326860841425</v>
      </c>
    </row>
    <row r="229" spans="1:26" s="24" customFormat="1" hidden="1" outlineLevel="2" x14ac:dyDescent="0.25">
      <c r="A229" s="25"/>
      <c r="B229" s="11" t="str">
        <f>CONCATENATE("          ", "6342", " - ", "BAD DEBT")</f>
        <v xml:space="preserve">          6342 - BAD DEBT</v>
      </c>
      <c r="C229" s="11"/>
      <c r="D229" s="6"/>
      <c r="E229" s="2"/>
      <c r="F229" s="7">
        <f t="shared" si="35"/>
        <v>0</v>
      </c>
      <c r="G229" s="2"/>
      <c r="H229" s="6">
        <v>60</v>
      </c>
      <c r="I229" s="2"/>
      <c r="J229" s="7">
        <f t="shared" si="36"/>
        <v>1.6378735811306882E-5</v>
      </c>
      <c r="K229" s="2"/>
      <c r="L229" s="6">
        <f t="shared" si="37"/>
        <v>-60</v>
      </c>
      <c r="M229" s="2"/>
      <c r="N229" s="7">
        <f t="shared" si="38"/>
        <v>-1</v>
      </c>
      <c r="O229" s="11"/>
      <c r="P229" s="6">
        <v>44.8</v>
      </c>
      <c r="Q229" s="2"/>
      <c r="R229" s="7">
        <f t="shared" si="39"/>
        <v>1.6564712132956577E-6</v>
      </c>
      <c r="S229" s="2"/>
      <c r="T229" s="6">
        <v>490</v>
      </c>
      <c r="U229" s="2"/>
      <c r="V229" s="7">
        <f t="shared" si="40"/>
        <v>1.6363034041044264E-5</v>
      </c>
      <c r="W229" s="2"/>
      <c r="X229" s="6">
        <f t="shared" si="41"/>
        <v>-445.2</v>
      </c>
      <c r="Y229" s="2"/>
      <c r="Z229" s="7">
        <f t="shared" si="42"/>
        <v>-0.90857142857142859</v>
      </c>
    </row>
    <row r="230" spans="1:26" s="27" customFormat="1" outlineLevel="1" collapsed="1" x14ac:dyDescent="0.25">
      <c r="A230" s="26"/>
      <c r="B230" s="13" t="str">
        <f>CONCATENATE("     ","Bank/card Fees                                    ")</f>
        <v xml:space="preserve">     Bank/card Fees                                    </v>
      </c>
      <c r="C230" s="13"/>
      <c r="D230" s="1">
        <f>SUM(OSRRefD22_4x_0)</f>
        <v>29271.83</v>
      </c>
      <c r="E230" s="1"/>
      <c r="F230" s="5">
        <f t="shared" ref="F230:F236" si="43">IF(D$12=0,0,D230/D$12)</f>
        <v>1.5847996388420313E-2</v>
      </c>
      <c r="G230" s="1"/>
      <c r="H230" s="1">
        <f>SUM(OSRRefH22_4x_0)</f>
        <v>39924</v>
      </c>
      <c r="I230" s="1"/>
      <c r="J230" s="5">
        <f t="shared" ref="J230:J236" si="44">IF(H$12=0,0,H230/H$12)</f>
        <v>1.08984108088436E-2</v>
      </c>
      <c r="K230" s="1"/>
      <c r="L230" s="1">
        <f t="shared" ref="L230:L236" si="45">+D230-H230</f>
        <v>-10652.169999999998</v>
      </c>
      <c r="M230" s="1"/>
      <c r="N230" s="5">
        <f t="shared" ref="N230:N236" si="46">IF(H230=0,0,L230/H230)</f>
        <v>-0.26681119126340042</v>
      </c>
      <c r="O230" s="13"/>
      <c r="P230" s="1">
        <f>SUM(OSRRefP22_4x_0)</f>
        <v>393451.75</v>
      </c>
      <c r="Q230" s="1"/>
      <c r="R230" s="5">
        <f t="shared" ref="R230:R236" si="47">IF(P$12=0,0,P230/P$12)</f>
        <v>1.4547801287852675E-2</v>
      </c>
      <c r="S230" s="1"/>
      <c r="T230" s="1">
        <f>SUM(OSRRefT22_4x_0)</f>
        <v>348359</v>
      </c>
      <c r="U230" s="1"/>
      <c r="V230" s="5">
        <f t="shared" ref="V230:V236" si="48">IF(T$12=0,0,T230/T$12)</f>
        <v>1.1633081990824773E-2</v>
      </c>
      <c r="W230" s="1"/>
      <c r="X230" s="1">
        <f t="shared" ref="X230:X236" si="49">+P230-T230</f>
        <v>45092.75</v>
      </c>
      <c r="Y230" s="1"/>
      <c r="Z230" s="5">
        <f t="shared" ref="Z230:Z236" si="50">IF(T230=0,0,X230/T230)</f>
        <v>0.12944333288360571</v>
      </c>
    </row>
    <row r="231" spans="1:26" s="24" customFormat="1" hidden="1" outlineLevel="2" x14ac:dyDescent="0.25">
      <c r="A231" s="25"/>
      <c r="B231" s="11" t="str">
        <f>CONCATENATE("          ", "6381", " - ", "BANK/CREDIT CARD FEES")</f>
        <v xml:space="preserve">          6381 - BANK/CREDIT CARD FEES</v>
      </c>
      <c r="C231" s="11"/>
      <c r="D231" s="6">
        <v>29271.83</v>
      </c>
      <c r="E231" s="2"/>
      <c r="F231" s="7">
        <f t="shared" si="43"/>
        <v>1.5847996388420313E-2</v>
      </c>
      <c r="G231" s="2"/>
      <c r="H231" s="6">
        <v>39924</v>
      </c>
      <c r="I231" s="2"/>
      <c r="J231" s="7">
        <f t="shared" si="44"/>
        <v>1.08984108088436E-2</v>
      </c>
      <c r="K231" s="2"/>
      <c r="L231" s="6">
        <f t="shared" si="45"/>
        <v>-10652.169999999998</v>
      </c>
      <c r="M231" s="2"/>
      <c r="N231" s="7">
        <f t="shared" si="46"/>
        <v>-0.26681119126340042</v>
      </c>
      <c r="O231" s="11"/>
      <c r="P231" s="6">
        <v>393451.75</v>
      </c>
      <c r="Q231" s="2"/>
      <c r="R231" s="7">
        <f t="shared" si="47"/>
        <v>1.4547801287852675E-2</v>
      </c>
      <c r="S231" s="2"/>
      <c r="T231" s="6">
        <v>348359</v>
      </c>
      <c r="U231" s="2"/>
      <c r="V231" s="7">
        <f t="shared" si="48"/>
        <v>1.1633081990824773E-2</v>
      </c>
      <c r="W231" s="2"/>
      <c r="X231" s="6">
        <f t="shared" si="49"/>
        <v>45092.75</v>
      </c>
      <c r="Y231" s="2"/>
      <c r="Z231" s="7">
        <f t="shared" si="50"/>
        <v>0.12944333288360571</v>
      </c>
    </row>
    <row r="232" spans="1:26" s="27" customFormat="1" outlineLevel="1" collapsed="1" x14ac:dyDescent="0.25">
      <c r="A232" s="26"/>
      <c r="B232" s="13" t="str">
        <f>CONCATENATE("     ","Depreciation                                      ")</f>
        <v xml:space="preserve">     Depreciation                                      </v>
      </c>
      <c r="C232" s="13"/>
      <c r="D232" s="1">
        <f>SUM(OSRRefD22_5x_0)</f>
        <v>83437.950000000012</v>
      </c>
      <c r="E232" s="1"/>
      <c r="F232" s="5">
        <f t="shared" si="43"/>
        <v>4.5173954968213283E-2</v>
      </c>
      <c r="G232" s="1"/>
      <c r="H232" s="1">
        <f>SUM(OSRRefH22_5x_0)</f>
        <v>85493</v>
      </c>
      <c r="I232" s="1"/>
      <c r="J232" s="5">
        <f t="shared" si="44"/>
        <v>2.333778767860099E-2</v>
      </c>
      <c r="K232" s="1"/>
      <c r="L232" s="1">
        <f t="shared" si="45"/>
        <v>-2055.0499999999884</v>
      </c>
      <c r="M232" s="1"/>
      <c r="N232" s="5">
        <f t="shared" si="46"/>
        <v>-2.4037640508579514E-2</v>
      </c>
      <c r="O232" s="13"/>
      <c r="P232" s="1">
        <f>SUM(OSRRefP22_5x_0)</f>
        <v>711559.56</v>
      </c>
      <c r="Q232" s="1"/>
      <c r="R232" s="5">
        <f t="shared" si="47"/>
        <v>2.6309775171547423E-2</v>
      </c>
      <c r="S232" s="1"/>
      <c r="T232" s="1">
        <f>SUM(OSRRefT22_5x_0)</f>
        <v>742898</v>
      </c>
      <c r="U232" s="1"/>
      <c r="V232" s="5">
        <f t="shared" si="48"/>
        <v>2.4808296455150411E-2</v>
      </c>
      <c r="W232" s="1"/>
      <c r="X232" s="1">
        <f t="shared" si="49"/>
        <v>-31338.439999999944</v>
      </c>
      <c r="Y232" s="1"/>
      <c r="Z232" s="5">
        <f t="shared" si="50"/>
        <v>-4.2184041416183572E-2</v>
      </c>
    </row>
    <row r="233" spans="1:26" s="24" customFormat="1" hidden="1" outlineLevel="2" x14ac:dyDescent="0.25">
      <c r="A233" s="25"/>
      <c r="B233" s="11" t="str">
        <f>CONCATENATE("          ", "6321", " - ", "BUILDING DEPRECIATION")</f>
        <v xml:space="preserve">          6321 - BUILDING DEPRECIATION</v>
      </c>
      <c r="C233" s="11"/>
      <c r="D233" s="6">
        <v>45519.990000000005</v>
      </c>
      <c r="E233" s="2"/>
      <c r="F233" s="7">
        <f t="shared" si="43"/>
        <v>2.4644876562925133E-2</v>
      </c>
      <c r="G233" s="2"/>
      <c r="H233" s="6">
        <v>44515</v>
      </c>
      <c r="I233" s="2"/>
      <c r="J233" s="7">
        <f t="shared" si="44"/>
        <v>1.2151657077338765E-2</v>
      </c>
      <c r="K233" s="2"/>
      <c r="L233" s="6">
        <f t="shared" si="45"/>
        <v>1004.9900000000052</v>
      </c>
      <c r="M233" s="2"/>
      <c r="N233" s="7">
        <f t="shared" si="46"/>
        <v>2.2576434909581156E-2</v>
      </c>
      <c r="O233" s="11"/>
      <c r="P233" s="6">
        <v>409679.91</v>
      </c>
      <c r="Q233" s="2"/>
      <c r="R233" s="7">
        <f t="shared" si="47"/>
        <v>1.5147834320994551E-2</v>
      </c>
      <c r="S233" s="2"/>
      <c r="T233" s="6">
        <v>401049</v>
      </c>
      <c r="U233" s="2"/>
      <c r="V233" s="7">
        <f t="shared" si="48"/>
        <v>1.3392609059442369E-2</v>
      </c>
      <c r="W233" s="2"/>
      <c r="X233" s="6">
        <f t="shared" si="49"/>
        <v>8630.9099999999744</v>
      </c>
      <c r="Y233" s="2"/>
      <c r="Z233" s="7">
        <f t="shared" si="50"/>
        <v>2.1520836606000699E-2</v>
      </c>
    </row>
    <row r="234" spans="1:26" s="24" customFormat="1" hidden="1" outlineLevel="2" x14ac:dyDescent="0.25">
      <c r="A234" s="25"/>
      <c r="B234" s="11" t="str">
        <f>CONCATENATE("          ", "6322", " - ", "EQUIPMENT DEPRECIATION EXPENSE")</f>
        <v xml:space="preserve">          6322 - EQUIPMENT DEPRECIATION EXPENSE</v>
      </c>
      <c r="C234" s="11"/>
      <c r="D234" s="6">
        <v>37493.71</v>
      </c>
      <c r="E234" s="2"/>
      <c r="F234" s="7">
        <f t="shared" si="43"/>
        <v>2.0299386156194487E-2</v>
      </c>
      <c r="G234" s="2"/>
      <c r="H234" s="6">
        <v>31525</v>
      </c>
      <c r="I234" s="2"/>
      <c r="J234" s="7">
        <f t="shared" si="44"/>
        <v>8.6056607741908254E-3</v>
      </c>
      <c r="K234" s="2"/>
      <c r="L234" s="6">
        <f t="shared" si="45"/>
        <v>5968.7099999999991</v>
      </c>
      <c r="M234" s="2"/>
      <c r="N234" s="7">
        <f t="shared" si="46"/>
        <v>0.18933259318001583</v>
      </c>
      <c r="O234" s="11"/>
      <c r="P234" s="6">
        <v>298061.40000000002</v>
      </c>
      <c r="Q234" s="2"/>
      <c r="R234" s="7">
        <f t="shared" si="47"/>
        <v>1.102076180568309E-2</v>
      </c>
      <c r="S234" s="2"/>
      <c r="T234" s="6">
        <v>283725</v>
      </c>
      <c r="U234" s="2"/>
      <c r="V234" s="7">
        <f t="shared" si="48"/>
        <v>9.4746976189699662E-3</v>
      </c>
      <c r="W234" s="2"/>
      <c r="X234" s="6">
        <f t="shared" si="49"/>
        <v>14336.400000000023</v>
      </c>
      <c r="Y234" s="2"/>
      <c r="Z234" s="7">
        <f t="shared" si="50"/>
        <v>5.0529209621993212E-2</v>
      </c>
    </row>
    <row r="235" spans="1:26" s="24" customFormat="1" hidden="1" outlineLevel="2" x14ac:dyDescent="0.25">
      <c r="A235" s="25"/>
      <c r="B235" s="11" t="str">
        <f>CONCATENATE("          ", "6324", " - ", "FURNITURE + FIXT DEPRECIATION")</f>
        <v xml:space="preserve">          6324 - FURNITURE + FIXT DEPRECIATION</v>
      </c>
      <c r="C235" s="11"/>
      <c r="D235" s="6"/>
      <c r="E235" s="2"/>
      <c r="F235" s="7">
        <f t="shared" si="43"/>
        <v>0</v>
      </c>
      <c r="G235" s="2"/>
      <c r="H235" s="6">
        <v>6946</v>
      </c>
      <c r="I235" s="2"/>
      <c r="J235" s="7">
        <f t="shared" si="44"/>
        <v>1.8961116490889601E-3</v>
      </c>
      <c r="K235" s="2"/>
      <c r="L235" s="6">
        <f t="shared" si="45"/>
        <v>-6946</v>
      </c>
      <c r="M235" s="2"/>
      <c r="N235" s="7">
        <f t="shared" si="46"/>
        <v>-1</v>
      </c>
      <c r="O235" s="11"/>
      <c r="P235" s="6"/>
      <c r="Q235" s="2"/>
      <c r="R235" s="7">
        <f t="shared" si="47"/>
        <v>0</v>
      </c>
      <c r="S235" s="2"/>
      <c r="T235" s="6">
        <v>41810</v>
      </c>
      <c r="U235" s="2"/>
      <c r="V235" s="7">
        <f t="shared" si="48"/>
        <v>1.3962009250123686E-3</v>
      </c>
      <c r="W235" s="2"/>
      <c r="X235" s="6">
        <f t="shared" si="49"/>
        <v>-41810</v>
      </c>
      <c r="Y235" s="2"/>
      <c r="Z235" s="7">
        <f t="shared" si="50"/>
        <v>-1</v>
      </c>
    </row>
    <row r="236" spans="1:26" s="24" customFormat="1" hidden="1" outlineLevel="2" x14ac:dyDescent="0.25">
      <c r="A236" s="25"/>
      <c r="B236" s="11" t="str">
        <f>CONCATENATE("          ", "6326", " - ", "VEHICLES DEPRECIATION EXPENSE")</f>
        <v xml:space="preserve">          6326 - VEHICLES DEPRECIATION EXPENSE</v>
      </c>
      <c r="C236" s="11"/>
      <c r="D236" s="6">
        <v>424.25</v>
      </c>
      <c r="E236" s="2"/>
      <c r="F236" s="7">
        <f t="shared" si="43"/>
        <v>2.2969224909366161E-4</v>
      </c>
      <c r="G236" s="2"/>
      <c r="H236" s="6">
        <v>2507</v>
      </c>
      <c r="I236" s="2"/>
      <c r="J236" s="7">
        <f t="shared" si="44"/>
        <v>6.8435817798243926E-4</v>
      </c>
      <c r="K236" s="2"/>
      <c r="L236" s="6">
        <f t="shared" si="45"/>
        <v>-2082.75</v>
      </c>
      <c r="M236" s="2"/>
      <c r="N236" s="7">
        <f t="shared" si="46"/>
        <v>-0.83077383326685283</v>
      </c>
      <c r="O236" s="11"/>
      <c r="P236" s="6">
        <v>3818.25</v>
      </c>
      <c r="Q236" s="2"/>
      <c r="R236" s="7">
        <f t="shared" si="47"/>
        <v>1.4117904486978002E-4</v>
      </c>
      <c r="S236" s="2"/>
      <c r="T236" s="6">
        <v>16314</v>
      </c>
      <c r="U236" s="2"/>
      <c r="V236" s="7">
        <f t="shared" si="48"/>
        <v>5.4478885172570639E-4</v>
      </c>
      <c r="W236" s="2"/>
      <c r="X236" s="6">
        <f t="shared" si="49"/>
        <v>-12495.75</v>
      </c>
      <c r="Y236" s="2"/>
      <c r="Z236" s="7">
        <f t="shared" si="50"/>
        <v>-0.76595255608679658</v>
      </c>
    </row>
    <row r="237" spans="1:26" s="27" customFormat="1" outlineLevel="1" collapsed="1" x14ac:dyDescent="0.25">
      <c r="A237" s="26"/>
      <c r="B237" s="13" t="str">
        <f>CONCATENATE("     ","Discounts and Markdowns                           ")</f>
        <v xml:space="preserve">     Discounts and Markdowns                           </v>
      </c>
      <c r="C237" s="13"/>
      <c r="D237" s="1">
        <f>SUM(OSRRefD22_6x_0)</f>
        <v>18119.05</v>
      </c>
      <c r="E237" s="1"/>
      <c r="F237" s="5">
        <f t="shared" ref="F237:F239" si="51">IF(D$12=0,0,D237/D$12)</f>
        <v>9.8097945690996096E-3</v>
      </c>
      <c r="G237" s="1"/>
      <c r="H237" s="1">
        <f>SUM(OSRRefH22_6x_0)</f>
        <v>33525</v>
      </c>
      <c r="I237" s="1"/>
      <c r="J237" s="5">
        <f t="shared" ref="J237:J239" si="52">IF(H$12=0,0,H237/H$12)</f>
        <v>9.1516186345677215E-3</v>
      </c>
      <c r="K237" s="1"/>
      <c r="L237" s="1">
        <f t="shared" ref="L237:L239" si="53">+D237-H237</f>
        <v>-15405.95</v>
      </c>
      <c r="M237" s="1"/>
      <c r="N237" s="5">
        <f t="shared" ref="N237:N239" si="54">IF(H237=0,0,L237/H237)</f>
        <v>-0.45953616703952277</v>
      </c>
      <c r="O237" s="13"/>
      <c r="P237" s="1">
        <f>SUM(OSRRefP22_6x_0)</f>
        <v>326893.01</v>
      </c>
      <c r="Q237" s="1"/>
      <c r="R237" s="5">
        <f t="shared" ref="R237:R239" si="55">IF(P$12=0,0,P237/P$12)</f>
        <v>1.2086804930637714E-2</v>
      </c>
      <c r="S237" s="1"/>
      <c r="T237" s="1">
        <f>SUM(OSRRefT22_6x_0)</f>
        <v>310225</v>
      </c>
      <c r="U237" s="1"/>
      <c r="V237" s="5">
        <f t="shared" ref="V237:V239" si="56">IF(T$12=0,0,T237/T$12)</f>
        <v>1.0359637215067259E-2</v>
      </c>
      <c r="W237" s="1"/>
      <c r="X237" s="1">
        <f t="shared" ref="X237:X239" si="57">+P237-T237</f>
        <v>16668.010000000009</v>
      </c>
      <c r="Y237" s="1"/>
      <c r="Z237" s="5">
        <f t="shared" ref="Z237:Z239" si="58">IF(T237=0,0,X237/T237)</f>
        <v>5.3728777500201497E-2</v>
      </c>
    </row>
    <row r="238" spans="1:26" s="24" customFormat="1" hidden="1" outlineLevel="2" x14ac:dyDescent="0.25">
      <c r="A238" s="25"/>
      <c r="B238" s="11" t="str">
        <f>CONCATENATE("          ", "6382", " - ", "DISCOUNTS/MARK DOWNS")</f>
        <v xml:space="preserve">          6382 - DISCOUNTS/MARK DOWNS</v>
      </c>
      <c r="C238" s="11"/>
      <c r="D238" s="6">
        <v>18254.759999999998</v>
      </c>
      <c r="E238" s="2"/>
      <c r="F238" s="7">
        <f t="shared" si="51"/>
        <v>9.8832690184207667E-3</v>
      </c>
      <c r="G238" s="2"/>
      <c r="H238" s="6">
        <v>33525</v>
      </c>
      <c r="I238" s="2"/>
      <c r="J238" s="7">
        <f t="shared" si="52"/>
        <v>9.1516186345677215E-3</v>
      </c>
      <c r="K238" s="2"/>
      <c r="L238" s="6">
        <f t="shared" si="53"/>
        <v>-15270.240000000002</v>
      </c>
      <c r="M238" s="2"/>
      <c r="N238" s="7">
        <f t="shared" si="54"/>
        <v>-0.45548814317673381</v>
      </c>
      <c r="O238" s="11"/>
      <c r="P238" s="6">
        <v>330124.49</v>
      </c>
      <c r="Q238" s="2"/>
      <c r="R238" s="7">
        <f t="shared" si="55"/>
        <v>1.2206288269841747E-2</v>
      </c>
      <c r="S238" s="2"/>
      <c r="T238" s="6">
        <v>310225</v>
      </c>
      <c r="U238" s="2"/>
      <c r="V238" s="7">
        <f t="shared" si="56"/>
        <v>1.0359637215067259E-2</v>
      </c>
      <c r="W238" s="2"/>
      <c r="X238" s="6">
        <f t="shared" si="57"/>
        <v>19899.489999999991</v>
      </c>
      <c r="Y238" s="2"/>
      <c r="Z238" s="7">
        <f t="shared" si="58"/>
        <v>6.414534611975177E-2</v>
      </c>
    </row>
    <row r="239" spans="1:26" s="24" customFormat="1" hidden="1" outlineLevel="2" x14ac:dyDescent="0.25">
      <c r="A239" s="25"/>
      <c r="B239" s="11" t="str">
        <f>CONCATENATE("          ", "9175", " - ", "EARNED DISCOUNTS")</f>
        <v xml:space="preserve">          9175 - EARNED DISCOUNTS</v>
      </c>
      <c r="C239" s="11"/>
      <c r="D239" s="6">
        <v>-135.71</v>
      </c>
      <c r="E239" s="2"/>
      <c r="F239" s="7">
        <f t="shared" si="51"/>
        <v>-7.3474449321156909E-5</v>
      </c>
      <c r="G239" s="2"/>
      <c r="H239" s="6"/>
      <c r="I239" s="2"/>
      <c r="J239" s="7">
        <f t="shared" si="52"/>
        <v>0</v>
      </c>
      <c r="K239" s="2"/>
      <c r="L239" s="6">
        <f t="shared" si="53"/>
        <v>-135.71</v>
      </c>
      <c r="M239" s="2"/>
      <c r="N239" s="7">
        <f t="shared" si="54"/>
        <v>0</v>
      </c>
      <c r="O239" s="11"/>
      <c r="P239" s="6">
        <v>-3231.48</v>
      </c>
      <c r="Q239" s="2"/>
      <c r="R239" s="7">
        <f t="shared" si="55"/>
        <v>-1.1948333920403242E-4</v>
      </c>
      <c r="S239" s="2"/>
      <c r="T239" s="6"/>
      <c r="U239" s="2"/>
      <c r="V239" s="7">
        <f t="shared" si="56"/>
        <v>0</v>
      </c>
      <c r="W239" s="2"/>
      <c r="X239" s="6">
        <f t="shared" si="57"/>
        <v>-3231.48</v>
      </c>
      <c r="Y239" s="2"/>
      <c r="Z239" s="7">
        <f t="shared" si="58"/>
        <v>0</v>
      </c>
    </row>
    <row r="240" spans="1:26" s="27" customFormat="1" outlineLevel="1" collapsed="1" x14ac:dyDescent="0.25">
      <c r="A240" s="26"/>
      <c r="B240" s="13" t="str">
        <f>CONCATENATE("     ","Donations                                         ")</f>
        <v xml:space="preserve">     Donations                                         </v>
      </c>
      <c r="C240" s="13"/>
      <c r="D240" s="1">
        <f>SUM(OSRRefD22_7x_0)</f>
        <v>15006.809999999998</v>
      </c>
      <c r="E240" s="1"/>
      <c r="F240" s="5">
        <f t="shared" ref="F240:F243" si="59">IF(D$12=0,0,D240/D$12)</f>
        <v>8.1248036313995332E-3</v>
      </c>
      <c r="G240" s="1"/>
      <c r="H240" s="1">
        <f>SUM(OSRRefH22_7x_0)</f>
        <v>16554</v>
      </c>
      <c r="I240" s="1"/>
      <c r="J240" s="5">
        <f t="shared" ref="J240:J243" si="60">IF(H$12=0,0,H240/H$12)</f>
        <v>4.5188932103395691E-3</v>
      </c>
      <c r="K240" s="1"/>
      <c r="L240" s="1">
        <f t="shared" ref="L240:L243" si="61">+D240-H240</f>
        <v>-1547.1900000000023</v>
      </c>
      <c r="M240" s="1"/>
      <c r="N240" s="5">
        <f t="shared" ref="N240:N243" si="62">IF(H240=0,0,L240/H240)</f>
        <v>-9.3463211308445232E-2</v>
      </c>
      <c r="O240" s="13"/>
      <c r="P240" s="1">
        <f>SUM(OSRRefP22_7x_0)</f>
        <v>132751.98000000001</v>
      </c>
      <c r="Q240" s="1"/>
      <c r="R240" s="5">
        <f t="shared" ref="R240:R243" si="63">IF(P$12=0,0,P240/P$12)</f>
        <v>4.9084784236160918E-3</v>
      </c>
      <c r="S240" s="1"/>
      <c r="T240" s="1">
        <f>SUM(OSRRefT22_7x_0)</f>
        <v>123463</v>
      </c>
      <c r="U240" s="1"/>
      <c r="V240" s="5">
        <f t="shared" ref="V240:V243" si="64">IF(T$12=0,0,T240/T$12)</f>
        <v>4.1229168812437714E-3</v>
      </c>
      <c r="W240" s="1"/>
      <c r="X240" s="1">
        <f t="shared" ref="X240:X243" si="65">+P240-T240</f>
        <v>9288.9800000000105</v>
      </c>
      <c r="Y240" s="1"/>
      <c r="Z240" s="5">
        <f t="shared" ref="Z240:Z243" si="66">IF(T240=0,0,X240/T240)</f>
        <v>7.5236953581234944E-2</v>
      </c>
    </row>
    <row r="241" spans="1:26" s="24" customFormat="1" hidden="1" outlineLevel="2" x14ac:dyDescent="0.25">
      <c r="A241" s="25"/>
      <c r="B241" s="11" t="str">
        <f>CONCATENATE("          ", "6395", " - ", "DONATION-OFF CAMPUS")</f>
        <v xml:space="preserve">          6395 - DONATION-OFF CAMPUS</v>
      </c>
      <c r="C241" s="11"/>
      <c r="D241" s="6"/>
      <c r="E241" s="2"/>
      <c r="F241" s="7">
        <f t="shared" si="59"/>
        <v>0</v>
      </c>
      <c r="G241" s="2"/>
      <c r="H241" s="6">
        <v>1025</v>
      </c>
      <c r="I241" s="2"/>
      <c r="J241" s="7">
        <f t="shared" si="60"/>
        <v>2.7980340344315927E-4</v>
      </c>
      <c r="K241" s="2"/>
      <c r="L241" s="6">
        <f t="shared" si="61"/>
        <v>-1025</v>
      </c>
      <c r="M241" s="2"/>
      <c r="N241" s="7">
        <f t="shared" si="62"/>
        <v>-1</v>
      </c>
      <c r="O241" s="11"/>
      <c r="P241" s="6"/>
      <c r="Q241" s="2"/>
      <c r="R241" s="7">
        <f t="shared" si="63"/>
        <v>0</v>
      </c>
      <c r="S241" s="2"/>
      <c r="T241" s="6">
        <v>9300</v>
      </c>
      <c r="U241" s="2"/>
      <c r="V241" s="7">
        <f t="shared" si="64"/>
        <v>3.1056370730961558E-4</v>
      </c>
      <c r="W241" s="2"/>
      <c r="X241" s="6">
        <f t="shared" si="65"/>
        <v>-9300</v>
      </c>
      <c r="Y241" s="2"/>
      <c r="Z241" s="7">
        <f t="shared" si="66"/>
        <v>-1</v>
      </c>
    </row>
    <row r="242" spans="1:26" s="24" customFormat="1" hidden="1" outlineLevel="2" x14ac:dyDescent="0.25">
      <c r="A242" s="25"/>
      <c r="B242" s="11" t="str">
        <f>CONCATENATE("          ", "6396", " - ", "COUPONS-CHARTROOM")</f>
        <v xml:space="preserve">          6396 - COUPONS-CHARTROOM</v>
      </c>
      <c r="C242" s="11"/>
      <c r="D242" s="6"/>
      <c r="E242" s="2"/>
      <c r="F242" s="7">
        <f t="shared" si="59"/>
        <v>0</v>
      </c>
      <c r="G242" s="2"/>
      <c r="H242" s="6">
        <v>100</v>
      </c>
      <c r="I242" s="2"/>
      <c r="J242" s="7">
        <f t="shared" si="60"/>
        <v>2.7297893018844805E-5</v>
      </c>
      <c r="K242" s="2"/>
      <c r="L242" s="6">
        <f t="shared" si="61"/>
        <v>-100</v>
      </c>
      <c r="M242" s="2"/>
      <c r="N242" s="7">
        <f t="shared" si="62"/>
        <v>-1</v>
      </c>
      <c r="O242" s="11"/>
      <c r="P242" s="6"/>
      <c r="Q242" s="2"/>
      <c r="R242" s="7">
        <f t="shared" si="63"/>
        <v>0</v>
      </c>
      <c r="S242" s="2"/>
      <c r="T242" s="6">
        <v>900</v>
      </c>
      <c r="U242" s="2"/>
      <c r="V242" s="7">
        <f t="shared" si="64"/>
        <v>3.0054552320285381E-5</v>
      </c>
      <c r="W242" s="2"/>
      <c r="X242" s="6">
        <f t="shared" si="65"/>
        <v>-900</v>
      </c>
      <c r="Y242" s="2"/>
      <c r="Z242" s="7">
        <f t="shared" si="66"/>
        <v>-1</v>
      </c>
    </row>
    <row r="243" spans="1:26" s="24" customFormat="1" hidden="1" outlineLevel="2" x14ac:dyDescent="0.25">
      <c r="A243" s="25"/>
      <c r="B243" s="11" t="str">
        <f>CONCATENATE("          ", "6399", " - ", "DONATION-ON CAMPUS")</f>
        <v xml:space="preserve">          6399 - DONATION-ON CAMPUS</v>
      </c>
      <c r="C243" s="11"/>
      <c r="D243" s="6">
        <v>15006.809999999998</v>
      </c>
      <c r="E243" s="2"/>
      <c r="F243" s="7">
        <f t="shared" si="59"/>
        <v>8.1248036313995332E-3</v>
      </c>
      <c r="G243" s="2"/>
      <c r="H243" s="6">
        <v>15429</v>
      </c>
      <c r="I243" s="2"/>
      <c r="J243" s="7">
        <f t="shared" si="60"/>
        <v>4.2117919138775651E-3</v>
      </c>
      <c r="K243" s="2"/>
      <c r="L243" s="6">
        <f t="shared" si="61"/>
        <v>-422.19000000000233</v>
      </c>
      <c r="M243" s="2"/>
      <c r="N243" s="7">
        <f t="shared" si="62"/>
        <v>-2.7363406572039818E-2</v>
      </c>
      <c r="O243" s="11"/>
      <c r="P243" s="6">
        <v>132751.98000000001</v>
      </c>
      <c r="Q243" s="2"/>
      <c r="R243" s="7">
        <f t="shared" si="63"/>
        <v>4.9084784236160918E-3</v>
      </c>
      <c r="S243" s="2"/>
      <c r="T243" s="6">
        <v>113263</v>
      </c>
      <c r="U243" s="2"/>
      <c r="V243" s="7">
        <f t="shared" si="64"/>
        <v>3.7822986216138701E-3</v>
      </c>
      <c r="W243" s="2"/>
      <c r="X243" s="6">
        <f t="shared" si="65"/>
        <v>19488.98000000001</v>
      </c>
      <c r="Y243" s="2"/>
      <c r="Z243" s="7">
        <f t="shared" si="66"/>
        <v>0.17206837184252591</v>
      </c>
    </row>
    <row r="244" spans="1:26" s="27" customFormat="1" outlineLevel="1" collapsed="1" x14ac:dyDescent="0.25">
      <c r="A244" s="26"/>
      <c r="B244" s="13" t="str">
        <f>CONCATENATE("     ","Employees' Appreciation                           ")</f>
        <v xml:space="preserve">     Employees' Appreciation                           </v>
      </c>
      <c r="C244" s="13"/>
      <c r="D244" s="1">
        <f>SUM(OSRRefD22_8x_0)</f>
        <v>452.78</v>
      </c>
      <c r="E244" s="1"/>
      <c r="F244" s="5">
        <f t="shared" ref="F244:F250" si="67">IF(D$12=0,0,D244/D$12)</f>
        <v>2.4513861295139211E-4</v>
      </c>
      <c r="G244" s="1"/>
      <c r="H244" s="1">
        <f>SUM(OSRRefH22_8x_0)</f>
        <v>1670</v>
      </c>
      <c r="I244" s="1"/>
      <c r="J244" s="5">
        <f t="shared" ref="J244:J250" si="68">IF(H$12=0,0,H244/H$12)</f>
        <v>4.5587481341470825E-4</v>
      </c>
      <c r="K244" s="1"/>
      <c r="L244" s="1">
        <f t="shared" ref="L244:L250" si="69">+D244-H244</f>
        <v>-1217.22</v>
      </c>
      <c r="M244" s="1"/>
      <c r="N244" s="5">
        <f t="shared" ref="N244:N250" si="70">IF(H244=0,0,L244/H244)</f>
        <v>-0.72887425149700602</v>
      </c>
      <c r="O244" s="13"/>
      <c r="P244" s="1">
        <f>SUM(OSRRefP22_8x_0)</f>
        <v>5223.4399999999996</v>
      </c>
      <c r="Q244" s="1"/>
      <c r="R244" s="5">
        <f t="shared" ref="R244:R250" si="71">IF(P$12=0,0,P244/P$12)</f>
        <v>1.931356695173453E-4</v>
      </c>
      <c r="S244" s="1"/>
      <c r="T244" s="1">
        <f>SUM(OSRRefT22_8x_0)</f>
        <v>18055</v>
      </c>
      <c r="U244" s="1"/>
      <c r="V244" s="5">
        <f t="shared" ref="V244:V250" si="72">IF(T$12=0,0,T244/T$12)</f>
        <v>6.0292771349194734E-4</v>
      </c>
      <c r="W244" s="1"/>
      <c r="X244" s="1">
        <f t="shared" ref="X244:X250" si="73">+P244-T244</f>
        <v>-12831.560000000001</v>
      </c>
      <c r="Y244" s="1"/>
      <c r="Z244" s="5">
        <f t="shared" ref="Z244:Z250" si="74">IF(T244=0,0,X244/T244)</f>
        <v>-0.71069288285793419</v>
      </c>
    </row>
    <row r="245" spans="1:26" s="24" customFormat="1" hidden="1" outlineLevel="2" x14ac:dyDescent="0.25">
      <c r="A245" s="25"/>
      <c r="B245" s="11" t="str">
        <f>CONCATENATE("          ", "6277", " - ", "EMPLOYEE APPRECIATION")</f>
        <v xml:space="preserve">          6277 - EMPLOYEE APPRECIATION</v>
      </c>
      <c r="C245" s="11"/>
      <c r="D245" s="6">
        <v>452.78</v>
      </c>
      <c r="E245" s="2"/>
      <c r="F245" s="7">
        <f t="shared" si="67"/>
        <v>2.4513861295139211E-4</v>
      </c>
      <c r="G245" s="2"/>
      <c r="H245" s="6">
        <v>1670</v>
      </c>
      <c r="I245" s="2"/>
      <c r="J245" s="7">
        <f t="shared" si="68"/>
        <v>4.5587481341470825E-4</v>
      </c>
      <c r="K245" s="2"/>
      <c r="L245" s="6">
        <f t="shared" si="69"/>
        <v>-1217.22</v>
      </c>
      <c r="M245" s="2"/>
      <c r="N245" s="7">
        <f t="shared" si="70"/>
        <v>-0.72887425149700602</v>
      </c>
      <c r="O245" s="11"/>
      <c r="P245" s="6">
        <v>5223.4399999999996</v>
      </c>
      <c r="Q245" s="2"/>
      <c r="R245" s="7">
        <f t="shared" si="71"/>
        <v>1.931356695173453E-4</v>
      </c>
      <c r="S245" s="2"/>
      <c r="T245" s="6">
        <v>18055</v>
      </c>
      <c r="U245" s="2"/>
      <c r="V245" s="7">
        <f t="shared" si="72"/>
        <v>6.0292771349194734E-4</v>
      </c>
      <c r="W245" s="2"/>
      <c r="X245" s="6">
        <f t="shared" si="73"/>
        <v>-12831.560000000001</v>
      </c>
      <c r="Y245" s="2"/>
      <c r="Z245" s="7">
        <f t="shared" si="74"/>
        <v>-0.71069288285793419</v>
      </c>
    </row>
    <row r="246" spans="1:26" s="27" customFormat="1" outlineLevel="1" collapsed="1" x14ac:dyDescent="0.25">
      <c r="A246" s="26"/>
      <c r="B246" s="13" t="str">
        <f>CONCATENATE("     ","Equipment Rental                                  ")</f>
        <v xml:space="preserve">     Equipment Rental                                  </v>
      </c>
      <c r="C246" s="13"/>
      <c r="D246" s="1">
        <f>SUM(OSRRefD22_9x_0)</f>
        <v>4047.34</v>
      </c>
      <c r="E246" s="1"/>
      <c r="F246" s="5">
        <f t="shared" si="67"/>
        <v>2.1912613493146505E-3</v>
      </c>
      <c r="G246" s="1"/>
      <c r="H246" s="1">
        <f>SUM(OSRRefH22_9x_0)</f>
        <v>5770</v>
      </c>
      <c r="I246" s="1"/>
      <c r="J246" s="5">
        <f t="shared" si="68"/>
        <v>1.5750884271873453E-3</v>
      </c>
      <c r="K246" s="1"/>
      <c r="L246" s="1">
        <f t="shared" si="69"/>
        <v>-1722.6599999999999</v>
      </c>
      <c r="M246" s="1"/>
      <c r="N246" s="5">
        <f t="shared" si="70"/>
        <v>-0.29855459272097051</v>
      </c>
      <c r="O246" s="13"/>
      <c r="P246" s="1">
        <f>SUM(OSRRefP22_9x_0)</f>
        <v>44775.729999999996</v>
      </c>
      <c r="Q246" s="1"/>
      <c r="R246" s="5">
        <f t="shared" si="71"/>
        <v>1.6555738348057764E-3</v>
      </c>
      <c r="S246" s="1"/>
      <c r="T246" s="1">
        <f>SUM(OSRRefT22_9x_0)</f>
        <v>49721</v>
      </c>
      <c r="U246" s="1"/>
      <c r="V246" s="5">
        <f t="shared" si="72"/>
        <v>1.6603804399076773E-3</v>
      </c>
      <c r="W246" s="1"/>
      <c r="X246" s="1">
        <f t="shared" si="73"/>
        <v>-4945.2700000000041</v>
      </c>
      <c r="Y246" s="1"/>
      <c r="Z246" s="5">
        <f t="shared" si="74"/>
        <v>-9.9460388970455227E-2</v>
      </c>
    </row>
    <row r="247" spans="1:26" s="24" customFormat="1" hidden="1" outlineLevel="2" x14ac:dyDescent="0.25">
      <c r="A247" s="25"/>
      <c r="B247" s="11" t="str">
        <f>CONCATENATE("          ", "6351", " - ", "EQUIPMENT RENTAL")</f>
        <v xml:space="preserve">          6351 - EQUIPMENT RENTAL</v>
      </c>
      <c r="C247" s="11"/>
      <c r="D247" s="6">
        <v>4047.34</v>
      </c>
      <c r="E247" s="2"/>
      <c r="F247" s="7">
        <f t="shared" si="67"/>
        <v>2.1912613493146505E-3</v>
      </c>
      <c r="G247" s="2"/>
      <c r="H247" s="6">
        <v>5770</v>
      </c>
      <c r="I247" s="2"/>
      <c r="J247" s="7">
        <f t="shared" si="68"/>
        <v>1.5750884271873453E-3</v>
      </c>
      <c r="K247" s="2"/>
      <c r="L247" s="6">
        <f t="shared" si="69"/>
        <v>-1722.6599999999999</v>
      </c>
      <c r="M247" s="2"/>
      <c r="N247" s="7">
        <f t="shared" si="70"/>
        <v>-0.29855459272097051</v>
      </c>
      <c r="O247" s="11"/>
      <c r="P247" s="6">
        <v>44775.729999999996</v>
      </c>
      <c r="Q247" s="2"/>
      <c r="R247" s="7">
        <f t="shared" si="71"/>
        <v>1.6555738348057764E-3</v>
      </c>
      <c r="S247" s="2"/>
      <c r="T247" s="6">
        <v>49721</v>
      </c>
      <c r="U247" s="2"/>
      <c r="V247" s="7">
        <f t="shared" si="72"/>
        <v>1.6603804399076773E-3</v>
      </c>
      <c r="W247" s="2"/>
      <c r="X247" s="6">
        <f t="shared" si="73"/>
        <v>-4945.2700000000041</v>
      </c>
      <c r="Y247" s="2"/>
      <c r="Z247" s="7">
        <f t="shared" si="74"/>
        <v>-9.9460388970455227E-2</v>
      </c>
    </row>
    <row r="248" spans="1:26" s="27" customFormat="1" outlineLevel="1" collapsed="1" x14ac:dyDescent="0.25">
      <c r="A248" s="26"/>
      <c r="B248" s="13" t="str">
        <f>CONCATENATE("     ","Freight out/Postage                               ")</f>
        <v xml:space="preserve">     Freight out/Postage                               </v>
      </c>
      <c r="C248" s="13"/>
      <c r="D248" s="1">
        <f>SUM(OSRRefD22_10x_0)</f>
        <v>2165.8700000000003</v>
      </c>
      <c r="E248" s="1"/>
      <c r="F248" s="5">
        <f t="shared" si="67"/>
        <v>1.1726188604466445E-3</v>
      </c>
      <c r="G248" s="1"/>
      <c r="H248" s="1">
        <f>SUM(OSRRefH22_10x_0)</f>
        <v>-674</v>
      </c>
      <c r="I248" s="1"/>
      <c r="J248" s="5">
        <f t="shared" si="68"/>
        <v>-1.8398779894701397E-4</v>
      </c>
      <c r="K248" s="1"/>
      <c r="L248" s="1">
        <f t="shared" si="69"/>
        <v>2839.8700000000003</v>
      </c>
      <c r="M248" s="1"/>
      <c r="N248" s="5">
        <f t="shared" si="70"/>
        <v>-4.213456973293769</v>
      </c>
      <c r="O248" s="13"/>
      <c r="P248" s="1">
        <f>SUM(OSRRefP22_10x_0)</f>
        <v>1232.2199999999939</v>
      </c>
      <c r="Q248" s="1"/>
      <c r="R248" s="5">
        <f t="shared" si="71"/>
        <v>4.556109282248137E-5</v>
      </c>
      <c r="S248" s="1"/>
      <c r="T248" s="1">
        <f>SUM(OSRRefT22_10x_0)</f>
        <v>-54766</v>
      </c>
      <c r="U248" s="1"/>
      <c r="V248" s="5">
        <f t="shared" si="72"/>
        <v>-1.8288529026363879E-3</v>
      </c>
      <c r="W248" s="1"/>
      <c r="X248" s="1">
        <f t="shared" si="73"/>
        <v>55998.219999999994</v>
      </c>
      <c r="Y248" s="1"/>
      <c r="Z248" s="5">
        <f t="shared" si="74"/>
        <v>-1.0224997261074389</v>
      </c>
    </row>
    <row r="249" spans="1:26" s="24" customFormat="1" hidden="1" outlineLevel="2" x14ac:dyDescent="0.25">
      <c r="A249" s="25"/>
      <c r="B249" s="11" t="str">
        <f>CONCATENATE("          ", "6305", " - ", "FREIGHT OUT")</f>
        <v xml:space="preserve">          6305 - FREIGHT OUT</v>
      </c>
      <c r="C249" s="11"/>
      <c r="D249" s="6">
        <v>5814.39</v>
      </c>
      <c r="E249" s="2"/>
      <c r="F249" s="7">
        <f t="shared" si="67"/>
        <v>3.1479559604188456E-3</v>
      </c>
      <c r="G249" s="2"/>
      <c r="H249" s="6">
        <v>-725</v>
      </c>
      <c r="I249" s="2"/>
      <c r="J249" s="7">
        <f t="shared" si="68"/>
        <v>-1.9790972438662484E-4</v>
      </c>
      <c r="K249" s="2"/>
      <c r="L249" s="6">
        <f t="shared" si="69"/>
        <v>6539.39</v>
      </c>
      <c r="M249" s="2"/>
      <c r="N249" s="7">
        <f t="shared" si="70"/>
        <v>-9.0198482758620688</v>
      </c>
      <c r="O249" s="11"/>
      <c r="P249" s="6">
        <v>52103.369999999995</v>
      </c>
      <c r="Q249" s="2"/>
      <c r="R249" s="7">
        <f t="shared" si="71"/>
        <v>1.9265118866226021E-3</v>
      </c>
      <c r="S249" s="2"/>
      <c r="T249" s="6">
        <v>-55225</v>
      </c>
      <c r="U249" s="2"/>
      <c r="V249" s="7">
        <f t="shared" si="72"/>
        <v>-1.8441807243197335E-3</v>
      </c>
      <c r="W249" s="2"/>
      <c r="X249" s="6">
        <f t="shared" si="73"/>
        <v>107328.37</v>
      </c>
      <c r="Y249" s="2"/>
      <c r="Z249" s="7">
        <f t="shared" si="74"/>
        <v>-1.9434743322770482</v>
      </c>
    </row>
    <row r="250" spans="1:26" s="24" customFormat="1" hidden="1" outlineLevel="2" x14ac:dyDescent="0.25">
      <c r="A250" s="25"/>
      <c r="B250" s="11" t="str">
        <f>CONCATENATE("          ", "6307", " - ", "POSTAGE")</f>
        <v xml:space="preserve">          6307 - POSTAGE</v>
      </c>
      <c r="C250" s="11"/>
      <c r="D250" s="6">
        <v>-3648.52</v>
      </c>
      <c r="E250" s="2"/>
      <c r="F250" s="7">
        <f t="shared" si="67"/>
        <v>-1.9753370999722013E-3</v>
      </c>
      <c r="G250" s="2"/>
      <c r="H250" s="6">
        <v>51</v>
      </c>
      <c r="I250" s="2"/>
      <c r="J250" s="7">
        <f t="shared" si="68"/>
        <v>1.392192543961085E-5</v>
      </c>
      <c r="K250" s="2"/>
      <c r="L250" s="6">
        <f t="shared" si="69"/>
        <v>-3699.52</v>
      </c>
      <c r="M250" s="2"/>
      <c r="N250" s="7">
        <f t="shared" si="70"/>
        <v>-72.539607843137262</v>
      </c>
      <c r="O250" s="11"/>
      <c r="P250" s="6">
        <v>-50871.15</v>
      </c>
      <c r="Q250" s="2"/>
      <c r="R250" s="7">
        <f t="shared" si="71"/>
        <v>-1.8809507938001206E-3</v>
      </c>
      <c r="S250" s="2"/>
      <c r="T250" s="6">
        <v>459</v>
      </c>
      <c r="U250" s="2"/>
      <c r="V250" s="7">
        <f t="shared" si="72"/>
        <v>1.5327821683345545E-5</v>
      </c>
      <c r="W250" s="2"/>
      <c r="X250" s="6">
        <f t="shared" si="73"/>
        <v>-51330.15</v>
      </c>
      <c r="Y250" s="2"/>
      <c r="Z250" s="7">
        <f t="shared" si="74"/>
        <v>-111.83039215686274</v>
      </c>
    </row>
    <row r="251" spans="1:26" s="27" customFormat="1" outlineLevel="1" collapsed="1" x14ac:dyDescent="0.25">
      <c r="A251" s="26"/>
      <c r="B251" s="13" t="str">
        <f>CONCATENATE("     ","General                                           ")</f>
        <v xml:space="preserve">     General                                           </v>
      </c>
      <c r="C251" s="13"/>
      <c r="D251" s="1">
        <f>SUM(OSRRefD22_11x_0)</f>
        <v>2471.8200000000002</v>
      </c>
      <c r="E251" s="1"/>
      <c r="F251" s="5">
        <f t="shared" ref="F251:F253" si="75">IF(D$12=0,0,D251/D$12)</f>
        <v>1.338262569604466E-3</v>
      </c>
      <c r="G251" s="1"/>
      <c r="H251" s="1">
        <f>SUM(OSRRefH22_11x_0)</f>
        <v>6080</v>
      </c>
      <c r="I251" s="1"/>
      <c r="J251" s="5">
        <f t="shared" ref="J251:J253" si="76">IF(H$12=0,0,H251/H$12)</f>
        <v>1.6597118955457642E-3</v>
      </c>
      <c r="K251" s="1"/>
      <c r="L251" s="1">
        <f t="shared" ref="L251:L253" si="77">+D251-H251</f>
        <v>-3608.18</v>
      </c>
      <c r="M251" s="1"/>
      <c r="N251" s="5">
        <f t="shared" ref="N251:N253" si="78">IF(H251=0,0,L251/H251)</f>
        <v>-0.59345065789473683</v>
      </c>
      <c r="O251" s="13"/>
      <c r="P251" s="1">
        <f>SUM(OSRRefP22_11x_0)</f>
        <v>102991.92</v>
      </c>
      <c r="Q251" s="1"/>
      <c r="R251" s="5">
        <f t="shared" ref="R251:R253" si="79">IF(P$12=0,0,P251/P$12)</f>
        <v>3.8081060420100295E-3</v>
      </c>
      <c r="S251" s="1"/>
      <c r="T251" s="1">
        <f>SUM(OSRRefT22_11x_0)</f>
        <v>81991</v>
      </c>
      <c r="U251" s="1"/>
      <c r="V251" s="5">
        <f t="shared" ref="V251:V253" si="80">IF(T$12=0,0,T251/T$12)</f>
        <v>2.738003110325021E-3</v>
      </c>
      <c r="W251" s="1"/>
      <c r="X251" s="1">
        <f t="shared" ref="X251:X253" si="81">+P251-T251</f>
        <v>21000.92</v>
      </c>
      <c r="Y251" s="1"/>
      <c r="Z251" s="5">
        <f t="shared" ref="Z251:Z253" si="82">IF(T251=0,0,X251/T251)</f>
        <v>0.25613689307363002</v>
      </c>
    </row>
    <row r="252" spans="1:26" s="24" customFormat="1" hidden="1" outlineLevel="2" x14ac:dyDescent="0.25">
      <c r="A252" s="25"/>
      <c r="B252" s="11" t="str">
        <f>CONCATENATE("          ", "6269", " - ", "ENTERTAINMENT")</f>
        <v xml:space="preserve">          6269 - ENTERTAINMENT</v>
      </c>
      <c r="C252" s="11"/>
      <c r="D252" s="6"/>
      <c r="E252" s="2"/>
      <c r="F252" s="7">
        <f t="shared" si="75"/>
        <v>0</v>
      </c>
      <c r="G252" s="2"/>
      <c r="H252" s="6">
        <v>900</v>
      </c>
      <c r="I252" s="2"/>
      <c r="J252" s="7">
        <f t="shared" si="76"/>
        <v>2.4568103716960326E-4</v>
      </c>
      <c r="K252" s="2"/>
      <c r="L252" s="6">
        <f t="shared" si="77"/>
        <v>-900</v>
      </c>
      <c r="M252" s="2"/>
      <c r="N252" s="7">
        <f t="shared" si="78"/>
        <v>-1</v>
      </c>
      <c r="O252" s="11"/>
      <c r="P252" s="6">
        <v>10050</v>
      </c>
      <c r="Q252" s="2"/>
      <c r="R252" s="7">
        <f t="shared" si="79"/>
        <v>3.7159677887547683E-4</v>
      </c>
      <c r="S252" s="2"/>
      <c r="T252" s="6">
        <v>6500</v>
      </c>
      <c r="U252" s="2"/>
      <c r="V252" s="7">
        <f t="shared" si="80"/>
        <v>2.1706065564650552E-4</v>
      </c>
      <c r="W252" s="2"/>
      <c r="X252" s="6">
        <f t="shared" si="81"/>
        <v>3550</v>
      </c>
      <c r="Y252" s="2"/>
      <c r="Z252" s="7">
        <f t="shared" si="82"/>
        <v>0.5461538461538461</v>
      </c>
    </row>
    <row r="253" spans="1:26" s="24" customFormat="1" hidden="1" outlineLevel="2" x14ac:dyDescent="0.25">
      <c r="A253" s="25"/>
      <c r="B253" s="11" t="str">
        <f>CONCATENATE("          ", "6279", " - ", "GENERAL EXPENSE")</f>
        <v xml:space="preserve">          6279 - GENERAL EXPENSE</v>
      </c>
      <c r="C253" s="11"/>
      <c r="D253" s="6">
        <v>2471.8200000000002</v>
      </c>
      <c r="E253" s="2"/>
      <c r="F253" s="7">
        <f t="shared" si="75"/>
        <v>1.338262569604466E-3</v>
      </c>
      <c r="G253" s="2"/>
      <c r="H253" s="6">
        <v>5180</v>
      </c>
      <c r="I253" s="2"/>
      <c r="J253" s="7">
        <f t="shared" si="76"/>
        <v>1.4140308583761609E-3</v>
      </c>
      <c r="K253" s="2"/>
      <c r="L253" s="6">
        <f t="shared" si="77"/>
        <v>-2708.18</v>
      </c>
      <c r="M253" s="2"/>
      <c r="N253" s="7">
        <f t="shared" si="78"/>
        <v>-0.52281467181467178</v>
      </c>
      <c r="O253" s="11"/>
      <c r="P253" s="6">
        <v>92941.92</v>
      </c>
      <c r="Q253" s="2"/>
      <c r="R253" s="7">
        <f t="shared" si="79"/>
        <v>3.4365092631345527E-3</v>
      </c>
      <c r="S253" s="2"/>
      <c r="T253" s="6">
        <v>75491</v>
      </c>
      <c r="U253" s="2"/>
      <c r="V253" s="7">
        <f t="shared" si="80"/>
        <v>2.5209424546785153E-3</v>
      </c>
      <c r="W253" s="2"/>
      <c r="X253" s="6">
        <f t="shared" si="81"/>
        <v>17450.919999999998</v>
      </c>
      <c r="Y253" s="2"/>
      <c r="Z253" s="7">
        <f t="shared" si="82"/>
        <v>0.23116556940562449</v>
      </c>
    </row>
    <row r="254" spans="1:26" s="27" customFormat="1" outlineLevel="1" collapsed="1" x14ac:dyDescent="0.25">
      <c r="A254" s="26"/>
      <c r="B254" s="13" t="str">
        <f>CONCATENATE("     ","Insurance                                         ")</f>
        <v xml:space="preserve">     Insurance                                         </v>
      </c>
      <c r="C254" s="13"/>
      <c r="D254" s="1">
        <f>SUM(OSRRefD22_12x_0)</f>
        <v>8563.32</v>
      </c>
      <c r="E254" s="1"/>
      <c r="F254" s="5">
        <f t="shared" ref="F254:F270" si="83">IF(D$12=0,0,D254/D$12)</f>
        <v>4.6362480389127506E-3</v>
      </c>
      <c r="G254" s="1"/>
      <c r="H254" s="1">
        <f>SUM(OSRRefH22_12x_0)</f>
        <v>8081</v>
      </c>
      <c r="I254" s="1"/>
      <c r="J254" s="5">
        <f t="shared" ref="J254:J270" si="84">IF(H$12=0,0,H254/H$12)</f>
        <v>2.2059427348528485E-3</v>
      </c>
      <c r="K254" s="1"/>
      <c r="L254" s="1">
        <f t="shared" ref="L254:L270" si="85">+D254-H254</f>
        <v>482.31999999999971</v>
      </c>
      <c r="M254" s="1"/>
      <c r="N254" s="5">
        <f t="shared" ref="N254:N270" si="86">IF(H254=0,0,L254/H254)</f>
        <v>5.9685682465041419E-2</v>
      </c>
      <c r="O254" s="13"/>
      <c r="P254" s="1">
        <f>SUM(OSRRefP22_12x_0)</f>
        <v>82830.880000000005</v>
      </c>
      <c r="Q254" s="1"/>
      <c r="R254" s="5">
        <f t="shared" ref="R254:R270" si="87">IF(P$12=0,0,P254/P$12)</f>
        <v>3.0626555422309607E-3</v>
      </c>
      <c r="S254" s="1"/>
      <c r="T254" s="1">
        <f>SUM(OSRRefT22_12x_0)</f>
        <v>72729</v>
      </c>
      <c r="U254" s="1"/>
      <c r="V254" s="5">
        <f t="shared" ref="V254:V270" si="88">IF(T$12=0,0,T254/T$12)</f>
        <v>2.4287083730022618E-3</v>
      </c>
      <c r="W254" s="1"/>
      <c r="X254" s="1">
        <f t="shared" ref="X254:X270" si="89">+P254-T254</f>
        <v>10101.880000000005</v>
      </c>
      <c r="Y254" s="1"/>
      <c r="Z254" s="5">
        <f t="shared" ref="Z254:Z270" si="90">IF(T254=0,0,X254/T254)</f>
        <v>0.13889755118315947</v>
      </c>
    </row>
    <row r="255" spans="1:26" s="24" customFormat="1" hidden="1" outlineLevel="2" x14ac:dyDescent="0.25">
      <c r="A255" s="25"/>
      <c r="B255" s="11" t="str">
        <f>CONCATENATE("          ", "6314", " - ", "LIABILITY INSURANCE")</f>
        <v xml:space="preserve">          6314 - LIABILITY INSURANCE</v>
      </c>
      <c r="C255" s="11"/>
      <c r="D255" s="6">
        <v>8563.32</v>
      </c>
      <c r="E255" s="2"/>
      <c r="F255" s="7">
        <f t="shared" si="83"/>
        <v>4.6362480389127506E-3</v>
      </c>
      <c r="G255" s="2"/>
      <c r="H255" s="6">
        <v>8081</v>
      </c>
      <c r="I255" s="2"/>
      <c r="J255" s="7">
        <f t="shared" si="84"/>
        <v>2.2059427348528485E-3</v>
      </c>
      <c r="K255" s="2"/>
      <c r="L255" s="6">
        <f t="shared" si="85"/>
        <v>482.31999999999971</v>
      </c>
      <c r="M255" s="2"/>
      <c r="N255" s="7">
        <f t="shared" si="86"/>
        <v>5.9685682465041419E-2</v>
      </c>
      <c r="O255" s="11"/>
      <c r="P255" s="6">
        <v>82830.880000000005</v>
      </c>
      <c r="Q255" s="2"/>
      <c r="R255" s="7">
        <f t="shared" si="87"/>
        <v>3.0626555422309607E-3</v>
      </c>
      <c r="S255" s="2"/>
      <c r="T255" s="6">
        <v>72729</v>
      </c>
      <c r="U255" s="2"/>
      <c r="V255" s="7">
        <f t="shared" si="88"/>
        <v>2.4287083730022618E-3</v>
      </c>
      <c r="W255" s="2"/>
      <c r="X255" s="6">
        <f t="shared" si="89"/>
        <v>10101.880000000005</v>
      </c>
      <c r="Y255" s="2"/>
      <c r="Z255" s="7">
        <f t="shared" si="90"/>
        <v>0.13889755118315947</v>
      </c>
    </row>
    <row r="256" spans="1:26" s="27" customFormat="1" outlineLevel="1" collapsed="1" x14ac:dyDescent="0.25">
      <c r="A256" s="26"/>
      <c r="B256" s="13" t="str">
        <f>CONCATENATE("     ","Interest                                          ")</f>
        <v xml:space="preserve">     Interest                                          </v>
      </c>
      <c r="C256" s="13"/>
      <c r="D256" s="1">
        <f>SUM(OSRRefD22_13x_0)</f>
        <v>11929</v>
      </c>
      <c r="E256" s="1"/>
      <c r="F256" s="5">
        <f t="shared" si="83"/>
        <v>6.4584533634373352E-3</v>
      </c>
      <c r="G256" s="1"/>
      <c r="H256" s="1">
        <f>SUM(OSRRefH22_13x_0)</f>
        <v>11929</v>
      </c>
      <c r="I256" s="1"/>
      <c r="J256" s="5">
        <f t="shared" si="84"/>
        <v>3.2563656582179968E-3</v>
      </c>
      <c r="K256" s="1"/>
      <c r="L256" s="1">
        <f t="shared" si="85"/>
        <v>0</v>
      </c>
      <c r="M256" s="1"/>
      <c r="N256" s="5">
        <f t="shared" si="86"/>
        <v>0</v>
      </c>
      <c r="O256" s="13"/>
      <c r="P256" s="1">
        <f>SUM(OSRRefP22_13x_0)</f>
        <v>106762</v>
      </c>
      <c r="Q256" s="1"/>
      <c r="R256" s="5">
        <f t="shared" si="87"/>
        <v>3.9475040105774782E-3</v>
      </c>
      <c r="S256" s="1"/>
      <c r="T256" s="1">
        <f>SUM(OSRRefT22_13x_0)</f>
        <v>107361</v>
      </c>
      <c r="U256" s="1"/>
      <c r="V256" s="5">
        <f t="shared" si="88"/>
        <v>3.585207546286843E-3</v>
      </c>
      <c r="W256" s="1"/>
      <c r="X256" s="1">
        <f t="shared" si="89"/>
        <v>-599</v>
      </c>
      <c r="Y256" s="1"/>
      <c r="Z256" s="5">
        <f t="shared" si="90"/>
        <v>-5.5793071972131403E-3</v>
      </c>
    </row>
    <row r="257" spans="1:26" s="24" customFormat="1" hidden="1" outlineLevel="2" x14ac:dyDescent="0.25">
      <c r="A257" s="25"/>
      <c r="B257" s="11" t="str">
        <f>CONCATENATE("          ", "6401", " - ", "INTEREST EXPENSE")</f>
        <v xml:space="preserve">          6401 - INTEREST EXPENSE</v>
      </c>
      <c r="C257" s="11"/>
      <c r="D257" s="6">
        <v>11929</v>
      </c>
      <c r="E257" s="2"/>
      <c r="F257" s="7">
        <f t="shared" si="83"/>
        <v>6.4584533634373352E-3</v>
      </c>
      <c r="G257" s="2"/>
      <c r="H257" s="6">
        <v>11929</v>
      </c>
      <c r="I257" s="2"/>
      <c r="J257" s="7">
        <f t="shared" si="84"/>
        <v>3.2563656582179968E-3</v>
      </c>
      <c r="K257" s="2"/>
      <c r="L257" s="6">
        <f t="shared" si="85"/>
        <v>0</v>
      </c>
      <c r="M257" s="2"/>
      <c r="N257" s="7">
        <f t="shared" si="86"/>
        <v>0</v>
      </c>
      <c r="O257" s="11"/>
      <c r="P257" s="6">
        <v>106762</v>
      </c>
      <c r="Q257" s="2"/>
      <c r="R257" s="7">
        <f t="shared" si="87"/>
        <v>3.9475040105774782E-3</v>
      </c>
      <c r="S257" s="2"/>
      <c r="T257" s="6">
        <v>107361</v>
      </c>
      <c r="U257" s="2"/>
      <c r="V257" s="7">
        <f t="shared" si="88"/>
        <v>3.585207546286843E-3</v>
      </c>
      <c r="W257" s="2"/>
      <c r="X257" s="6">
        <f t="shared" si="89"/>
        <v>-599</v>
      </c>
      <c r="Y257" s="2"/>
      <c r="Z257" s="7">
        <f t="shared" si="90"/>
        <v>-5.5793071972131403E-3</v>
      </c>
    </row>
    <row r="258" spans="1:26" s="27" customFormat="1" outlineLevel="1" collapsed="1" x14ac:dyDescent="0.25">
      <c r="A258" s="26"/>
      <c r="B258" s="13" t="str">
        <f>CONCATENATE("     ","Inventory Adjustment                              ")</f>
        <v xml:space="preserve">     Inventory Adjustment                              </v>
      </c>
      <c r="C258" s="13"/>
      <c r="D258" s="1">
        <f>SUM(OSRRefD22_14x_0)</f>
        <v>4550</v>
      </c>
      <c r="E258" s="1"/>
      <c r="F258" s="5">
        <f t="shared" si="83"/>
        <v>2.4634053821476968E-3</v>
      </c>
      <c r="G258" s="1"/>
      <c r="H258" s="1">
        <f>SUM(OSRRefH22_14x_0)</f>
        <v>4550</v>
      </c>
      <c r="I258" s="1"/>
      <c r="J258" s="5">
        <f t="shared" si="84"/>
        <v>1.2420541323574386E-3</v>
      </c>
      <c r="K258" s="1"/>
      <c r="L258" s="1">
        <f t="shared" si="85"/>
        <v>0</v>
      </c>
      <c r="M258" s="1"/>
      <c r="N258" s="5">
        <f t="shared" si="86"/>
        <v>0</v>
      </c>
      <c r="O258" s="13"/>
      <c r="P258" s="1">
        <f>SUM(OSRRefP22_14x_0)</f>
        <v>44250</v>
      </c>
      <c r="Q258" s="1"/>
      <c r="R258" s="5">
        <f t="shared" si="87"/>
        <v>1.6361350711681442E-3</v>
      </c>
      <c r="S258" s="1"/>
      <c r="T258" s="1">
        <f>SUM(OSRRefT22_14x_0)</f>
        <v>44250</v>
      </c>
      <c r="U258" s="1"/>
      <c r="V258" s="5">
        <f t="shared" si="88"/>
        <v>1.4776821557473646E-3</v>
      </c>
      <c r="W258" s="1"/>
      <c r="X258" s="1">
        <f t="shared" si="89"/>
        <v>0</v>
      </c>
      <c r="Y258" s="1"/>
      <c r="Z258" s="5">
        <f t="shared" si="90"/>
        <v>0</v>
      </c>
    </row>
    <row r="259" spans="1:26" s="24" customFormat="1" hidden="1" outlineLevel="2" x14ac:dyDescent="0.25">
      <c r="A259" s="25"/>
      <c r="B259" s="11" t="str">
        <f>CONCATENATE("          ", "6408", " - ", "INVENTORY ADJUSTMENT")</f>
        <v xml:space="preserve">          6408 - INVENTORY ADJUSTMENT</v>
      </c>
      <c r="C259" s="11"/>
      <c r="D259" s="6">
        <v>4550</v>
      </c>
      <c r="E259" s="2"/>
      <c r="F259" s="7">
        <f t="shared" si="83"/>
        <v>2.4634053821476968E-3</v>
      </c>
      <c r="G259" s="2"/>
      <c r="H259" s="6">
        <v>4550</v>
      </c>
      <c r="I259" s="2"/>
      <c r="J259" s="7">
        <f t="shared" si="84"/>
        <v>1.2420541323574386E-3</v>
      </c>
      <c r="K259" s="2"/>
      <c r="L259" s="6">
        <f t="shared" si="85"/>
        <v>0</v>
      </c>
      <c r="M259" s="2"/>
      <c r="N259" s="7">
        <f t="shared" si="86"/>
        <v>0</v>
      </c>
      <c r="O259" s="11"/>
      <c r="P259" s="6">
        <v>44250</v>
      </c>
      <c r="Q259" s="2"/>
      <c r="R259" s="7">
        <f t="shared" si="87"/>
        <v>1.6361350711681442E-3</v>
      </c>
      <c r="S259" s="2"/>
      <c r="T259" s="6">
        <v>44250</v>
      </c>
      <c r="U259" s="2"/>
      <c r="V259" s="7">
        <f t="shared" si="88"/>
        <v>1.4776821557473646E-3</v>
      </c>
      <c r="W259" s="2"/>
      <c r="X259" s="6">
        <f t="shared" si="89"/>
        <v>0</v>
      </c>
      <c r="Y259" s="2"/>
      <c r="Z259" s="7">
        <f t="shared" si="90"/>
        <v>0</v>
      </c>
    </row>
    <row r="260" spans="1:26" s="27" customFormat="1" outlineLevel="1" collapsed="1" x14ac:dyDescent="0.25">
      <c r="A260" s="26"/>
      <c r="B260" s="13" t="str">
        <f>CONCATENATE("     ","Professional Services                             ")</f>
        <v xml:space="preserve">     Professional Services                             </v>
      </c>
      <c r="C260" s="13"/>
      <c r="D260" s="1">
        <f>SUM(OSRRefD22_15x_0)</f>
        <v>0</v>
      </c>
      <c r="E260" s="1"/>
      <c r="F260" s="5">
        <f t="shared" si="83"/>
        <v>0</v>
      </c>
      <c r="G260" s="1"/>
      <c r="H260" s="1">
        <f>SUM(OSRRefH22_15x_0)</f>
        <v>1415</v>
      </c>
      <c r="I260" s="1"/>
      <c r="J260" s="5">
        <f t="shared" si="84"/>
        <v>3.8626518621665397E-4</v>
      </c>
      <c r="K260" s="1"/>
      <c r="L260" s="1">
        <f t="shared" si="85"/>
        <v>-1415</v>
      </c>
      <c r="M260" s="1"/>
      <c r="N260" s="5">
        <f t="shared" si="86"/>
        <v>-1</v>
      </c>
      <c r="O260" s="13"/>
      <c r="P260" s="1">
        <f>SUM(OSRRefP22_15x_0)</f>
        <v>6324.56</v>
      </c>
      <c r="Q260" s="1"/>
      <c r="R260" s="5">
        <f t="shared" si="87"/>
        <v>2.3384936555270505E-4</v>
      </c>
      <c r="S260" s="1"/>
      <c r="T260" s="1">
        <f>SUM(OSRRefT22_15x_0)</f>
        <v>15635</v>
      </c>
      <c r="U260" s="1"/>
      <c r="V260" s="5">
        <f t="shared" si="88"/>
        <v>5.2211436169740213E-4</v>
      </c>
      <c r="W260" s="1"/>
      <c r="X260" s="1">
        <f t="shared" si="89"/>
        <v>-9310.4399999999987</v>
      </c>
      <c r="Y260" s="1"/>
      <c r="Z260" s="5">
        <f t="shared" si="90"/>
        <v>-0.59548704828909493</v>
      </c>
    </row>
    <row r="261" spans="1:26" s="24" customFormat="1" hidden="1" outlineLevel="2" x14ac:dyDescent="0.25">
      <c r="A261" s="25"/>
      <c r="B261" s="11" t="str">
        <f>CONCATENATE("          ", "6336", " - ", "PROFESSIONAL SERVICES")</f>
        <v xml:space="preserve">          6336 - PROFESSIONAL SERVICES</v>
      </c>
      <c r="C261" s="11"/>
      <c r="D261" s="6"/>
      <c r="E261" s="2"/>
      <c r="F261" s="7">
        <f t="shared" si="83"/>
        <v>0</v>
      </c>
      <c r="G261" s="2"/>
      <c r="H261" s="6">
        <v>1415</v>
      </c>
      <c r="I261" s="2"/>
      <c r="J261" s="7">
        <f t="shared" si="84"/>
        <v>3.8626518621665397E-4</v>
      </c>
      <c r="K261" s="2"/>
      <c r="L261" s="6">
        <f t="shared" si="85"/>
        <v>-1415</v>
      </c>
      <c r="M261" s="2"/>
      <c r="N261" s="7">
        <f t="shared" si="86"/>
        <v>-1</v>
      </c>
      <c r="O261" s="11"/>
      <c r="P261" s="6">
        <v>6324.56</v>
      </c>
      <c r="Q261" s="2"/>
      <c r="R261" s="7">
        <f t="shared" si="87"/>
        <v>2.3384936555270505E-4</v>
      </c>
      <c r="S261" s="2"/>
      <c r="T261" s="6">
        <v>15635</v>
      </c>
      <c r="U261" s="2"/>
      <c r="V261" s="7">
        <f t="shared" si="88"/>
        <v>5.2211436169740213E-4</v>
      </c>
      <c r="W261" s="2"/>
      <c r="X261" s="6">
        <f t="shared" si="89"/>
        <v>-9310.4399999999987</v>
      </c>
      <c r="Y261" s="2"/>
      <c r="Z261" s="7">
        <f t="shared" si="90"/>
        <v>-0.59548704828909493</v>
      </c>
    </row>
    <row r="262" spans="1:26" s="27" customFormat="1" outlineLevel="1" collapsed="1" x14ac:dyDescent="0.25">
      <c r="A262" s="26"/>
      <c r="B262" s="13" t="str">
        <f>CONCATENATE("     ","R/H Commissions                                   ")</f>
        <v xml:space="preserve">     R/H Commissions                                   </v>
      </c>
      <c r="C262" s="13"/>
      <c r="D262" s="1">
        <f>SUM(OSRRefD22_16x_0)</f>
        <v>76497.149999999994</v>
      </c>
      <c r="E262" s="1"/>
      <c r="F262" s="5">
        <f t="shared" si="83"/>
        <v>4.1416151874496633E-2</v>
      </c>
      <c r="G262" s="1"/>
      <c r="H262" s="1">
        <f>SUM(OSRRefH22_16x_0)</f>
        <v>100255</v>
      </c>
      <c r="I262" s="1"/>
      <c r="J262" s="5">
        <f t="shared" si="84"/>
        <v>2.736750264604286E-2</v>
      </c>
      <c r="K262" s="1"/>
      <c r="L262" s="1">
        <f t="shared" si="85"/>
        <v>-23757.850000000006</v>
      </c>
      <c r="M262" s="1"/>
      <c r="N262" s="5">
        <f t="shared" si="86"/>
        <v>-0.23697421574983796</v>
      </c>
      <c r="O262" s="13"/>
      <c r="P262" s="1">
        <f>SUM(OSRRefP22_16x_0)</f>
        <v>702548.43</v>
      </c>
      <c r="Q262" s="1"/>
      <c r="R262" s="5">
        <f t="shared" si="87"/>
        <v>2.597659040716651E-2</v>
      </c>
      <c r="S262" s="1"/>
      <c r="T262" s="1">
        <f>SUM(OSRRefT22_16x_0)</f>
        <v>735891</v>
      </c>
      <c r="U262" s="1"/>
      <c r="V262" s="5">
        <f t="shared" si="88"/>
        <v>2.4574305068363476E-2</v>
      </c>
      <c r="W262" s="1"/>
      <c r="X262" s="1">
        <f t="shared" si="89"/>
        <v>-33342.569999999949</v>
      </c>
      <c r="Y262" s="1"/>
      <c r="Z262" s="5">
        <f t="shared" si="90"/>
        <v>-4.5309115072748478E-2</v>
      </c>
    </row>
    <row r="263" spans="1:26" s="24" customFormat="1" hidden="1" outlineLevel="2" x14ac:dyDescent="0.25">
      <c r="A263" s="25"/>
      <c r="B263" s="11" t="str">
        <f>CONCATENATE("          ", "6387", " - ", "COMMISSION DUE HOUSING")</f>
        <v xml:space="preserve">          6387 - COMMISSION DUE HOUSING</v>
      </c>
      <c r="C263" s="11"/>
      <c r="D263" s="6">
        <v>76497.149999999994</v>
      </c>
      <c r="E263" s="2"/>
      <c r="F263" s="7">
        <f t="shared" si="83"/>
        <v>4.1416151874496633E-2</v>
      </c>
      <c r="G263" s="2"/>
      <c r="H263" s="6">
        <v>100255</v>
      </c>
      <c r="I263" s="2"/>
      <c r="J263" s="7">
        <f t="shared" si="84"/>
        <v>2.736750264604286E-2</v>
      </c>
      <c r="K263" s="2"/>
      <c r="L263" s="6">
        <f t="shared" si="85"/>
        <v>-23757.850000000006</v>
      </c>
      <c r="M263" s="2"/>
      <c r="N263" s="7">
        <f t="shared" si="86"/>
        <v>-0.23697421574983796</v>
      </c>
      <c r="O263" s="11"/>
      <c r="P263" s="6">
        <v>702548.43</v>
      </c>
      <c r="Q263" s="2"/>
      <c r="R263" s="7">
        <f t="shared" si="87"/>
        <v>2.597659040716651E-2</v>
      </c>
      <c r="S263" s="2"/>
      <c r="T263" s="6">
        <v>735891</v>
      </c>
      <c r="U263" s="2"/>
      <c r="V263" s="7">
        <f t="shared" si="88"/>
        <v>2.4574305068363476E-2</v>
      </c>
      <c r="W263" s="2"/>
      <c r="X263" s="6">
        <f t="shared" si="89"/>
        <v>-33342.569999999949</v>
      </c>
      <c r="Y263" s="2"/>
      <c r="Z263" s="7">
        <f t="shared" si="90"/>
        <v>-4.5309115072748478E-2</v>
      </c>
    </row>
    <row r="264" spans="1:26" s="27" customFormat="1" outlineLevel="1" collapsed="1" x14ac:dyDescent="0.25">
      <c r="A264" s="26"/>
      <c r="B264" s="13" t="str">
        <f>CONCATENATE("     ","Rent                                              ")</f>
        <v xml:space="preserve">     Rent                                              </v>
      </c>
      <c r="C264" s="13"/>
      <c r="D264" s="1">
        <f>SUM(OSRRefD22_17x_0)</f>
        <v>9900</v>
      </c>
      <c r="E264" s="1"/>
      <c r="F264" s="5">
        <f t="shared" si="83"/>
        <v>5.3599369853323513E-3</v>
      </c>
      <c r="G264" s="1"/>
      <c r="H264" s="1">
        <f>SUM(OSRRefH22_17x_0)</f>
        <v>10200</v>
      </c>
      <c r="I264" s="1"/>
      <c r="J264" s="5">
        <f t="shared" si="84"/>
        <v>2.7843850879221703E-3</v>
      </c>
      <c r="K264" s="1"/>
      <c r="L264" s="1">
        <f t="shared" si="85"/>
        <v>-300</v>
      </c>
      <c r="M264" s="1"/>
      <c r="N264" s="5">
        <f t="shared" si="86"/>
        <v>-2.9411764705882353E-2</v>
      </c>
      <c r="O264" s="13"/>
      <c r="P264" s="1">
        <f>SUM(OSRRefP22_17x_0)</f>
        <v>89100</v>
      </c>
      <c r="Q264" s="1"/>
      <c r="R264" s="5">
        <f t="shared" si="87"/>
        <v>3.2944550246572124E-3</v>
      </c>
      <c r="S264" s="1"/>
      <c r="T264" s="1">
        <f>SUM(OSRRefT22_17x_0)</f>
        <v>91800</v>
      </c>
      <c r="U264" s="1"/>
      <c r="V264" s="5">
        <f t="shared" si="88"/>
        <v>3.065564336669109E-3</v>
      </c>
      <c r="W264" s="1"/>
      <c r="X264" s="1">
        <f t="shared" si="89"/>
        <v>-2700</v>
      </c>
      <c r="Y264" s="1"/>
      <c r="Z264" s="5">
        <f t="shared" si="90"/>
        <v>-2.9411764705882353E-2</v>
      </c>
    </row>
    <row r="265" spans="1:26" s="24" customFormat="1" hidden="1" outlineLevel="2" x14ac:dyDescent="0.25">
      <c r="A265" s="25"/>
      <c r="B265" s="11" t="str">
        <f>CONCATENATE("          ", "6273", " - ", "RENT")</f>
        <v xml:space="preserve">          6273 - RENT</v>
      </c>
      <c r="C265" s="11"/>
      <c r="D265" s="6">
        <v>9900</v>
      </c>
      <c r="E265" s="2"/>
      <c r="F265" s="7">
        <f t="shared" si="83"/>
        <v>5.3599369853323513E-3</v>
      </c>
      <c r="G265" s="2"/>
      <c r="H265" s="6">
        <v>10200</v>
      </c>
      <c r="I265" s="2"/>
      <c r="J265" s="7">
        <f t="shared" si="84"/>
        <v>2.7843850879221703E-3</v>
      </c>
      <c r="K265" s="2"/>
      <c r="L265" s="6">
        <f t="shared" si="85"/>
        <v>-300</v>
      </c>
      <c r="M265" s="2"/>
      <c r="N265" s="7">
        <f t="shared" si="86"/>
        <v>-2.9411764705882353E-2</v>
      </c>
      <c r="O265" s="11"/>
      <c r="P265" s="6">
        <v>89100</v>
      </c>
      <c r="Q265" s="2"/>
      <c r="R265" s="7">
        <f t="shared" si="87"/>
        <v>3.2944550246572124E-3</v>
      </c>
      <c r="S265" s="2"/>
      <c r="T265" s="6">
        <v>91800</v>
      </c>
      <c r="U265" s="2"/>
      <c r="V265" s="7">
        <f t="shared" si="88"/>
        <v>3.065564336669109E-3</v>
      </c>
      <c r="W265" s="2"/>
      <c r="X265" s="6">
        <f t="shared" si="89"/>
        <v>-2700</v>
      </c>
      <c r="Y265" s="2"/>
      <c r="Z265" s="7">
        <f t="shared" si="90"/>
        <v>-2.9411764705882353E-2</v>
      </c>
    </row>
    <row r="266" spans="1:26" s="27" customFormat="1" outlineLevel="1" collapsed="1" x14ac:dyDescent="0.25">
      <c r="A266" s="26"/>
      <c r="B266" s="13" t="str">
        <f>CONCATENATE("     ","Repair and Maintenance                            ")</f>
        <v xml:space="preserve">     Repair and Maintenance                            </v>
      </c>
      <c r="C266" s="13"/>
      <c r="D266" s="1">
        <f>SUM(OSRRefD22_18x_0)</f>
        <v>27737.13</v>
      </c>
      <c r="E266" s="1"/>
      <c r="F266" s="5">
        <f t="shared" si="83"/>
        <v>1.5017097874138538E-2</v>
      </c>
      <c r="G266" s="1"/>
      <c r="H266" s="1">
        <f>SUM(OSRRefH22_18x_0)</f>
        <v>36359</v>
      </c>
      <c r="I266" s="1"/>
      <c r="J266" s="5">
        <f t="shared" si="84"/>
        <v>9.9252409227217828E-3</v>
      </c>
      <c r="K266" s="1"/>
      <c r="L266" s="1">
        <f t="shared" si="85"/>
        <v>-8621.869999999999</v>
      </c>
      <c r="M266" s="1"/>
      <c r="N266" s="5">
        <f t="shared" si="86"/>
        <v>-0.23713165928655902</v>
      </c>
      <c r="O266" s="13"/>
      <c r="P266" s="1">
        <f>SUM(OSRRefP22_18x_0)</f>
        <v>524440.59</v>
      </c>
      <c r="Q266" s="1"/>
      <c r="R266" s="5">
        <f t="shared" si="87"/>
        <v>1.9391087955776574E-2</v>
      </c>
      <c r="S266" s="1"/>
      <c r="T266" s="1">
        <f>SUM(OSRRefT22_18x_0)</f>
        <v>562245</v>
      </c>
      <c r="U266" s="1"/>
      <c r="V266" s="5">
        <f t="shared" si="88"/>
        <v>1.8775579743687616E-2</v>
      </c>
      <c r="W266" s="1"/>
      <c r="X266" s="1">
        <f t="shared" si="89"/>
        <v>-37804.410000000033</v>
      </c>
      <c r="Y266" s="1"/>
      <c r="Z266" s="5">
        <f t="shared" si="90"/>
        <v>-6.7238321372355525E-2</v>
      </c>
    </row>
    <row r="267" spans="1:26" s="24" customFormat="1" hidden="1" outlineLevel="2" x14ac:dyDescent="0.25">
      <c r="A267" s="25"/>
      <c r="B267" s="11" t="str">
        <f>CONCATENATE("          ", "6371", " - ", "COMPUTER SOFTWARE MAINTENANCE")</f>
        <v xml:space="preserve">          6371 - COMPUTER SOFTWARE MAINTENANCE</v>
      </c>
      <c r="C267" s="11"/>
      <c r="D267" s="6">
        <v>631.04999999999995</v>
      </c>
      <c r="E267" s="2"/>
      <c r="F267" s="7">
        <f t="shared" si="83"/>
        <v>3.4165537723171517E-4</v>
      </c>
      <c r="G267" s="2"/>
      <c r="H267" s="6">
        <v>1547</v>
      </c>
      <c r="I267" s="2"/>
      <c r="J267" s="7">
        <f t="shared" si="84"/>
        <v>4.2229840500152915E-4</v>
      </c>
      <c r="K267" s="2"/>
      <c r="L267" s="6">
        <f t="shared" si="85"/>
        <v>-915.95</v>
      </c>
      <c r="M267" s="2"/>
      <c r="N267" s="7">
        <f t="shared" si="86"/>
        <v>-0.59208144796380091</v>
      </c>
      <c r="O267" s="11"/>
      <c r="P267" s="6">
        <v>91531.31</v>
      </c>
      <c r="Q267" s="2"/>
      <c r="R267" s="7">
        <f t="shared" si="87"/>
        <v>3.3843522350500217E-3</v>
      </c>
      <c r="S267" s="2"/>
      <c r="T267" s="6">
        <v>198408</v>
      </c>
      <c r="U267" s="2"/>
      <c r="V267" s="7">
        <f t="shared" si="88"/>
        <v>6.6256262408479804E-3</v>
      </c>
      <c r="W267" s="2"/>
      <c r="X267" s="6">
        <f t="shared" si="89"/>
        <v>-106876.69</v>
      </c>
      <c r="Y267" s="2"/>
      <c r="Z267" s="7">
        <f t="shared" si="90"/>
        <v>-0.5386712733357526</v>
      </c>
    </row>
    <row r="268" spans="1:26" s="24" customFormat="1" hidden="1" outlineLevel="2" x14ac:dyDescent="0.25">
      <c r="A268" s="25"/>
      <c r="B268" s="11" t="str">
        <f>CONCATENATE("          ", "6372", " - ", "COMPUTER HARDWARE MAINTENANCE")</f>
        <v xml:space="preserve">          6372 - COMPUTER HARDWARE MAINTENANCE</v>
      </c>
      <c r="C268" s="11"/>
      <c r="D268" s="6"/>
      <c r="E268" s="2"/>
      <c r="F268" s="7">
        <f t="shared" si="83"/>
        <v>0</v>
      </c>
      <c r="G268" s="2"/>
      <c r="H268" s="6">
        <v>2070</v>
      </c>
      <c r="I268" s="2"/>
      <c r="J268" s="7">
        <f t="shared" si="84"/>
        <v>5.6506638549008747E-4</v>
      </c>
      <c r="K268" s="2"/>
      <c r="L268" s="6">
        <f t="shared" si="85"/>
        <v>-2070</v>
      </c>
      <c r="M268" s="2"/>
      <c r="N268" s="7">
        <f t="shared" si="86"/>
        <v>-1</v>
      </c>
      <c r="O268" s="11"/>
      <c r="P268" s="6">
        <v>52.31</v>
      </c>
      <c r="Q268" s="2"/>
      <c r="R268" s="7">
        <f t="shared" si="87"/>
        <v>1.9341519903458899E-6</v>
      </c>
      <c r="S268" s="2"/>
      <c r="T268" s="6">
        <v>20410</v>
      </c>
      <c r="U268" s="2"/>
      <c r="V268" s="7">
        <f t="shared" si="88"/>
        <v>6.8157045873002732E-4</v>
      </c>
      <c r="W268" s="2"/>
      <c r="X268" s="6">
        <f t="shared" si="89"/>
        <v>-20357.689999999999</v>
      </c>
      <c r="Y268" s="2"/>
      <c r="Z268" s="7">
        <f t="shared" si="90"/>
        <v>-0.99743704066633998</v>
      </c>
    </row>
    <row r="269" spans="1:26" s="24" customFormat="1" hidden="1" outlineLevel="2" x14ac:dyDescent="0.25">
      <c r="A269" s="25"/>
      <c r="B269" s="11" t="str">
        <f>CONCATENATE("          ", "6373", " - ", "MAINTENANCE CONTRACTS")</f>
        <v xml:space="preserve">          6373 - MAINTENANCE CONTRACTS</v>
      </c>
      <c r="C269" s="11"/>
      <c r="D269" s="6">
        <v>20220.400000000001</v>
      </c>
      <c r="E269" s="2"/>
      <c r="F269" s="7">
        <f t="shared" si="83"/>
        <v>1.0947481799819624E-2</v>
      </c>
      <c r="G269" s="2"/>
      <c r="H269" s="6">
        <v>9518</v>
      </c>
      <c r="I269" s="2"/>
      <c r="J269" s="7">
        <f t="shared" si="84"/>
        <v>2.5982134575336484E-3</v>
      </c>
      <c r="K269" s="2"/>
      <c r="L269" s="6">
        <f t="shared" si="85"/>
        <v>10702.400000000001</v>
      </c>
      <c r="M269" s="2"/>
      <c r="N269" s="7">
        <f t="shared" si="86"/>
        <v>1.1244379071233455</v>
      </c>
      <c r="O269" s="11"/>
      <c r="P269" s="6">
        <v>267803.62</v>
      </c>
      <c r="Q269" s="2"/>
      <c r="R269" s="7">
        <f t="shared" si="87"/>
        <v>9.9019863246957423E-3</v>
      </c>
      <c r="S269" s="2"/>
      <c r="T269" s="6">
        <v>89924</v>
      </c>
      <c r="U269" s="2"/>
      <c r="V269" s="7">
        <f t="shared" si="88"/>
        <v>3.0029172920548251E-3</v>
      </c>
      <c r="W269" s="2"/>
      <c r="X269" s="6">
        <f t="shared" si="89"/>
        <v>177879.62</v>
      </c>
      <c r="Y269" s="2"/>
      <c r="Z269" s="7">
        <f t="shared" si="90"/>
        <v>1.978110626751479</v>
      </c>
    </row>
    <row r="270" spans="1:26" s="24" customFormat="1" hidden="1" outlineLevel="2" x14ac:dyDescent="0.25">
      <c r="A270" s="25"/>
      <c r="B270" s="11" t="str">
        <f>CONCATENATE("          ", "6375", " - ", "OUTSIDE REPAIRS &amp; MAINTENANCE")</f>
        <v xml:space="preserve">          6375 - OUTSIDE REPAIRS &amp; MAINTENANCE</v>
      </c>
      <c r="C270" s="11"/>
      <c r="D270" s="6">
        <v>6885.68</v>
      </c>
      <c r="E270" s="2"/>
      <c r="F270" s="7">
        <f t="shared" si="83"/>
        <v>3.7279606970871985E-3</v>
      </c>
      <c r="G270" s="2"/>
      <c r="H270" s="6">
        <v>23224</v>
      </c>
      <c r="I270" s="2"/>
      <c r="J270" s="7">
        <f t="shared" si="84"/>
        <v>6.3396626746965177E-3</v>
      </c>
      <c r="K270" s="2"/>
      <c r="L270" s="6">
        <f t="shared" si="85"/>
        <v>-16338.32</v>
      </c>
      <c r="M270" s="2"/>
      <c r="N270" s="7">
        <f t="shared" si="86"/>
        <v>-0.70351016190148119</v>
      </c>
      <c r="O270" s="11"/>
      <c r="P270" s="6">
        <v>165053.35</v>
      </c>
      <c r="Q270" s="2"/>
      <c r="R270" s="7">
        <f t="shared" si="87"/>
        <v>6.1028152440404659E-3</v>
      </c>
      <c r="S270" s="2"/>
      <c r="T270" s="6">
        <v>253503</v>
      </c>
      <c r="U270" s="2"/>
      <c r="V270" s="7">
        <f t="shared" si="88"/>
        <v>8.4654657520547832E-3</v>
      </c>
      <c r="W270" s="2"/>
      <c r="X270" s="6">
        <f t="shared" si="89"/>
        <v>-88449.65</v>
      </c>
      <c r="Y270" s="2"/>
      <c r="Z270" s="7">
        <f t="shared" si="90"/>
        <v>-0.34890967759750374</v>
      </c>
    </row>
    <row r="271" spans="1:26" s="27" customFormat="1" outlineLevel="1" collapsed="1" x14ac:dyDescent="0.25">
      <c r="A271" s="26"/>
      <c r="B271" s="13" t="str">
        <f>CONCATENATE("     ","Royalty &amp; Commissions                             ")</f>
        <v xml:space="preserve">     Royalty &amp; Commissions                             </v>
      </c>
      <c r="C271" s="13"/>
      <c r="D271" s="1">
        <f>SUM(OSRRefD22_19x_0)</f>
        <v>32890.050000000003</v>
      </c>
      <c r="E271" s="1"/>
      <c r="F271" s="5">
        <f t="shared" ref="F271:F275" si="91">IF(D$12=0,0,D271/D$12)</f>
        <v>1.7806928832770741E-2</v>
      </c>
      <c r="G271" s="1"/>
      <c r="H271" s="1">
        <f>SUM(OSRRefH22_19x_0)</f>
        <v>84301</v>
      </c>
      <c r="I271" s="1"/>
      <c r="J271" s="5">
        <f t="shared" ref="J271:J275" si="92">IF(H$12=0,0,H271/H$12)</f>
        <v>2.3012396793816357E-2</v>
      </c>
      <c r="K271" s="1"/>
      <c r="L271" s="1">
        <f t="shared" ref="L271:L275" si="93">+D271-H271</f>
        <v>-51410.95</v>
      </c>
      <c r="M271" s="1"/>
      <c r="N271" s="5">
        <f t="shared" ref="N271:N275" si="94">IF(H271=0,0,L271/H271)</f>
        <v>-0.6098498238455059</v>
      </c>
      <c r="O271" s="13"/>
      <c r="P271" s="1">
        <f>SUM(OSRRefP22_19x_0)</f>
        <v>361431.55999999994</v>
      </c>
      <c r="Q271" s="1"/>
      <c r="R271" s="5">
        <f t="shared" ref="R271:R275" si="95">IF(P$12=0,0,P271/P$12)</f>
        <v>1.3363861042779961E-2</v>
      </c>
      <c r="S271" s="1"/>
      <c r="T271" s="1">
        <f>SUM(OSRRefT22_19x_0)</f>
        <v>451765</v>
      </c>
      <c r="U271" s="1"/>
      <c r="V271" s="5">
        <f t="shared" ref="V271:V275" si="96">IF(T$12=0,0,T271/T$12)</f>
        <v>1.5086216476637472E-2</v>
      </c>
      <c r="W271" s="1"/>
      <c r="X271" s="1">
        <f t="shared" ref="X271:X275" si="97">+P271-T271</f>
        <v>-90333.440000000061</v>
      </c>
      <c r="Y271" s="1"/>
      <c r="Z271" s="5">
        <f t="shared" ref="Z271:Z275" si="98">IF(T271=0,0,X271/T271)</f>
        <v>-0.1999567031531882</v>
      </c>
    </row>
    <row r="272" spans="1:26" s="24" customFormat="1" hidden="1" outlineLevel="2" x14ac:dyDescent="0.25">
      <c r="A272" s="25"/>
      <c r="B272" s="11" t="str">
        <f>CONCATENATE("          ", "6252", " - ", "ROYALTY DUE CSTV")</f>
        <v xml:space="preserve">          6252 - ROYALTY DUE CSTV</v>
      </c>
      <c r="C272" s="11"/>
      <c r="D272" s="6"/>
      <c r="E272" s="2"/>
      <c r="F272" s="7">
        <f t="shared" si="91"/>
        <v>0</v>
      </c>
      <c r="G272" s="2"/>
      <c r="H272" s="6">
        <v>16085</v>
      </c>
      <c r="I272" s="2"/>
      <c r="J272" s="7">
        <f t="shared" si="92"/>
        <v>4.3908660920811866E-3</v>
      </c>
      <c r="K272" s="2"/>
      <c r="L272" s="6">
        <f t="shared" si="93"/>
        <v>-16085</v>
      </c>
      <c r="M272" s="2"/>
      <c r="N272" s="7">
        <f t="shared" si="94"/>
        <v>-1</v>
      </c>
      <c r="O272" s="11"/>
      <c r="P272" s="6"/>
      <c r="Q272" s="2"/>
      <c r="R272" s="7">
        <f t="shared" si="95"/>
        <v>0</v>
      </c>
      <c r="S272" s="2"/>
      <c r="T272" s="6">
        <v>30165</v>
      </c>
      <c r="U272" s="2"/>
      <c r="V272" s="7">
        <f t="shared" si="96"/>
        <v>1.0073284119348983E-3</v>
      </c>
      <c r="W272" s="2"/>
      <c r="X272" s="6">
        <f t="shared" si="97"/>
        <v>-30165</v>
      </c>
      <c r="Y272" s="2"/>
      <c r="Z272" s="7">
        <f t="shared" si="98"/>
        <v>-1</v>
      </c>
    </row>
    <row r="273" spans="1:26" s="24" customFormat="1" hidden="1" outlineLevel="2" x14ac:dyDescent="0.25">
      <c r="A273" s="25"/>
      <c r="B273" s="11" t="str">
        <f>CONCATENATE("          ", "6253", " - ", "ROYALTY DUE ATHLETICS-LRG")</f>
        <v xml:space="preserve">          6253 - ROYALTY DUE ATHLETICS-LRG</v>
      </c>
      <c r="C273" s="11"/>
      <c r="D273" s="6">
        <v>1669.49</v>
      </c>
      <c r="E273" s="2"/>
      <c r="F273" s="7">
        <f t="shared" si="91"/>
        <v>9.0387486844873809E-4</v>
      </c>
      <c r="G273" s="2"/>
      <c r="H273" s="6">
        <v>35700</v>
      </c>
      <c r="I273" s="2"/>
      <c r="J273" s="7">
        <f t="shared" si="92"/>
        <v>9.7453478077275946E-3</v>
      </c>
      <c r="K273" s="2"/>
      <c r="L273" s="6">
        <f t="shared" si="93"/>
        <v>-34030.51</v>
      </c>
      <c r="M273" s="2"/>
      <c r="N273" s="7">
        <f t="shared" si="94"/>
        <v>-0.95323557422969196</v>
      </c>
      <c r="O273" s="11"/>
      <c r="P273" s="6">
        <v>18314.929999999997</v>
      </c>
      <c r="Q273" s="2"/>
      <c r="R273" s="7">
        <f t="shared" si="95"/>
        <v>6.7719094460993382E-4</v>
      </c>
      <c r="S273" s="2"/>
      <c r="T273" s="6">
        <v>156300</v>
      </c>
      <c r="U273" s="2"/>
      <c r="V273" s="7">
        <f t="shared" si="96"/>
        <v>5.2194739196228948E-3</v>
      </c>
      <c r="W273" s="2"/>
      <c r="X273" s="6">
        <f t="shared" si="97"/>
        <v>-137985.07</v>
      </c>
      <c r="Y273" s="2"/>
      <c r="Z273" s="7">
        <f t="shared" si="98"/>
        <v>-0.88282194497760724</v>
      </c>
    </row>
    <row r="274" spans="1:26" s="24" customFormat="1" hidden="1" outlineLevel="2" x14ac:dyDescent="0.25">
      <c r="A274" s="25"/>
      <c r="B274" s="11" t="str">
        <f>CONCATENATE("          ", "6254", " - ", "ROYALTY &amp; COMMISSIONS")</f>
        <v xml:space="preserve">          6254 - ROYALTY &amp; COMMISSIONS</v>
      </c>
      <c r="C274" s="11"/>
      <c r="D274" s="6">
        <v>20398.84</v>
      </c>
      <c r="E274" s="2"/>
      <c r="F274" s="7">
        <f t="shared" si="91"/>
        <v>1.1044090603421918E-2</v>
      </c>
      <c r="G274" s="2"/>
      <c r="H274" s="6">
        <v>11700</v>
      </c>
      <c r="I274" s="2"/>
      <c r="J274" s="7">
        <f t="shared" si="92"/>
        <v>3.193853483204842E-3</v>
      </c>
      <c r="K274" s="2"/>
      <c r="L274" s="6">
        <f t="shared" si="93"/>
        <v>8698.84</v>
      </c>
      <c r="M274" s="2"/>
      <c r="N274" s="7">
        <f t="shared" si="94"/>
        <v>0.74349059829059827</v>
      </c>
      <c r="O274" s="11"/>
      <c r="P274" s="6">
        <v>161620.87</v>
      </c>
      <c r="Q274" s="2"/>
      <c r="R274" s="7">
        <f t="shared" si="95"/>
        <v>5.9758999692589238E-3</v>
      </c>
      <c r="S274" s="2"/>
      <c r="T274" s="6">
        <v>111417</v>
      </c>
      <c r="U274" s="2"/>
      <c r="V274" s="7">
        <f t="shared" si="96"/>
        <v>3.7206533954102627E-3</v>
      </c>
      <c r="W274" s="2"/>
      <c r="X274" s="6">
        <f t="shared" si="97"/>
        <v>50203.869999999995</v>
      </c>
      <c r="Y274" s="2"/>
      <c r="Z274" s="7">
        <f t="shared" si="98"/>
        <v>0.45059434377159674</v>
      </c>
    </row>
    <row r="275" spans="1:26" s="24" customFormat="1" hidden="1" outlineLevel="2" x14ac:dyDescent="0.25">
      <c r="A275" s="25"/>
      <c r="B275" s="11" t="str">
        <f>CONCATENATE("          ", "6259", " - ", "ROYALTY &amp; COMMISSIONS")</f>
        <v xml:space="preserve">          6259 - ROYALTY &amp; COMMISSIONS</v>
      </c>
      <c r="C275" s="11"/>
      <c r="D275" s="6">
        <v>10821.72</v>
      </c>
      <c r="E275" s="2"/>
      <c r="F275" s="7">
        <f t="shared" si="91"/>
        <v>5.8589633609000815E-3</v>
      </c>
      <c r="G275" s="2"/>
      <c r="H275" s="6">
        <v>20816</v>
      </c>
      <c r="I275" s="2"/>
      <c r="J275" s="7">
        <f t="shared" si="92"/>
        <v>5.6823294108027346E-3</v>
      </c>
      <c r="K275" s="2"/>
      <c r="L275" s="6">
        <f t="shared" si="93"/>
        <v>-9994.2800000000007</v>
      </c>
      <c r="M275" s="2"/>
      <c r="N275" s="7">
        <f t="shared" si="94"/>
        <v>-0.48012490392006152</v>
      </c>
      <c r="O275" s="11"/>
      <c r="P275" s="6">
        <v>181495.75999999998</v>
      </c>
      <c r="Q275" s="2"/>
      <c r="R275" s="7">
        <f t="shared" si="95"/>
        <v>6.7107701289111045E-3</v>
      </c>
      <c r="S275" s="2"/>
      <c r="T275" s="6">
        <v>153883</v>
      </c>
      <c r="U275" s="2"/>
      <c r="V275" s="7">
        <f t="shared" si="96"/>
        <v>5.1387607496694169E-3</v>
      </c>
      <c r="W275" s="2"/>
      <c r="X275" s="6">
        <f t="shared" si="97"/>
        <v>27612.75999999998</v>
      </c>
      <c r="Y275" s="2"/>
      <c r="Z275" s="7">
        <f t="shared" si="98"/>
        <v>0.17943996412859106</v>
      </c>
    </row>
    <row r="276" spans="1:26" s="27" customFormat="1" outlineLevel="1" collapsed="1" x14ac:dyDescent="0.25">
      <c r="A276" s="26"/>
      <c r="B276" s="13" t="str">
        <f>CONCATENATE("     ","Services                                          ")</f>
        <v xml:space="preserve">     Services                                          </v>
      </c>
      <c r="C276" s="13"/>
      <c r="D276" s="1">
        <f>SUM(OSRRefD22_20x_0)</f>
        <v>53853.68</v>
      </c>
      <c r="E276" s="1"/>
      <c r="F276" s="5">
        <f t="shared" ref="F276:F282" si="99">IF(D$12=0,0,D276/D$12)</f>
        <v>2.9156801134166986E-2</v>
      </c>
      <c r="G276" s="1"/>
      <c r="H276" s="1">
        <f>SUM(OSRRefH22_20x_0)</f>
        <v>48118.5</v>
      </c>
      <c r="I276" s="1"/>
      <c r="J276" s="5">
        <f t="shared" ref="J276:J282" si="100">IF(H$12=0,0,H276/H$12)</f>
        <v>1.3135336652272837E-2</v>
      </c>
      <c r="K276" s="1"/>
      <c r="L276" s="1">
        <f t="shared" ref="L276:L282" si="101">+D276-H276</f>
        <v>5735.18</v>
      </c>
      <c r="M276" s="1"/>
      <c r="N276" s="5">
        <f t="shared" ref="N276:N282" si="102">IF(H276=0,0,L276/H276)</f>
        <v>0.11918866963849663</v>
      </c>
      <c r="O276" s="13"/>
      <c r="P276" s="1">
        <f>SUM(OSRRefP22_20x_0)</f>
        <v>435539.27</v>
      </c>
      <c r="Q276" s="1"/>
      <c r="R276" s="5">
        <f t="shared" ref="R276:R282" si="103">IF(P$12=0,0,P276/P$12)</f>
        <v>1.61039790851519E-2</v>
      </c>
      <c r="S276" s="1"/>
      <c r="T276" s="1">
        <f>SUM(OSRRefT22_20x_0)</f>
        <v>422889.5</v>
      </c>
      <c r="U276" s="1"/>
      <c r="V276" s="5">
        <f t="shared" ref="V276:V282" si="104">IF(T$12=0,0,T276/T$12)</f>
        <v>1.4121949559388138E-2</v>
      </c>
      <c r="W276" s="1"/>
      <c r="X276" s="1">
        <f t="shared" ref="X276:X282" si="105">+P276-T276</f>
        <v>12649.770000000019</v>
      </c>
      <c r="Y276" s="1"/>
      <c r="Z276" s="5">
        <f t="shared" ref="Z276:Z282" si="106">IF(T276=0,0,X276/T276)</f>
        <v>2.9912707693144469E-2</v>
      </c>
    </row>
    <row r="277" spans="1:26" s="24" customFormat="1" hidden="1" outlineLevel="2" x14ac:dyDescent="0.25">
      <c r="A277" s="25"/>
      <c r="B277" s="11" t="str">
        <f>CONCATENATE("          ", "6281", " - ", "STORAGE FEE")</f>
        <v xml:space="preserve">          6281 - STORAGE FEE</v>
      </c>
      <c r="C277" s="11"/>
      <c r="D277" s="6"/>
      <c r="E277" s="2"/>
      <c r="F277" s="7">
        <f t="shared" si="99"/>
        <v>0</v>
      </c>
      <c r="G277" s="2"/>
      <c r="H277" s="6"/>
      <c r="I277" s="2"/>
      <c r="J277" s="7">
        <f t="shared" si="100"/>
        <v>0</v>
      </c>
      <c r="K277" s="2"/>
      <c r="L277" s="6">
        <f t="shared" si="101"/>
        <v>0</v>
      </c>
      <c r="M277" s="2"/>
      <c r="N277" s="7">
        <f t="shared" si="102"/>
        <v>0</v>
      </c>
      <c r="O277" s="11"/>
      <c r="P277" s="6"/>
      <c r="Q277" s="2"/>
      <c r="R277" s="7">
        <f t="shared" si="103"/>
        <v>0</v>
      </c>
      <c r="S277" s="2"/>
      <c r="T277" s="6">
        <v>0</v>
      </c>
      <c r="U277" s="2"/>
      <c r="V277" s="7">
        <f t="shared" si="104"/>
        <v>0</v>
      </c>
      <c r="W277" s="2"/>
      <c r="X277" s="6">
        <f t="shared" si="105"/>
        <v>0</v>
      </c>
      <c r="Y277" s="2"/>
      <c r="Z277" s="7">
        <f t="shared" si="106"/>
        <v>0</v>
      </c>
    </row>
    <row r="278" spans="1:26" s="24" customFormat="1" hidden="1" outlineLevel="2" x14ac:dyDescent="0.25">
      <c r="A278" s="25"/>
      <c r="B278" s="11" t="str">
        <f>CONCATENATE("          ", "6282", " - ", "JANITORIAL/EXTERMINATOR EXPENS")</f>
        <v xml:space="preserve">          6282 - JANITORIAL/EXTERMINATOR EXPENS</v>
      </c>
      <c r="C278" s="11"/>
      <c r="D278" s="6">
        <v>3406.92</v>
      </c>
      <c r="E278" s="2"/>
      <c r="F278" s="7">
        <f t="shared" si="99"/>
        <v>1.8445329812190399E-3</v>
      </c>
      <c r="G278" s="2"/>
      <c r="H278" s="6">
        <v>3599</v>
      </c>
      <c r="I278" s="2"/>
      <c r="J278" s="7">
        <f t="shared" si="100"/>
        <v>9.8245116974822445E-4</v>
      </c>
      <c r="K278" s="2"/>
      <c r="L278" s="6">
        <f t="shared" si="101"/>
        <v>-192.07999999999993</v>
      </c>
      <c r="M278" s="2"/>
      <c r="N278" s="7">
        <f t="shared" si="102"/>
        <v>-5.3370380661294785E-2</v>
      </c>
      <c r="O278" s="11"/>
      <c r="P278" s="6">
        <v>36340.579999999994</v>
      </c>
      <c r="Q278" s="2"/>
      <c r="R278" s="7">
        <f t="shared" si="103"/>
        <v>1.3436858179568729E-3</v>
      </c>
      <c r="S278" s="2"/>
      <c r="T278" s="6">
        <v>31410</v>
      </c>
      <c r="U278" s="2"/>
      <c r="V278" s="7">
        <f t="shared" si="104"/>
        <v>1.0489038759779598E-3</v>
      </c>
      <c r="W278" s="2"/>
      <c r="X278" s="6">
        <f t="shared" si="105"/>
        <v>4930.5799999999945</v>
      </c>
      <c r="Y278" s="2"/>
      <c r="Z278" s="7">
        <f t="shared" si="106"/>
        <v>0.15697484877427553</v>
      </c>
    </row>
    <row r="279" spans="1:26" s="24" customFormat="1" hidden="1" outlineLevel="2" x14ac:dyDescent="0.25">
      <c r="A279" s="25"/>
      <c r="B279" s="11" t="str">
        <f>CONCATENATE("          ", "6283", " - ", "PLANT SERVICE")</f>
        <v xml:space="preserve">          6283 - PLANT SERVICE</v>
      </c>
      <c r="C279" s="11"/>
      <c r="D279" s="6">
        <v>399.56</v>
      </c>
      <c r="E279" s="2"/>
      <c r="F279" s="7">
        <f t="shared" si="99"/>
        <v>2.1632489109690853E-4</v>
      </c>
      <c r="G279" s="2"/>
      <c r="H279" s="6">
        <v>245</v>
      </c>
      <c r="I279" s="2"/>
      <c r="J279" s="7">
        <f t="shared" si="100"/>
        <v>6.6879837896169773E-5</v>
      </c>
      <c r="K279" s="2"/>
      <c r="L279" s="6">
        <f t="shared" si="101"/>
        <v>154.56</v>
      </c>
      <c r="M279" s="2"/>
      <c r="N279" s="7">
        <f t="shared" si="102"/>
        <v>0.63085714285714289</v>
      </c>
      <c r="O279" s="11"/>
      <c r="P279" s="6">
        <v>1940.44</v>
      </c>
      <c r="Q279" s="2"/>
      <c r="R279" s="7">
        <f t="shared" si="103"/>
        <v>7.1747388418022913E-5</v>
      </c>
      <c r="S279" s="2"/>
      <c r="T279" s="6">
        <v>2170</v>
      </c>
      <c r="U279" s="2"/>
      <c r="V279" s="7">
        <f t="shared" si="104"/>
        <v>7.2464865038910311E-5</v>
      </c>
      <c r="W279" s="2"/>
      <c r="X279" s="6">
        <f t="shared" si="105"/>
        <v>-229.55999999999995</v>
      </c>
      <c r="Y279" s="2"/>
      <c r="Z279" s="7">
        <f t="shared" si="106"/>
        <v>-0.1057880184331797</v>
      </c>
    </row>
    <row r="280" spans="1:26" s="24" customFormat="1" hidden="1" outlineLevel="2" x14ac:dyDescent="0.25">
      <c r="A280" s="25"/>
      <c r="B280" s="11" t="str">
        <f>CONCATENATE("          ", "6284", " - ", "TRASH REMOVAL EXPENSE")</f>
        <v xml:space="preserve">          6284 - TRASH REMOVAL EXPENSE</v>
      </c>
      <c r="C280" s="11"/>
      <c r="D280" s="6">
        <v>5553.82</v>
      </c>
      <c r="E280" s="2"/>
      <c r="F280" s="7">
        <f t="shared" si="99"/>
        <v>3.0068813361493452E-3</v>
      </c>
      <c r="G280" s="2"/>
      <c r="H280" s="6">
        <v>4277.5</v>
      </c>
      <c r="I280" s="2"/>
      <c r="J280" s="7">
        <f t="shared" si="100"/>
        <v>1.1676673738810865E-3</v>
      </c>
      <c r="K280" s="2"/>
      <c r="L280" s="6">
        <f t="shared" si="101"/>
        <v>1276.3199999999997</v>
      </c>
      <c r="M280" s="2"/>
      <c r="N280" s="7">
        <f t="shared" si="102"/>
        <v>0.29837989479836347</v>
      </c>
      <c r="O280" s="11"/>
      <c r="P280" s="6">
        <v>42096.380000000005</v>
      </c>
      <c r="Q280" s="2"/>
      <c r="R280" s="7">
        <f t="shared" si="103"/>
        <v>1.5565053940614971E-3</v>
      </c>
      <c r="S280" s="2"/>
      <c r="T280" s="6">
        <v>38447.5</v>
      </c>
      <c r="U280" s="2"/>
      <c r="V280" s="7">
        <f t="shared" si="104"/>
        <v>1.2839137781490801E-3</v>
      </c>
      <c r="W280" s="2"/>
      <c r="X280" s="6">
        <f t="shared" si="105"/>
        <v>3648.8800000000047</v>
      </c>
      <c r="Y280" s="2"/>
      <c r="Z280" s="7">
        <f t="shared" si="106"/>
        <v>9.4905520514988087E-2</v>
      </c>
    </row>
    <row r="281" spans="1:26" s="24" customFormat="1" hidden="1" outlineLevel="2" x14ac:dyDescent="0.25">
      <c r="A281" s="25"/>
      <c r="B281" s="11" t="str">
        <f>CONCATENATE("          ", "6285", " - ", "JANITORIAL SERVICES")</f>
        <v xml:space="preserve">          6285 - JANITORIAL SERVICES</v>
      </c>
      <c r="C281" s="11"/>
      <c r="D281" s="6">
        <v>38762.51</v>
      </c>
      <c r="E281" s="2"/>
      <c r="F281" s="7">
        <f t="shared" si="99"/>
        <v>2.0986324342759103E-2</v>
      </c>
      <c r="G281" s="2"/>
      <c r="H281" s="6">
        <v>30215</v>
      </c>
      <c r="I281" s="2"/>
      <c r="J281" s="7">
        <f t="shared" si="100"/>
        <v>8.2480583756439577E-3</v>
      </c>
      <c r="K281" s="2"/>
      <c r="L281" s="6">
        <f t="shared" si="101"/>
        <v>8547.510000000002</v>
      </c>
      <c r="M281" s="2"/>
      <c r="N281" s="7">
        <f t="shared" si="102"/>
        <v>0.28288962435876225</v>
      </c>
      <c r="O281" s="11"/>
      <c r="P281" s="6">
        <v>281464.41000000003</v>
      </c>
      <c r="Q281" s="2"/>
      <c r="R281" s="7">
        <f t="shared" si="103"/>
        <v>1.0407091355630503E-2</v>
      </c>
      <c r="S281" s="2"/>
      <c r="T281" s="6">
        <v>270476</v>
      </c>
      <c r="U281" s="2"/>
      <c r="V281" s="7">
        <f t="shared" si="104"/>
        <v>9.0322612148683434E-3</v>
      </c>
      <c r="W281" s="2"/>
      <c r="X281" s="6">
        <f t="shared" si="105"/>
        <v>10988.410000000033</v>
      </c>
      <c r="Y281" s="2"/>
      <c r="Z281" s="7">
        <f t="shared" si="106"/>
        <v>4.0626192342389095E-2</v>
      </c>
    </row>
    <row r="282" spans="1:26" s="24" customFormat="1" hidden="1" outlineLevel="2" x14ac:dyDescent="0.25">
      <c r="A282" s="25"/>
      <c r="B282" s="11" t="str">
        <f>CONCATENATE("          ", "6286", " - ", "LAUNDRY EXPENSE")</f>
        <v xml:space="preserve">          6286 - LAUNDRY EXPENSE</v>
      </c>
      <c r="C282" s="11"/>
      <c r="D282" s="6">
        <v>5730.87</v>
      </c>
      <c r="E282" s="2"/>
      <c r="F282" s="7">
        <f t="shared" si="99"/>
        <v>3.1027375829425869E-3</v>
      </c>
      <c r="G282" s="2"/>
      <c r="H282" s="6">
        <v>9782</v>
      </c>
      <c r="I282" s="2"/>
      <c r="J282" s="7">
        <f t="shared" si="100"/>
        <v>2.6702798951033987E-3</v>
      </c>
      <c r="K282" s="2"/>
      <c r="L282" s="6">
        <f t="shared" si="101"/>
        <v>-4051.13</v>
      </c>
      <c r="M282" s="2"/>
      <c r="N282" s="7">
        <f t="shared" si="102"/>
        <v>-0.41414127990186056</v>
      </c>
      <c r="O282" s="11"/>
      <c r="P282" s="6">
        <v>73697.459999999992</v>
      </c>
      <c r="Q282" s="2"/>
      <c r="R282" s="7">
        <f t="shared" si="103"/>
        <v>2.7249491290850044E-3</v>
      </c>
      <c r="S282" s="2"/>
      <c r="T282" s="6">
        <v>80386</v>
      </c>
      <c r="U282" s="2"/>
      <c r="V282" s="7">
        <f t="shared" si="104"/>
        <v>2.6844058253538451E-3</v>
      </c>
      <c r="W282" s="2"/>
      <c r="X282" s="6">
        <f t="shared" si="105"/>
        <v>-6688.5400000000081</v>
      </c>
      <c r="Y282" s="2"/>
      <c r="Z282" s="7">
        <f t="shared" si="106"/>
        <v>-8.3205284502276614E-2</v>
      </c>
    </row>
    <row r="283" spans="1:26" s="27" customFormat="1" outlineLevel="1" collapsed="1" x14ac:dyDescent="0.25">
      <c r="A283" s="26"/>
      <c r="B283" s="13" t="str">
        <f>CONCATENATE("     ","Subscriptions &amp; Dues                              ")</f>
        <v xml:space="preserve">     Subscriptions &amp; Dues                              </v>
      </c>
      <c r="C283" s="13"/>
      <c r="D283" s="1">
        <f>SUM(OSRRefD22_21x_0)</f>
        <v>778.53</v>
      </c>
      <c r="E283" s="1"/>
      <c r="F283" s="5">
        <f t="shared" ref="F283:F285" si="107">IF(D$12=0,0,D283/D$12)</f>
        <v>4.2150219607987833E-4</v>
      </c>
      <c r="G283" s="1"/>
      <c r="H283" s="1">
        <f>SUM(OSRRefH22_21x_0)</f>
        <v>2289</v>
      </c>
      <c r="I283" s="1"/>
      <c r="J283" s="5">
        <f t="shared" ref="J283:J285" si="108">IF(H$12=0,0,H283/H$12)</f>
        <v>6.2484877120135755E-4</v>
      </c>
      <c r="K283" s="1"/>
      <c r="L283" s="1">
        <f t="shared" ref="L283:L285" si="109">+D283-H283</f>
        <v>-1510.47</v>
      </c>
      <c r="M283" s="1"/>
      <c r="N283" s="5">
        <f t="shared" ref="N283:N285" si="110">IF(H283=0,0,L283/H283)</f>
        <v>-0.65988204456094368</v>
      </c>
      <c r="O283" s="13"/>
      <c r="P283" s="1">
        <f>SUM(OSRRefP22_21x_0)</f>
        <v>9567.77</v>
      </c>
      <c r="Q283" s="1"/>
      <c r="R283" s="5">
        <f t="shared" ref="R283:R285" si="111">IF(P$12=0,0,P283/P$12)</f>
        <v>3.5376641920611154E-4</v>
      </c>
      <c r="S283" s="1"/>
      <c r="T283" s="1">
        <f>SUM(OSRRefT22_21x_0)</f>
        <v>24741</v>
      </c>
      <c r="U283" s="1"/>
      <c r="V283" s="5">
        <f t="shared" ref="V283:V285" si="112">IF(T$12=0,0,T283/T$12)</f>
        <v>8.2619964328464518E-4</v>
      </c>
      <c r="W283" s="1"/>
      <c r="X283" s="1">
        <f t="shared" ref="X283:X285" si="113">+P283-T283</f>
        <v>-15173.23</v>
      </c>
      <c r="Y283" s="1"/>
      <c r="Z283" s="5">
        <f t="shared" ref="Z283:Z285" si="114">IF(T283=0,0,X283/T283)</f>
        <v>-0.61328280991067452</v>
      </c>
    </row>
    <row r="284" spans="1:26" s="24" customFormat="1" hidden="1" outlineLevel="2" x14ac:dyDescent="0.25">
      <c r="A284" s="25"/>
      <c r="B284" s="11" t="str">
        <f>CONCATENATE("          ", "6258", " - ", "MEMBERSHIP DUES")</f>
        <v xml:space="preserve">          6258 - MEMBERSHIP DUES</v>
      </c>
      <c r="C284" s="11"/>
      <c r="D284" s="6">
        <v>616.54</v>
      </c>
      <c r="E284" s="2"/>
      <c r="F284" s="7">
        <f t="shared" si="107"/>
        <v>3.3379955039765732E-4</v>
      </c>
      <c r="G284" s="2"/>
      <c r="H284" s="6">
        <v>400</v>
      </c>
      <c r="I284" s="2"/>
      <c r="J284" s="7">
        <f t="shared" si="108"/>
        <v>1.0919157207537922E-4</v>
      </c>
      <c r="K284" s="2"/>
      <c r="L284" s="6">
        <f t="shared" si="109"/>
        <v>216.53999999999996</v>
      </c>
      <c r="M284" s="2"/>
      <c r="N284" s="7">
        <f t="shared" si="110"/>
        <v>0.54134999999999989</v>
      </c>
      <c r="O284" s="11"/>
      <c r="P284" s="6">
        <v>3724.91</v>
      </c>
      <c r="Q284" s="2"/>
      <c r="R284" s="7">
        <f t="shared" si="111"/>
        <v>1.3772781667672161E-4</v>
      </c>
      <c r="S284" s="2"/>
      <c r="T284" s="6">
        <v>14940</v>
      </c>
      <c r="U284" s="2"/>
      <c r="V284" s="7">
        <f t="shared" si="112"/>
        <v>4.9890556851673738E-4</v>
      </c>
      <c r="W284" s="2"/>
      <c r="X284" s="6">
        <f t="shared" si="113"/>
        <v>-11215.09</v>
      </c>
      <c r="Y284" s="2"/>
      <c r="Z284" s="7">
        <f t="shared" si="114"/>
        <v>-0.75067536813922353</v>
      </c>
    </row>
    <row r="285" spans="1:26" s="24" customFormat="1" hidden="1" outlineLevel="2" x14ac:dyDescent="0.25">
      <c r="A285" s="25"/>
      <c r="B285" s="11" t="str">
        <f>CONCATENATE("          ", "6275", " - ", "SUBSCRIPTIONS")</f>
        <v xml:space="preserve">          6275 - SUBSCRIPTIONS</v>
      </c>
      <c r="C285" s="11"/>
      <c r="D285" s="6">
        <v>161.99</v>
      </c>
      <c r="E285" s="2"/>
      <c r="F285" s="7">
        <f t="shared" si="107"/>
        <v>8.7702645682220969E-5</v>
      </c>
      <c r="G285" s="2"/>
      <c r="H285" s="6">
        <v>1889</v>
      </c>
      <c r="I285" s="2"/>
      <c r="J285" s="7">
        <f t="shared" si="108"/>
        <v>5.1565719912597839E-4</v>
      </c>
      <c r="K285" s="2"/>
      <c r="L285" s="6">
        <f t="shared" si="109"/>
        <v>-1727.01</v>
      </c>
      <c r="M285" s="2"/>
      <c r="N285" s="7">
        <f t="shared" si="110"/>
        <v>-0.91424563260984648</v>
      </c>
      <c r="O285" s="11"/>
      <c r="P285" s="6">
        <v>5842.86</v>
      </c>
      <c r="Q285" s="2"/>
      <c r="R285" s="7">
        <f t="shared" si="111"/>
        <v>2.1603860252938987E-4</v>
      </c>
      <c r="S285" s="2"/>
      <c r="T285" s="6">
        <v>9801</v>
      </c>
      <c r="U285" s="2"/>
      <c r="V285" s="7">
        <f t="shared" si="112"/>
        <v>3.2729407476790779E-4</v>
      </c>
      <c r="W285" s="2"/>
      <c r="X285" s="6">
        <f t="shared" si="113"/>
        <v>-3958.1400000000003</v>
      </c>
      <c r="Y285" s="2"/>
      <c r="Z285" s="7">
        <f t="shared" si="114"/>
        <v>-0.40385062748699113</v>
      </c>
    </row>
    <row r="286" spans="1:26" s="27" customFormat="1" outlineLevel="1" collapsed="1" x14ac:dyDescent="0.25">
      <c r="A286" s="26"/>
      <c r="B286" s="13" t="str">
        <f>CONCATENATE("     ","Supplies                                          ")</f>
        <v xml:space="preserve">     Supplies                                          </v>
      </c>
      <c r="C286" s="13"/>
      <c r="D286" s="1">
        <f>SUM(OSRRefD22_22x_0)</f>
        <v>42547.090000000004</v>
      </c>
      <c r="E286" s="1"/>
      <c r="F286" s="5">
        <f t="shared" ref="F286:F296" si="115">IF(D$12=0,0,D286/D$12)</f>
        <v>2.3035325384774166E-2</v>
      </c>
      <c r="G286" s="1"/>
      <c r="H286" s="1">
        <f>SUM(OSRRefH22_22x_0)</f>
        <v>68882.06</v>
      </c>
      <c r="I286" s="1"/>
      <c r="J286" s="5">
        <f t="shared" ref="J286:J296" si="116">IF(H$12=0,0,H286/H$12)</f>
        <v>1.880335104797649E-2</v>
      </c>
      <c r="K286" s="1"/>
      <c r="L286" s="1">
        <f t="shared" ref="L286:L296" si="117">+D286-H286</f>
        <v>-26334.969999999994</v>
      </c>
      <c r="M286" s="1"/>
      <c r="N286" s="5">
        <f t="shared" ref="N286:N296" si="118">IF(H286=0,0,L286/H286)</f>
        <v>-0.38231972156465699</v>
      </c>
      <c r="O286" s="13"/>
      <c r="P286" s="1">
        <f>SUM(OSRRefP22_22x_0)</f>
        <v>512549.9</v>
      </c>
      <c r="Q286" s="1"/>
      <c r="R286" s="5">
        <f t="shared" ref="R286:R296" si="119">IF(P$12=0,0,P286/P$12)</f>
        <v>1.895143202516893E-2</v>
      </c>
      <c r="S286" s="1"/>
      <c r="T286" s="1">
        <f>SUM(OSRRefT22_22x_0)</f>
        <v>609453.8600000001</v>
      </c>
      <c r="U286" s="1"/>
      <c r="V286" s="5">
        <f t="shared" ref="V286:V296" si="120">IF(T$12=0,0,T286/T$12)</f>
        <v>2.0352069913522095E-2</v>
      </c>
      <c r="W286" s="1"/>
      <c r="X286" s="1">
        <f t="shared" ref="X286:X296" si="121">+P286-T286</f>
        <v>-96903.960000000079</v>
      </c>
      <c r="Y286" s="1"/>
      <c r="Z286" s="5">
        <f t="shared" ref="Z286:Z296" si="122">IF(T286=0,0,X286/T286)</f>
        <v>-0.15900130651399938</v>
      </c>
    </row>
    <row r="287" spans="1:26" s="24" customFormat="1" hidden="1" outlineLevel="2" x14ac:dyDescent="0.25">
      <c r="A287" s="25"/>
      <c r="B287" s="11" t="str">
        <f>CONCATENATE("          ", "6234", " - ", "EXPENDABLE SUPPLIES &amp; EQUIPMEN")</f>
        <v xml:space="preserve">          6234 - EXPENDABLE SUPPLIES &amp; EQUIPMEN</v>
      </c>
      <c r="C287" s="11"/>
      <c r="D287" s="6">
        <v>1113.05</v>
      </c>
      <c r="E287" s="2"/>
      <c r="F287" s="7">
        <f t="shared" si="115"/>
        <v>6.0261392540648213E-4</v>
      </c>
      <c r="G287" s="2"/>
      <c r="H287" s="6">
        <v>9000</v>
      </c>
      <c r="I287" s="2"/>
      <c r="J287" s="7">
        <f t="shared" si="116"/>
        <v>2.4568103716960323E-3</v>
      </c>
      <c r="K287" s="2"/>
      <c r="L287" s="6">
        <f t="shared" si="117"/>
        <v>-7886.95</v>
      </c>
      <c r="M287" s="2"/>
      <c r="N287" s="7">
        <f t="shared" si="118"/>
        <v>-0.87632777777777771</v>
      </c>
      <c r="O287" s="11"/>
      <c r="P287" s="6">
        <v>19470.190000000002</v>
      </c>
      <c r="Q287" s="2"/>
      <c r="R287" s="7">
        <f t="shared" si="119"/>
        <v>7.1990645652671853E-4</v>
      </c>
      <c r="S287" s="2"/>
      <c r="T287" s="6">
        <v>79800</v>
      </c>
      <c r="U287" s="2"/>
      <c r="V287" s="7">
        <f t="shared" si="120"/>
        <v>2.6648369723986372E-3</v>
      </c>
      <c r="W287" s="2"/>
      <c r="X287" s="6">
        <f t="shared" si="121"/>
        <v>-60329.81</v>
      </c>
      <c r="Y287" s="2"/>
      <c r="Z287" s="7">
        <f t="shared" si="122"/>
        <v>-0.756012656641604</v>
      </c>
    </row>
    <row r="288" spans="1:26" s="24" customFormat="1" hidden="1" outlineLevel="2" x14ac:dyDescent="0.25">
      <c r="A288" s="25"/>
      <c r="B288" s="11" t="str">
        <f>CONCATENATE("          ", "6237", " - ", "JANITORIAL SUPPLIES")</f>
        <v xml:space="preserve">          6237 - JANITORIAL SUPPLIES</v>
      </c>
      <c r="C288" s="11"/>
      <c r="D288" s="6">
        <v>12637.04</v>
      </c>
      <c r="E288" s="2"/>
      <c r="F288" s="7">
        <f t="shared" si="115"/>
        <v>6.8417917253660952E-3</v>
      </c>
      <c r="G288" s="2"/>
      <c r="H288" s="6">
        <v>14011</v>
      </c>
      <c r="I288" s="2"/>
      <c r="J288" s="7">
        <f t="shared" si="116"/>
        <v>3.8247077908703454E-3</v>
      </c>
      <c r="K288" s="2"/>
      <c r="L288" s="6">
        <f t="shared" si="117"/>
        <v>-1373.9599999999991</v>
      </c>
      <c r="M288" s="2"/>
      <c r="N288" s="7">
        <f t="shared" si="118"/>
        <v>-9.8062950538862256E-2</v>
      </c>
      <c r="O288" s="11"/>
      <c r="P288" s="6">
        <v>129333.95999999999</v>
      </c>
      <c r="Q288" s="2"/>
      <c r="R288" s="7">
        <f t="shared" si="119"/>
        <v>4.7820978044984834E-3</v>
      </c>
      <c r="S288" s="2"/>
      <c r="T288" s="6">
        <v>127669</v>
      </c>
      <c r="U288" s="2"/>
      <c r="V288" s="7">
        <f t="shared" si="120"/>
        <v>4.2633718224205719E-3</v>
      </c>
      <c r="W288" s="2"/>
      <c r="X288" s="6">
        <f t="shared" si="121"/>
        <v>1664.9599999999919</v>
      </c>
      <c r="Y288" s="2"/>
      <c r="Z288" s="7">
        <f t="shared" si="122"/>
        <v>1.3041223789643468E-2</v>
      </c>
    </row>
    <row r="289" spans="1:26" s="24" customFormat="1" hidden="1" outlineLevel="2" x14ac:dyDescent="0.25">
      <c r="A289" s="25"/>
      <c r="B289" s="11" t="str">
        <f>CONCATENATE("          ", "6239", " - ", "KITCHEN SUPPLIES")</f>
        <v xml:space="preserve">          6239 - KITCHEN SUPPLIES</v>
      </c>
      <c r="C289" s="11"/>
      <c r="D289" s="6">
        <v>1734.97</v>
      </c>
      <c r="E289" s="2"/>
      <c r="F289" s="7">
        <f t="shared" si="115"/>
        <v>9.3932624964061307E-4</v>
      </c>
      <c r="G289" s="2"/>
      <c r="H289" s="6">
        <v>6729.44</v>
      </c>
      <c r="I289" s="2"/>
      <c r="J289" s="7">
        <f t="shared" si="116"/>
        <v>1.8369953319673498E-3</v>
      </c>
      <c r="K289" s="2"/>
      <c r="L289" s="6">
        <f t="shared" si="117"/>
        <v>-4994.4699999999993</v>
      </c>
      <c r="M289" s="2"/>
      <c r="N289" s="7">
        <f t="shared" si="118"/>
        <v>-0.74218211322190253</v>
      </c>
      <c r="O289" s="11"/>
      <c r="P289" s="6">
        <v>72375.039999999994</v>
      </c>
      <c r="Q289" s="2"/>
      <c r="R289" s="7">
        <f t="shared" si="119"/>
        <v>2.6760529089536107E-3</v>
      </c>
      <c r="S289" s="2"/>
      <c r="T289" s="6">
        <v>67554.150000000009</v>
      </c>
      <c r="U289" s="2"/>
      <c r="V289" s="7">
        <f t="shared" si="120"/>
        <v>2.2558997062526744E-3</v>
      </c>
      <c r="W289" s="2"/>
      <c r="X289" s="6">
        <f t="shared" si="121"/>
        <v>4820.8899999999849</v>
      </c>
      <c r="Y289" s="2"/>
      <c r="Z289" s="7">
        <f t="shared" si="122"/>
        <v>7.1363343332718779E-2</v>
      </c>
    </row>
    <row r="290" spans="1:26" s="24" customFormat="1" hidden="1" outlineLevel="2" x14ac:dyDescent="0.25">
      <c r="A290" s="25"/>
      <c r="B290" s="11" t="str">
        <f>CONCATENATE("          ", "6241", " - ", "OFFICE EXPENSE")</f>
        <v xml:space="preserve">          6241 - OFFICE EXPENSE</v>
      </c>
      <c r="C290" s="11"/>
      <c r="D290" s="6">
        <v>4579.8999999999996</v>
      </c>
      <c r="E290" s="2"/>
      <c r="F290" s="7">
        <f t="shared" si="115"/>
        <v>2.4795934746589528E-3</v>
      </c>
      <c r="G290" s="2"/>
      <c r="H290" s="6">
        <v>3601.57</v>
      </c>
      <c r="I290" s="2"/>
      <c r="J290" s="7">
        <f t="shared" si="116"/>
        <v>9.8315272559880884E-4</v>
      </c>
      <c r="K290" s="2"/>
      <c r="L290" s="6">
        <f t="shared" si="117"/>
        <v>978.32999999999947</v>
      </c>
      <c r="M290" s="2"/>
      <c r="N290" s="7">
        <f t="shared" si="118"/>
        <v>0.27163986816860408</v>
      </c>
      <c r="O290" s="11"/>
      <c r="P290" s="6">
        <v>95279.62999999999</v>
      </c>
      <c r="Q290" s="2"/>
      <c r="R290" s="7">
        <f t="shared" si="119"/>
        <v>3.522945631885298E-3</v>
      </c>
      <c r="S290" s="2"/>
      <c r="T290" s="6">
        <v>38250.82</v>
      </c>
      <c r="U290" s="2"/>
      <c r="V290" s="7">
        <f t="shared" si="120"/>
        <v>1.2773458566486871E-3</v>
      </c>
      <c r="W290" s="2"/>
      <c r="X290" s="6">
        <f t="shared" si="121"/>
        <v>57028.80999999999</v>
      </c>
      <c r="Y290" s="2"/>
      <c r="Z290" s="7">
        <f t="shared" si="122"/>
        <v>1.4909173188966927</v>
      </c>
    </row>
    <row r="291" spans="1:26" s="24" customFormat="1" hidden="1" outlineLevel="2" x14ac:dyDescent="0.25">
      <c r="A291" s="25"/>
      <c r="B291" s="11" t="str">
        <f>CONCATENATE("          ", "6243", " - ", "PAPER SUPPLIES")</f>
        <v xml:space="preserve">          6243 - PAPER SUPPLIES</v>
      </c>
      <c r="C291" s="11"/>
      <c r="D291" s="6">
        <v>14147.2</v>
      </c>
      <c r="E291" s="2"/>
      <c r="F291" s="7">
        <f t="shared" si="115"/>
        <v>7.6594040928175599E-3</v>
      </c>
      <c r="G291" s="2"/>
      <c r="H291" s="6">
        <v>11509</v>
      </c>
      <c r="I291" s="2"/>
      <c r="J291" s="7">
        <f t="shared" si="116"/>
        <v>3.1417145075388485E-3</v>
      </c>
      <c r="K291" s="2"/>
      <c r="L291" s="6">
        <f t="shared" si="117"/>
        <v>2638.2000000000007</v>
      </c>
      <c r="M291" s="2"/>
      <c r="N291" s="7">
        <f t="shared" si="118"/>
        <v>0.22922929880962731</v>
      </c>
      <c r="O291" s="11"/>
      <c r="P291" s="6">
        <v>108026.43</v>
      </c>
      <c r="Q291" s="2"/>
      <c r="R291" s="7">
        <f t="shared" si="119"/>
        <v>3.9942560618325545E-3</v>
      </c>
      <c r="S291" s="2"/>
      <c r="T291" s="6">
        <v>98611.520000000004</v>
      </c>
      <c r="U291" s="2"/>
      <c r="V291" s="7">
        <f t="shared" si="120"/>
        <v>3.2930278746920762E-3</v>
      </c>
      <c r="W291" s="2"/>
      <c r="X291" s="6">
        <f t="shared" si="121"/>
        <v>9414.9099999999889</v>
      </c>
      <c r="Y291" s="2"/>
      <c r="Z291" s="7">
        <f t="shared" si="122"/>
        <v>9.5474747777947122E-2</v>
      </c>
    </row>
    <row r="292" spans="1:26" s="24" customFormat="1" hidden="1" outlineLevel="2" x14ac:dyDescent="0.25">
      <c r="A292" s="25"/>
      <c r="B292" s="11" t="str">
        <f>CONCATENATE("          ", "6244", " - ", "SAFETY SUPPLY EXPENSE")</f>
        <v xml:space="preserve">          6244 - SAFETY SUPPLY EXPENSE</v>
      </c>
      <c r="C292" s="11"/>
      <c r="D292" s="6"/>
      <c r="E292" s="2"/>
      <c r="F292" s="7">
        <f t="shared" si="115"/>
        <v>0</v>
      </c>
      <c r="G292" s="2"/>
      <c r="H292" s="6">
        <v>235</v>
      </c>
      <c r="I292" s="2"/>
      <c r="J292" s="7">
        <f t="shared" si="116"/>
        <v>6.4150048594285294E-5</v>
      </c>
      <c r="K292" s="2"/>
      <c r="L292" s="6">
        <f t="shared" si="117"/>
        <v>-235</v>
      </c>
      <c r="M292" s="2"/>
      <c r="N292" s="7">
        <f t="shared" si="118"/>
        <v>-1</v>
      </c>
      <c r="O292" s="11"/>
      <c r="P292" s="6"/>
      <c r="Q292" s="2"/>
      <c r="R292" s="7">
        <f t="shared" si="119"/>
        <v>0</v>
      </c>
      <c r="S292" s="2"/>
      <c r="T292" s="6">
        <v>2145</v>
      </c>
      <c r="U292" s="2"/>
      <c r="V292" s="7">
        <f t="shared" si="120"/>
        <v>7.1630016363346825E-5</v>
      </c>
      <c r="W292" s="2"/>
      <c r="X292" s="6">
        <f t="shared" si="121"/>
        <v>-2145</v>
      </c>
      <c r="Y292" s="2"/>
      <c r="Z292" s="7">
        <f t="shared" si="122"/>
        <v>-1</v>
      </c>
    </row>
    <row r="293" spans="1:26" s="24" customFormat="1" hidden="1" outlineLevel="2" x14ac:dyDescent="0.25">
      <c r="A293" s="25"/>
      <c r="B293" s="11" t="str">
        <f>CONCATENATE("          ", "6245", " - ", "PRINTING")</f>
        <v xml:space="preserve">          6245 - PRINTING</v>
      </c>
      <c r="C293" s="11"/>
      <c r="D293" s="6">
        <v>289.75</v>
      </c>
      <c r="E293" s="2"/>
      <c r="F293" s="7">
        <f t="shared" si="115"/>
        <v>1.5687290318182313E-4</v>
      </c>
      <c r="G293" s="2"/>
      <c r="H293" s="6">
        <v>846.82</v>
      </c>
      <c r="I293" s="2"/>
      <c r="J293" s="7">
        <f t="shared" si="116"/>
        <v>2.311640176621816E-4</v>
      </c>
      <c r="K293" s="2"/>
      <c r="L293" s="6">
        <f t="shared" si="117"/>
        <v>-557.07000000000005</v>
      </c>
      <c r="M293" s="2"/>
      <c r="N293" s="7">
        <f t="shared" si="118"/>
        <v>-0.65783755697787016</v>
      </c>
      <c r="O293" s="11"/>
      <c r="P293" s="6">
        <v>12244.33</v>
      </c>
      <c r="Q293" s="2"/>
      <c r="R293" s="7">
        <f t="shared" si="119"/>
        <v>4.5273170024759873E-4</v>
      </c>
      <c r="S293" s="2"/>
      <c r="T293" s="6">
        <v>6116.82</v>
      </c>
      <c r="U293" s="2"/>
      <c r="V293" s="7">
        <f t="shared" si="120"/>
        <v>2.0426476302640891E-4</v>
      </c>
      <c r="W293" s="2"/>
      <c r="X293" s="6">
        <f t="shared" si="121"/>
        <v>6127.51</v>
      </c>
      <c r="Y293" s="2"/>
      <c r="Z293" s="7">
        <f t="shared" si="122"/>
        <v>1.0017476401136538</v>
      </c>
    </row>
    <row r="294" spans="1:26" s="24" customFormat="1" hidden="1" outlineLevel="2" x14ac:dyDescent="0.25">
      <c r="A294" s="25"/>
      <c r="B294" s="11" t="str">
        <f>CONCATENATE("          ", "6246", " - ", "REPLACEMENTS")</f>
        <v xml:space="preserve">          6246 - REPLACEMENTS</v>
      </c>
      <c r="C294" s="11"/>
      <c r="D294" s="6"/>
      <c r="E294" s="2"/>
      <c r="F294" s="7">
        <f t="shared" si="115"/>
        <v>0</v>
      </c>
      <c r="G294" s="2"/>
      <c r="H294" s="6">
        <v>1000</v>
      </c>
      <c r="I294" s="2"/>
      <c r="J294" s="7">
        <f t="shared" si="116"/>
        <v>2.7297893018844802E-4</v>
      </c>
      <c r="K294" s="2"/>
      <c r="L294" s="6">
        <f t="shared" si="117"/>
        <v>-1000</v>
      </c>
      <c r="M294" s="2"/>
      <c r="N294" s="7">
        <f t="shared" si="118"/>
        <v>-1</v>
      </c>
      <c r="O294" s="11"/>
      <c r="P294" s="6">
        <v>25.87</v>
      </c>
      <c r="Q294" s="2"/>
      <c r="R294" s="7">
        <f t="shared" si="119"/>
        <v>9.5653817607050603E-7</v>
      </c>
      <c r="S294" s="2"/>
      <c r="T294" s="6">
        <v>3400</v>
      </c>
      <c r="U294" s="2"/>
      <c r="V294" s="7">
        <f t="shared" si="120"/>
        <v>1.1353941987663366E-4</v>
      </c>
      <c r="W294" s="2"/>
      <c r="X294" s="6">
        <f t="shared" si="121"/>
        <v>-3374.13</v>
      </c>
      <c r="Y294" s="2"/>
      <c r="Z294" s="7">
        <f t="shared" si="122"/>
        <v>-0.99239117647058828</v>
      </c>
    </row>
    <row r="295" spans="1:26" s="24" customFormat="1" hidden="1" outlineLevel="2" x14ac:dyDescent="0.25">
      <c r="A295" s="25"/>
      <c r="B295" s="11" t="str">
        <f>CONCATENATE("          ", "6247", " - ", "STORE SUPPLIES")</f>
        <v xml:space="preserve">          6247 - STORE SUPPLIES</v>
      </c>
      <c r="C295" s="11"/>
      <c r="D295" s="6">
        <v>5939.41</v>
      </c>
      <c r="E295" s="2"/>
      <c r="F295" s="7">
        <f t="shared" si="115"/>
        <v>3.2156427606113958E-3</v>
      </c>
      <c r="G295" s="2"/>
      <c r="H295" s="6">
        <v>20574.230000000003</v>
      </c>
      <c r="I295" s="2"/>
      <c r="J295" s="7">
        <f t="shared" si="116"/>
        <v>5.6163312948510746E-3</v>
      </c>
      <c r="K295" s="2"/>
      <c r="L295" s="6">
        <f t="shared" si="117"/>
        <v>-14634.820000000003</v>
      </c>
      <c r="M295" s="2"/>
      <c r="N295" s="7">
        <f t="shared" si="118"/>
        <v>-0.71131799343158897</v>
      </c>
      <c r="O295" s="11"/>
      <c r="P295" s="6">
        <v>71044.25</v>
      </c>
      <c r="Q295" s="2"/>
      <c r="R295" s="7">
        <f t="shared" si="119"/>
        <v>2.6268472097138403E-3</v>
      </c>
      <c r="S295" s="2"/>
      <c r="T295" s="6">
        <v>150631.55000000002</v>
      </c>
      <c r="U295" s="2"/>
      <c r="V295" s="7">
        <f t="shared" si="120"/>
        <v>5.0301820006229819E-3</v>
      </c>
      <c r="W295" s="2"/>
      <c r="X295" s="6">
        <f t="shared" si="121"/>
        <v>-79587.300000000017</v>
      </c>
      <c r="Y295" s="2"/>
      <c r="Z295" s="7">
        <f t="shared" si="122"/>
        <v>-0.52835743906240096</v>
      </c>
    </row>
    <row r="296" spans="1:26" s="24" customFormat="1" hidden="1" outlineLevel="2" x14ac:dyDescent="0.25">
      <c r="A296" s="25"/>
      <c r="B296" s="11" t="str">
        <f>CONCATENATE("          ", "6248", " - ", "UNIFORMS")</f>
        <v xml:space="preserve">          6248 - UNIFORMS</v>
      </c>
      <c r="C296" s="11"/>
      <c r="D296" s="6">
        <v>2105.77</v>
      </c>
      <c r="E296" s="2"/>
      <c r="F296" s="7">
        <f t="shared" si="115"/>
        <v>1.140080253091243E-3</v>
      </c>
      <c r="G296" s="2"/>
      <c r="H296" s="6">
        <v>1375</v>
      </c>
      <c r="I296" s="2"/>
      <c r="J296" s="7">
        <f t="shared" si="116"/>
        <v>3.7534602900911605E-4</v>
      </c>
      <c r="K296" s="2"/>
      <c r="L296" s="6">
        <f t="shared" si="117"/>
        <v>730.77</v>
      </c>
      <c r="M296" s="2"/>
      <c r="N296" s="7">
        <f t="shared" si="118"/>
        <v>0.53146909090909089</v>
      </c>
      <c r="O296" s="11"/>
      <c r="P296" s="6">
        <v>4750.2</v>
      </c>
      <c r="Q296" s="2"/>
      <c r="R296" s="7">
        <f t="shared" si="119"/>
        <v>1.7563771333475522E-4</v>
      </c>
      <c r="S296" s="2"/>
      <c r="T296" s="6">
        <v>35275</v>
      </c>
      <c r="U296" s="2"/>
      <c r="V296" s="7">
        <f t="shared" si="120"/>
        <v>1.1779714812200743E-3</v>
      </c>
      <c r="W296" s="2"/>
      <c r="X296" s="6">
        <f t="shared" si="121"/>
        <v>-30524.799999999999</v>
      </c>
      <c r="Y296" s="2"/>
      <c r="Z296" s="7">
        <f t="shared" si="122"/>
        <v>-0.86533805811481213</v>
      </c>
    </row>
    <row r="297" spans="1:26" s="27" customFormat="1" outlineLevel="1" collapsed="1" x14ac:dyDescent="0.25">
      <c r="A297" s="26"/>
      <c r="B297" s="13" t="str">
        <f>CONCATENATE("     ","Telephone/Data Lines                              ")</f>
        <v xml:space="preserve">     Telephone/Data Lines                              </v>
      </c>
      <c r="C297" s="13"/>
      <c r="D297" s="1">
        <f>SUM(OSRRefD22_23x_0)</f>
        <v>5096.2</v>
      </c>
      <c r="E297" s="1"/>
      <c r="F297" s="5">
        <f t="shared" ref="F297:F299" si="123">IF(D$12=0,0,D297/D$12)</f>
        <v>2.7591223095606797E-3</v>
      </c>
      <c r="G297" s="1"/>
      <c r="H297" s="1">
        <f>SUM(OSRRefH22_23x_0)</f>
        <v>6114</v>
      </c>
      <c r="I297" s="1"/>
      <c r="J297" s="5">
        <f t="shared" ref="J297:J299" si="124">IF(H$12=0,0,H297/H$12)</f>
        <v>1.6689931791721714E-3</v>
      </c>
      <c r="K297" s="1"/>
      <c r="L297" s="1">
        <f t="shared" ref="L297:L299" si="125">+D297-H297</f>
        <v>-1017.8000000000002</v>
      </c>
      <c r="M297" s="1"/>
      <c r="N297" s="5">
        <f t="shared" ref="N297:N299" si="126">IF(H297=0,0,L297/H297)</f>
        <v>-0.16647039581288847</v>
      </c>
      <c r="O297" s="13"/>
      <c r="P297" s="1">
        <f>SUM(OSRRefP22_23x_0)</f>
        <v>53142.11</v>
      </c>
      <c r="Q297" s="1"/>
      <c r="R297" s="5">
        <f t="shared" ref="R297:R299" si="127">IF(P$12=0,0,P297/P$12)</f>
        <v>1.9649190943926633E-3</v>
      </c>
      <c r="S297" s="1"/>
      <c r="T297" s="1">
        <f>SUM(OSRRefT22_23x_0)</f>
        <v>59432</v>
      </c>
      <c r="U297" s="1"/>
      <c r="V297" s="5">
        <f t="shared" ref="V297:V299" si="128">IF(T$12=0,0,T297/T$12)</f>
        <v>1.9846690594435565E-3</v>
      </c>
      <c r="W297" s="1"/>
      <c r="X297" s="1">
        <f t="shared" ref="X297:X299" si="129">+P297-T297</f>
        <v>-6289.8899999999994</v>
      </c>
      <c r="Y297" s="1"/>
      <c r="Z297" s="5">
        <f t="shared" ref="Z297:Z299" si="130">IF(T297=0,0,X297/T297)</f>
        <v>-0.10583338941984115</v>
      </c>
    </row>
    <row r="298" spans="1:26" s="24" customFormat="1" hidden="1" outlineLevel="2" x14ac:dyDescent="0.25">
      <c r="A298" s="25"/>
      <c r="B298" s="11" t="str">
        <f>CONCATENATE("          ", "6303", " - ", "DATA PHONE LINES")</f>
        <v xml:space="preserve">          6303 - DATA PHONE LINES</v>
      </c>
      <c r="C298" s="11"/>
      <c r="D298" s="6"/>
      <c r="E298" s="2"/>
      <c r="F298" s="7">
        <f t="shared" si="123"/>
        <v>0</v>
      </c>
      <c r="G298" s="2"/>
      <c r="H298" s="6">
        <v>1726</v>
      </c>
      <c r="I298" s="2"/>
      <c r="J298" s="7">
        <f t="shared" si="124"/>
        <v>4.7116163350526132E-4</v>
      </c>
      <c r="K298" s="2"/>
      <c r="L298" s="6">
        <f t="shared" si="125"/>
        <v>-1726</v>
      </c>
      <c r="M298" s="2"/>
      <c r="N298" s="7">
        <f t="shared" si="126"/>
        <v>-1</v>
      </c>
      <c r="O298" s="11"/>
      <c r="P298" s="6">
        <v>2360</v>
      </c>
      <c r="Q298" s="2"/>
      <c r="R298" s="7">
        <f t="shared" si="127"/>
        <v>8.7260537128967689E-5</v>
      </c>
      <c r="S298" s="2"/>
      <c r="T298" s="6">
        <v>17465</v>
      </c>
      <c r="U298" s="2"/>
      <c r="V298" s="7">
        <f t="shared" si="128"/>
        <v>5.8322528474864907E-4</v>
      </c>
      <c r="W298" s="2"/>
      <c r="X298" s="6">
        <f t="shared" si="129"/>
        <v>-15105</v>
      </c>
      <c r="Y298" s="2"/>
      <c r="Z298" s="7">
        <f t="shared" si="130"/>
        <v>-0.86487260234755226</v>
      </c>
    </row>
    <row r="299" spans="1:26" s="24" customFormat="1" hidden="1" outlineLevel="2" x14ac:dyDescent="0.25">
      <c r="A299" s="25"/>
      <c r="B299" s="11" t="str">
        <f>CONCATENATE("          ", "6309", " - ", "TELEPHONE")</f>
        <v xml:space="preserve">          6309 - TELEPHONE</v>
      </c>
      <c r="C299" s="11"/>
      <c r="D299" s="6">
        <v>5096.2</v>
      </c>
      <c r="E299" s="2"/>
      <c r="F299" s="7">
        <f t="shared" si="123"/>
        <v>2.7591223095606797E-3</v>
      </c>
      <c r="G299" s="2"/>
      <c r="H299" s="6">
        <v>4388</v>
      </c>
      <c r="I299" s="2"/>
      <c r="J299" s="7">
        <f t="shared" si="124"/>
        <v>1.19783154566691E-3</v>
      </c>
      <c r="K299" s="2"/>
      <c r="L299" s="6">
        <f t="shared" si="125"/>
        <v>708.19999999999982</v>
      </c>
      <c r="M299" s="2"/>
      <c r="N299" s="7">
        <f t="shared" si="126"/>
        <v>0.16139471285323606</v>
      </c>
      <c r="O299" s="11"/>
      <c r="P299" s="6">
        <v>50782.11</v>
      </c>
      <c r="Q299" s="2"/>
      <c r="R299" s="7">
        <f t="shared" si="127"/>
        <v>1.8776585572636956E-3</v>
      </c>
      <c r="S299" s="2"/>
      <c r="T299" s="6">
        <v>41967</v>
      </c>
      <c r="U299" s="2"/>
      <c r="V299" s="7">
        <f t="shared" si="128"/>
        <v>1.4014437746949074E-3</v>
      </c>
      <c r="W299" s="2"/>
      <c r="X299" s="6">
        <f t="shared" si="129"/>
        <v>8815.11</v>
      </c>
      <c r="Y299" s="2"/>
      <c r="Z299" s="7">
        <f t="shared" si="130"/>
        <v>0.21004860962184574</v>
      </c>
    </row>
    <row r="300" spans="1:26" s="27" customFormat="1" outlineLevel="1" collapsed="1" x14ac:dyDescent="0.25">
      <c r="A300" s="26"/>
      <c r="B300" s="13" t="str">
        <f>CONCATENATE("     ","Training                                          ")</f>
        <v xml:space="preserve">     Training                                          </v>
      </c>
      <c r="C300" s="13"/>
      <c r="D300" s="1">
        <f>SUM(OSRRefD22_24x_0)</f>
        <v>7155.44</v>
      </c>
      <c r="E300" s="1"/>
      <c r="F300" s="5">
        <f t="shared" ref="F300:F305" si="131">IF(D$12=0,0,D300/D$12)</f>
        <v>3.8740108588208606E-3</v>
      </c>
      <c r="G300" s="1"/>
      <c r="H300" s="1">
        <f>SUM(OSRRefH22_24x_0)</f>
        <v>9185</v>
      </c>
      <c r="I300" s="1"/>
      <c r="J300" s="5">
        <f t="shared" ref="J300:J305" si="132">IF(H$12=0,0,H300/H$12)</f>
        <v>2.5073114737808955E-3</v>
      </c>
      <c r="K300" s="1"/>
      <c r="L300" s="1">
        <f t="shared" ref="L300:L305" si="133">+D300-H300</f>
        <v>-2029.5600000000004</v>
      </c>
      <c r="M300" s="1"/>
      <c r="N300" s="5">
        <f t="shared" ref="N300:N305" si="134">IF(H300=0,0,L300/H300)</f>
        <v>-0.22096461622210128</v>
      </c>
      <c r="O300" s="13"/>
      <c r="P300" s="1">
        <f>SUM(OSRRefP22_24x_0)</f>
        <v>32765.11</v>
      </c>
      <c r="Q300" s="1"/>
      <c r="R300" s="5">
        <f t="shared" ref="R300:R305" si="135">IF(P$12=0,0,P300/P$12)</f>
        <v>1.2114835159702164E-3</v>
      </c>
      <c r="S300" s="1"/>
      <c r="T300" s="1">
        <f>SUM(OSRRefT22_24x_0)</f>
        <v>58352</v>
      </c>
      <c r="U300" s="1"/>
      <c r="V300" s="5">
        <f t="shared" ref="V300:V305" si="136">IF(T$12=0,0,T300/T$12)</f>
        <v>1.9486035966592139E-3</v>
      </c>
      <c r="W300" s="1"/>
      <c r="X300" s="1">
        <f t="shared" ref="X300:X305" si="137">+P300-T300</f>
        <v>-25586.89</v>
      </c>
      <c r="Y300" s="1"/>
      <c r="Z300" s="5">
        <f t="shared" ref="Z300:Z305" si="138">IF(T300=0,0,X300/T300)</f>
        <v>-0.43849208253358923</v>
      </c>
    </row>
    <row r="301" spans="1:26" s="24" customFormat="1" hidden="1" outlineLevel="2" x14ac:dyDescent="0.25">
      <c r="A301" s="25"/>
      <c r="B301" s="11" t="str">
        <f>CONCATENATE("          ", "6376", " - ", "TRAINING")</f>
        <v xml:space="preserve">          6376 - TRAINING</v>
      </c>
      <c r="C301" s="11"/>
      <c r="D301" s="6">
        <v>7155.44</v>
      </c>
      <c r="E301" s="2"/>
      <c r="F301" s="7">
        <f t="shared" si="131"/>
        <v>3.8740108588208606E-3</v>
      </c>
      <c r="G301" s="2"/>
      <c r="H301" s="6">
        <v>9185</v>
      </c>
      <c r="I301" s="2"/>
      <c r="J301" s="7">
        <f t="shared" si="132"/>
        <v>2.5073114737808955E-3</v>
      </c>
      <c r="K301" s="2"/>
      <c r="L301" s="6">
        <f t="shared" si="133"/>
        <v>-2029.5600000000004</v>
      </c>
      <c r="M301" s="2"/>
      <c r="N301" s="7">
        <f t="shared" si="134"/>
        <v>-0.22096461622210128</v>
      </c>
      <c r="O301" s="11"/>
      <c r="P301" s="6">
        <v>32765.11</v>
      </c>
      <c r="Q301" s="2"/>
      <c r="R301" s="7">
        <f t="shared" si="135"/>
        <v>1.2114835159702164E-3</v>
      </c>
      <c r="S301" s="2"/>
      <c r="T301" s="6">
        <v>58352</v>
      </c>
      <c r="U301" s="2"/>
      <c r="V301" s="7">
        <f t="shared" si="136"/>
        <v>1.9486035966592139E-3</v>
      </c>
      <c r="W301" s="2"/>
      <c r="X301" s="6">
        <f t="shared" si="137"/>
        <v>-25586.89</v>
      </c>
      <c r="Y301" s="2"/>
      <c r="Z301" s="7">
        <f t="shared" si="138"/>
        <v>-0.43849208253358923</v>
      </c>
    </row>
    <row r="302" spans="1:26" s="27" customFormat="1" outlineLevel="1" collapsed="1" x14ac:dyDescent="0.25">
      <c r="A302" s="26"/>
      <c r="B302" s="13" t="str">
        <f>CONCATENATE("     ","Travel                                            ")</f>
        <v xml:space="preserve">     Travel                                            </v>
      </c>
      <c r="C302" s="13"/>
      <c r="D302" s="1">
        <f>SUM(OSRRefD22_25x_0)</f>
        <v>1549.22</v>
      </c>
      <c r="E302" s="1"/>
      <c r="F302" s="5">
        <f t="shared" si="131"/>
        <v>8.3875975519359452E-4</v>
      </c>
      <c r="G302" s="1"/>
      <c r="H302" s="1">
        <f>SUM(OSRRefH22_25x_0)</f>
        <v>3655</v>
      </c>
      <c r="I302" s="1"/>
      <c r="J302" s="5">
        <f t="shared" si="132"/>
        <v>9.9773798983877763E-4</v>
      </c>
      <c r="K302" s="1"/>
      <c r="L302" s="1">
        <f t="shared" si="133"/>
        <v>-2105.7799999999997</v>
      </c>
      <c r="M302" s="1"/>
      <c r="N302" s="5">
        <f t="shared" si="134"/>
        <v>-0.57613679890560865</v>
      </c>
      <c r="O302" s="13"/>
      <c r="P302" s="1">
        <f>SUM(OSRRefP22_25x_0)</f>
        <v>7552.43</v>
      </c>
      <c r="Q302" s="1"/>
      <c r="R302" s="5">
        <f t="shared" si="135"/>
        <v>2.7924961797835997E-4</v>
      </c>
      <c r="S302" s="1"/>
      <c r="T302" s="1">
        <f>SUM(OSRRefT22_25x_0)</f>
        <v>20670</v>
      </c>
      <c r="U302" s="1"/>
      <c r="V302" s="5">
        <f t="shared" si="136"/>
        <v>6.9025288495588757E-4</v>
      </c>
      <c r="W302" s="1"/>
      <c r="X302" s="1">
        <f t="shared" si="137"/>
        <v>-13117.57</v>
      </c>
      <c r="Y302" s="1"/>
      <c r="Z302" s="5">
        <f t="shared" si="138"/>
        <v>-0.63461877116594101</v>
      </c>
    </row>
    <row r="303" spans="1:26" s="24" customFormat="1" hidden="1" outlineLevel="2" x14ac:dyDescent="0.25">
      <c r="A303" s="25"/>
      <c r="B303" s="11" t="str">
        <f>CONCATENATE("          ", "6292", " - ", "TRAVEL/CONFERENCE")</f>
        <v xml:space="preserve">          6292 - TRAVEL/CONFERENCE</v>
      </c>
      <c r="C303" s="11"/>
      <c r="D303" s="6">
        <v>1303.83</v>
      </c>
      <c r="E303" s="2"/>
      <c r="F303" s="7">
        <f t="shared" si="131"/>
        <v>7.0590370096827065E-4</v>
      </c>
      <c r="G303" s="2"/>
      <c r="H303" s="6">
        <v>3300</v>
      </c>
      <c r="I303" s="2"/>
      <c r="J303" s="7">
        <f t="shared" si="132"/>
        <v>9.0083046962187853E-4</v>
      </c>
      <c r="K303" s="2"/>
      <c r="L303" s="6">
        <f t="shared" si="133"/>
        <v>-1996.17</v>
      </c>
      <c r="M303" s="2"/>
      <c r="N303" s="7">
        <f t="shared" si="134"/>
        <v>-0.60489999999999999</v>
      </c>
      <c r="O303" s="11"/>
      <c r="P303" s="6">
        <v>5669.46</v>
      </c>
      <c r="Q303" s="2"/>
      <c r="R303" s="7">
        <f t="shared" si="135"/>
        <v>2.0962717153864287E-4</v>
      </c>
      <c r="S303" s="2"/>
      <c r="T303" s="6">
        <v>18100</v>
      </c>
      <c r="U303" s="2"/>
      <c r="V303" s="7">
        <f t="shared" si="136"/>
        <v>6.0443044110796156E-4</v>
      </c>
      <c r="W303" s="2"/>
      <c r="X303" s="6">
        <f t="shared" si="137"/>
        <v>-12430.54</v>
      </c>
      <c r="Y303" s="2"/>
      <c r="Z303" s="7">
        <f t="shared" si="138"/>
        <v>-0.68677016574585636</v>
      </c>
    </row>
    <row r="304" spans="1:26" s="24" customFormat="1" hidden="1" outlineLevel="2" x14ac:dyDescent="0.25">
      <c r="A304" s="25"/>
      <c r="B304" s="11" t="str">
        <f>CONCATENATE("          ", "6294", " - ", "TRAVEL OPERATIONAL")</f>
        <v xml:space="preserve">          6294 - TRAVEL OPERATIONAL</v>
      </c>
      <c r="C304" s="11"/>
      <c r="D304" s="6">
        <v>25.63</v>
      </c>
      <c r="E304" s="2"/>
      <c r="F304" s="7">
        <f t="shared" si="131"/>
        <v>1.3876281306471531E-5</v>
      </c>
      <c r="G304" s="2"/>
      <c r="H304" s="6">
        <v>245</v>
      </c>
      <c r="I304" s="2"/>
      <c r="J304" s="7">
        <f t="shared" si="132"/>
        <v>6.6879837896169773E-5</v>
      </c>
      <c r="K304" s="2"/>
      <c r="L304" s="6">
        <f t="shared" si="133"/>
        <v>-219.37</v>
      </c>
      <c r="M304" s="2"/>
      <c r="N304" s="7">
        <f t="shared" si="134"/>
        <v>-0.89538775510204083</v>
      </c>
      <c r="O304" s="11"/>
      <c r="P304" s="6">
        <v>418.6</v>
      </c>
      <c r="Q304" s="2"/>
      <c r="R304" s="7">
        <f t="shared" si="135"/>
        <v>1.5477652899231303E-5</v>
      </c>
      <c r="S304" s="2"/>
      <c r="T304" s="6">
        <v>1030</v>
      </c>
      <c r="U304" s="2"/>
      <c r="V304" s="7">
        <f t="shared" si="136"/>
        <v>3.4395765433215493E-5</v>
      </c>
      <c r="W304" s="2"/>
      <c r="X304" s="6">
        <f t="shared" si="137"/>
        <v>-611.4</v>
      </c>
      <c r="Y304" s="2"/>
      <c r="Z304" s="7">
        <f t="shared" si="138"/>
        <v>-0.59359223300970876</v>
      </c>
    </row>
    <row r="305" spans="1:26" s="24" customFormat="1" hidden="1" outlineLevel="2" x14ac:dyDescent="0.25">
      <c r="A305" s="25"/>
      <c r="B305" s="11" t="str">
        <f>CONCATENATE("          ", "6298", " - ", "VEHICLE MILEAGE")</f>
        <v xml:space="preserve">          6298 - VEHICLE MILEAGE</v>
      </c>
      <c r="C305" s="11"/>
      <c r="D305" s="6">
        <v>219.76</v>
      </c>
      <c r="E305" s="2"/>
      <c r="F305" s="7">
        <f t="shared" si="131"/>
        <v>1.1897977291885227E-4</v>
      </c>
      <c r="G305" s="2"/>
      <c r="H305" s="6">
        <v>110</v>
      </c>
      <c r="I305" s="2"/>
      <c r="J305" s="7">
        <f t="shared" si="132"/>
        <v>3.0027682320729284E-5</v>
      </c>
      <c r="K305" s="2"/>
      <c r="L305" s="6">
        <f t="shared" si="133"/>
        <v>109.75999999999999</v>
      </c>
      <c r="M305" s="2"/>
      <c r="N305" s="7">
        <f t="shared" si="134"/>
        <v>0.99781818181818172</v>
      </c>
      <c r="O305" s="11"/>
      <c r="P305" s="6">
        <v>1464.37</v>
      </c>
      <c r="Q305" s="2"/>
      <c r="R305" s="7">
        <f t="shared" si="135"/>
        <v>5.4144793540485765E-5</v>
      </c>
      <c r="S305" s="2"/>
      <c r="T305" s="6">
        <v>1540</v>
      </c>
      <c r="U305" s="2"/>
      <c r="V305" s="7">
        <f t="shared" si="136"/>
        <v>5.1426678414710543E-5</v>
      </c>
      <c r="W305" s="2"/>
      <c r="X305" s="6">
        <f t="shared" si="137"/>
        <v>-75.630000000000109</v>
      </c>
      <c r="Y305" s="2"/>
      <c r="Z305" s="7">
        <f t="shared" si="138"/>
        <v>-4.9110389610389681E-2</v>
      </c>
    </row>
    <row r="306" spans="1:26" s="27" customFormat="1" outlineLevel="1" collapsed="1" x14ac:dyDescent="0.25">
      <c r="A306" s="26"/>
      <c r="B306" s="13" t="str">
        <f>CONCATENATE("     ","Utilities                                         ")</f>
        <v xml:space="preserve">     Utilities                                         </v>
      </c>
      <c r="C306" s="13"/>
      <c r="D306" s="1">
        <f>SUM(OSRRefD22_26x_0)</f>
        <v>22850.510000000002</v>
      </c>
      <c r="E306" s="1"/>
      <c r="F306" s="5">
        <f t="shared" ref="F306:F307" si="139">IF(D$12=0,0,D306/D$12)</f>
        <v>1.2371443806334016E-2</v>
      </c>
      <c r="G306" s="1"/>
      <c r="H306" s="1">
        <f>SUM(OSRRefH22_26x_0)</f>
        <v>28786</v>
      </c>
      <c r="I306" s="1"/>
      <c r="J306" s="5">
        <f t="shared" ref="J306:J307" si="140">IF(H$12=0,0,H306/H$12)</f>
        <v>7.8579714844046657E-3</v>
      </c>
      <c r="K306" s="1"/>
      <c r="L306" s="1">
        <f t="shared" ref="L306:L307" si="141">+D306-H306</f>
        <v>-5935.489999999998</v>
      </c>
      <c r="M306" s="1"/>
      <c r="N306" s="5">
        <f t="shared" ref="N306:N307" si="142">IF(H306=0,0,L306/H306)</f>
        <v>-0.20619363579517813</v>
      </c>
      <c r="O306" s="13"/>
      <c r="P306" s="1">
        <f>SUM(OSRRefP22_26x_0)</f>
        <v>205443.41999999998</v>
      </c>
      <c r="Q306" s="1"/>
      <c r="R306" s="5">
        <f t="shared" ref="R306:R307" si="143">IF(P$12=0,0,P306/P$12)</f>
        <v>7.5962301605136022E-3</v>
      </c>
      <c r="S306" s="1"/>
      <c r="T306" s="1">
        <f>SUM(OSRRefT22_26x_0)</f>
        <v>236089</v>
      </c>
      <c r="U306" s="1"/>
      <c r="V306" s="5">
        <f t="shared" ref="V306:V307" si="144">IF(T$12=0,0,T306/T$12)</f>
        <v>7.8839435586042835E-3</v>
      </c>
      <c r="W306" s="1"/>
      <c r="X306" s="1">
        <f t="shared" ref="X306:X307" si="145">+P306-T306</f>
        <v>-30645.580000000016</v>
      </c>
      <c r="Y306" s="1"/>
      <c r="Z306" s="5">
        <f t="shared" ref="Z306:Z307" si="146">IF(T306=0,0,X306/T306)</f>
        <v>-0.12980520058113684</v>
      </c>
    </row>
    <row r="307" spans="1:26" s="24" customFormat="1" hidden="1" outlineLevel="2" x14ac:dyDescent="0.25">
      <c r="A307" s="25"/>
      <c r="B307" s="11" t="str">
        <f>CONCATENATE("          ", "6274", " - ", "UTILITIES")</f>
        <v xml:space="preserve">          6274 - UTILITIES</v>
      </c>
      <c r="C307" s="11"/>
      <c r="D307" s="6">
        <v>22850.510000000002</v>
      </c>
      <c r="E307" s="2"/>
      <c r="F307" s="7">
        <f t="shared" si="139"/>
        <v>1.2371443806334016E-2</v>
      </c>
      <c r="G307" s="2"/>
      <c r="H307" s="6">
        <v>28786</v>
      </c>
      <c r="I307" s="2"/>
      <c r="J307" s="7">
        <f t="shared" si="140"/>
        <v>7.8579714844046657E-3</v>
      </c>
      <c r="K307" s="2"/>
      <c r="L307" s="6">
        <f t="shared" si="141"/>
        <v>-5935.489999999998</v>
      </c>
      <c r="M307" s="2"/>
      <c r="N307" s="7">
        <f t="shared" si="142"/>
        <v>-0.20619363579517813</v>
      </c>
      <c r="O307" s="11"/>
      <c r="P307" s="6">
        <v>205443.41999999998</v>
      </c>
      <c r="Q307" s="2"/>
      <c r="R307" s="7">
        <f t="shared" si="143"/>
        <v>7.5962301605136022E-3</v>
      </c>
      <c r="S307" s="2"/>
      <c r="T307" s="6">
        <v>236089</v>
      </c>
      <c r="U307" s="2"/>
      <c r="V307" s="7">
        <f t="shared" si="144"/>
        <v>7.8839435586042835E-3</v>
      </c>
      <c r="W307" s="2"/>
      <c r="X307" s="6">
        <f t="shared" si="145"/>
        <v>-30645.580000000016</v>
      </c>
      <c r="Y307" s="2"/>
      <c r="Z307" s="7">
        <f t="shared" si="146"/>
        <v>-0.12980520058113684</v>
      </c>
    </row>
    <row r="308" spans="1:26" s="56" customFormat="1" x14ac:dyDescent="0.25">
      <c r="A308" s="36"/>
      <c r="B308" s="36"/>
      <c r="C308" s="36"/>
      <c r="D308" s="1"/>
      <c r="E308" s="1"/>
      <c r="F308" s="5"/>
      <c r="G308" s="1"/>
      <c r="H308" s="1"/>
      <c r="I308" s="1"/>
      <c r="J308" s="5"/>
      <c r="K308" s="1"/>
      <c r="L308" s="1"/>
      <c r="M308" s="1"/>
      <c r="N308" s="5"/>
      <c r="O308" s="36"/>
      <c r="P308" s="1"/>
      <c r="Q308" s="1"/>
      <c r="R308" s="5"/>
      <c r="S308" s="1"/>
      <c r="T308" s="1"/>
      <c r="U308" s="1"/>
      <c r="V308" s="5"/>
      <c r="W308" s="1"/>
      <c r="X308" s="1"/>
      <c r="Y308" s="1"/>
      <c r="Z308" s="5"/>
    </row>
    <row r="309" spans="1:26" s="23" customFormat="1" collapsed="1" x14ac:dyDescent="0.25">
      <c r="A309" s="10"/>
      <c r="B309" s="29" t="s">
        <v>0</v>
      </c>
      <c r="C309" s="10"/>
      <c r="D309" s="4">
        <f>SUM(OSRRefD25x_0)</f>
        <v>82593.56</v>
      </c>
      <c r="E309" s="4"/>
      <c r="F309" s="12">
        <f t="shared" ref="F309:F322" si="147">IF(D$12=0,0,D309/D$12)</f>
        <v>4.4716795655986533E-2</v>
      </c>
      <c r="G309" s="4"/>
      <c r="H309" s="4">
        <f>SUM(OSRRefH25x_0)</f>
        <v>127523</v>
      </c>
      <c r="I309" s="4"/>
      <c r="J309" s="12">
        <f t="shared" ref="J309:J322" si="148">IF(H$12=0,0,H309/H$12)</f>
        <v>3.481109211442146E-2</v>
      </c>
      <c r="K309" s="4"/>
      <c r="L309" s="4">
        <f t="shared" ref="L309:L322" si="149">+D309-H309</f>
        <v>-44929.440000000002</v>
      </c>
      <c r="M309" s="4"/>
      <c r="N309" s="12">
        <f t="shared" ref="N309:N322" si="150">IF(H309=0,0,L309/H309)</f>
        <v>-0.35232420818205346</v>
      </c>
      <c r="O309" s="10"/>
      <c r="P309" s="4">
        <f>SUM(OSRRefP25x_0)</f>
        <v>1360162.03</v>
      </c>
      <c r="Q309" s="4"/>
      <c r="R309" s="12">
        <f t="shared" ref="R309:R322" si="151">IF(P$12=0,0,P309/P$12)</f>
        <v>5.0291724288231809E-2</v>
      </c>
      <c r="S309" s="4"/>
      <c r="T309" s="4">
        <f>SUM(OSRRefT25x_0)</f>
        <v>1331869</v>
      </c>
      <c r="U309" s="4"/>
      <c r="V309" s="12">
        <f t="shared" ref="V309:V322" si="152">IF(T$12=0,0,T309/T$12)</f>
        <v>4.4476362826962414E-2</v>
      </c>
      <c r="W309" s="4"/>
      <c r="X309" s="4">
        <f t="shared" ref="X309:X322" si="153">+P309-T309</f>
        <v>28293.030000000028</v>
      </c>
      <c r="Y309" s="4"/>
      <c r="Z309" s="12">
        <f t="shared" ref="Z309:Z322" si="154">IF(T309=0,0,X309/T309)</f>
        <v>2.1243102737581569E-2</v>
      </c>
    </row>
    <row r="310" spans="1:26" s="24" customFormat="1" hidden="1" outlineLevel="1" x14ac:dyDescent="0.25">
      <c r="A310" s="44"/>
      <c r="B310" s="11" t="str">
        <f>CONCATENATE("          ", "4098", " - ", "TAXABLE SALES-GRAD RENTALS")</f>
        <v xml:space="preserve">          4098 - TAXABLE SALES-GRAD RENTALS</v>
      </c>
      <c r="C310" s="11"/>
      <c r="D310" s="2">
        <f>--42</f>
        <v>42</v>
      </c>
      <c r="E310" s="2"/>
      <c r="F310" s="19">
        <f t="shared" si="147"/>
        <v>2.273912660444028E-5</v>
      </c>
      <c r="G310" s="2"/>
      <c r="H310" s="2"/>
      <c r="I310" s="2"/>
      <c r="J310" s="19">
        <f t="shared" si="148"/>
        <v>0</v>
      </c>
      <c r="K310" s="2"/>
      <c r="L310" s="2">
        <f t="shared" si="149"/>
        <v>42</v>
      </c>
      <c r="M310" s="2"/>
      <c r="N310" s="19">
        <f t="shared" si="150"/>
        <v>0</v>
      </c>
      <c r="O310" s="11"/>
      <c r="P310" s="2">
        <f>--2098.85</f>
        <v>2098.85</v>
      </c>
      <c r="Q310" s="2"/>
      <c r="R310" s="19">
        <f t="shared" si="151"/>
        <v>7.7604567098785518E-5</v>
      </c>
      <c r="S310" s="2"/>
      <c r="T310" s="2"/>
      <c r="U310" s="2"/>
      <c r="V310" s="19">
        <f t="shared" si="152"/>
        <v>0</v>
      </c>
      <c r="W310" s="2"/>
      <c r="X310" s="2">
        <f t="shared" si="153"/>
        <v>2098.85</v>
      </c>
      <c r="Y310" s="2"/>
      <c r="Z310" s="19">
        <f t="shared" si="154"/>
        <v>0</v>
      </c>
    </row>
    <row r="311" spans="1:26" s="24" customFormat="1" hidden="1" outlineLevel="1" x14ac:dyDescent="0.25">
      <c r="A311" s="44"/>
      <c r="B311" s="11" t="str">
        <f>CONCATENATE("          ", "4187", " - ", "NON-TAXABLE SALES-COMPUTER REP")</f>
        <v xml:space="preserve">          4187 - NON-TAXABLE SALES-COMPUTER REP</v>
      </c>
      <c r="C311" s="11"/>
      <c r="D311" s="2">
        <f>-213.35</f>
        <v>-213.35</v>
      </c>
      <c r="E311" s="2"/>
      <c r="F311" s="19">
        <f t="shared" si="147"/>
        <v>-1.1550934907279366E-4</v>
      </c>
      <c r="G311" s="2"/>
      <c r="H311" s="2"/>
      <c r="I311" s="2"/>
      <c r="J311" s="19">
        <f t="shared" si="148"/>
        <v>0</v>
      </c>
      <c r="K311" s="2"/>
      <c r="L311" s="2">
        <f t="shared" si="149"/>
        <v>-213.35</v>
      </c>
      <c r="M311" s="2"/>
      <c r="N311" s="19">
        <f t="shared" si="150"/>
        <v>0</v>
      </c>
      <c r="O311" s="11"/>
      <c r="P311" s="2">
        <f>--15579.51</f>
        <v>15579.51</v>
      </c>
      <c r="Q311" s="2"/>
      <c r="R311" s="19">
        <f t="shared" si="151"/>
        <v>5.7604932661276421E-4</v>
      </c>
      <c r="S311" s="2"/>
      <c r="T311" s="2"/>
      <c r="U311" s="2"/>
      <c r="V311" s="19">
        <f t="shared" si="152"/>
        <v>0</v>
      </c>
      <c r="W311" s="2"/>
      <c r="X311" s="2">
        <f t="shared" si="153"/>
        <v>15579.51</v>
      </c>
      <c r="Y311" s="2"/>
      <c r="Z311" s="19">
        <f t="shared" si="154"/>
        <v>0</v>
      </c>
    </row>
    <row r="312" spans="1:26" s="24" customFormat="1" hidden="1" outlineLevel="1" x14ac:dyDescent="0.25">
      <c r="A312" s="44"/>
      <c r="B312" s="11" t="str">
        <f>CONCATENATE("          ", "4197", " - ", "NON-TAXABLE SALES-RETURNED CHE")</f>
        <v xml:space="preserve">          4197 - NON-TAXABLE SALES-RETURNED CHE</v>
      </c>
      <c r="C312" s="11"/>
      <c r="D312" s="2">
        <f t="shared" ref="D312:D314" si="155">0</f>
        <v>0</v>
      </c>
      <c r="E312" s="2"/>
      <c r="F312" s="19">
        <f t="shared" si="147"/>
        <v>0</v>
      </c>
      <c r="G312" s="2"/>
      <c r="H312" s="2"/>
      <c r="I312" s="2"/>
      <c r="J312" s="19">
        <f t="shared" si="148"/>
        <v>0</v>
      </c>
      <c r="K312" s="2"/>
      <c r="L312" s="2">
        <f t="shared" si="149"/>
        <v>0</v>
      </c>
      <c r="M312" s="2"/>
      <c r="N312" s="19">
        <f t="shared" si="150"/>
        <v>0</v>
      </c>
      <c r="O312" s="11"/>
      <c r="P312" s="2">
        <f>--30</f>
        <v>30</v>
      </c>
      <c r="Q312" s="2"/>
      <c r="R312" s="19">
        <f t="shared" si="151"/>
        <v>1.1092441160461993E-6</v>
      </c>
      <c r="S312" s="2"/>
      <c r="T312" s="2"/>
      <c r="U312" s="2"/>
      <c r="V312" s="19">
        <f t="shared" si="152"/>
        <v>0</v>
      </c>
      <c r="W312" s="2"/>
      <c r="X312" s="2">
        <f t="shared" si="153"/>
        <v>30</v>
      </c>
      <c r="Y312" s="2"/>
      <c r="Z312" s="19">
        <f t="shared" si="154"/>
        <v>0</v>
      </c>
    </row>
    <row r="313" spans="1:26" s="24" customFormat="1" hidden="1" outlineLevel="1" x14ac:dyDescent="0.25">
      <c r="A313" s="44"/>
      <c r="B313" s="11" t="str">
        <f>CONCATENATE("          ", "4198", " - ", "NON-TAXABLE SALES-GRAD RENTALS")</f>
        <v xml:space="preserve">          4198 - NON-TAXABLE SALES-GRAD RENTALS</v>
      </c>
      <c r="C313" s="11"/>
      <c r="D313" s="2">
        <f t="shared" si="155"/>
        <v>0</v>
      </c>
      <c r="E313" s="2"/>
      <c r="F313" s="19">
        <f t="shared" si="147"/>
        <v>0</v>
      </c>
      <c r="G313" s="2"/>
      <c r="H313" s="2"/>
      <c r="I313" s="2"/>
      <c r="J313" s="19">
        <f t="shared" si="148"/>
        <v>0</v>
      </c>
      <c r="K313" s="2"/>
      <c r="L313" s="2">
        <f t="shared" si="149"/>
        <v>0</v>
      </c>
      <c r="M313" s="2"/>
      <c r="N313" s="19">
        <f t="shared" si="150"/>
        <v>0</v>
      </c>
      <c r="O313" s="11"/>
      <c r="P313" s="2">
        <f>--3732.1</f>
        <v>3732.1</v>
      </c>
      <c r="Q313" s="2"/>
      <c r="R313" s="19">
        <f t="shared" si="151"/>
        <v>1.3799366551653402E-4</v>
      </c>
      <c r="S313" s="2"/>
      <c r="T313" s="2"/>
      <c r="U313" s="2"/>
      <c r="V313" s="19">
        <f t="shared" si="152"/>
        <v>0</v>
      </c>
      <c r="W313" s="2"/>
      <c r="X313" s="2">
        <f t="shared" si="153"/>
        <v>3732.1</v>
      </c>
      <c r="Y313" s="2"/>
      <c r="Z313" s="19">
        <f t="shared" si="154"/>
        <v>0</v>
      </c>
    </row>
    <row r="314" spans="1:26" s="24" customFormat="1" hidden="1" outlineLevel="1" x14ac:dyDescent="0.25">
      <c r="A314" s="44"/>
      <c r="B314" s="11" t="str">
        <f>CONCATENATE("          ", "4387", " - ", "SALES RETURN NON TAXABLE-COMPU")</f>
        <v xml:space="preserve">          4387 - SALES RETURN NON TAXABLE-COMPU</v>
      </c>
      <c r="C314" s="11"/>
      <c r="D314" s="2">
        <f t="shared" si="155"/>
        <v>0</v>
      </c>
      <c r="E314" s="2"/>
      <c r="F314" s="19">
        <f t="shared" si="147"/>
        <v>0</v>
      </c>
      <c r="G314" s="2"/>
      <c r="H314" s="2"/>
      <c r="I314" s="2"/>
      <c r="J314" s="19">
        <f t="shared" si="148"/>
        <v>0</v>
      </c>
      <c r="K314" s="2"/>
      <c r="L314" s="2">
        <f t="shared" si="149"/>
        <v>0</v>
      </c>
      <c r="M314" s="2"/>
      <c r="N314" s="19">
        <f t="shared" si="150"/>
        <v>0</v>
      </c>
      <c r="O314" s="11"/>
      <c r="P314" s="2">
        <f>-7889</f>
        <v>-7889</v>
      </c>
      <c r="Q314" s="2"/>
      <c r="R314" s="19">
        <f t="shared" si="151"/>
        <v>-2.9169422771628225E-4</v>
      </c>
      <c r="S314" s="2"/>
      <c r="T314" s="2"/>
      <c r="U314" s="2"/>
      <c r="V314" s="19">
        <f t="shared" si="152"/>
        <v>0</v>
      </c>
      <c r="W314" s="2"/>
      <c r="X314" s="2">
        <f t="shared" si="153"/>
        <v>-7889</v>
      </c>
      <c r="Y314" s="2"/>
      <c r="Z314" s="19">
        <f t="shared" si="154"/>
        <v>0</v>
      </c>
    </row>
    <row r="315" spans="1:26" s="24" customFormat="1" hidden="1" outlineLevel="1" x14ac:dyDescent="0.25">
      <c r="A315" s="44"/>
      <c r="B315" s="11" t="str">
        <f>CONCATENATE("          ", "5087", " - ", "PURCHASES @ COST-COMPUTER REPA")</f>
        <v xml:space="preserve">          5087 - PURCHASES @ COST-COMPUTER REPA</v>
      </c>
      <c r="C315" s="11"/>
      <c r="D315" s="2">
        <f>-48.04</f>
        <v>-48.04</v>
      </c>
      <c r="E315" s="2"/>
      <c r="F315" s="19">
        <f t="shared" si="147"/>
        <v>-2.6009229573269308E-5</v>
      </c>
      <c r="G315" s="2"/>
      <c r="H315" s="2"/>
      <c r="I315" s="2"/>
      <c r="J315" s="19">
        <f t="shared" si="148"/>
        <v>0</v>
      </c>
      <c r="K315" s="2"/>
      <c r="L315" s="2">
        <f t="shared" si="149"/>
        <v>-48.04</v>
      </c>
      <c r="M315" s="2"/>
      <c r="N315" s="19">
        <f t="shared" si="150"/>
        <v>0</v>
      </c>
      <c r="O315" s="11"/>
      <c r="P315" s="2">
        <f>-104.76</f>
        <v>-104.76</v>
      </c>
      <c r="Q315" s="2"/>
      <c r="R315" s="19">
        <f t="shared" si="151"/>
        <v>-3.8734804532333283E-6</v>
      </c>
      <c r="S315" s="2"/>
      <c r="T315" s="2"/>
      <c r="U315" s="2"/>
      <c r="V315" s="19">
        <f t="shared" si="152"/>
        <v>0</v>
      </c>
      <c r="W315" s="2"/>
      <c r="X315" s="2">
        <f t="shared" si="153"/>
        <v>-104.76</v>
      </c>
      <c r="Y315" s="2"/>
      <c r="Z315" s="19">
        <f t="shared" si="154"/>
        <v>0</v>
      </c>
    </row>
    <row r="316" spans="1:26" s="24" customFormat="1" hidden="1" outlineLevel="1" x14ac:dyDescent="0.25">
      <c r="A316" s="44"/>
      <c r="B316" s="11" t="str">
        <f>CONCATENATE("          ", "9150", " - ", "MISC. INCOME")</f>
        <v xml:space="preserve">          9150 - MISC. INCOME</v>
      </c>
      <c r="C316" s="11"/>
      <c r="D316" s="2">
        <f>--65445.73</f>
        <v>65445.73</v>
      </c>
      <c r="E316" s="2"/>
      <c r="F316" s="19">
        <f t="shared" si="147"/>
        <v>3.5432827147381316E-2</v>
      </c>
      <c r="G316" s="2"/>
      <c r="H316" s="2">
        <v>83216</v>
      </c>
      <c r="I316" s="2"/>
      <c r="J316" s="19">
        <f t="shared" si="148"/>
        <v>2.2716214654561893E-2</v>
      </c>
      <c r="K316" s="2"/>
      <c r="L316" s="2">
        <f t="shared" si="149"/>
        <v>-17770.269999999997</v>
      </c>
      <c r="M316" s="2"/>
      <c r="N316" s="19">
        <f t="shared" si="150"/>
        <v>-0.2135439098250336</v>
      </c>
      <c r="O316" s="11"/>
      <c r="P316" s="2">
        <f>--702301.29</f>
        <v>702301.29</v>
      </c>
      <c r="Q316" s="2"/>
      <c r="R316" s="19">
        <f t="shared" si="151"/>
        <v>2.596745245413852E-2</v>
      </c>
      <c r="S316" s="2"/>
      <c r="T316" s="2">
        <v>605918</v>
      </c>
      <c r="U316" s="2"/>
      <c r="V316" s="19">
        <f t="shared" si="152"/>
        <v>2.0233993592002977E-2</v>
      </c>
      <c r="W316" s="2"/>
      <c r="X316" s="2">
        <f t="shared" si="153"/>
        <v>96383.290000000037</v>
      </c>
      <c r="Y316" s="2"/>
      <c r="Z316" s="19">
        <f t="shared" si="154"/>
        <v>0.15906985763750217</v>
      </c>
    </row>
    <row r="317" spans="1:26" s="24" customFormat="1" hidden="1" outlineLevel="1" x14ac:dyDescent="0.25">
      <c r="A317" s="44"/>
      <c r="B317" s="11" t="str">
        <f>CONCATENATE("          ", "9151", " - ", "MISC. INCOME")</f>
        <v xml:space="preserve">          9151 - MISC. INCOME</v>
      </c>
      <c r="C317" s="11"/>
      <c r="D317" s="2">
        <f>--13315.04</f>
        <v>13315.04</v>
      </c>
      <c r="E317" s="2"/>
      <c r="F317" s="19">
        <f t="shared" si="147"/>
        <v>7.2088661976949164E-3</v>
      </c>
      <c r="G317" s="2"/>
      <c r="H317" s="2">
        <v>27407</v>
      </c>
      <c r="I317" s="2"/>
      <c r="J317" s="19">
        <f t="shared" si="148"/>
        <v>7.4815335396747956E-3</v>
      </c>
      <c r="K317" s="2"/>
      <c r="L317" s="2">
        <f t="shared" si="149"/>
        <v>-14091.96</v>
      </c>
      <c r="M317" s="2"/>
      <c r="N317" s="19">
        <f t="shared" si="150"/>
        <v>-0.51417375123143716</v>
      </c>
      <c r="O317" s="11"/>
      <c r="P317" s="2">
        <f>--169392.7</f>
        <v>169392.7</v>
      </c>
      <c r="Q317" s="2"/>
      <c r="R317" s="19">
        <f t="shared" si="151"/>
        <v>6.2632618592059685E-3</v>
      </c>
      <c r="S317" s="2"/>
      <c r="T317" s="2">
        <v>403501</v>
      </c>
      <c r="U317" s="2"/>
      <c r="V317" s="19">
        <f t="shared" si="152"/>
        <v>1.3474491017541635E-2</v>
      </c>
      <c r="W317" s="2"/>
      <c r="X317" s="2">
        <f t="shared" si="153"/>
        <v>-234108.3</v>
      </c>
      <c r="Y317" s="2"/>
      <c r="Z317" s="19">
        <f t="shared" si="154"/>
        <v>-0.58019261414469847</v>
      </c>
    </row>
    <row r="318" spans="1:26" s="24" customFormat="1" hidden="1" outlineLevel="1" x14ac:dyDescent="0.25">
      <c r="A318" s="44"/>
      <c r="B318" s="11" t="str">
        <f>CONCATENATE("          ", "9152", " - ", "MISC. INCOME")</f>
        <v xml:space="preserve">          9152 - MISC. INCOME</v>
      </c>
      <c r="C318" s="11"/>
      <c r="D318" s="2">
        <f t="shared" ref="D318:D321" si="156">0</f>
        <v>0</v>
      </c>
      <c r="E318" s="2"/>
      <c r="F318" s="19">
        <f t="shared" si="147"/>
        <v>0</v>
      </c>
      <c r="G318" s="2"/>
      <c r="H318" s="2"/>
      <c r="I318" s="2"/>
      <c r="J318" s="19">
        <f t="shared" si="148"/>
        <v>0</v>
      </c>
      <c r="K318" s="2"/>
      <c r="L318" s="2">
        <f t="shared" si="149"/>
        <v>0</v>
      </c>
      <c r="M318" s="2"/>
      <c r="N318" s="19">
        <f t="shared" si="150"/>
        <v>0</v>
      </c>
      <c r="O318" s="11"/>
      <c r="P318" s="2">
        <f>--4699.86</f>
        <v>4699.8599999999997</v>
      </c>
      <c r="Q318" s="2"/>
      <c r="R318" s="19">
        <f t="shared" si="151"/>
        <v>1.7377640170802969E-4</v>
      </c>
      <c r="S318" s="2"/>
      <c r="T318" s="2"/>
      <c r="U318" s="2"/>
      <c r="V318" s="19">
        <f t="shared" si="152"/>
        <v>0</v>
      </c>
      <c r="W318" s="2"/>
      <c r="X318" s="2">
        <f t="shared" si="153"/>
        <v>4699.8599999999997</v>
      </c>
      <c r="Y318" s="2"/>
      <c r="Z318" s="19">
        <f t="shared" si="154"/>
        <v>0</v>
      </c>
    </row>
    <row r="319" spans="1:26" s="24" customFormat="1" hidden="1" outlineLevel="1" x14ac:dyDescent="0.25">
      <c r="A319" s="44"/>
      <c r="B319" s="11" t="str">
        <f>CONCATENATE("          ", "9153", " - ", "MISC. INCOME")</f>
        <v xml:space="preserve">          9153 - MISC. INCOME</v>
      </c>
      <c r="C319" s="11"/>
      <c r="D319" s="2">
        <f t="shared" si="156"/>
        <v>0</v>
      </c>
      <c r="E319" s="2"/>
      <c r="F319" s="19">
        <f t="shared" si="147"/>
        <v>0</v>
      </c>
      <c r="G319" s="2"/>
      <c r="H319" s="2"/>
      <c r="I319" s="2"/>
      <c r="J319" s="19">
        <f t="shared" si="148"/>
        <v>0</v>
      </c>
      <c r="K319" s="2"/>
      <c r="L319" s="2">
        <f t="shared" si="149"/>
        <v>0</v>
      </c>
      <c r="M319" s="2"/>
      <c r="N319" s="19">
        <f t="shared" si="150"/>
        <v>0</v>
      </c>
      <c r="O319" s="11"/>
      <c r="P319" s="2">
        <f>--450</f>
        <v>450</v>
      </c>
      <c r="Q319" s="2"/>
      <c r="R319" s="19">
        <f t="shared" si="151"/>
        <v>1.6638661740692993E-5</v>
      </c>
      <c r="S319" s="2"/>
      <c r="T319" s="2"/>
      <c r="U319" s="2"/>
      <c r="V319" s="19">
        <f t="shared" si="152"/>
        <v>0</v>
      </c>
      <c r="W319" s="2"/>
      <c r="X319" s="2">
        <f t="shared" si="153"/>
        <v>450</v>
      </c>
      <c r="Y319" s="2"/>
      <c r="Z319" s="19">
        <f t="shared" si="154"/>
        <v>0</v>
      </c>
    </row>
    <row r="320" spans="1:26" s="24" customFormat="1" hidden="1" outlineLevel="1" x14ac:dyDescent="0.25">
      <c r="A320" s="44"/>
      <c r="B320" s="11" t="str">
        <f>CONCATENATE("          ", "9160", " - ", "MISC. INCOME")</f>
        <v xml:space="preserve">          9160 - MISC. INCOME</v>
      </c>
      <c r="C320" s="11"/>
      <c r="D320" s="2">
        <f t="shared" si="156"/>
        <v>0</v>
      </c>
      <c r="E320" s="2"/>
      <c r="F320" s="19">
        <f t="shared" si="147"/>
        <v>0</v>
      </c>
      <c r="G320" s="2"/>
      <c r="H320" s="2">
        <v>16900</v>
      </c>
      <c r="I320" s="2"/>
      <c r="J320" s="19">
        <f t="shared" si="148"/>
        <v>4.6133439201847719E-3</v>
      </c>
      <c r="K320" s="2"/>
      <c r="L320" s="2">
        <f t="shared" si="149"/>
        <v>-16900</v>
      </c>
      <c r="M320" s="2"/>
      <c r="N320" s="19">
        <f t="shared" si="150"/>
        <v>-1</v>
      </c>
      <c r="O320" s="11"/>
      <c r="P320" s="2">
        <f>--152564.32</f>
        <v>152564.32</v>
      </c>
      <c r="Q320" s="2"/>
      <c r="R320" s="19">
        <f t="shared" si="151"/>
        <v>5.6410358092863168E-3</v>
      </c>
      <c r="S320" s="2"/>
      <c r="T320" s="2">
        <v>322450</v>
      </c>
      <c r="U320" s="2"/>
      <c r="V320" s="19">
        <f t="shared" si="152"/>
        <v>1.0767878217417801E-2</v>
      </c>
      <c r="W320" s="2"/>
      <c r="X320" s="2">
        <f t="shared" si="153"/>
        <v>-169885.68</v>
      </c>
      <c r="Y320" s="2"/>
      <c r="Z320" s="19">
        <f t="shared" si="154"/>
        <v>-0.52685898588928515</v>
      </c>
    </row>
    <row r="321" spans="1:26" s="24" customFormat="1" hidden="1" outlineLevel="1" x14ac:dyDescent="0.25">
      <c r="A321" s="44"/>
      <c r="B321" s="11" t="str">
        <f>CONCATENATE("          ", "9163", " - ", "MISC. INCOME")</f>
        <v xml:space="preserve">          9163 - MISC. INCOME</v>
      </c>
      <c r="C321" s="11"/>
      <c r="D321" s="2">
        <f t="shared" si="156"/>
        <v>0</v>
      </c>
      <c r="E321" s="2"/>
      <c r="F321" s="19">
        <f t="shared" si="147"/>
        <v>0</v>
      </c>
      <c r="G321" s="2"/>
      <c r="H321" s="2"/>
      <c r="I321" s="2"/>
      <c r="J321" s="19">
        <f t="shared" si="148"/>
        <v>0</v>
      </c>
      <c r="K321" s="2"/>
      <c r="L321" s="2">
        <f t="shared" si="149"/>
        <v>0</v>
      </c>
      <c r="M321" s="2"/>
      <c r="N321" s="19">
        <f t="shared" si="150"/>
        <v>0</v>
      </c>
      <c r="O321" s="11"/>
      <c r="P321" s="2">
        <f>--84439.88</f>
        <v>84439.88</v>
      </c>
      <c r="Q321" s="2"/>
      <c r="R321" s="19">
        <f t="shared" si="151"/>
        <v>3.1221480016549053E-3</v>
      </c>
      <c r="S321" s="2"/>
      <c r="T321" s="2"/>
      <c r="U321" s="2"/>
      <c r="V321" s="19">
        <f t="shared" si="152"/>
        <v>0</v>
      </c>
      <c r="W321" s="2"/>
      <c r="X321" s="2">
        <f t="shared" si="153"/>
        <v>84439.88</v>
      </c>
      <c r="Y321" s="2"/>
      <c r="Z321" s="19">
        <f t="shared" si="154"/>
        <v>0</v>
      </c>
    </row>
    <row r="322" spans="1:26" s="24" customFormat="1" hidden="1" outlineLevel="1" x14ac:dyDescent="0.25">
      <c r="A322" s="44"/>
      <c r="B322" s="11" t="str">
        <f>CONCATENATE("          ", "9165", " - ", "OTHER INCOME")</f>
        <v xml:space="preserve">          9165 - OTHER INCOME</v>
      </c>
      <c r="C322" s="11"/>
      <c r="D322" s="2">
        <f>--4052.18</f>
        <v>4052.18</v>
      </c>
      <c r="E322" s="2"/>
      <c r="F322" s="19">
        <f t="shared" si="147"/>
        <v>2.1938817629519238E-3</v>
      </c>
      <c r="G322" s="2"/>
      <c r="H322" s="2"/>
      <c r="I322" s="2"/>
      <c r="J322" s="19">
        <f t="shared" si="148"/>
        <v>0</v>
      </c>
      <c r="K322" s="2"/>
      <c r="L322" s="2">
        <f t="shared" si="149"/>
        <v>4052.18</v>
      </c>
      <c r="M322" s="2"/>
      <c r="N322" s="19">
        <f t="shared" si="150"/>
        <v>0</v>
      </c>
      <c r="O322" s="11"/>
      <c r="P322" s="2">
        <f>--232867.28</f>
        <v>232867.28</v>
      </c>
      <c r="Q322" s="2"/>
      <c r="R322" s="19">
        <f t="shared" si="151"/>
        <v>8.6102220053227603E-3</v>
      </c>
      <c r="S322" s="2"/>
      <c r="T322" s="2"/>
      <c r="U322" s="2"/>
      <c r="V322" s="19">
        <f t="shared" si="152"/>
        <v>0</v>
      </c>
      <c r="W322" s="2"/>
      <c r="X322" s="2">
        <f t="shared" si="153"/>
        <v>232867.28</v>
      </c>
      <c r="Y322" s="2"/>
      <c r="Z322" s="19">
        <f t="shared" si="154"/>
        <v>0</v>
      </c>
    </row>
    <row r="323" spans="1:26" x14ac:dyDescent="0.25">
      <c r="A323" s="9"/>
      <c r="B323" s="10"/>
      <c r="C323" s="10"/>
      <c r="D323" s="3"/>
      <c r="E323" s="3"/>
      <c r="F323" s="8"/>
      <c r="G323" s="3"/>
      <c r="H323" s="3"/>
      <c r="I323" s="3"/>
      <c r="J323" s="8"/>
      <c r="K323" s="3"/>
      <c r="L323" s="3"/>
      <c r="M323" s="3"/>
      <c r="N323" s="8"/>
      <c r="O323" s="10"/>
      <c r="P323" s="3"/>
      <c r="Q323" s="3"/>
      <c r="R323" s="8"/>
      <c r="S323" s="3"/>
      <c r="T323" s="3"/>
      <c r="U323" s="3"/>
      <c r="V323" s="8"/>
      <c r="W323" s="3"/>
      <c r="X323" s="3"/>
      <c r="Y323" s="3"/>
      <c r="Z323" s="8"/>
    </row>
    <row r="324" spans="1:26" s="23" customFormat="1" x14ac:dyDescent="0.25">
      <c r="A324" s="10"/>
      <c r="B324" s="28" t="s">
        <v>3</v>
      </c>
      <c r="C324" s="28"/>
      <c r="D324" s="20">
        <f>+D200-D202+D309</f>
        <v>-275236.39999999927</v>
      </c>
      <c r="E324" s="14"/>
      <c r="F324" s="22">
        <f>IF(D$12=0,0,D324/D$12)</f>
        <v>-0.14901512727977023</v>
      </c>
      <c r="G324" s="14"/>
      <c r="H324" s="20">
        <f>+H200-H202+H309</f>
        <v>862067.75009930646</v>
      </c>
      <c r="I324" s="14"/>
      <c r="J324" s="22">
        <f>IF(H$12=0,0,H324/H$12)</f>
        <v>0.23532633217207105</v>
      </c>
      <c r="K324" s="16"/>
      <c r="L324" s="20">
        <f>+D324-H324</f>
        <v>-1137304.1500993057</v>
      </c>
      <c r="M324" s="16"/>
      <c r="N324" s="22">
        <f>IF(H324=0,0,L324/H324)</f>
        <v>-1.3192746741405106</v>
      </c>
      <c r="O324" s="29"/>
      <c r="P324" s="20">
        <f>+P200-P202+P309</f>
        <v>2881142.890000009</v>
      </c>
      <c r="Q324" s="14"/>
      <c r="R324" s="22">
        <f>IF(P$12=0,0,P324/P$12)</f>
        <v>0.10652969327402841</v>
      </c>
      <c r="S324" s="14"/>
      <c r="T324" s="20">
        <f>+T200-T202+T309</f>
        <v>4717979.520215638</v>
      </c>
      <c r="U324" s="14"/>
      <c r="V324" s="22">
        <f>IF(T$12=0,0,T324/T$12)</f>
        <v>0.15755195815150647</v>
      </c>
      <c r="W324" s="16"/>
      <c r="X324" s="20">
        <f>+P324-T324</f>
        <v>-1836836.630215629</v>
      </c>
      <c r="Y324" s="16"/>
      <c r="Z324" s="22">
        <f>IF(T324=0,0,X324/T324)</f>
        <v>-0.38932696132849581</v>
      </c>
    </row>
    <row r="325" spans="1:26" x14ac:dyDescent="0.25">
      <c r="A325" s="9"/>
      <c r="B325" s="10"/>
      <c r="C325" s="9"/>
      <c r="D325" s="3"/>
      <c r="E325" s="3"/>
      <c r="F325" s="8"/>
      <c r="G325" s="3"/>
      <c r="H325" s="3"/>
      <c r="I325" s="3"/>
      <c r="J325" s="8"/>
      <c r="K325" s="3"/>
      <c r="L325" s="3"/>
      <c r="M325" s="3"/>
      <c r="N325" s="8"/>
      <c r="P325" s="3"/>
      <c r="Q325" s="3"/>
      <c r="R325" s="8"/>
      <c r="S325" s="3"/>
      <c r="T325" s="3"/>
      <c r="U325" s="3"/>
      <c r="V325" s="8"/>
      <c r="W325" s="3"/>
      <c r="X325" s="3"/>
      <c r="Y325" s="3"/>
      <c r="Z325" s="8"/>
    </row>
    <row r="326" spans="1:26" s="23" customFormat="1" x14ac:dyDescent="0.25">
      <c r="A326" s="52"/>
      <c r="B326" s="10" t="s">
        <v>14</v>
      </c>
      <c r="C326" s="10"/>
      <c r="D326" s="4">
        <v>329768.88</v>
      </c>
      <c r="E326" s="4"/>
      <c r="F326" s="12">
        <f>IF(D$12=0,0,D326/D$12)</f>
        <v>0.17853943601248748</v>
      </c>
      <c r="G326" s="4"/>
      <c r="H326" s="4">
        <v>339892</v>
      </c>
      <c r="I326" s="4"/>
      <c r="J326" s="12">
        <f>IF(H$12=0,0,H326/H$12)</f>
        <v>9.2783354539611979E-2</v>
      </c>
      <c r="K326" s="4"/>
      <c r="L326" s="4">
        <f>+D326-H326</f>
        <v>-10123.119999999995</v>
      </c>
      <c r="M326" s="4"/>
      <c r="N326" s="12">
        <f>IF(H326=0,0,L326/H326)</f>
        <v>-2.9783342944229331E-2</v>
      </c>
      <c r="O326" s="10"/>
      <c r="P326" s="4">
        <v>2897984.9</v>
      </c>
      <c r="Q326" s="4"/>
      <c r="R326" s="12">
        <f>IF(P$12=0,0,P326/P$12)</f>
        <v>0.10715242329052445</v>
      </c>
      <c r="S326" s="4"/>
      <c r="T326" s="4">
        <v>3500332</v>
      </c>
      <c r="U326" s="4"/>
      <c r="V326" s="12">
        <f>IF(T$12=0,0,T326/T$12)</f>
        <v>0.11688990136929908</v>
      </c>
      <c r="W326" s="4"/>
      <c r="X326" s="4">
        <f>+P326-T326</f>
        <v>-602347.10000000009</v>
      </c>
      <c r="Y326" s="4"/>
      <c r="Z326" s="12">
        <f>IF(T326=0,0,X326/T326)</f>
        <v>-0.17208284814126207</v>
      </c>
    </row>
    <row r="327" spans="1:26" x14ac:dyDescent="0.25">
      <c r="A327" s="9"/>
      <c r="B327" s="10"/>
      <c r="C327" s="10"/>
      <c r="D327" s="3"/>
      <c r="E327" s="3"/>
      <c r="F327" s="8"/>
      <c r="G327" s="3"/>
      <c r="H327" s="3"/>
      <c r="I327" s="3"/>
      <c r="J327" s="8"/>
      <c r="K327" s="3"/>
      <c r="L327" s="3"/>
      <c r="M327" s="3"/>
      <c r="N327" s="8"/>
      <c r="O327" s="10"/>
      <c r="P327" s="3"/>
      <c r="Q327" s="3"/>
      <c r="R327" s="8"/>
      <c r="S327" s="3"/>
      <c r="T327" s="3"/>
      <c r="U327" s="3"/>
      <c r="V327" s="8"/>
      <c r="W327" s="3"/>
      <c r="X327" s="3"/>
      <c r="Y327" s="3"/>
      <c r="Z327" s="8"/>
    </row>
    <row r="328" spans="1:26" s="23" customFormat="1" ht="15.75" thickBot="1" x14ac:dyDescent="0.3">
      <c r="A328" s="10"/>
      <c r="B328" s="28" t="s">
        <v>4</v>
      </c>
      <c r="C328" s="28"/>
      <c r="D328" s="31">
        <f>+D324-D326</f>
        <v>-605005.27999999933</v>
      </c>
      <c r="E328" s="14"/>
      <c r="F328" s="34">
        <f>IF(D$12=0,0,D328/D$12)</f>
        <v>-0.32755456329225774</v>
      </c>
      <c r="G328" s="14"/>
      <c r="H328" s="31">
        <f>+H324-H326</f>
        <v>522175.75009930646</v>
      </c>
      <c r="I328" s="14"/>
      <c r="J328" s="34">
        <f>IF(H$12=0,0,H328/H$12)</f>
        <v>0.14254297763245907</v>
      </c>
      <c r="K328" s="16"/>
      <c r="L328" s="31">
        <f>D328-H328</f>
        <v>-1127181.0300993058</v>
      </c>
      <c r="M328" s="16"/>
      <c r="N328" s="34">
        <f>IF(H328=0,0,L328/H328)</f>
        <v>-2.1586238539130562</v>
      </c>
      <c r="O328" s="29"/>
      <c r="P328" s="31">
        <f>+P324-P326</f>
        <v>-16842.009999990929</v>
      </c>
      <c r="Q328" s="14"/>
      <c r="R328" s="34">
        <f>IF(P$12=0,0,P328/P$12)</f>
        <v>-6.2273001649603961E-4</v>
      </c>
      <c r="S328" s="14"/>
      <c r="T328" s="31">
        <f>+T324-T326</f>
        <v>1217647.520215638</v>
      </c>
      <c r="U328" s="14"/>
      <c r="V328" s="34">
        <f>IF(T$12=0,0,T328/T$12)</f>
        <v>4.0662056782207384E-2</v>
      </c>
      <c r="W328" s="16"/>
      <c r="X328" s="31">
        <f>P328-T328</f>
        <v>-1234489.5302156289</v>
      </c>
      <c r="Y328" s="16"/>
      <c r="Z328" s="34">
        <f>IF(T328=0,0,X328/T328)</f>
        <v>-1.0138315971743681</v>
      </c>
    </row>
    <row r="329" spans="1:26" ht="15.75" thickTop="1" x14ac:dyDescent="0.25">
      <c r="A329" s="9"/>
      <c r="B329" s="9"/>
      <c r="C329" s="9"/>
      <c r="D329" s="3"/>
      <c r="E329" s="3"/>
      <c r="F329" s="8"/>
      <c r="G329" s="3"/>
      <c r="H329" s="3"/>
      <c r="I329" s="3"/>
      <c r="J329" s="8"/>
      <c r="K329" s="3"/>
      <c r="L329" s="3"/>
      <c r="M329" s="3"/>
      <c r="N329" s="8"/>
      <c r="P329" s="3"/>
      <c r="Q329" s="3"/>
      <c r="R329" s="8"/>
      <c r="S329" s="3"/>
      <c r="T329" s="3"/>
      <c r="U329" s="3"/>
      <c r="V329" s="8"/>
      <c r="W329" s="3"/>
      <c r="X329" s="3"/>
      <c r="Y329" s="3"/>
      <c r="Z329" s="8"/>
    </row>
    <row r="330" spans="1:26" s="23" customFormat="1" x14ac:dyDescent="0.25">
      <c r="A330" s="52"/>
      <c r="B330" s="10" t="s">
        <v>2</v>
      </c>
      <c r="C330" s="10"/>
      <c r="D330" s="4">
        <f>-1331706.58</f>
        <v>-1331706.58</v>
      </c>
      <c r="E330" s="4"/>
      <c r="F330" s="12">
        <f t="shared" ref="F330:F331" si="157">IF(D$12=0,0,D330/D$12)</f>
        <v>-0.72099629815681376</v>
      </c>
      <c r="G330" s="4"/>
      <c r="H330" s="4">
        <f>--25000</f>
        <v>25000</v>
      </c>
      <c r="I330" s="4"/>
      <c r="J330" s="12">
        <f t="shared" ref="J330:J331" si="158">IF(H$12=0,0,H330/H$12)</f>
        <v>6.8244732547112011E-3</v>
      </c>
      <c r="K330" s="4"/>
      <c r="L330" s="4">
        <f t="shared" ref="L330:L331" si="159">+D330-H330</f>
        <v>-1356706.58</v>
      </c>
      <c r="M330" s="4"/>
      <c r="N330" s="12">
        <f t="shared" ref="N330:N331" si="160">IF(H330=0,0,L330/H330)</f>
        <v>-54.2682632</v>
      </c>
      <c r="O330" s="10"/>
      <c r="P330" s="4">
        <f>-1466541.45</f>
        <v>-1466541.45</v>
      </c>
      <c r="Q330" s="4"/>
      <c r="R330" s="12">
        <f t="shared" ref="R330:R331" si="161">IF(P$12=0,0,P330/P$12)</f>
        <v>-5.4225082478345385E-2</v>
      </c>
      <c r="S330" s="4"/>
      <c r="T330" s="4">
        <f>--225000</f>
        <v>225000</v>
      </c>
      <c r="U330" s="4"/>
      <c r="V330" s="12">
        <f t="shared" ref="V330:V331" si="162">IF(T$12=0,0,T330/T$12)</f>
        <v>7.513638080071345E-3</v>
      </c>
      <c r="W330" s="4"/>
      <c r="X330" s="4">
        <f t="shared" ref="X330:X331" si="163">+P330-T330</f>
        <v>-1691541.45</v>
      </c>
      <c r="Y330" s="4"/>
      <c r="Z330" s="12">
        <f t="shared" ref="Z330:Z331" si="164">IF(T330=0,0,X330/T330)</f>
        <v>-7.5179619999999998</v>
      </c>
    </row>
    <row r="331" spans="1:26" s="23" customFormat="1" x14ac:dyDescent="0.25">
      <c r="A331" s="52"/>
      <c r="B331" s="10" t="s">
        <v>1</v>
      </c>
      <c r="C331" s="10"/>
      <c r="D331" s="4">
        <f>--22571.86</f>
        <v>22571.86</v>
      </c>
      <c r="E331" s="4"/>
      <c r="F331" s="12">
        <f t="shared" si="157"/>
        <v>1.222058052946908E-2</v>
      </c>
      <c r="G331" s="4"/>
      <c r="H331" s="4">
        <f>--20000</f>
        <v>20000</v>
      </c>
      <c r="I331" s="4"/>
      <c r="J331" s="12">
        <f t="shared" si="158"/>
        <v>5.4595786037689607E-3</v>
      </c>
      <c r="K331" s="4"/>
      <c r="L331" s="4">
        <f t="shared" si="159"/>
        <v>2571.8600000000006</v>
      </c>
      <c r="M331" s="4"/>
      <c r="N331" s="12">
        <f t="shared" si="160"/>
        <v>0.12859300000000004</v>
      </c>
      <c r="O331" s="10"/>
      <c r="P331" s="4">
        <f>--229561.13</f>
        <v>229561.13</v>
      </c>
      <c r="Q331" s="4"/>
      <c r="R331" s="12">
        <f t="shared" si="161"/>
        <v>8.4879777575138891E-3</v>
      </c>
      <c r="S331" s="4"/>
      <c r="T331" s="4">
        <f>--210000</f>
        <v>210000</v>
      </c>
      <c r="U331" s="4"/>
      <c r="V331" s="12">
        <f t="shared" si="162"/>
        <v>7.0127288747332556E-3</v>
      </c>
      <c r="W331" s="4"/>
      <c r="X331" s="4">
        <f t="shared" si="163"/>
        <v>19561.130000000005</v>
      </c>
      <c r="Y331" s="4"/>
      <c r="Z331" s="12">
        <f t="shared" si="164"/>
        <v>9.3148238095238117E-2</v>
      </c>
    </row>
    <row r="332" spans="1:26" x14ac:dyDescent="0.25">
      <c r="A332" s="9"/>
      <c r="B332" s="9"/>
      <c r="C332" s="9"/>
      <c r="D332" s="3"/>
      <c r="E332" s="3"/>
      <c r="F332" s="8"/>
      <c r="G332" s="3"/>
      <c r="H332" s="3"/>
      <c r="I332" s="3"/>
      <c r="J332" s="8"/>
      <c r="K332" s="3"/>
      <c r="L332" s="3"/>
      <c r="M332" s="3"/>
      <c r="N332" s="8"/>
      <c r="P332" s="3"/>
      <c r="Q332" s="3"/>
      <c r="R332" s="8"/>
      <c r="S332" s="3"/>
      <c r="T332" s="3"/>
      <c r="U332" s="3"/>
      <c r="V332" s="8"/>
      <c r="W332" s="3"/>
      <c r="X332" s="3"/>
      <c r="Y332" s="3"/>
      <c r="Z332" s="8"/>
    </row>
    <row r="333" spans="1:26" s="23" customFormat="1" ht="15.75" thickBot="1" x14ac:dyDescent="0.3">
      <c r="A333" s="10"/>
      <c r="B333" s="28" t="s">
        <v>5</v>
      </c>
      <c r="C333" s="28"/>
      <c r="D333" s="32">
        <f>SUM(D328:D332)</f>
        <v>-1914139.9999999993</v>
      </c>
      <c r="E333" s="14"/>
      <c r="F333" s="35">
        <f>IF(D$12=0,0,D333/D$12)</f>
        <v>-1.0363302809196024</v>
      </c>
      <c r="G333" s="14"/>
      <c r="H333" s="32">
        <f>SUM(H328:H332)</f>
        <v>567175.75009930646</v>
      </c>
      <c r="I333" s="14"/>
      <c r="J333" s="35">
        <f>IF(H$12=0,0,H333/H$12)</f>
        <v>0.15482702949093924</v>
      </c>
      <c r="K333" s="16"/>
      <c r="L333" s="32">
        <f>+D333-H333</f>
        <v>-2481315.750099306</v>
      </c>
      <c r="M333" s="16"/>
      <c r="N333" s="35">
        <f>IF(H333=0,0,L333/H333)</f>
        <v>-4.374862200411167</v>
      </c>
      <c r="O333" s="29"/>
      <c r="P333" s="32">
        <f>SUM(P328:P332)</f>
        <v>-1253822.3299999908</v>
      </c>
      <c r="Q333" s="14"/>
      <c r="R333" s="35">
        <f>IF(P$12=0,0,P333/P$12)</f>
        <v>-4.6359834737327528E-2</v>
      </c>
      <c r="S333" s="14"/>
      <c r="T333" s="32">
        <f>SUM(T328:T332)</f>
        <v>1652647.520215638</v>
      </c>
      <c r="U333" s="14"/>
      <c r="V333" s="35">
        <f>IF(T$12=0,0,T333/T$12)</f>
        <v>5.518842373701198E-2</v>
      </c>
      <c r="W333" s="16"/>
      <c r="X333" s="32">
        <f>+P333-T333</f>
        <v>-2906469.8502156287</v>
      </c>
      <c r="Y333" s="16"/>
      <c r="Z333" s="35">
        <f>IF(T333=0,0,X333/T333)</f>
        <v>-1.7586749834207791</v>
      </c>
    </row>
    <row r="334" spans="1:26" ht="15.75" thickTop="1" x14ac:dyDescent="0.25">
      <c r="A334" s="9"/>
      <c r="C334" s="9"/>
      <c r="D334" s="18"/>
      <c r="E334" s="18"/>
      <c r="G334" s="18"/>
      <c r="H334" s="18"/>
      <c r="I334" s="18"/>
      <c r="J334" s="42"/>
      <c r="K334" s="18"/>
      <c r="L334" s="18"/>
      <c r="M334" s="18"/>
      <c r="P334" s="18"/>
      <c r="Q334" s="18"/>
      <c r="R334" s="42"/>
      <c r="S334" s="18"/>
      <c r="T334" s="18"/>
      <c r="U334" s="18"/>
      <c r="V334" s="42"/>
      <c r="W334" s="18"/>
      <c r="X334" s="18"/>
    </row>
    <row r="335" spans="1:26" x14ac:dyDescent="0.25">
      <c r="A335" s="9"/>
      <c r="B335" s="57">
        <v>43934.465807175926</v>
      </c>
      <c r="D335" s="18"/>
      <c r="E335" s="18"/>
      <c r="G335" s="18"/>
      <c r="H335" s="18"/>
      <c r="I335" s="18"/>
      <c r="J335" s="42"/>
      <c r="K335" s="18"/>
      <c r="L335" s="18"/>
      <c r="M335" s="18"/>
      <c r="P335" s="18"/>
      <c r="Q335" s="18"/>
      <c r="R335" s="42"/>
      <c r="S335" s="18"/>
      <c r="T335" s="18"/>
      <c r="U335" s="18"/>
      <c r="V335" s="42"/>
      <c r="W335" s="18"/>
      <c r="X335" s="18"/>
    </row>
    <row r="336" spans="1:26" x14ac:dyDescent="0.25">
      <c r="A336" s="9"/>
      <c r="B336" s="62" t="s">
        <v>314</v>
      </c>
      <c r="D336" s="18"/>
      <c r="E336" s="18"/>
      <c r="G336" s="18"/>
      <c r="H336" s="18"/>
      <c r="I336" s="18"/>
      <c r="J336" s="42"/>
      <c r="K336" s="18"/>
      <c r="L336" s="18"/>
      <c r="M336" s="18"/>
      <c r="P336" s="18"/>
      <c r="Q336" s="18"/>
      <c r="R336" s="42"/>
      <c r="S336" s="18"/>
      <c r="T336" s="18"/>
      <c r="U336" s="18"/>
      <c r="V336" s="42"/>
      <c r="W336" s="18"/>
      <c r="X336" s="18"/>
    </row>
    <row r="337" spans="1:24" x14ac:dyDescent="0.25">
      <c r="A337" s="9"/>
      <c r="B337" s="60"/>
      <c r="D337" s="18"/>
      <c r="E337" s="18"/>
      <c r="G337" s="18"/>
      <c r="H337" s="18"/>
      <c r="I337" s="18"/>
      <c r="J337" s="42"/>
      <c r="K337" s="18"/>
      <c r="L337" s="18"/>
      <c r="M337" s="18"/>
      <c r="P337" s="18"/>
      <c r="Q337" s="18"/>
      <c r="R337" s="42"/>
      <c r="S337" s="18"/>
      <c r="T337" s="18"/>
      <c r="U337" s="18"/>
      <c r="V337" s="42"/>
      <c r="W337" s="18"/>
      <c r="X337" s="18"/>
    </row>
    <row r="338" spans="1:24" x14ac:dyDescent="0.25">
      <c r="D338" s="18"/>
      <c r="E338" s="18"/>
      <c r="G338" s="18"/>
      <c r="H338" s="18"/>
      <c r="I338" s="18"/>
      <c r="J338" s="42"/>
      <c r="K338" s="18"/>
      <c r="L338" s="18"/>
      <c r="M338" s="18"/>
      <c r="P338" s="18"/>
      <c r="Q338" s="18"/>
      <c r="R338" s="42"/>
      <c r="S338" s="18"/>
      <c r="T338" s="18"/>
      <c r="U338" s="18"/>
      <c r="V338" s="42"/>
      <c r="W338" s="18"/>
      <c r="X338" s="18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301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301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302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302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298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298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311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311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299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SUM(0)</f>
        <v>0</v>
      </c>
      <c r="E18" s="21"/>
      <c r="F18" s="30">
        <f>IF(D$12=0,0,D18/D$12)</f>
        <v>0</v>
      </c>
      <c r="G18" s="21"/>
      <c r="H18" s="21">
        <f>SUM(0)</f>
        <v>0</v>
      </c>
      <c r="I18" s="21"/>
      <c r="J18" s="30">
        <f>IF(H$12=0,0,H18/H$12)</f>
        <v>0</v>
      </c>
      <c r="K18" s="4"/>
      <c r="L18" s="21">
        <f>+D18-H18</f>
        <v>0</v>
      </c>
      <c r="M18" s="4"/>
      <c r="N18" s="30">
        <f>IF(H18=0,0,L18/H18)</f>
        <v>0</v>
      </c>
      <c r="O18" s="10"/>
      <c r="P18" s="21">
        <f>SUM(0)</f>
        <v>0</v>
      </c>
      <c r="Q18" s="21"/>
      <c r="R18" s="30">
        <f>IF(P$12=0,0,P18/P$12)</f>
        <v>0</v>
      </c>
      <c r="S18" s="21"/>
      <c r="T18" s="21">
        <f>SUM(0)</f>
        <v>0</v>
      </c>
      <c r="U18" s="21"/>
      <c r="V18" s="30">
        <f>IF(T$12=0,0,T18/T$12)</f>
        <v>0</v>
      </c>
      <c r="W18" s="4"/>
      <c r="X18" s="21">
        <f>+P18-T18</f>
        <v>0</v>
      </c>
      <c r="Y18" s="4"/>
      <c r="Z18" s="30">
        <f>IF(T18=0,0,X18/T18)</f>
        <v>0</v>
      </c>
    </row>
    <row r="19" spans="1:26" s="56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3</v>
      </c>
      <c r="C22" s="28"/>
      <c r="D22" s="20">
        <f>+D16-D18+D20</f>
        <v>0</v>
      </c>
      <c r="E22" s="14"/>
      <c r="F22" s="22">
        <f>IF(D$12=0,0,D22/D$12)</f>
        <v>0</v>
      </c>
      <c r="G22" s="14"/>
      <c r="H22" s="20">
        <f>+H16-H18+H20</f>
        <v>0</v>
      </c>
      <c r="I22" s="14"/>
      <c r="J22" s="22">
        <f>IF(H$12=0,0,H22/H$12)</f>
        <v>0</v>
      </c>
      <c r="K22" s="16"/>
      <c r="L22" s="20">
        <f>+D22-H22</f>
        <v>0</v>
      </c>
      <c r="M22" s="16"/>
      <c r="N22" s="22">
        <f>IF(H22=0,0,L22/H22)</f>
        <v>0</v>
      </c>
      <c r="O22" s="29"/>
      <c r="P22" s="20">
        <f>+P16-P18+P20</f>
        <v>0</v>
      </c>
      <c r="Q22" s="14"/>
      <c r="R22" s="22">
        <f>IF(P$12=0,0,P22/P$12)</f>
        <v>0</v>
      </c>
      <c r="S22" s="14"/>
      <c r="T22" s="20">
        <f>+T16-T18+T20</f>
        <v>0</v>
      </c>
      <c r="U22" s="14"/>
      <c r="V22" s="22">
        <f>IF(T$12=0,0,T22/T$12)</f>
        <v>0</v>
      </c>
      <c r="W22" s="16"/>
      <c r="X22" s="20">
        <f>+P22-T22</f>
        <v>0</v>
      </c>
      <c r="Y22" s="16"/>
      <c r="Z22" s="22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4</v>
      </c>
      <c r="C26" s="28"/>
      <c r="D26" s="31">
        <f>+D22-D24</f>
        <v>0</v>
      </c>
      <c r="E26" s="14"/>
      <c r="F26" s="34">
        <f>IF(D$12=0,0,D26/D$12)</f>
        <v>0</v>
      </c>
      <c r="G26" s="14"/>
      <c r="H26" s="31">
        <f>+H22-H24</f>
        <v>0</v>
      </c>
      <c r="I26" s="14"/>
      <c r="J26" s="34">
        <f>IF(H$12=0,0,H26/H$12)</f>
        <v>0</v>
      </c>
      <c r="K26" s="16"/>
      <c r="L26" s="31">
        <f>D26-H26</f>
        <v>0</v>
      </c>
      <c r="M26" s="16"/>
      <c r="N26" s="34">
        <f>IF(H26=0,0,L26/H26)</f>
        <v>0</v>
      </c>
      <c r="O26" s="29"/>
      <c r="P26" s="31">
        <f>+P22-P24</f>
        <v>0</v>
      </c>
      <c r="Q26" s="14"/>
      <c r="R26" s="34">
        <f>IF(P$12=0,0,P26/P$12)</f>
        <v>0</v>
      </c>
      <c r="S26" s="14"/>
      <c r="T26" s="31">
        <f>+T22-T24</f>
        <v>0</v>
      </c>
      <c r="U26" s="14"/>
      <c r="V26" s="34">
        <f>IF(T$12=0,0,T26/T$12)</f>
        <v>0</v>
      </c>
      <c r="W26" s="16"/>
      <c r="X26" s="31">
        <f>P26-T26</f>
        <v>0</v>
      </c>
      <c r="Y26" s="16"/>
      <c r="Z26" s="34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-1331706.58</f>
        <v>-1331706.58</v>
      </c>
      <c r="E28" s="4"/>
      <c r="F28" s="12">
        <f t="shared" ref="F28:F29" si="0">IF(D$12=0,0,D28/D$12)</f>
        <v>0</v>
      </c>
      <c r="G28" s="4"/>
      <c r="H28" s="4">
        <f>--25000</f>
        <v>25000</v>
      </c>
      <c r="I28" s="4"/>
      <c r="J28" s="12">
        <f t="shared" ref="J28:J29" si="1">IF(H$12=0,0,H28/H$12)</f>
        <v>0</v>
      </c>
      <c r="K28" s="4"/>
      <c r="L28" s="4">
        <f t="shared" ref="L28:L29" si="2">+D28-H28</f>
        <v>-1356706.58</v>
      </c>
      <c r="M28" s="4"/>
      <c r="N28" s="12">
        <f t="shared" ref="N28:N29" si="3">IF(H28=0,0,L28/H28)</f>
        <v>-54.2682632</v>
      </c>
      <c r="O28" s="10"/>
      <c r="P28" s="4">
        <f>-1466541.45</f>
        <v>-1466541.45</v>
      </c>
      <c r="Q28" s="4"/>
      <c r="R28" s="12">
        <f t="shared" ref="R28:R29" si="4">IF(P$12=0,0,P28/P$12)</f>
        <v>0</v>
      </c>
      <c r="S28" s="4"/>
      <c r="T28" s="4">
        <f>--225000</f>
        <v>225000</v>
      </c>
      <c r="U28" s="4"/>
      <c r="V28" s="12">
        <f t="shared" ref="V28:V29" si="5">IF(T$12=0,0,T28/T$12)</f>
        <v>0</v>
      </c>
      <c r="W28" s="4"/>
      <c r="X28" s="4">
        <f t="shared" ref="X28:X29" si="6">+P28-T28</f>
        <v>-1691541.45</v>
      </c>
      <c r="Y28" s="4"/>
      <c r="Z28" s="12">
        <f t="shared" ref="Z28:Z29" si="7">IF(T28=0,0,X28/T28)</f>
        <v>-7.5179619999999998</v>
      </c>
    </row>
    <row r="29" spans="1:26" s="23" customFormat="1" x14ac:dyDescent="0.25">
      <c r="A29" s="52"/>
      <c r="B29" s="10" t="s">
        <v>1</v>
      </c>
      <c r="C29" s="10"/>
      <c r="D29" s="4">
        <f>--22571.86</f>
        <v>22571.86</v>
      </c>
      <c r="E29" s="4"/>
      <c r="F29" s="12">
        <f t="shared" si="0"/>
        <v>0</v>
      </c>
      <c r="G29" s="4"/>
      <c r="H29" s="4">
        <f>--20000</f>
        <v>20000</v>
      </c>
      <c r="I29" s="4"/>
      <c r="J29" s="12">
        <f t="shared" si="1"/>
        <v>0</v>
      </c>
      <c r="K29" s="4"/>
      <c r="L29" s="4">
        <f t="shared" si="2"/>
        <v>2571.8600000000006</v>
      </c>
      <c r="M29" s="4"/>
      <c r="N29" s="12">
        <f t="shared" si="3"/>
        <v>0.12859300000000004</v>
      </c>
      <c r="O29" s="10"/>
      <c r="P29" s="4">
        <f>--229561.13</f>
        <v>229561.13</v>
      </c>
      <c r="Q29" s="4"/>
      <c r="R29" s="12">
        <f t="shared" si="4"/>
        <v>0</v>
      </c>
      <c r="S29" s="4"/>
      <c r="T29" s="4">
        <f>--210000</f>
        <v>210000</v>
      </c>
      <c r="U29" s="4"/>
      <c r="V29" s="12">
        <f t="shared" si="5"/>
        <v>0</v>
      </c>
      <c r="W29" s="4"/>
      <c r="X29" s="4">
        <f t="shared" si="6"/>
        <v>19561.130000000005</v>
      </c>
      <c r="Y29" s="4"/>
      <c r="Z29" s="12">
        <f t="shared" si="7"/>
        <v>9.3148238095238117E-2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5</v>
      </c>
      <c r="C31" s="28"/>
      <c r="D31" s="32">
        <f>SUM(D26:D30)</f>
        <v>-1309134.72</v>
      </c>
      <c r="E31" s="14"/>
      <c r="F31" s="35">
        <f>IF(D$12=0,0,D31/D$12)</f>
        <v>0</v>
      </c>
      <c r="G31" s="14"/>
      <c r="H31" s="32">
        <f>SUM(H26:H30)</f>
        <v>45000</v>
      </c>
      <c r="I31" s="14"/>
      <c r="J31" s="35">
        <f>IF(H$12=0,0,H31/H$12)</f>
        <v>0</v>
      </c>
      <c r="K31" s="16"/>
      <c r="L31" s="32">
        <f>+D31-H31</f>
        <v>-1354134.72</v>
      </c>
      <c r="M31" s="16"/>
      <c r="N31" s="35">
        <f>IF(H31=0,0,L31/H31)</f>
        <v>-30.091882666666667</v>
      </c>
      <c r="O31" s="29"/>
      <c r="P31" s="32">
        <f>SUM(P26:P30)</f>
        <v>-1236980.3199999998</v>
      </c>
      <c r="Q31" s="14"/>
      <c r="R31" s="35">
        <f>IF(P$12=0,0,P31/P$12)</f>
        <v>0</v>
      </c>
      <c r="S31" s="14"/>
      <c r="T31" s="32">
        <f>SUM(T26:T30)</f>
        <v>435000</v>
      </c>
      <c r="U31" s="14"/>
      <c r="V31" s="35">
        <f>IF(T$12=0,0,T31/T$12)</f>
        <v>0</v>
      </c>
      <c r="W31" s="16"/>
      <c r="X31" s="32">
        <f>+P31-T31</f>
        <v>-1671980.3199999998</v>
      </c>
      <c r="Y31" s="16"/>
      <c r="Z31" s="35">
        <f>IF(T31=0,0,X31/T31)</f>
        <v>-3.8436329195402297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7">
        <v>43934.465822835649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62" t="s">
        <v>314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60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","100", " - ", "Corporate")</f>
        <v>Department 100 - Corporate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SUM(0)</f>
        <v>0</v>
      </c>
      <c r="E18" s="21"/>
      <c r="F18" s="30">
        <f>IF(D$12=0,0,D18/D$12)</f>
        <v>0</v>
      </c>
      <c r="G18" s="21"/>
      <c r="H18" s="21">
        <f>SUM(0)</f>
        <v>0</v>
      </c>
      <c r="I18" s="21"/>
      <c r="J18" s="30">
        <f>IF(H$12=0,0,H18/H$12)</f>
        <v>0</v>
      </c>
      <c r="K18" s="4"/>
      <c r="L18" s="21">
        <f>+D18-H18</f>
        <v>0</v>
      </c>
      <c r="M18" s="4"/>
      <c r="N18" s="30">
        <f>IF(H18=0,0,L18/H18)</f>
        <v>0</v>
      </c>
      <c r="O18" s="10"/>
      <c r="P18" s="21">
        <f>SUM(0)</f>
        <v>0</v>
      </c>
      <c r="Q18" s="21"/>
      <c r="R18" s="30">
        <f>IF(P$12=0,0,P18/P$12)</f>
        <v>0</v>
      </c>
      <c r="S18" s="21"/>
      <c r="T18" s="21">
        <f>SUM(0)</f>
        <v>0</v>
      </c>
      <c r="U18" s="21"/>
      <c r="V18" s="30">
        <f>IF(T$12=0,0,T18/T$12)</f>
        <v>0</v>
      </c>
      <c r="W18" s="4"/>
      <c r="X18" s="21">
        <f>+P18-T18</f>
        <v>0</v>
      </c>
      <c r="Y18" s="4"/>
      <c r="Z18" s="30">
        <f>IF(T18=0,0,X18/T18)</f>
        <v>0</v>
      </c>
    </row>
    <row r="19" spans="1:26" s="56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3</v>
      </c>
      <c r="C22" s="28"/>
      <c r="D22" s="20">
        <f>+D16-D18+D20</f>
        <v>0</v>
      </c>
      <c r="E22" s="14"/>
      <c r="F22" s="22">
        <f>IF(D$12=0,0,D22/D$12)</f>
        <v>0</v>
      </c>
      <c r="G22" s="14"/>
      <c r="H22" s="20">
        <f>+H16-H18+H20</f>
        <v>0</v>
      </c>
      <c r="I22" s="14"/>
      <c r="J22" s="22">
        <f>IF(H$12=0,0,H22/H$12)</f>
        <v>0</v>
      </c>
      <c r="K22" s="16"/>
      <c r="L22" s="20">
        <f>+D22-H22</f>
        <v>0</v>
      </c>
      <c r="M22" s="16"/>
      <c r="N22" s="22">
        <f>IF(H22=0,0,L22/H22)</f>
        <v>0</v>
      </c>
      <c r="O22" s="29"/>
      <c r="P22" s="20">
        <f>+P16-P18+P20</f>
        <v>0</v>
      </c>
      <c r="Q22" s="14"/>
      <c r="R22" s="22">
        <f>IF(P$12=0,0,P22/P$12)</f>
        <v>0</v>
      </c>
      <c r="S22" s="14"/>
      <c r="T22" s="20">
        <f>+T16-T18+T20</f>
        <v>0</v>
      </c>
      <c r="U22" s="14"/>
      <c r="V22" s="22">
        <f>IF(T$12=0,0,T22/T$12)</f>
        <v>0</v>
      </c>
      <c r="W22" s="16"/>
      <c r="X22" s="20">
        <f>+P22-T22</f>
        <v>0</v>
      </c>
      <c r="Y22" s="16"/>
      <c r="Z22" s="22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4</v>
      </c>
      <c r="C26" s="28"/>
      <c r="D26" s="31">
        <f>+D22-D24</f>
        <v>0</v>
      </c>
      <c r="E26" s="14"/>
      <c r="F26" s="34">
        <f>IF(D$12=0,0,D26/D$12)</f>
        <v>0</v>
      </c>
      <c r="G26" s="14"/>
      <c r="H26" s="31">
        <f>+H22-H24</f>
        <v>0</v>
      </c>
      <c r="I26" s="14"/>
      <c r="J26" s="34">
        <f>IF(H$12=0,0,H26/H$12)</f>
        <v>0</v>
      </c>
      <c r="K26" s="16"/>
      <c r="L26" s="31">
        <f>D26-H26</f>
        <v>0</v>
      </c>
      <c r="M26" s="16"/>
      <c r="N26" s="34">
        <f>IF(H26=0,0,L26/H26)</f>
        <v>0</v>
      </c>
      <c r="O26" s="29"/>
      <c r="P26" s="31">
        <f>+P22-P24</f>
        <v>0</v>
      </c>
      <c r="Q26" s="14"/>
      <c r="R26" s="34">
        <f>IF(P$12=0,0,P26/P$12)</f>
        <v>0</v>
      </c>
      <c r="S26" s="14"/>
      <c r="T26" s="31">
        <f>+T22-T24</f>
        <v>0</v>
      </c>
      <c r="U26" s="14"/>
      <c r="V26" s="34">
        <f>IF(T$12=0,0,T26/T$12)</f>
        <v>0</v>
      </c>
      <c r="W26" s="16"/>
      <c r="X26" s="31">
        <f>P26-T26</f>
        <v>0</v>
      </c>
      <c r="Y26" s="16"/>
      <c r="Z26" s="34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-1331706.58</f>
        <v>-1331706.58</v>
      </c>
      <c r="E28" s="4"/>
      <c r="F28" s="12">
        <f t="shared" ref="F28:F29" si="0">IF(D$12=0,0,D28/D$12)</f>
        <v>0</v>
      </c>
      <c r="G28" s="4"/>
      <c r="H28" s="4">
        <f>--25000</f>
        <v>25000</v>
      </c>
      <c r="I28" s="4"/>
      <c r="J28" s="12">
        <f t="shared" ref="J28:J29" si="1">IF(H$12=0,0,H28/H$12)</f>
        <v>0</v>
      </c>
      <c r="K28" s="4"/>
      <c r="L28" s="4">
        <f t="shared" ref="L28:L29" si="2">+D28-H28</f>
        <v>-1356706.58</v>
      </c>
      <c r="M28" s="4"/>
      <c r="N28" s="12">
        <f t="shared" ref="N28:N29" si="3">IF(H28=0,0,L28/H28)</f>
        <v>-54.2682632</v>
      </c>
      <c r="O28" s="10"/>
      <c r="P28" s="4">
        <f>-1466541.45</f>
        <v>-1466541.45</v>
      </c>
      <c r="Q28" s="4"/>
      <c r="R28" s="12">
        <f t="shared" ref="R28:R29" si="4">IF(P$12=0,0,P28/P$12)</f>
        <v>0</v>
      </c>
      <c r="S28" s="4"/>
      <c r="T28" s="4">
        <f>--225000</f>
        <v>225000</v>
      </c>
      <c r="U28" s="4"/>
      <c r="V28" s="12">
        <f t="shared" ref="V28:V29" si="5">IF(T$12=0,0,T28/T$12)</f>
        <v>0</v>
      </c>
      <c r="W28" s="4"/>
      <c r="X28" s="4">
        <f t="shared" ref="X28:X29" si="6">+P28-T28</f>
        <v>-1691541.45</v>
      </c>
      <c r="Y28" s="4"/>
      <c r="Z28" s="12">
        <f t="shared" ref="Z28:Z29" si="7">IF(T28=0,0,X28/T28)</f>
        <v>-7.5179619999999998</v>
      </c>
    </row>
    <row r="29" spans="1:26" s="23" customFormat="1" x14ac:dyDescent="0.25">
      <c r="A29" s="52"/>
      <c r="B29" s="10" t="s">
        <v>1</v>
      </c>
      <c r="C29" s="10"/>
      <c r="D29" s="4">
        <f>--22571.86</f>
        <v>22571.86</v>
      </c>
      <c r="E29" s="4"/>
      <c r="F29" s="12">
        <f t="shared" si="0"/>
        <v>0</v>
      </c>
      <c r="G29" s="4"/>
      <c r="H29" s="4">
        <f>--20000</f>
        <v>20000</v>
      </c>
      <c r="I29" s="4"/>
      <c r="J29" s="12">
        <f t="shared" si="1"/>
        <v>0</v>
      </c>
      <c r="K29" s="4"/>
      <c r="L29" s="4">
        <f t="shared" si="2"/>
        <v>2571.8600000000006</v>
      </c>
      <c r="M29" s="4"/>
      <c r="N29" s="12">
        <f t="shared" si="3"/>
        <v>0.12859300000000004</v>
      </c>
      <c r="O29" s="10"/>
      <c r="P29" s="4">
        <f>--229561.13</f>
        <v>229561.13</v>
      </c>
      <c r="Q29" s="4"/>
      <c r="R29" s="12">
        <f t="shared" si="4"/>
        <v>0</v>
      </c>
      <c r="S29" s="4"/>
      <c r="T29" s="4">
        <f>--210000</f>
        <v>210000</v>
      </c>
      <c r="U29" s="4"/>
      <c r="V29" s="12">
        <f t="shared" si="5"/>
        <v>0</v>
      </c>
      <c r="W29" s="4"/>
      <c r="X29" s="4">
        <f t="shared" si="6"/>
        <v>19561.130000000005</v>
      </c>
      <c r="Y29" s="4"/>
      <c r="Z29" s="12">
        <f t="shared" si="7"/>
        <v>9.3148238095238117E-2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5</v>
      </c>
      <c r="C31" s="28"/>
      <c r="D31" s="32">
        <f>SUM(D26:D30)</f>
        <v>-1309134.72</v>
      </c>
      <c r="E31" s="14"/>
      <c r="F31" s="35">
        <f>IF(D$12=0,0,D31/D$12)</f>
        <v>0</v>
      </c>
      <c r="G31" s="14"/>
      <c r="H31" s="32">
        <f>SUM(H26:H30)</f>
        <v>45000</v>
      </c>
      <c r="I31" s="14"/>
      <c r="J31" s="35">
        <f>IF(H$12=0,0,H31/H$12)</f>
        <v>0</v>
      </c>
      <c r="K31" s="16"/>
      <c r="L31" s="32">
        <f>+D31-H31</f>
        <v>-1354134.72</v>
      </c>
      <c r="M31" s="16"/>
      <c r="N31" s="35">
        <f>IF(H31=0,0,L31/H31)</f>
        <v>-30.091882666666667</v>
      </c>
      <c r="O31" s="29"/>
      <c r="P31" s="32">
        <f>SUM(P26:P30)</f>
        <v>-1236980.3199999998</v>
      </c>
      <c r="Q31" s="14"/>
      <c r="R31" s="35">
        <f>IF(P$12=0,0,P31/P$12)</f>
        <v>0</v>
      </c>
      <c r="S31" s="14"/>
      <c r="T31" s="32">
        <f>SUM(T26:T30)</f>
        <v>435000</v>
      </c>
      <c r="U31" s="14"/>
      <c r="V31" s="35">
        <f>IF(T$12=0,0,T31/T$12)</f>
        <v>0</v>
      </c>
      <c r="W31" s="16"/>
      <c r="X31" s="32">
        <f>+P31-T31</f>
        <v>-1671980.3199999998</v>
      </c>
      <c r="Y31" s="16"/>
      <c r="Z31" s="35">
        <f>IF(T31=0,0,X31/T31)</f>
        <v>-3.8436329195402297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7">
        <v>43934.466140243057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62" t="s">
        <v>314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60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297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300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200</v>
      </c>
      <c r="U12" s="4"/>
      <c r="V12" s="12"/>
      <c r="W12" s="4"/>
      <c r="X12" s="4">
        <f t="shared" ref="X12:X13" si="2">+P12-T12</f>
        <v>-200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200</v>
      </c>
      <c r="U13" s="2"/>
      <c r="V13" s="19"/>
      <c r="W13" s="2"/>
      <c r="X13" s="2">
        <f t="shared" si="2"/>
        <v>-200</v>
      </c>
      <c r="Y13" s="2"/>
      <c r="Z13" s="19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0">
        <f>D12-D15</f>
        <v>0</v>
      </c>
      <c r="E17" s="14"/>
      <c r="F17" s="22">
        <f>IF(D$12=0,0,D17/D$12)</f>
        <v>0</v>
      </c>
      <c r="G17" s="14"/>
      <c r="H17" s="20">
        <f>H12-H15</f>
        <v>0</v>
      </c>
      <c r="I17" s="14"/>
      <c r="J17" s="22">
        <f>IF(H$12=0,0,H17/H$12)</f>
        <v>0</v>
      </c>
      <c r="K17" s="16"/>
      <c r="L17" s="20">
        <f>+D17-H17</f>
        <v>0</v>
      </c>
      <c r="M17" s="16"/>
      <c r="N17" s="22">
        <f>IF(H17=0,0,L17/H17)</f>
        <v>0</v>
      </c>
      <c r="O17" s="29"/>
      <c r="P17" s="20">
        <f>P12-P15</f>
        <v>0</v>
      </c>
      <c r="Q17" s="14"/>
      <c r="R17" s="22">
        <f>IF(P$12=0,0,P17/P$12)</f>
        <v>0</v>
      </c>
      <c r="S17" s="14"/>
      <c r="T17" s="20">
        <f>T12-T15</f>
        <v>200</v>
      </c>
      <c r="U17" s="14"/>
      <c r="V17" s="22">
        <f>IF(T$12=0,0,T17/T$12)</f>
        <v>1</v>
      </c>
      <c r="W17" s="16"/>
      <c r="X17" s="20">
        <f>+P17-T17</f>
        <v>-200</v>
      </c>
      <c r="Y17" s="16"/>
      <c r="Z17" s="22">
        <f>IF(T17=0,0,X17/T17)</f>
        <v>-1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1">
        <f>SUM(OSRRefD22x_0)</f>
        <v>329768.88000000006</v>
      </c>
      <c r="E19" s="21"/>
      <c r="F19" s="30">
        <f t="shared" ref="F19:F31" si="4">IF(D$12=0,0,D19/D$12)</f>
        <v>0</v>
      </c>
      <c r="G19" s="21"/>
      <c r="H19" s="21">
        <f>SUM(OSRRefH22x_0)</f>
        <v>339891.12873287429</v>
      </c>
      <c r="I19" s="21"/>
      <c r="J19" s="30">
        <f t="shared" ref="J19:J31" si="5">IF(H$12=0,0,H19/H$12)</f>
        <v>0</v>
      </c>
      <c r="K19" s="4"/>
      <c r="L19" s="21">
        <f t="shared" ref="L19:L31" si="6">+D19-H19</f>
        <v>-10122.248732874228</v>
      </c>
      <c r="M19" s="4"/>
      <c r="N19" s="30">
        <f t="shared" ref="N19:N31" si="7">IF(H19=0,0,L19/H19)</f>
        <v>-2.978085591880646E-2</v>
      </c>
      <c r="O19" s="10"/>
      <c r="P19" s="21">
        <f>SUM(OSRRefP22x_0)</f>
        <v>2897984.9</v>
      </c>
      <c r="Q19" s="21"/>
      <c r="R19" s="30">
        <f t="shared" ref="R19:R31" si="8">IF(P$12=0,0,P19/P$12)</f>
        <v>0</v>
      </c>
      <c r="S19" s="21"/>
      <c r="T19" s="21">
        <f>SUM(OSRRefT22x_0)</f>
        <v>3500333.8613602901</v>
      </c>
      <c r="U19" s="21"/>
      <c r="V19" s="30">
        <f t="shared" ref="V19:V31" si="9">IF(T$12=0,0,T19/T$12)</f>
        <v>17501.66930680145</v>
      </c>
      <c r="W19" s="4"/>
      <c r="X19" s="21">
        <f t="shared" ref="X19:X31" si="10">+P19-T19</f>
        <v>-602348.96136029018</v>
      </c>
      <c r="Y19" s="4"/>
      <c r="Z19" s="30">
        <f t="shared" ref="Z19:Z31" si="11">IF(T19=0,0,X19/T19)</f>
        <v>-0.17208328839986908</v>
      </c>
    </row>
    <row r="20" spans="1:26" s="27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93231.59</v>
      </c>
      <c r="E20" s="1"/>
      <c r="F20" s="5">
        <f t="shared" si="4"/>
        <v>0</v>
      </c>
      <c r="G20" s="1"/>
      <c r="H20" s="1">
        <f>SUM(OSRRefH22_0x_0)</f>
        <v>99643.414575951378</v>
      </c>
      <c r="I20" s="1"/>
      <c r="J20" s="5">
        <f t="shared" si="5"/>
        <v>0</v>
      </c>
      <c r="K20" s="1"/>
      <c r="L20" s="1">
        <f t="shared" si="6"/>
        <v>-6411.8245759513811</v>
      </c>
      <c r="M20" s="1"/>
      <c r="N20" s="5">
        <f t="shared" si="7"/>
        <v>-6.4347700279420716E-2</v>
      </c>
      <c r="O20" s="13"/>
      <c r="P20" s="1">
        <f>SUM(OSRRefP22_0x_0)</f>
        <v>825743.91</v>
      </c>
      <c r="Q20" s="1"/>
      <c r="R20" s="5">
        <f t="shared" si="8"/>
        <v>0</v>
      </c>
      <c r="S20" s="1"/>
      <c r="T20" s="1">
        <f>SUM(OSRRefT22_0x_0)</f>
        <v>914972.49738029065</v>
      </c>
      <c r="U20" s="1"/>
      <c r="V20" s="5">
        <f t="shared" si="9"/>
        <v>4574.8624869014529</v>
      </c>
      <c r="W20" s="1"/>
      <c r="X20" s="1">
        <f t="shared" si="10"/>
        <v>-89228.587380290614</v>
      </c>
      <c r="Y20" s="1"/>
      <c r="Z20" s="5">
        <f t="shared" si="11"/>
        <v>-9.7520513059972849E-2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6">
        <v>11224.17</v>
      </c>
      <c r="E21" s="2"/>
      <c r="F21" s="7">
        <f t="shared" si="4"/>
        <v>0</v>
      </c>
      <c r="G21" s="2"/>
      <c r="H21" s="6">
        <v>10722.763857705226</v>
      </c>
      <c r="I21" s="2"/>
      <c r="J21" s="7">
        <f t="shared" si="5"/>
        <v>0</v>
      </c>
      <c r="K21" s="2"/>
      <c r="L21" s="6">
        <f t="shared" si="6"/>
        <v>501.40614229477433</v>
      </c>
      <c r="M21" s="2"/>
      <c r="N21" s="7">
        <f t="shared" si="7"/>
        <v>4.676090501932214E-2</v>
      </c>
      <c r="O21" s="11"/>
      <c r="P21" s="6">
        <v>87450.5</v>
      </c>
      <c r="Q21" s="2"/>
      <c r="R21" s="7">
        <f t="shared" si="8"/>
        <v>0</v>
      </c>
      <c r="S21" s="2"/>
      <c r="T21" s="6">
        <v>95064.815256005997</v>
      </c>
      <c r="U21" s="2"/>
      <c r="V21" s="7">
        <f t="shared" si="9"/>
        <v>475.32407628003</v>
      </c>
      <c r="W21" s="2"/>
      <c r="X21" s="6">
        <f t="shared" si="10"/>
        <v>-7614.3152560059971</v>
      </c>
      <c r="Y21" s="2"/>
      <c r="Z21" s="7">
        <f t="shared" si="11"/>
        <v>-8.0096040112221656E-2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6">
        <v>829.8</v>
      </c>
      <c r="E22" s="2"/>
      <c r="F22" s="7">
        <f t="shared" si="4"/>
        <v>0</v>
      </c>
      <c r="G22" s="2"/>
      <c r="H22" s="6">
        <v>792.90365238769289</v>
      </c>
      <c r="I22" s="2"/>
      <c r="J22" s="7">
        <f t="shared" si="5"/>
        <v>0</v>
      </c>
      <c r="K22" s="2"/>
      <c r="L22" s="6">
        <f t="shared" si="6"/>
        <v>36.896347612307068</v>
      </c>
      <c r="M22" s="2"/>
      <c r="N22" s="7">
        <f t="shared" si="7"/>
        <v>4.6533204256532387E-2</v>
      </c>
      <c r="O22" s="11"/>
      <c r="P22" s="6">
        <v>6170.42</v>
      </c>
      <c r="Q22" s="2"/>
      <c r="R22" s="7">
        <f t="shared" si="8"/>
        <v>0</v>
      </c>
      <c r="S22" s="2"/>
      <c r="T22" s="6">
        <v>7315.1005871800062</v>
      </c>
      <c r="U22" s="2"/>
      <c r="V22" s="7">
        <f t="shared" si="9"/>
        <v>36.575502935900033</v>
      </c>
      <c r="W22" s="2"/>
      <c r="X22" s="6">
        <f t="shared" si="10"/>
        <v>-1144.6805871800061</v>
      </c>
      <c r="Y22" s="2"/>
      <c r="Z22" s="7">
        <f t="shared" si="11"/>
        <v>-0.15648186563368693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6">
        <v>26013.06</v>
      </c>
      <c r="E23" s="2"/>
      <c r="F23" s="7">
        <f t="shared" si="4"/>
        <v>0</v>
      </c>
      <c r="G23" s="2"/>
      <c r="H23" s="6">
        <v>26690.038461538461</v>
      </c>
      <c r="I23" s="2"/>
      <c r="J23" s="7">
        <f t="shared" si="5"/>
        <v>0</v>
      </c>
      <c r="K23" s="2"/>
      <c r="L23" s="6">
        <f t="shared" si="6"/>
        <v>-676.97846153845967</v>
      </c>
      <c r="M23" s="2"/>
      <c r="N23" s="7">
        <f t="shared" si="7"/>
        <v>-2.5364461820241133E-2</v>
      </c>
      <c r="O23" s="11"/>
      <c r="P23" s="6">
        <v>207982.7</v>
      </c>
      <c r="Q23" s="2"/>
      <c r="R23" s="7">
        <f t="shared" si="8"/>
        <v>0</v>
      </c>
      <c r="S23" s="2"/>
      <c r="T23" s="6">
        <v>246709.38461538462</v>
      </c>
      <c r="U23" s="2"/>
      <c r="V23" s="7">
        <f t="shared" si="9"/>
        <v>1233.5469230769231</v>
      </c>
      <c r="W23" s="2"/>
      <c r="X23" s="6">
        <f t="shared" si="10"/>
        <v>-38726.684615384613</v>
      </c>
      <c r="Y23" s="2"/>
      <c r="Z23" s="7">
        <f t="shared" si="11"/>
        <v>-0.15697288806325224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6">
        <v>431.54</v>
      </c>
      <c r="E24" s="2"/>
      <c r="F24" s="7">
        <f t="shared" si="4"/>
        <v>0</v>
      </c>
      <c r="G24" s="2"/>
      <c r="H24" s="6">
        <v>399.83606512</v>
      </c>
      <c r="I24" s="2"/>
      <c r="J24" s="7">
        <f t="shared" si="5"/>
        <v>0</v>
      </c>
      <c r="K24" s="2"/>
      <c r="L24" s="6">
        <f t="shared" si="6"/>
        <v>31.70393488000002</v>
      </c>
      <c r="M24" s="2"/>
      <c r="N24" s="7">
        <f t="shared" si="7"/>
        <v>7.9292334148208812E-2</v>
      </c>
      <c r="O24" s="11"/>
      <c r="P24" s="6">
        <v>3606.67</v>
      </c>
      <c r="Q24" s="2"/>
      <c r="R24" s="7">
        <f t="shared" si="8"/>
        <v>0</v>
      </c>
      <c r="S24" s="2"/>
      <c r="T24" s="6">
        <v>3580.5057345200003</v>
      </c>
      <c r="U24" s="2"/>
      <c r="V24" s="7">
        <f t="shared" si="9"/>
        <v>17.902528672600003</v>
      </c>
      <c r="W24" s="2"/>
      <c r="X24" s="6">
        <f t="shared" si="10"/>
        <v>26.164265479999813</v>
      </c>
      <c r="Y24" s="2"/>
      <c r="Z24" s="7">
        <f t="shared" si="11"/>
        <v>7.3074217498795245E-3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6">
        <v>7724.88</v>
      </c>
      <c r="E25" s="2"/>
      <c r="F25" s="7">
        <f t="shared" si="4"/>
        <v>0</v>
      </c>
      <c r="G25" s="2"/>
      <c r="H25" s="6">
        <v>8097.1122453538474</v>
      </c>
      <c r="I25" s="2"/>
      <c r="J25" s="7">
        <f t="shared" si="5"/>
        <v>0</v>
      </c>
      <c r="K25" s="2"/>
      <c r="L25" s="6">
        <f t="shared" si="6"/>
        <v>-372.23224535384725</v>
      </c>
      <c r="M25" s="2"/>
      <c r="N25" s="7">
        <f t="shared" si="7"/>
        <v>-4.5970987442768313E-2</v>
      </c>
      <c r="O25" s="11"/>
      <c r="P25" s="6">
        <v>79285.36</v>
      </c>
      <c r="Q25" s="2"/>
      <c r="R25" s="7">
        <f t="shared" si="8"/>
        <v>0</v>
      </c>
      <c r="S25" s="2"/>
      <c r="T25" s="6">
        <v>78946.84439220003</v>
      </c>
      <c r="U25" s="2"/>
      <c r="V25" s="7">
        <f t="shared" si="9"/>
        <v>394.73422196100017</v>
      </c>
      <c r="W25" s="2"/>
      <c r="X25" s="6">
        <f t="shared" si="10"/>
        <v>338.51560779997089</v>
      </c>
      <c r="Y25" s="2"/>
      <c r="Z25" s="7">
        <f t="shared" si="11"/>
        <v>4.2878928272073701E-3</v>
      </c>
    </row>
    <row r="26" spans="1:26" s="24" customFormat="1" hidden="1" outlineLevel="2" x14ac:dyDescent="0.25">
      <c r="A26" s="25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500</v>
      </c>
      <c r="I26" s="2"/>
      <c r="J26" s="7">
        <f t="shared" si="5"/>
        <v>0</v>
      </c>
      <c r="K26" s="2"/>
      <c r="L26" s="6">
        <f t="shared" si="6"/>
        <v>-500</v>
      </c>
      <c r="M26" s="2"/>
      <c r="N26" s="7">
        <f t="shared" si="7"/>
        <v>-1</v>
      </c>
      <c r="O26" s="11"/>
      <c r="P26" s="6">
        <v>5070.88</v>
      </c>
      <c r="Q26" s="2"/>
      <c r="R26" s="7">
        <f t="shared" si="8"/>
        <v>0</v>
      </c>
      <c r="S26" s="2"/>
      <c r="T26" s="6">
        <v>4500</v>
      </c>
      <c r="U26" s="2"/>
      <c r="V26" s="7">
        <f t="shared" si="9"/>
        <v>22.5</v>
      </c>
      <c r="W26" s="2"/>
      <c r="X26" s="6">
        <f t="shared" si="10"/>
        <v>570.88000000000011</v>
      </c>
      <c r="Y26" s="2"/>
      <c r="Z26" s="7">
        <f t="shared" si="11"/>
        <v>0.12686222222222224</v>
      </c>
    </row>
    <row r="27" spans="1:26" s="24" customFormat="1" hidden="1" outlineLevel="2" x14ac:dyDescent="0.25">
      <c r="A27" s="25"/>
      <c r="B27" s="11" t="str">
        <f>CONCATENATE("          ", "6117", " - ", "RETIREMENT STAFF HOURLY")</f>
        <v xml:space="preserve">          6117 - RETIREMENT STAFF HOURLY</v>
      </c>
      <c r="C27" s="11"/>
      <c r="D27" s="6">
        <v>455.86</v>
      </c>
      <c r="E27" s="2"/>
      <c r="F27" s="7">
        <f t="shared" si="4"/>
        <v>0</v>
      </c>
      <c r="G27" s="2"/>
      <c r="H27" s="6"/>
      <c r="I27" s="2"/>
      <c r="J27" s="7">
        <f t="shared" si="5"/>
        <v>0</v>
      </c>
      <c r="K27" s="2"/>
      <c r="L27" s="6">
        <f t="shared" si="6"/>
        <v>455.86</v>
      </c>
      <c r="M27" s="2"/>
      <c r="N27" s="7">
        <f t="shared" si="7"/>
        <v>0</v>
      </c>
      <c r="O27" s="11"/>
      <c r="P27" s="6">
        <v>7341.44</v>
      </c>
      <c r="Q27" s="2"/>
      <c r="R27" s="7">
        <f t="shared" si="8"/>
        <v>0</v>
      </c>
      <c r="S27" s="2"/>
      <c r="T27" s="6"/>
      <c r="U27" s="2"/>
      <c r="V27" s="7">
        <f t="shared" si="9"/>
        <v>0</v>
      </c>
      <c r="W27" s="2"/>
      <c r="X27" s="6">
        <f t="shared" si="10"/>
        <v>7341.44</v>
      </c>
      <c r="Y27" s="2"/>
      <c r="Z27" s="7">
        <f t="shared" si="11"/>
        <v>0</v>
      </c>
    </row>
    <row r="28" spans="1:26" s="24" customFormat="1" hidden="1" outlineLevel="2" x14ac:dyDescent="0.25">
      <c r="A28" s="25"/>
      <c r="B28" s="11" t="str">
        <f>CONCATENATE("          ", "6118", " - ", "VACATION")</f>
        <v xml:space="preserve">          6118 - VACATION</v>
      </c>
      <c r="C28" s="11"/>
      <c r="D28" s="6">
        <v>9592.32</v>
      </c>
      <c r="E28" s="2"/>
      <c r="F28" s="7">
        <f t="shared" si="4"/>
        <v>0</v>
      </c>
      <c r="G28" s="2"/>
      <c r="H28" s="6">
        <v>6830.8805984615401</v>
      </c>
      <c r="I28" s="2"/>
      <c r="J28" s="7">
        <f t="shared" si="5"/>
        <v>0</v>
      </c>
      <c r="K28" s="2"/>
      <c r="L28" s="6">
        <f t="shared" si="6"/>
        <v>2761.4394015384596</v>
      </c>
      <c r="M28" s="2"/>
      <c r="N28" s="7">
        <f t="shared" si="7"/>
        <v>0.40425818629597987</v>
      </c>
      <c r="O28" s="11"/>
      <c r="P28" s="6">
        <v>78489.31</v>
      </c>
      <c r="Q28" s="2"/>
      <c r="R28" s="7">
        <f t="shared" si="8"/>
        <v>0</v>
      </c>
      <c r="S28" s="2"/>
      <c r="T28" s="6">
        <v>66806.136885000029</v>
      </c>
      <c r="U28" s="2"/>
      <c r="V28" s="7">
        <f t="shared" si="9"/>
        <v>334.03068442500012</v>
      </c>
      <c r="W28" s="2"/>
      <c r="X28" s="6">
        <f t="shared" si="10"/>
        <v>11683.173114999969</v>
      </c>
      <c r="Y28" s="2"/>
      <c r="Z28" s="7">
        <f t="shared" si="11"/>
        <v>0.17488173481893382</v>
      </c>
    </row>
    <row r="29" spans="1:26" s="24" customFormat="1" hidden="1" outlineLevel="2" x14ac:dyDescent="0.25">
      <c r="A29" s="25"/>
      <c r="B29" s="11" t="str">
        <f>CONCATENATE("          ", "6119", " - ", "SICK LEAVE")</f>
        <v xml:space="preserve">          6119 - SICK LEAVE</v>
      </c>
      <c r="C29" s="11"/>
      <c r="D29" s="6">
        <v>5911.53</v>
      </c>
      <c r="E29" s="2"/>
      <c r="F29" s="7">
        <f t="shared" si="4"/>
        <v>0</v>
      </c>
      <c r="G29" s="2"/>
      <c r="H29" s="6">
        <v>5259.8796953846158</v>
      </c>
      <c r="I29" s="2"/>
      <c r="J29" s="7">
        <f t="shared" si="5"/>
        <v>0</v>
      </c>
      <c r="K29" s="2"/>
      <c r="L29" s="6">
        <f t="shared" si="6"/>
        <v>651.6503046153839</v>
      </c>
      <c r="M29" s="2"/>
      <c r="N29" s="7">
        <f t="shared" si="7"/>
        <v>0.12389072419036261</v>
      </c>
      <c r="O29" s="11"/>
      <c r="P29" s="6">
        <v>63532.259999999995</v>
      </c>
      <c r="Q29" s="2"/>
      <c r="R29" s="7">
        <f t="shared" si="8"/>
        <v>0</v>
      </c>
      <c r="S29" s="2"/>
      <c r="T29" s="6">
        <v>47599.709910000027</v>
      </c>
      <c r="U29" s="2"/>
      <c r="V29" s="7">
        <f t="shared" si="9"/>
        <v>237.99854955000012</v>
      </c>
      <c r="W29" s="2"/>
      <c r="X29" s="6">
        <f t="shared" si="10"/>
        <v>15932.550089999968</v>
      </c>
      <c r="Y29" s="2"/>
      <c r="Z29" s="7">
        <f t="shared" si="11"/>
        <v>0.33471947875574687</v>
      </c>
    </row>
    <row r="30" spans="1:26" s="24" customFormat="1" hidden="1" outlineLevel="2" x14ac:dyDescent="0.25">
      <c r="A30" s="25"/>
      <c r="B30" s="11" t="str">
        <f>CONCATENATE("          ", "6120", " - ", "RETIREES HEALTH INSURANCE")</f>
        <v xml:space="preserve">          6120 - RETIREES HEALTH INSURANCE</v>
      </c>
      <c r="C30" s="11"/>
      <c r="D30" s="6">
        <v>29545</v>
      </c>
      <c r="E30" s="2"/>
      <c r="F30" s="7">
        <f t="shared" si="4"/>
        <v>0</v>
      </c>
      <c r="G30" s="2"/>
      <c r="H30" s="6">
        <v>39000</v>
      </c>
      <c r="I30" s="2"/>
      <c r="J30" s="7">
        <f t="shared" si="5"/>
        <v>0</v>
      </c>
      <c r="K30" s="2"/>
      <c r="L30" s="6">
        <f t="shared" si="6"/>
        <v>-9455</v>
      </c>
      <c r="M30" s="2"/>
      <c r="N30" s="7">
        <f t="shared" si="7"/>
        <v>-0.24243589743589744</v>
      </c>
      <c r="O30" s="11"/>
      <c r="P30" s="6">
        <v>265062.99000000005</v>
      </c>
      <c r="Q30" s="2"/>
      <c r="R30" s="7">
        <f t="shared" si="8"/>
        <v>0</v>
      </c>
      <c r="S30" s="2"/>
      <c r="T30" s="6">
        <v>352300</v>
      </c>
      <c r="U30" s="2"/>
      <c r="V30" s="7">
        <f t="shared" si="9"/>
        <v>1761.5</v>
      </c>
      <c r="W30" s="2"/>
      <c r="X30" s="6">
        <f t="shared" si="10"/>
        <v>-87237.009999999951</v>
      </c>
      <c r="Y30" s="2"/>
      <c r="Z30" s="7">
        <f t="shared" si="11"/>
        <v>-0.24762137382912278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>
        <v>1503.43</v>
      </c>
      <c r="E31" s="2"/>
      <c r="F31" s="7">
        <f t="shared" si="4"/>
        <v>0</v>
      </c>
      <c r="G31" s="2"/>
      <c r="H31" s="6">
        <v>1350</v>
      </c>
      <c r="I31" s="2"/>
      <c r="J31" s="7">
        <f t="shared" si="5"/>
        <v>0</v>
      </c>
      <c r="K31" s="2"/>
      <c r="L31" s="6">
        <f t="shared" si="6"/>
        <v>153.43000000000006</v>
      </c>
      <c r="M31" s="2"/>
      <c r="N31" s="7">
        <f t="shared" si="7"/>
        <v>0.11365185185185189</v>
      </c>
      <c r="O31" s="11"/>
      <c r="P31" s="6">
        <v>21751.38</v>
      </c>
      <c r="Q31" s="2"/>
      <c r="R31" s="7">
        <f t="shared" si="8"/>
        <v>0</v>
      </c>
      <c r="S31" s="2"/>
      <c r="T31" s="6">
        <v>12150</v>
      </c>
      <c r="U31" s="2"/>
      <c r="V31" s="7">
        <f t="shared" si="9"/>
        <v>60.75</v>
      </c>
      <c r="W31" s="2"/>
      <c r="X31" s="6">
        <f t="shared" si="10"/>
        <v>9601.380000000001</v>
      </c>
      <c r="Y31" s="2"/>
      <c r="Z31" s="7">
        <f t="shared" si="11"/>
        <v>0.79023703703703707</v>
      </c>
    </row>
    <row r="32" spans="1:26" s="27" customFormat="1" outlineLevel="1" collapsed="1" x14ac:dyDescent="0.25">
      <c r="A32" s="26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139645.62</v>
      </c>
      <c r="E32" s="1"/>
      <c r="F32" s="5">
        <f t="shared" ref="F32:F42" si="12">IF(D$12=0,0,D32/D$12)</f>
        <v>0</v>
      </c>
      <c r="G32" s="1"/>
      <c r="H32" s="1">
        <f>SUM(OSRRefH22_1x_0)</f>
        <v>143774.71415692297</v>
      </c>
      <c r="I32" s="1"/>
      <c r="J32" s="5">
        <f t="shared" ref="J32:J42" si="13">IF(H$12=0,0,H32/H$12)</f>
        <v>0</v>
      </c>
      <c r="K32" s="1"/>
      <c r="L32" s="1">
        <f t="shared" ref="L32:L42" si="14">+D32-H32</f>
        <v>-4129.0941569229763</v>
      </c>
      <c r="M32" s="1"/>
      <c r="N32" s="5">
        <f t="shared" ref="N32:N42" si="15">IF(H32=0,0,L32/H32)</f>
        <v>-2.8719195730177387E-2</v>
      </c>
      <c r="O32" s="13"/>
      <c r="P32" s="1">
        <f>SUM(OSRRefP22_1x_0)</f>
        <v>1057420.73</v>
      </c>
      <c r="Q32" s="1"/>
      <c r="R32" s="5">
        <f t="shared" ref="R32:R42" si="16">IF(P$12=0,0,P32/P$12)</f>
        <v>0</v>
      </c>
      <c r="S32" s="1"/>
      <c r="T32" s="1">
        <f>SUM(OSRRefT22_1x_0)</f>
        <v>1278773.3639799992</v>
      </c>
      <c r="U32" s="1"/>
      <c r="V32" s="5">
        <f t="shared" ref="V32:V42" si="17">IF(T$12=0,0,T32/T$12)</f>
        <v>6393.8668198999958</v>
      </c>
      <c r="W32" s="1"/>
      <c r="X32" s="1">
        <f t="shared" ref="X32:X42" si="18">+P32-T32</f>
        <v>-221352.63397999923</v>
      </c>
      <c r="Y32" s="1"/>
      <c r="Z32" s="5">
        <f t="shared" ref="Z32:Z42" si="19">IF(T32=0,0,X32/T32)</f>
        <v>-0.17309762637772719</v>
      </c>
    </row>
    <row r="33" spans="1:26" s="24" customFormat="1" hidden="1" outlineLevel="2" x14ac:dyDescent="0.25">
      <c r="A33" s="25"/>
      <c r="B33" s="11" t="str">
        <f>CONCATENATE("          ", "6001", " - ", "ADMINISTRATIVE SALARIES")</f>
        <v xml:space="preserve">          6001 - ADMINISTRATIVE SALARIES</v>
      </c>
      <c r="C33" s="11"/>
      <c r="D33" s="6">
        <v>24034.959999999999</v>
      </c>
      <c r="E33" s="2"/>
      <c r="F33" s="7">
        <f t="shared" si="12"/>
        <v>0</v>
      </c>
      <c r="G33" s="2"/>
      <c r="H33" s="6">
        <v>42696.154864615339</v>
      </c>
      <c r="I33" s="2"/>
      <c r="J33" s="7">
        <f t="shared" si="13"/>
        <v>0</v>
      </c>
      <c r="K33" s="2"/>
      <c r="L33" s="6">
        <f t="shared" si="14"/>
        <v>-18661.19486461534</v>
      </c>
      <c r="M33" s="2"/>
      <c r="N33" s="7">
        <f t="shared" si="15"/>
        <v>-0.43706968282712744</v>
      </c>
      <c r="O33" s="11"/>
      <c r="P33" s="6">
        <v>222295.69</v>
      </c>
      <c r="Q33" s="2"/>
      <c r="R33" s="7">
        <f t="shared" si="16"/>
        <v>0</v>
      </c>
      <c r="S33" s="2"/>
      <c r="T33" s="6">
        <v>416287.50992999965</v>
      </c>
      <c r="U33" s="2"/>
      <c r="V33" s="7">
        <f t="shared" si="17"/>
        <v>2081.4375496499983</v>
      </c>
      <c r="W33" s="2"/>
      <c r="X33" s="6">
        <f t="shared" si="18"/>
        <v>-193991.81992999965</v>
      </c>
      <c r="Y33" s="2"/>
      <c r="Z33" s="7">
        <f t="shared" si="19"/>
        <v>-0.46600442074906384</v>
      </c>
    </row>
    <row r="34" spans="1:26" s="24" customFormat="1" hidden="1" outlineLevel="2" x14ac:dyDescent="0.25">
      <c r="A34" s="25"/>
      <c r="B34" s="11" t="str">
        <f>CONCATENATE("          ", "6002", " - ", "STAFF SALARIES")</f>
        <v xml:space="preserve">          6002 - STAFF SALARIES</v>
      </c>
      <c r="C34" s="11"/>
      <c r="D34" s="6">
        <v>62361.570000000007</v>
      </c>
      <c r="E34" s="2"/>
      <c r="F34" s="7">
        <f t="shared" si="12"/>
        <v>0</v>
      </c>
      <c r="G34" s="2"/>
      <c r="H34" s="6">
        <v>44196.157492307611</v>
      </c>
      <c r="I34" s="2"/>
      <c r="J34" s="7">
        <f t="shared" si="13"/>
        <v>0</v>
      </c>
      <c r="K34" s="2"/>
      <c r="L34" s="6">
        <f t="shared" si="14"/>
        <v>18165.412507692396</v>
      </c>
      <c r="M34" s="2"/>
      <c r="N34" s="7">
        <f t="shared" si="15"/>
        <v>0.41101791509486102</v>
      </c>
      <c r="O34" s="11"/>
      <c r="P34" s="6">
        <v>450584.35000000003</v>
      </c>
      <c r="Q34" s="2"/>
      <c r="R34" s="7">
        <f t="shared" si="16"/>
        <v>0</v>
      </c>
      <c r="S34" s="2"/>
      <c r="T34" s="6">
        <v>430912.53554999945</v>
      </c>
      <c r="U34" s="2"/>
      <c r="V34" s="7">
        <f t="shared" si="17"/>
        <v>2154.5626777499974</v>
      </c>
      <c r="W34" s="2"/>
      <c r="X34" s="6">
        <f t="shared" si="18"/>
        <v>19671.814450000587</v>
      </c>
      <c r="Y34" s="2"/>
      <c r="Z34" s="7">
        <f t="shared" si="19"/>
        <v>4.5651525140460981E-2</v>
      </c>
    </row>
    <row r="35" spans="1:26" s="24" customFormat="1" hidden="1" outlineLevel="2" x14ac:dyDescent="0.25">
      <c r="A35" s="25"/>
      <c r="B35" s="11" t="str">
        <f>CONCATENATE("          ", "6003", " - ", "STAFF HOURLY-9 MONTH")</f>
        <v xml:space="preserve">          6003 - STAFF HOURLY-9 MONTH</v>
      </c>
      <c r="C35" s="11"/>
      <c r="D35" s="6"/>
      <c r="E35" s="2"/>
      <c r="F35" s="7">
        <f t="shared" si="12"/>
        <v>0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0</v>
      </c>
      <c r="M35" s="2"/>
      <c r="N35" s="7">
        <f t="shared" si="15"/>
        <v>0</v>
      </c>
      <c r="O35" s="11"/>
      <c r="P35" s="6"/>
      <c r="Q35" s="2"/>
      <c r="R35" s="7">
        <f t="shared" si="16"/>
        <v>0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0</v>
      </c>
      <c r="Y35" s="2"/>
      <c r="Z35" s="7">
        <f t="shared" si="19"/>
        <v>0</v>
      </c>
    </row>
    <row r="36" spans="1:26" s="24" customFormat="1" hidden="1" outlineLevel="2" x14ac:dyDescent="0.25">
      <c r="A36" s="25"/>
      <c r="B36" s="11" t="str">
        <f>CONCATENATE("          ", "6004", " - ", "STAFF HOURLY")</f>
        <v xml:space="preserve">          6004 - STAFF HOURLY</v>
      </c>
      <c r="C36" s="11"/>
      <c r="D36" s="6">
        <v>23980.04</v>
      </c>
      <c r="E36" s="2"/>
      <c r="F36" s="7">
        <f t="shared" si="12"/>
        <v>0</v>
      </c>
      <c r="G36" s="2"/>
      <c r="H36" s="6">
        <v>22426.787800000002</v>
      </c>
      <c r="I36" s="2"/>
      <c r="J36" s="7">
        <f t="shared" si="13"/>
        <v>0</v>
      </c>
      <c r="K36" s="2"/>
      <c r="L36" s="6">
        <f t="shared" si="14"/>
        <v>1553.252199999999</v>
      </c>
      <c r="M36" s="2"/>
      <c r="N36" s="7">
        <f t="shared" si="15"/>
        <v>6.9258790596841466E-2</v>
      </c>
      <c r="O36" s="11"/>
      <c r="P36" s="6">
        <v>206333.35</v>
      </c>
      <c r="Q36" s="2"/>
      <c r="R36" s="7">
        <f t="shared" si="16"/>
        <v>0</v>
      </c>
      <c r="S36" s="2"/>
      <c r="T36" s="6">
        <v>222644.598</v>
      </c>
      <c r="U36" s="2"/>
      <c r="V36" s="7">
        <f t="shared" si="17"/>
        <v>1113.22299</v>
      </c>
      <c r="W36" s="2"/>
      <c r="X36" s="6">
        <f t="shared" si="18"/>
        <v>-16311.247999999992</v>
      </c>
      <c r="Y36" s="2"/>
      <c r="Z36" s="7">
        <f t="shared" si="19"/>
        <v>-7.3261368775720273E-2</v>
      </c>
    </row>
    <row r="37" spans="1:26" s="24" customFormat="1" hidden="1" outlineLevel="2" x14ac:dyDescent="0.25">
      <c r="A37" s="25"/>
      <c r="B37" s="11" t="str">
        <f>CONCATENATE("          ", "6005", " - ", "TEMPORARY WAGES-HOURLY")</f>
        <v xml:space="preserve">          6005 - TEMPORARY WAGES-HOURLY</v>
      </c>
      <c r="C37" s="11"/>
      <c r="D37" s="6">
        <v>12449.22</v>
      </c>
      <c r="E37" s="2"/>
      <c r="F37" s="7">
        <f t="shared" si="12"/>
        <v>0</v>
      </c>
      <c r="G37" s="2"/>
      <c r="H37" s="6">
        <v>7192</v>
      </c>
      <c r="I37" s="2"/>
      <c r="J37" s="7">
        <f t="shared" si="13"/>
        <v>0</v>
      </c>
      <c r="K37" s="2"/>
      <c r="L37" s="6">
        <f t="shared" si="14"/>
        <v>5257.2199999999993</v>
      </c>
      <c r="M37" s="2"/>
      <c r="N37" s="7">
        <f t="shared" si="15"/>
        <v>0.73098164627363726</v>
      </c>
      <c r="O37" s="11"/>
      <c r="P37" s="6">
        <v>91035.4</v>
      </c>
      <c r="Q37" s="2"/>
      <c r="R37" s="7">
        <f t="shared" si="16"/>
        <v>0</v>
      </c>
      <c r="S37" s="2"/>
      <c r="T37" s="6">
        <v>71920</v>
      </c>
      <c r="U37" s="2"/>
      <c r="V37" s="7">
        <f t="shared" si="17"/>
        <v>359.6</v>
      </c>
      <c r="W37" s="2"/>
      <c r="X37" s="6">
        <f t="shared" si="18"/>
        <v>19115.399999999994</v>
      </c>
      <c r="Y37" s="2"/>
      <c r="Z37" s="7">
        <f t="shared" si="19"/>
        <v>0.26578698553948826</v>
      </c>
    </row>
    <row r="38" spans="1:26" s="24" customFormat="1" hidden="1" outlineLevel="2" x14ac:dyDescent="0.25">
      <c r="A38" s="25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12"/>
        <v>0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>
        <v>2361.4299999999998</v>
      </c>
      <c r="Q38" s="2"/>
      <c r="R38" s="7">
        <f t="shared" si="16"/>
        <v>0</v>
      </c>
      <c r="S38" s="2"/>
      <c r="T38" s="6">
        <v>0</v>
      </c>
      <c r="U38" s="2"/>
      <c r="V38" s="7">
        <f t="shared" si="17"/>
        <v>0</v>
      </c>
      <c r="W38" s="2"/>
      <c r="X38" s="6">
        <f t="shared" si="18"/>
        <v>2361.4299999999998</v>
      </c>
      <c r="Y38" s="2"/>
      <c r="Z38" s="7">
        <f t="shared" si="19"/>
        <v>0</v>
      </c>
    </row>
    <row r="39" spans="1:26" s="24" customFormat="1" hidden="1" outlineLevel="2" x14ac:dyDescent="0.25">
      <c r="A39" s="25"/>
      <c r="B39" s="11" t="str">
        <f>CONCATENATE("          ", "6007", " - ", "STUDENT HOURLY")</f>
        <v xml:space="preserve">          6007 - STUDENT HOURLY</v>
      </c>
      <c r="C39" s="11"/>
      <c r="D39" s="6">
        <v>14778.929999999998</v>
      </c>
      <c r="E39" s="2"/>
      <c r="F39" s="7">
        <f t="shared" si="12"/>
        <v>0</v>
      </c>
      <c r="G39" s="2"/>
      <c r="H39" s="6">
        <v>20738.550000000003</v>
      </c>
      <c r="I39" s="2"/>
      <c r="J39" s="7">
        <f t="shared" si="13"/>
        <v>0</v>
      </c>
      <c r="K39" s="2"/>
      <c r="L39" s="6">
        <f t="shared" si="14"/>
        <v>-5959.6200000000044</v>
      </c>
      <c r="M39" s="2"/>
      <c r="N39" s="7">
        <f t="shared" si="15"/>
        <v>-0.28736917479765961</v>
      </c>
      <c r="O39" s="11"/>
      <c r="P39" s="6">
        <v>69065.010000000009</v>
      </c>
      <c r="Q39" s="2"/>
      <c r="R39" s="7">
        <f t="shared" si="16"/>
        <v>0</v>
      </c>
      <c r="S39" s="2"/>
      <c r="T39" s="6">
        <v>73642.787500000006</v>
      </c>
      <c r="U39" s="2"/>
      <c r="V39" s="7">
        <f t="shared" si="17"/>
        <v>368.21393750000004</v>
      </c>
      <c r="W39" s="2"/>
      <c r="X39" s="6">
        <f t="shared" si="18"/>
        <v>-4577.7774999999965</v>
      </c>
      <c r="Y39" s="2"/>
      <c r="Z39" s="7">
        <f t="shared" si="19"/>
        <v>-6.2161925904828032E-2</v>
      </c>
    </row>
    <row r="40" spans="1:26" s="24" customFormat="1" hidden="1" outlineLevel="2" x14ac:dyDescent="0.25">
      <c r="A40" s="25"/>
      <c r="B40" s="11" t="str">
        <f>CONCATENATE("          ", "6008", " - ", "STUDENT HOURLY-FICA EXEMPT")</f>
        <v xml:space="preserve">          6008 - STUDENT HOURLY-FICA EXEMPT</v>
      </c>
      <c r="C40" s="11"/>
      <c r="D40" s="6">
        <v>2040.9</v>
      </c>
      <c r="E40" s="2"/>
      <c r="F40" s="7">
        <f t="shared" si="12"/>
        <v>0</v>
      </c>
      <c r="G40" s="2"/>
      <c r="H40" s="6">
        <v>6525.0640000000003</v>
      </c>
      <c r="I40" s="2"/>
      <c r="J40" s="7">
        <f t="shared" si="13"/>
        <v>0</v>
      </c>
      <c r="K40" s="2"/>
      <c r="L40" s="6">
        <f t="shared" si="14"/>
        <v>-4484.1640000000007</v>
      </c>
      <c r="M40" s="2"/>
      <c r="N40" s="7">
        <f t="shared" si="15"/>
        <v>-0.68722145867075024</v>
      </c>
      <c r="O40" s="11"/>
      <c r="P40" s="6">
        <v>15745.5</v>
      </c>
      <c r="Q40" s="2"/>
      <c r="R40" s="7">
        <f t="shared" si="16"/>
        <v>0</v>
      </c>
      <c r="S40" s="2"/>
      <c r="T40" s="6">
        <v>63365.932999999997</v>
      </c>
      <c r="U40" s="2"/>
      <c r="V40" s="7">
        <f t="shared" si="17"/>
        <v>316.82966499999998</v>
      </c>
      <c r="W40" s="2"/>
      <c r="X40" s="6">
        <f t="shared" si="18"/>
        <v>-47620.432999999997</v>
      </c>
      <c r="Y40" s="2"/>
      <c r="Z40" s="7">
        <f t="shared" si="19"/>
        <v>-0.75151474531275342</v>
      </c>
    </row>
    <row r="41" spans="1:26" s="24" customFormat="1" hidden="1" outlineLevel="2" x14ac:dyDescent="0.25">
      <c r="A41" s="25"/>
      <c r="B41" s="11" t="str">
        <f>CONCATENATE("          ", "6009", " - ", "TEMPORARY-SEASONAL")</f>
        <v xml:space="preserve">          6009 - TEMPORARY-SEASONAL</v>
      </c>
      <c r="C41" s="11"/>
      <c r="D41" s="6"/>
      <c r="E41" s="2"/>
      <c r="F41" s="7">
        <f t="shared" si="12"/>
        <v>0</v>
      </c>
      <c r="G41" s="2"/>
      <c r="H41" s="6">
        <v>0</v>
      </c>
      <c r="I41" s="2"/>
      <c r="J41" s="7">
        <f t="shared" si="13"/>
        <v>0</v>
      </c>
      <c r="K41" s="2"/>
      <c r="L41" s="6">
        <f t="shared" si="14"/>
        <v>0</v>
      </c>
      <c r="M41" s="2"/>
      <c r="N41" s="7">
        <f t="shared" si="15"/>
        <v>0</v>
      </c>
      <c r="O41" s="11"/>
      <c r="P41" s="6"/>
      <c r="Q41" s="2"/>
      <c r="R41" s="7">
        <f t="shared" si="16"/>
        <v>0</v>
      </c>
      <c r="S41" s="2"/>
      <c r="T41" s="6">
        <v>0</v>
      </c>
      <c r="U41" s="2"/>
      <c r="V41" s="7">
        <f t="shared" si="17"/>
        <v>0</v>
      </c>
      <c r="W41" s="2"/>
      <c r="X41" s="6">
        <f t="shared" si="18"/>
        <v>0</v>
      </c>
      <c r="Y41" s="2"/>
      <c r="Z41" s="7">
        <f t="shared" si="19"/>
        <v>0</v>
      </c>
    </row>
    <row r="42" spans="1:26" s="24" customFormat="1" hidden="1" outlineLevel="2" x14ac:dyDescent="0.25">
      <c r="A42" s="25"/>
      <c r="B42" s="11" t="str">
        <f>CONCATENATE("          ", "6010", " - ", "GRATUITY")</f>
        <v xml:space="preserve">          6010 - GRATUITY</v>
      </c>
      <c r="C42" s="11"/>
      <c r="D42" s="6"/>
      <c r="E42" s="2"/>
      <c r="F42" s="7">
        <f t="shared" si="12"/>
        <v>0</v>
      </c>
      <c r="G42" s="2"/>
      <c r="H42" s="6">
        <v>0</v>
      </c>
      <c r="I42" s="2"/>
      <c r="J42" s="7">
        <f t="shared" si="13"/>
        <v>0</v>
      </c>
      <c r="K42" s="2"/>
      <c r="L42" s="6">
        <f t="shared" si="14"/>
        <v>0</v>
      </c>
      <c r="M42" s="2"/>
      <c r="N42" s="7">
        <f t="shared" si="15"/>
        <v>0</v>
      </c>
      <c r="O42" s="11"/>
      <c r="P42" s="6"/>
      <c r="Q42" s="2"/>
      <c r="R42" s="7">
        <f t="shared" si="16"/>
        <v>0</v>
      </c>
      <c r="S42" s="2"/>
      <c r="T42" s="6">
        <v>0</v>
      </c>
      <c r="U42" s="2"/>
      <c r="V42" s="7">
        <f t="shared" si="17"/>
        <v>0</v>
      </c>
      <c r="W42" s="2"/>
      <c r="X42" s="6">
        <f t="shared" si="18"/>
        <v>0</v>
      </c>
      <c r="Y42" s="2"/>
      <c r="Z42" s="7">
        <f t="shared" si="19"/>
        <v>0</v>
      </c>
    </row>
    <row r="43" spans="1:26" s="27" customFormat="1" outlineLevel="1" collapsed="1" x14ac:dyDescent="0.25">
      <c r="A43" s="26"/>
      <c r="B43" s="13" t="str">
        <f>CONCATENATE("     ","Advertising/Promo                                 ")</f>
        <v xml:space="preserve">     Advertising/Promo                                 </v>
      </c>
      <c r="C43" s="13"/>
      <c r="D43" s="1">
        <f>SUM(OSRRefD22_2x_0)</f>
        <v>44.39</v>
      </c>
      <c r="E43" s="1"/>
      <c r="F43" s="5">
        <f t="shared" ref="F43:F51" si="20">IF(D$12=0,0,D43/D$12)</f>
        <v>0</v>
      </c>
      <c r="G43" s="1"/>
      <c r="H43" s="1">
        <f>SUM(OSRRefH22_2x_0)</f>
        <v>260</v>
      </c>
      <c r="I43" s="1"/>
      <c r="J43" s="5">
        <f t="shared" ref="J43:J51" si="21">IF(H$12=0,0,H43/H$12)</f>
        <v>0</v>
      </c>
      <c r="K43" s="1"/>
      <c r="L43" s="1">
        <f t="shared" ref="L43:L51" si="22">+D43-H43</f>
        <v>-215.61</v>
      </c>
      <c r="M43" s="1"/>
      <c r="N43" s="5">
        <f t="shared" ref="N43:N51" si="23">IF(H43=0,0,L43/H43)</f>
        <v>-0.82926923076923087</v>
      </c>
      <c r="O43" s="13"/>
      <c r="P43" s="1">
        <f>SUM(OSRRefP22_2x_0)</f>
        <v>-33516.550000000003</v>
      </c>
      <c r="Q43" s="1"/>
      <c r="R43" s="5">
        <f t="shared" ref="R43:R51" si="24">IF(P$12=0,0,P43/P$12)</f>
        <v>0</v>
      </c>
      <c r="S43" s="1"/>
      <c r="T43" s="1">
        <f>SUM(OSRRefT22_2x_0)</f>
        <v>2365</v>
      </c>
      <c r="U43" s="1"/>
      <c r="V43" s="5">
        <f t="shared" ref="V43:V51" si="25">IF(T$12=0,0,T43/T$12)</f>
        <v>11.824999999999999</v>
      </c>
      <c r="W43" s="1"/>
      <c r="X43" s="1">
        <f t="shared" ref="X43:X51" si="26">+P43-T43</f>
        <v>-35881.550000000003</v>
      </c>
      <c r="Y43" s="1"/>
      <c r="Z43" s="5">
        <f t="shared" ref="Z43:Z51" si="27">IF(T43=0,0,X43/T43)</f>
        <v>-15.171902748414377</v>
      </c>
    </row>
    <row r="44" spans="1:26" s="24" customFormat="1" hidden="1" outlineLevel="2" x14ac:dyDescent="0.25">
      <c r="A44" s="25"/>
      <c r="B44" s="11" t="str">
        <f>CONCATENATE("          ", "6362", " - ", "ADVERTISING EXPENSE")</f>
        <v xml:space="preserve">          6362 - ADVERTISING EXPENSE</v>
      </c>
      <c r="C44" s="11"/>
      <c r="D44" s="6">
        <v>44.39</v>
      </c>
      <c r="E44" s="2"/>
      <c r="F44" s="7">
        <f t="shared" si="20"/>
        <v>0</v>
      </c>
      <c r="G44" s="2"/>
      <c r="H44" s="6">
        <v>260</v>
      </c>
      <c r="I44" s="2"/>
      <c r="J44" s="7">
        <f t="shared" si="21"/>
        <v>0</v>
      </c>
      <c r="K44" s="2"/>
      <c r="L44" s="6">
        <f t="shared" si="22"/>
        <v>-215.61</v>
      </c>
      <c r="M44" s="2"/>
      <c r="N44" s="7">
        <f t="shared" si="23"/>
        <v>-0.82926923076923087</v>
      </c>
      <c r="O44" s="11"/>
      <c r="P44" s="6">
        <v>-33516.550000000003</v>
      </c>
      <c r="Q44" s="2"/>
      <c r="R44" s="7">
        <f t="shared" si="24"/>
        <v>0</v>
      </c>
      <c r="S44" s="2"/>
      <c r="T44" s="6">
        <v>2365</v>
      </c>
      <c r="U44" s="2"/>
      <c r="V44" s="7">
        <f t="shared" si="25"/>
        <v>11.824999999999999</v>
      </c>
      <c r="W44" s="2"/>
      <c r="X44" s="6">
        <f t="shared" si="26"/>
        <v>-35881.550000000003</v>
      </c>
      <c r="Y44" s="2"/>
      <c r="Z44" s="7">
        <f t="shared" si="27"/>
        <v>-15.171902748414377</v>
      </c>
    </row>
    <row r="45" spans="1:26" s="27" customFormat="1" outlineLevel="1" collapsed="1" x14ac:dyDescent="0.25">
      <c r="A45" s="26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SUM(OSRRefD22_3x_0)</f>
        <v>1512.97</v>
      </c>
      <c r="E45" s="1"/>
      <c r="F45" s="5">
        <f t="shared" si="20"/>
        <v>0</v>
      </c>
      <c r="G45" s="1"/>
      <c r="H45" s="1">
        <f>SUM(OSRRefH22_3x_0)</f>
        <v>2000</v>
      </c>
      <c r="I45" s="1"/>
      <c r="J45" s="5">
        <f t="shared" si="21"/>
        <v>0</v>
      </c>
      <c r="K45" s="1"/>
      <c r="L45" s="1">
        <f t="shared" si="22"/>
        <v>-487.03</v>
      </c>
      <c r="M45" s="1"/>
      <c r="N45" s="5">
        <f t="shared" si="23"/>
        <v>-0.24351499999999998</v>
      </c>
      <c r="O45" s="13"/>
      <c r="P45" s="1">
        <f>SUM(OSRRefP22_3x_0)</f>
        <v>41075.360000000001</v>
      </c>
      <c r="Q45" s="1"/>
      <c r="R45" s="5">
        <f t="shared" si="24"/>
        <v>0</v>
      </c>
      <c r="S45" s="1"/>
      <c r="T45" s="1">
        <f>SUM(OSRRefT22_3x_0)</f>
        <v>54000</v>
      </c>
      <c r="U45" s="1"/>
      <c r="V45" s="5">
        <f t="shared" si="25"/>
        <v>270</v>
      </c>
      <c r="W45" s="1"/>
      <c r="X45" s="1">
        <f t="shared" si="26"/>
        <v>-12924.64</v>
      </c>
      <c r="Y45" s="1"/>
      <c r="Z45" s="5">
        <f t="shared" si="27"/>
        <v>-0.23934518518518516</v>
      </c>
    </row>
    <row r="46" spans="1:26" s="24" customFormat="1" hidden="1" outlineLevel="2" x14ac:dyDescent="0.25">
      <c r="A46" s="25"/>
      <c r="B46" s="11" t="str">
        <f>CONCATENATE("          ", "6381", " - ", "BANK/CREDIT CARD FEES")</f>
        <v xml:space="preserve">          6381 - BANK/CREDIT CARD FEES</v>
      </c>
      <c r="C46" s="11"/>
      <c r="D46" s="6">
        <v>1512.97</v>
      </c>
      <c r="E46" s="2"/>
      <c r="F46" s="7">
        <f t="shared" si="20"/>
        <v>0</v>
      </c>
      <c r="G46" s="2"/>
      <c r="H46" s="6">
        <v>2000</v>
      </c>
      <c r="I46" s="2"/>
      <c r="J46" s="7">
        <f t="shared" si="21"/>
        <v>0</v>
      </c>
      <c r="K46" s="2"/>
      <c r="L46" s="6">
        <f t="shared" si="22"/>
        <v>-487.03</v>
      </c>
      <c r="M46" s="2"/>
      <c r="N46" s="7">
        <f t="shared" si="23"/>
        <v>-0.24351499999999998</v>
      </c>
      <c r="O46" s="11"/>
      <c r="P46" s="6">
        <v>41075.360000000001</v>
      </c>
      <c r="Q46" s="2"/>
      <c r="R46" s="7">
        <f t="shared" si="24"/>
        <v>0</v>
      </c>
      <c r="S46" s="2"/>
      <c r="T46" s="6">
        <v>54000</v>
      </c>
      <c r="U46" s="2"/>
      <c r="V46" s="7">
        <f t="shared" si="25"/>
        <v>270</v>
      </c>
      <c r="W46" s="2"/>
      <c r="X46" s="6">
        <f t="shared" si="26"/>
        <v>-12924.64</v>
      </c>
      <c r="Y46" s="2"/>
      <c r="Z46" s="7">
        <f t="shared" si="27"/>
        <v>-0.23934518518518516</v>
      </c>
    </row>
    <row r="47" spans="1:26" s="27" customFormat="1" outlineLevel="1" collapsed="1" x14ac:dyDescent="0.25">
      <c r="A47" s="26"/>
      <c r="B47" s="13" t="str">
        <f>CONCATENATE("     ","Board                                             ")</f>
        <v xml:space="preserve">     Board                                             </v>
      </c>
      <c r="C47" s="13"/>
      <c r="D47" s="1">
        <f>SUM(OSRRefD22_4x_0)</f>
        <v>2136.86</v>
      </c>
      <c r="E47" s="1"/>
      <c r="F47" s="5">
        <f t="shared" si="20"/>
        <v>0</v>
      </c>
      <c r="G47" s="1"/>
      <c r="H47" s="1">
        <f>SUM(OSRRefH22_4x_0)</f>
        <v>5000</v>
      </c>
      <c r="I47" s="1"/>
      <c r="J47" s="5">
        <f t="shared" si="21"/>
        <v>0</v>
      </c>
      <c r="K47" s="1"/>
      <c r="L47" s="1">
        <f t="shared" si="22"/>
        <v>-2863.14</v>
      </c>
      <c r="M47" s="1"/>
      <c r="N47" s="5">
        <f t="shared" si="23"/>
        <v>-0.57262800000000003</v>
      </c>
      <c r="O47" s="13"/>
      <c r="P47" s="1">
        <f>SUM(OSRRefP22_4x_0)</f>
        <v>38502.71</v>
      </c>
      <c r="Q47" s="1"/>
      <c r="R47" s="5">
        <f t="shared" si="24"/>
        <v>0</v>
      </c>
      <c r="S47" s="1"/>
      <c r="T47" s="1">
        <f>SUM(OSRRefT22_4x_0)</f>
        <v>47700</v>
      </c>
      <c r="U47" s="1"/>
      <c r="V47" s="5">
        <f t="shared" si="25"/>
        <v>238.5</v>
      </c>
      <c r="W47" s="1"/>
      <c r="X47" s="1">
        <f t="shared" si="26"/>
        <v>-9197.2900000000009</v>
      </c>
      <c r="Y47" s="1"/>
      <c r="Z47" s="5">
        <f t="shared" si="27"/>
        <v>-0.19281530398322852</v>
      </c>
    </row>
    <row r="48" spans="1:26" s="24" customFormat="1" hidden="1" outlineLevel="2" x14ac:dyDescent="0.25">
      <c r="A48" s="25"/>
      <c r="B48" s="11" t="str">
        <f>CONCATENATE("          ", "6397", " - ", "BOARD EXPENSES")</f>
        <v xml:space="preserve">          6397 - BOARD EXPENSES</v>
      </c>
      <c r="C48" s="11"/>
      <c r="D48" s="6">
        <v>2136.86</v>
      </c>
      <c r="E48" s="2"/>
      <c r="F48" s="7">
        <f t="shared" si="20"/>
        <v>0</v>
      </c>
      <c r="G48" s="2"/>
      <c r="H48" s="6">
        <v>5000</v>
      </c>
      <c r="I48" s="2"/>
      <c r="J48" s="7">
        <f t="shared" si="21"/>
        <v>0</v>
      </c>
      <c r="K48" s="2"/>
      <c r="L48" s="6">
        <f t="shared" si="22"/>
        <v>-2863.14</v>
      </c>
      <c r="M48" s="2"/>
      <c r="N48" s="7">
        <f t="shared" si="23"/>
        <v>-0.57262800000000003</v>
      </c>
      <c r="O48" s="11"/>
      <c r="P48" s="6">
        <v>38502.71</v>
      </c>
      <c r="Q48" s="2"/>
      <c r="R48" s="7">
        <f t="shared" si="24"/>
        <v>0</v>
      </c>
      <c r="S48" s="2"/>
      <c r="T48" s="6">
        <v>47700</v>
      </c>
      <c r="U48" s="2"/>
      <c r="V48" s="7">
        <f t="shared" si="25"/>
        <v>238.5</v>
      </c>
      <c r="W48" s="2"/>
      <c r="X48" s="6">
        <f t="shared" si="26"/>
        <v>-9197.2900000000009</v>
      </c>
      <c r="Y48" s="2"/>
      <c r="Z48" s="7">
        <f t="shared" si="27"/>
        <v>-0.19281530398322852</v>
      </c>
    </row>
    <row r="49" spans="1:26" s="27" customFormat="1" outlineLevel="1" collapsed="1" x14ac:dyDescent="0.25">
      <c r="A49" s="26"/>
      <c r="B49" s="13" t="str">
        <f>CONCATENATE("     ","Depreciation                                      ")</f>
        <v xml:space="preserve">     Depreciation                                      </v>
      </c>
      <c r="C49" s="13"/>
      <c r="D49" s="1">
        <f>SUM(OSRRefD22_5x_0)</f>
        <v>8599.85</v>
      </c>
      <c r="E49" s="1"/>
      <c r="F49" s="5">
        <f t="shared" si="20"/>
        <v>0</v>
      </c>
      <c r="G49" s="1"/>
      <c r="H49" s="1">
        <f>SUM(OSRRefH22_5x_0)</f>
        <v>8893</v>
      </c>
      <c r="I49" s="1"/>
      <c r="J49" s="5">
        <f t="shared" si="21"/>
        <v>0</v>
      </c>
      <c r="K49" s="1"/>
      <c r="L49" s="1">
        <f t="shared" si="22"/>
        <v>-293.14999999999964</v>
      </c>
      <c r="M49" s="1"/>
      <c r="N49" s="5">
        <f t="shared" si="23"/>
        <v>-3.2964129090295696E-2</v>
      </c>
      <c r="O49" s="13"/>
      <c r="P49" s="1">
        <f>SUM(OSRRefP22_5x_0)</f>
        <v>77399.289999999994</v>
      </c>
      <c r="Q49" s="1"/>
      <c r="R49" s="5">
        <f t="shared" si="24"/>
        <v>0</v>
      </c>
      <c r="S49" s="1"/>
      <c r="T49" s="1">
        <f>SUM(OSRRefT22_5x_0)</f>
        <v>78420</v>
      </c>
      <c r="U49" s="1"/>
      <c r="V49" s="5">
        <f t="shared" si="25"/>
        <v>392.1</v>
      </c>
      <c r="W49" s="1"/>
      <c r="X49" s="1">
        <f t="shared" si="26"/>
        <v>-1020.7100000000064</v>
      </c>
      <c r="Y49" s="1"/>
      <c r="Z49" s="5">
        <f t="shared" si="27"/>
        <v>-1.3015939811272716E-2</v>
      </c>
    </row>
    <row r="50" spans="1:26" s="24" customFormat="1" hidden="1" outlineLevel="2" x14ac:dyDescent="0.25">
      <c r="A50" s="25"/>
      <c r="B50" s="11" t="str">
        <f>CONCATENATE("          ", "6322", " - ", "EQUIPMENT DEPRECIATION EXPENSE")</f>
        <v xml:space="preserve">          6322 - EQUIPMENT DEPRECIATION EXPENSE</v>
      </c>
      <c r="C50" s="11"/>
      <c r="D50" s="6">
        <v>8599.85</v>
      </c>
      <c r="E50" s="2"/>
      <c r="F50" s="7">
        <f t="shared" si="20"/>
        <v>0</v>
      </c>
      <c r="G50" s="2"/>
      <c r="H50" s="6">
        <v>8593</v>
      </c>
      <c r="I50" s="2"/>
      <c r="J50" s="7">
        <f t="shared" si="21"/>
        <v>0</v>
      </c>
      <c r="K50" s="2"/>
      <c r="L50" s="6">
        <f t="shared" si="22"/>
        <v>6.8500000000003638</v>
      </c>
      <c r="M50" s="2"/>
      <c r="N50" s="7">
        <f t="shared" si="23"/>
        <v>7.9716047946006788E-4</v>
      </c>
      <c r="O50" s="11"/>
      <c r="P50" s="6">
        <v>77399.289999999994</v>
      </c>
      <c r="Q50" s="2"/>
      <c r="R50" s="7">
        <f t="shared" si="24"/>
        <v>0</v>
      </c>
      <c r="S50" s="2"/>
      <c r="T50" s="6">
        <v>77337</v>
      </c>
      <c r="U50" s="2"/>
      <c r="V50" s="7">
        <f t="shared" si="25"/>
        <v>386.685</v>
      </c>
      <c r="W50" s="2"/>
      <c r="X50" s="6">
        <f t="shared" si="26"/>
        <v>62.289999999993597</v>
      </c>
      <c r="Y50" s="2"/>
      <c r="Z50" s="7">
        <f t="shared" si="27"/>
        <v>8.0543594915750028E-4</v>
      </c>
    </row>
    <row r="51" spans="1:26" s="24" customFormat="1" hidden="1" outlineLevel="2" x14ac:dyDescent="0.25">
      <c r="A51" s="25"/>
      <c r="B51" s="11" t="str">
        <f>CONCATENATE("          ", "6324", " - ", "FURNITURE + FIXT DEPRECIATION")</f>
        <v xml:space="preserve">          6324 - FURNITURE + FIXT DEPRECIATION</v>
      </c>
      <c r="C51" s="11"/>
      <c r="D51" s="6"/>
      <c r="E51" s="2"/>
      <c r="F51" s="7">
        <f t="shared" si="20"/>
        <v>0</v>
      </c>
      <c r="G51" s="2"/>
      <c r="H51" s="6">
        <v>300</v>
      </c>
      <c r="I51" s="2"/>
      <c r="J51" s="7">
        <f t="shared" si="21"/>
        <v>0</v>
      </c>
      <c r="K51" s="2"/>
      <c r="L51" s="6">
        <f t="shared" si="22"/>
        <v>-300</v>
      </c>
      <c r="M51" s="2"/>
      <c r="N51" s="7">
        <f t="shared" si="23"/>
        <v>-1</v>
      </c>
      <c r="O51" s="11"/>
      <c r="P51" s="6"/>
      <c r="Q51" s="2"/>
      <c r="R51" s="7">
        <f t="shared" si="24"/>
        <v>0</v>
      </c>
      <c r="S51" s="2"/>
      <c r="T51" s="6">
        <v>1083</v>
      </c>
      <c r="U51" s="2"/>
      <c r="V51" s="7">
        <f t="shared" si="25"/>
        <v>5.415</v>
      </c>
      <c r="W51" s="2"/>
      <c r="X51" s="6">
        <f t="shared" si="26"/>
        <v>-1083</v>
      </c>
      <c r="Y51" s="2"/>
      <c r="Z51" s="7">
        <f t="shared" si="27"/>
        <v>-1</v>
      </c>
    </row>
    <row r="52" spans="1:26" s="27" customFormat="1" outlineLevel="1" collapsed="1" x14ac:dyDescent="0.25">
      <c r="A52" s="26"/>
      <c r="B52" s="13" t="str">
        <f>CONCATENATE("     ","Donations                                         ")</f>
        <v xml:space="preserve">     Donations                                         </v>
      </c>
      <c r="C52" s="13"/>
      <c r="D52" s="1">
        <f>SUM(OSRRefD22_6x_0)</f>
        <v>0</v>
      </c>
      <c r="E52" s="1"/>
      <c r="F52" s="5">
        <f t="shared" ref="F52:F54" si="28">IF(D$12=0,0,D52/D$12)</f>
        <v>0</v>
      </c>
      <c r="G52" s="1"/>
      <c r="H52" s="1">
        <f>SUM(OSRRefH22_6x_0)</f>
        <v>10000</v>
      </c>
      <c r="I52" s="1"/>
      <c r="J52" s="5">
        <f t="shared" ref="J52:J54" si="29">IF(H$12=0,0,H52/H$12)</f>
        <v>0</v>
      </c>
      <c r="K52" s="1"/>
      <c r="L52" s="1">
        <f t="shared" ref="L52:L54" si="30">+D52-H52</f>
        <v>-10000</v>
      </c>
      <c r="M52" s="1"/>
      <c r="N52" s="5">
        <f t="shared" ref="N52:N54" si="31">IF(H52=0,0,L52/H52)</f>
        <v>-1</v>
      </c>
      <c r="O52" s="13"/>
      <c r="P52" s="1">
        <f>SUM(OSRRefP22_6x_0)</f>
        <v>248773.19</v>
      </c>
      <c r="Q52" s="1"/>
      <c r="R52" s="5">
        <f t="shared" ref="R52:R54" si="32">IF(P$12=0,0,P52/P$12)</f>
        <v>0</v>
      </c>
      <c r="S52" s="1"/>
      <c r="T52" s="1">
        <f>SUM(OSRRefT22_6x_0)</f>
        <v>475299.99999999994</v>
      </c>
      <c r="U52" s="1"/>
      <c r="V52" s="5">
        <f t="shared" ref="V52:V54" si="33">IF(T$12=0,0,T52/T$12)</f>
        <v>2376.4999999999995</v>
      </c>
      <c r="W52" s="1"/>
      <c r="X52" s="1">
        <f t="shared" ref="X52:X54" si="34">+P52-T52</f>
        <v>-226526.80999999994</v>
      </c>
      <c r="Y52" s="1"/>
      <c r="Z52" s="5">
        <f t="shared" ref="Z52:Z54" si="35">IF(T52=0,0,X52/T52)</f>
        <v>-0.47659753839680197</v>
      </c>
    </row>
    <row r="53" spans="1:26" s="24" customFormat="1" hidden="1" outlineLevel="2" x14ac:dyDescent="0.25">
      <c r="A53" s="25"/>
      <c r="B53" s="11" t="str">
        <f>CONCATENATE("          ", "6395", " - ", "DONATION-OFF CAMPUS")</f>
        <v xml:space="preserve">          6395 - DONATION-OFF CAMPUS</v>
      </c>
      <c r="C53" s="11"/>
      <c r="D53" s="6"/>
      <c r="E53" s="2"/>
      <c r="F53" s="7">
        <f t="shared" si="28"/>
        <v>0</v>
      </c>
      <c r="G53" s="2"/>
      <c r="H53" s="6"/>
      <c r="I53" s="2"/>
      <c r="J53" s="7">
        <f t="shared" si="29"/>
        <v>0</v>
      </c>
      <c r="K53" s="2"/>
      <c r="L53" s="6">
        <f t="shared" si="30"/>
        <v>0</v>
      </c>
      <c r="M53" s="2"/>
      <c r="N53" s="7">
        <f t="shared" si="31"/>
        <v>0</v>
      </c>
      <c r="O53" s="11"/>
      <c r="P53" s="6"/>
      <c r="Q53" s="2"/>
      <c r="R53" s="7">
        <f t="shared" si="32"/>
        <v>0</v>
      </c>
      <c r="S53" s="2"/>
      <c r="T53" s="6">
        <v>2300</v>
      </c>
      <c r="U53" s="2"/>
      <c r="V53" s="7">
        <f t="shared" si="33"/>
        <v>11.5</v>
      </c>
      <c r="W53" s="2"/>
      <c r="X53" s="6">
        <f t="shared" si="34"/>
        <v>-2300</v>
      </c>
      <c r="Y53" s="2"/>
      <c r="Z53" s="7">
        <f t="shared" si="35"/>
        <v>-1</v>
      </c>
    </row>
    <row r="54" spans="1:26" s="24" customFormat="1" hidden="1" outlineLevel="2" x14ac:dyDescent="0.25">
      <c r="A54" s="25"/>
      <c r="B54" s="11" t="str">
        <f>CONCATENATE("          ", "6399", " - ", "DONATION-ON CAMPUS")</f>
        <v xml:space="preserve">          6399 - DONATION-ON CAMPUS</v>
      </c>
      <c r="C54" s="11"/>
      <c r="D54" s="6"/>
      <c r="E54" s="2"/>
      <c r="F54" s="7">
        <f t="shared" si="28"/>
        <v>0</v>
      </c>
      <c r="G54" s="2"/>
      <c r="H54" s="6">
        <v>10000</v>
      </c>
      <c r="I54" s="2"/>
      <c r="J54" s="7">
        <f t="shared" si="29"/>
        <v>0</v>
      </c>
      <c r="K54" s="2"/>
      <c r="L54" s="6">
        <f t="shared" si="30"/>
        <v>-10000</v>
      </c>
      <c r="M54" s="2"/>
      <c r="N54" s="7">
        <f t="shared" si="31"/>
        <v>-1</v>
      </c>
      <c r="O54" s="11"/>
      <c r="P54" s="6">
        <v>248773.19</v>
      </c>
      <c r="Q54" s="2"/>
      <c r="R54" s="7">
        <f t="shared" si="32"/>
        <v>0</v>
      </c>
      <c r="S54" s="2"/>
      <c r="T54" s="6">
        <v>472999.99999999994</v>
      </c>
      <c r="U54" s="2"/>
      <c r="V54" s="7">
        <f t="shared" si="33"/>
        <v>2364.9999999999995</v>
      </c>
      <c r="W54" s="2"/>
      <c r="X54" s="6">
        <f t="shared" si="34"/>
        <v>-224226.80999999994</v>
      </c>
      <c r="Y54" s="2"/>
      <c r="Z54" s="7">
        <f t="shared" si="35"/>
        <v>-0.47405245243128957</v>
      </c>
    </row>
    <row r="55" spans="1:26" s="27" customFormat="1" outlineLevel="1" collapsed="1" x14ac:dyDescent="0.25">
      <c r="A55" s="26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SUM(OSRRefD22_7x_0)</f>
        <v>877.46</v>
      </c>
      <c r="E55" s="1"/>
      <c r="F55" s="5">
        <f t="shared" ref="F55:F68" si="36">IF(D$12=0,0,D55/D$12)</f>
        <v>0</v>
      </c>
      <c r="G55" s="1"/>
      <c r="H55" s="1">
        <f>SUM(OSRRefH22_7x_0)</f>
        <v>1408</v>
      </c>
      <c r="I55" s="1"/>
      <c r="J55" s="5">
        <f t="shared" ref="J55:J68" si="37">IF(H$12=0,0,H55/H$12)</f>
        <v>0</v>
      </c>
      <c r="K55" s="1"/>
      <c r="L55" s="1">
        <f t="shared" ref="L55:L68" si="38">+D55-H55</f>
        <v>-530.54</v>
      </c>
      <c r="M55" s="1"/>
      <c r="N55" s="5">
        <f t="shared" ref="N55:N68" si="39">IF(H55=0,0,L55/H55)</f>
        <v>-0.37680397727272724</v>
      </c>
      <c r="O55" s="13"/>
      <c r="P55" s="1">
        <f>SUM(OSRRefP22_7x_0)</f>
        <v>29396.68</v>
      </c>
      <c r="Q55" s="1"/>
      <c r="R55" s="5">
        <f t="shared" ref="R55:R68" si="40">IF(P$12=0,0,P55/P$12)</f>
        <v>0</v>
      </c>
      <c r="S55" s="1"/>
      <c r="T55" s="1">
        <f>SUM(OSRRefT22_7x_0)</f>
        <v>38672</v>
      </c>
      <c r="U55" s="1"/>
      <c r="V55" s="5">
        <f t="shared" ref="V55:V68" si="41">IF(T$12=0,0,T55/T$12)</f>
        <v>193.36</v>
      </c>
      <c r="W55" s="1"/>
      <c r="X55" s="1">
        <f t="shared" ref="X55:X68" si="42">+P55-T55</f>
        <v>-9275.32</v>
      </c>
      <c r="Y55" s="1"/>
      <c r="Z55" s="5">
        <f t="shared" ref="Z55:Z68" si="43">IF(T55=0,0,X55/T55)</f>
        <v>-0.23984588332643772</v>
      </c>
    </row>
    <row r="56" spans="1:26" s="24" customFormat="1" hidden="1" outlineLevel="2" x14ac:dyDescent="0.25">
      <c r="A56" s="25"/>
      <c r="B56" s="11" t="str">
        <f>CONCATENATE("          ", "6277", " - ", "EMPLOYEE APPRECIATION")</f>
        <v xml:space="preserve">          6277 - EMPLOYEE APPRECIATION</v>
      </c>
      <c r="C56" s="11"/>
      <c r="D56" s="6">
        <v>877.46</v>
      </c>
      <c r="E56" s="2"/>
      <c r="F56" s="7">
        <f t="shared" si="36"/>
        <v>0</v>
      </c>
      <c r="G56" s="2"/>
      <c r="H56" s="6">
        <v>1408</v>
      </c>
      <c r="I56" s="2"/>
      <c r="J56" s="7">
        <f t="shared" si="37"/>
        <v>0</v>
      </c>
      <c r="K56" s="2"/>
      <c r="L56" s="6">
        <f t="shared" si="38"/>
        <v>-530.54</v>
      </c>
      <c r="M56" s="2"/>
      <c r="N56" s="7">
        <f t="shared" si="39"/>
        <v>-0.37680397727272724</v>
      </c>
      <c r="O56" s="11"/>
      <c r="P56" s="6">
        <v>29396.68</v>
      </c>
      <c r="Q56" s="2"/>
      <c r="R56" s="7">
        <f t="shared" si="40"/>
        <v>0</v>
      </c>
      <c r="S56" s="2"/>
      <c r="T56" s="6">
        <v>38672</v>
      </c>
      <c r="U56" s="2"/>
      <c r="V56" s="7">
        <f t="shared" si="41"/>
        <v>193.36</v>
      </c>
      <c r="W56" s="2"/>
      <c r="X56" s="6">
        <f t="shared" si="42"/>
        <v>-9275.32</v>
      </c>
      <c r="Y56" s="2"/>
      <c r="Z56" s="7">
        <f t="shared" si="43"/>
        <v>-0.23984588332643772</v>
      </c>
    </row>
    <row r="57" spans="1:26" s="27" customFormat="1" outlineLevel="1" collapsed="1" x14ac:dyDescent="0.25">
      <c r="A57" s="26"/>
      <c r="B57" s="13" t="str">
        <f>CONCATENATE("     ","Equipment Rental                                  ")</f>
        <v xml:space="preserve">     Equipment Rental                                  </v>
      </c>
      <c r="C57" s="13"/>
      <c r="D57" s="1">
        <f>SUM(OSRRefD22_8x_0)</f>
        <v>208.98</v>
      </c>
      <c r="E57" s="1"/>
      <c r="F57" s="5">
        <f t="shared" si="36"/>
        <v>0</v>
      </c>
      <c r="G57" s="1"/>
      <c r="H57" s="1">
        <f>SUM(OSRRefH22_8x_0)</f>
        <v>299</v>
      </c>
      <c r="I57" s="1"/>
      <c r="J57" s="5">
        <f t="shared" si="37"/>
        <v>0</v>
      </c>
      <c r="K57" s="1"/>
      <c r="L57" s="1">
        <f t="shared" si="38"/>
        <v>-90.02000000000001</v>
      </c>
      <c r="M57" s="1"/>
      <c r="N57" s="5">
        <f t="shared" si="39"/>
        <v>-0.30107023411371242</v>
      </c>
      <c r="O57" s="13"/>
      <c r="P57" s="1">
        <f>SUM(OSRRefP22_8x_0)</f>
        <v>2154.6</v>
      </c>
      <c r="Q57" s="1"/>
      <c r="R57" s="5">
        <f t="shared" si="40"/>
        <v>0</v>
      </c>
      <c r="S57" s="1"/>
      <c r="T57" s="1">
        <f>SUM(OSRRefT22_8x_0)</f>
        <v>2601</v>
      </c>
      <c r="U57" s="1"/>
      <c r="V57" s="5">
        <f t="shared" si="41"/>
        <v>13.005000000000001</v>
      </c>
      <c r="W57" s="1"/>
      <c r="X57" s="1">
        <f t="shared" si="42"/>
        <v>-446.40000000000009</v>
      </c>
      <c r="Y57" s="1"/>
      <c r="Z57" s="5">
        <f t="shared" si="43"/>
        <v>-0.17162629757785472</v>
      </c>
    </row>
    <row r="58" spans="1:26" s="24" customFormat="1" hidden="1" outlineLevel="2" x14ac:dyDescent="0.25">
      <c r="A58" s="25"/>
      <c r="B58" s="11" t="str">
        <f>CONCATENATE("          ", "6351", " - ", "EQUIPMENT RENTAL")</f>
        <v xml:space="preserve">          6351 - EQUIPMENT RENTAL</v>
      </c>
      <c r="C58" s="11"/>
      <c r="D58" s="6">
        <v>208.98</v>
      </c>
      <c r="E58" s="2"/>
      <c r="F58" s="7">
        <f t="shared" si="36"/>
        <v>0</v>
      </c>
      <c r="G58" s="2"/>
      <c r="H58" s="6">
        <v>299</v>
      </c>
      <c r="I58" s="2"/>
      <c r="J58" s="7">
        <f t="shared" si="37"/>
        <v>0</v>
      </c>
      <c r="K58" s="2"/>
      <c r="L58" s="6">
        <f t="shared" si="38"/>
        <v>-90.02000000000001</v>
      </c>
      <c r="M58" s="2"/>
      <c r="N58" s="7">
        <f t="shared" si="39"/>
        <v>-0.30107023411371242</v>
      </c>
      <c r="O58" s="11"/>
      <c r="P58" s="6">
        <v>2154.6</v>
      </c>
      <c r="Q58" s="2"/>
      <c r="R58" s="7">
        <f t="shared" si="40"/>
        <v>0</v>
      </c>
      <c r="S58" s="2"/>
      <c r="T58" s="6">
        <v>2601</v>
      </c>
      <c r="U58" s="2"/>
      <c r="V58" s="7">
        <f t="shared" si="41"/>
        <v>13.005000000000001</v>
      </c>
      <c r="W58" s="2"/>
      <c r="X58" s="6">
        <f t="shared" si="42"/>
        <v>-446.40000000000009</v>
      </c>
      <c r="Y58" s="2"/>
      <c r="Z58" s="7">
        <f t="shared" si="43"/>
        <v>-0.17162629757785472</v>
      </c>
    </row>
    <row r="59" spans="1:26" s="27" customFormat="1" outlineLevel="1" collapsed="1" x14ac:dyDescent="0.25">
      <c r="A59" s="26"/>
      <c r="B59" s="13" t="str">
        <f>CONCATENATE("     ","Freight out/Postage                               ")</f>
        <v xml:space="preserve">     Freight out/Postage                               </v>
      </c>
      <c r="C59" s="13"/>
      <c r="D59" s="1">
        <f>SUM(OSRRefD22_9x_0)</f>
        <v>193.73</v>
      </c>
      <c r="E59" s="1"/>
      <c r="F59" s="5">
        <f t="shared" si="36"/>
        <v>0</v>
      </c>
      <c r="G59" s="1"/>
      <c r="H59" s="1">
        <f>SUM(OSRRefH22_9x_0)</f>
        <v>245</v>
      </c>
      <c r="I59" s="1"/>
      <c r="J59" s="5">
        <f t="shared" si="37"/>
        <v>0</v>
      </c>
      <c r="K59" s="1"/>
      <c r="L59" s="1">
        <f t="shared" si="38"/>
        <v>-51.27000000000001</v>
      </c>
      <c r="M59" s="1"/>
      <c r="N59" s="5">
        <f t="shared" si="39"/>
        <v>-0.20926530612244904</v>
      </c>
      <c r="O59" s="13"/>
      <c r="P59" s="1">
        <f>SUM(OSRRefP22_9x_0)</f>
        <v>2356.21</v>
      </c>
      <c r="Q59" s="1"/>
      <c r="R59" s="5">
        <f t="shared" si="40"/>
        <v>0</v>
      </c>
      <c r="S59" s="1"/>
      <c r="T59" s="1">
        <f>SUM(OSRRefT22_9x_0)</f>
        <v>2110</v>
      </c>
      <c r="U59" s="1"/>
      <c r="V59" s="5">
        <f t="shared" si="41"/>
        <v>10.55</v>
      </c>
      <c r="W59" s="1"/>
      <c r="X59" s="1">
        <f t="shared" si="42"/>
        <v>246.21000000000004</v>
      </c>
      <c r="Y59" s="1"/>
      <c r="Z59" s="5">
        <f t="shared" si="43"/>
        <v>0.11668720379146921</v>
      </c>
    </row>
    <row r="60" spans="1:26" s="24" customFormat="1" hidden="1" outlineLevel="2" x14ac:dyDescent="0.25">
      <c r="A60" s="25"/>
      <c r="B60" s="11" t="str">
        <f>CONCATENATE("          ", "6307", " - ", "POSTAGE")</f>
        <v xml:space="preserve">          6307 - POSTAGE</v>
      </c>
      <c r="C60" s="11"/>
      <c r="D60" s="6">
        <v>193.73</v>
      </c>
      <c r="E60" s="2"/>
      <c r="F60" s="7">
        <f t="shared" si="36"/>
        <v>0</v>
      </c>
      <c r="G60" s="2"/>
      <c r="H60" s="6">
        <v>245</v>
      </c>
      <c r="I60" s="2"/>
      <c r="J60" s="7">
        <f t="shared" si="37"/>
        <v>0</v>
      </c>
      <c r="K60" s="2"/>
      <c r="L60" s="6">
        <f t="shared" si="38"/>
        <v>-51.27000000000001</v>
      </c>
      <c r="M60" s="2"/>
      <c r="N60" s="7">
        <f t="shared" si="39"/>
        <v>-0.20926530612244904</v>
      </c>
      <c r="O60" s="11"/>
      <c r="P60" s="6">
        <v>2356.21</v>
      </c>
      <c r="Q60" s="2"/>
      <c r="R60" s="7">
        <f t="shared" si="40"/>
        <v>0</v>
      </c>
      <c r="S60" s="2"/>
      <c r="T60" s="6">
        <v>2110</v>
      </c>
      <c r="U60" s="2"/>
      <c r="V60" s="7">
        <f t="shared" si="41"/>
        <v>10.55</v>
      </c>
      <c r="W60" s="2"/>
      <c r="X60" s="6">
        <f t="shared" si="42"/>
        <v>246.21000000000004</v>
      </c>
      <c r="Y60" s="2"/>
      <c r="Z60" s="7">
        <f t="shared" si="43"/>
        <v>0.11668720379146921</v>
      </c>
    </row>
    <row r="61" spans="1:26" s="27" customFormat="1" outlineLevel="1" collapsed="1" x14ac:dyDescent="0.25">
      <c r="A61" s="26"/>
      <c r="B61" s="13" t="str">
        <f>CONCATENATE("     ","General                                           ")</f>
        <v xml:space="preserve">     General                                           </v>
      </c>
      <c r="C61" s="13"/>
      <c r="D61" s="1">
        <f>SUM(OSRRefD22_10x_0)</f>
        <v>1703.67</v>
      </c>
      <c r="E61" s="1"/>
      <c r="F61" s="5">
        <f t="shared" si="36"/>
        <v>0</v>
      </c>
      <c r="G61" s="1"/>
      <c r="H61" s="1">
        <f>SUM(OSRRefH22_10x_0)</f>
        <v>2415</v>
      </c>
      <c r="I61" s="1"/>
      <c r="J61" s="5">
        <f t="shared" si="37"/>
        <v>0</v>
      </c>
      <c r="K61" s="1"/>
      <c r="L61" s="1">
        <f t="shared" si="38"/>
        <v>-711.32999999999993</v>
      </c>
      <c r="M61" s="1"/>
      <c r="N61" s="5">
        <f t="shared" si="39"/>
        <v>-0.29454658385093163</v>
      </c>
      <c r="O61" s="13"/>
      <c r="P61" s="1">
        <f>SUM(OSRRefP22_10x_0)</f>
        <v>14594.69</v>
      </c>
      <c r="Q61" s="1"/>
      <c r="R61" s="5">
        <f t="shared" si="40"/>
        <v>0</v>
      </c>
      <c r="S61" s="1"/>
      <c r="T61" s="1">
        <f>SUM(OSRRefT22_10x_0)</f>
        <v>6345</v>
      </c>
      <c r="U61" s="1"/>
      <c r="V61" s="5">
        <f t="shared" si="41"/>
        <v>31.725000000000001</v>
      </c>
      <c r="W61" s="1"/>
      <c r="X61" s="1">
        <f t="shared" si="42"/>
        <v>8249.69</v>
      </c>
      <c r="Y61" s="1"/>
      <c r="Z61" s="5">
        <f t="shared" si="43"/>
        <v>1.300187549251379</v>
      </c>
    </row>
    <row r="62" spans="1:26" s="24" customFormat="1" hidden="1" outlineLevel="2" x14ac:dyDescent="0.25">
      <c r="A62" s="25"/>
      <c r="B62" s="11" t="str">
        <f>CONCATENATE("          ", "6279", " - ", "GENERAL EXPENSE")</f>
        <v xml:space="preserve">          6279 - GENERAL EXPENSE</v>
      </c>
      <c r="C62" s="11"/>
      <c r="D62" s="6">
        <v>1703.67</v>
      </c>
      <c r="E62" s="2"/>
      <c r="F62" s="7">
        <f t="shared" si="36"/>
        <v>0</v>
      </c>
      <c r="G62" s="2"/>
      <c r="H62" s="6">
        <v>2415</v>
      </c>
      <c r="I62" s="2"/>
      <c r="J62" s="7">
        <f t="shared" si="37"/>
        <v>0</v>
      </c>
      <c r="K62" s="2"/>
      <c r="L62" s="6">
        <f t="shared" si="38"/>
        <v>-711.32999999999993</v>
      </c>
      <c r="M62" s="2"/>
      <c r="N62" s="7">
        <f t="shared" si="39"/>
        <v>-0.29454658385093163</v>
      </c>
      <c r="O62" s="11"/>
      <c r="P62" s="6">
        <v>14594.69</v>
      </c>
      <c r="Q62" s="2"/>
      <c r="R62" s="7">
        <f t="shared" si="40"/>
        <v>0</v>
      </c>
      <c r="S62" s="2"/>
      <c r="T62" s="6">
        <v>6345</v>
      </c>
      <c r="U62" s="2"/>
      <c r="V62" s="7">
        <f t="shared" si="41"/>
        <v>31.725000000000001</v>
      </c>
      <c r="W62" s="2"/>
      <c r="X62" s="6">
        <f t="shared" si="42"/>
        <v>8249.69</v>
      </c>
      <c r="Y62" s="2"/>
      <c r="Z62" s="7">
        <f t="shared" si="43"/>
        <v>1.300187549251379</v>
      </c>
    </row>
    <row r="63" spans="1:26" s="27" customFormat="1" outlineLevel="1" collapsed="1" x14ac:dyDescent="0.25">
      <c r="A63" s="26"/>
      <c r="B63" s="13" t="str">
        <f>CONCATENATE("     ","Insurance                                         ")</f>
        <v xml:space="preserve">     Insurance                                         </v>
      </c>
      <c r="C63" s="13"/>
      <c r="D63" s="1">
        <f>SUM(OSRRefD22_11x_0)</f>
        <v>393.67</v>
      </c>
      <c r="E63" s="1"/>
      <c r="F63" s="5">
        <f t="shared" si="36"/>
        <v>0</v>
      </c>
      <c r="G63" s="1"/>
      <c r="H63" s="1">
        <f>SUM(OSRRefH22_11x_0)</f>
        <v>380</v>
      </c>
      <c r="I63" s="1"/>
      <c r="J63" s="5">
        <f t="shared" si="37"/>
        <v>0</v>
      </c>
      <c r="K63" s="1"/>
      <c r="L63" s="1">
        <f t="shared" si="38"/>
        <v>13.670000000000016</v>
      </c>
      <c r="M63" s="1"/>
      <c r="N63" s="5">
        <f t="shared" si="39"/>
        <v>3.5973684210526359E-2</v>
      </c>
      <c r="O63" s="13"/>
      <c r="P63" s="1">
        <f>SUM(OSRRefP22_11x_0)</f>
        <v>3543.03</v>
      </c>
      <c r="Q63" s="1"/>
      <c r="R63" s="5">
        <f t="shared" si="40"/>
        <v>0</v>
      </c>
      <c r="S63" s="1"/>
      <c r="T63" s="1">
        <f>SUM(OSRRefT22_11x_0)</f>
        <v>3420</v>
      </c>
      <c r="U63" s="1"/>
      <c r="V63" s="5">
        <f t="shared" si="41"/>
        <v>17.100000000000001</v>
      </c>
      <c r="W63" s="1"/>
      <c r="X63" s="1">
        <f t="shared" si="42"/>
        <v>123.0300000000002</v>
      </c>
      <c r="Y63" s="1"/>
      <c r="Z63" s="5">
        <f t="shared" si="43"/>
        <v>3.5973684210526373E-2</v>
      </c>
    </row>
    <row r="64" spans="1:26" s="24" customFormat="1" hidden="1" outlineLevel="2" x14ac:dyDescent="0.25">
      <c r="A64" s="25"/>
      <c r="B64" s="11" t="str">
        <f>CONCATENATE("          ", "6314", " - ", "LIABILITY INSURANCE")</f>
        <v xml:space="preserve">          6314 - LIABILITY INSURANCE</v>
      </c>
      <c r="C64" s="11"/>
      <c r="D64" s="6">
        <v>393.67</v>
      </c>
      <c r="E64" s="2"/>
      <c r="F64" s="7">
        <f t="shared" si="36"/>
        <v>0</v>
      </c>
      <c r="G64" s="2"/>
      <c r="H64" s="6">
        <v>380</v>
      </c>
      <c r="I64" s="2"/>
      <c r="J64" s="7">
        <f t="shared" si="37"/>
        <v>0</v>
      </c>
      <c r="K64" s="2"/>
      <c r="L64" s="6">
        <f t="shared" si="38"/>
        <v>13.670000000000016</v>
      </c>
      <c r="M64" s="2"/>
      <c r="N64" s="7">
        <f t="shared" si="39"/>
        <v>3.5973684210526359E-2</v>
      </c>
      <c r="O64" s="11"/>
      <c r="P64" s="6">
        <v>3543.03</v>
      </c>
      <c r="Q64" s="2"/>
      <c r="R64" s="7">
        <f t="shared" si="40"/>
        <v>0</v>
      </c>
      <c r="S64" s="2"/>
      <c r="T64" s="6">
        <v>3420</v>
      </c>
      <c r="U64" s="2"/>
      <c r="V64" s="7">
        <f t="shared" si="41"/>
        <v>17.100000000000001</v>
      </c>
      <c r="W64" s="2"/>
      <c r="X64" s="6">
        <f t="shared" si="42"/>
        <v>123.0300000000002</v>
      </c>
      <c r="Y64" s="2"/>
      <c r="Z64" s="7">
        <f t="shared" si="43"/>
        <v>3.5973684210526373E-2</v>
      </c>
    </row>
    <row r="65" spans="1:26" s="27" customFormat="1" outlineLevel="1" collapsed="1" x14ac:dyDescent="0.25">
      <c r="A65" s="26"/>
      <c r="B65" s="13" t="str">
        <f>CONCATENATE("     ","Interest                                          ")</f>
        <v xml:space="preserve">     Interest                                          </v>
      </c>
      <c r="C65" s="13"/>
      <c r="D65" s="1">
        <f>SUM(OSRRefD22_12x_0)</f>
        <v>0</v>
      </c>
      <c r="E65" s="1"/>
      <c r="F65" s="5">
        <f t="shared" si="36"/>
        <v>0</v>
      </c>
      <c r="G65" s="1"/>
      <c r="H65" s="1">
        <f>SUM(OSRRefH22_12x_0)</f>
        <v>0</v>
      </c>
      <c r="I65" s="1"/>
      <c r="J65" s="5">
        <f t="shared" si="37"/>
        <v>0</v>
      </c>
      <c r="K65" s="1"/>
      <c r="L65" s="1">
        <f t="shared" si="38"/>
        <v>0</v>
      </c>
      <c r="M65" s="1"/>
      <c r="N65" s="5">
        <f t="shared" si="39"/>
        <v>0</v>
      </c>
      <c r="O65" s="13"/>
      <c r="P65" s="1">
        <f>SUM(OSRRefP22_12x_0)</f>
        <v>0</v>
      </c>
      <c r="Q65" s="1"/>
      <c r="R65" s="5">
        <f t="shared" si="40"/>
        <v>0</v>
      </c>
      <c r="S65" s="1"/>
      <c r="T65" s="1">
        <f>SUM(OSRRefT22_12x_0)</f>
        <v>0</v>
      </c>
      <c r="U65" s="1"/>
      <c r="V65" s="5">
        <f t="shared" si="41"/>
        <v>0</v>
      </c>
      <c r="W65" s="1"/>
      <c r="X65" s="1">
        <f t="shared" si="42"/>
        <v>0</v>
      </c>
      <c r="Y65" s="1"/>
      <c r="Z65" s="5">
        <f t="shared" si="43"/>
        <v>0</v>
      </c>
    </row>
    <row r="66" spans="1:26" s="24" customFormat="1" hidden="1" outlineLevel="2" x14ac:dyDescent="0.25">
      <c r="A66" s="25"/>
      <c r="B66" s="11" t="str">
        <f>CONCATENATE("          ", "6401", " - ", "INTEREST EXPENSE")</f>
        <v xml:space="preserve">          6401 - INTEREST EXPENSE</v>
      </c>
      <c r="C66" s="11"/>
      <c r="D66" s="6"/>
      <c r="E66" s="2"/>
      <c r="F66" s="7">
        <f t="shared" si="36"/>
        <v>0</v>
      </c>
      <c r="G66" s="2"/>
      <c r="H66" s="6">
        <v>0</v>
      </c>
      <c r="I66" s="2"/>
      <c r="J66" s="7">
        <f t="shared" si="37"/>
        <v>0</v>
      </c>
      <c r="K66" s="2"/>
      <c r="L66" s="6">
        <f t="shared" si="38"/>
        <v>0</v>
      </c>
      <c r="M66" s="2"/>
      <c r="N66" s="7">
        <f t="shared" si="39"/>
        <v>0</v>
      </c>
      <c r="O66" s="11"/>
      <c r="P66" s="6"/>
      <c r="Q66" s="2"/>
      <c r="R66" s="7">
        <f t="shared" si="40"/>
        <v>0</v>
      </c>
      <c r="S66" s="2"/>
      <c r="T66" s="6">
        <v>0</v>
      </c>
      <c r="U66" s="2"/>
      <c r="V66" s="7">
        <f t="shared" si="41"/>
        <v>0</v>
      </c>
      <c r="W66" s="2"/>
      <c r="X66" s="6">
        <f t="shared" si="42"/>
        <v>0</v>
      </c>
      <c r="Y66" s="2"/>
      <c r="Z66" s="7">
        <f t="shared" si="43"/>
        <v>0</v>
      </c>
    </row>
    <row r="67" spans="1:26" s="24" customFormat="1" hidden="1" outlineLevel="2" x14ac:dyDescent="0.25">
      <c r="A67" s="25"/>
      <c r="B67" s="11" t="str">
        <f>CONCATENATE("          ", "6402", " - ", "INTEREST EXPENSE BOND ISSUANCE")</f>
        <v xml:space="preserve">          6402 - INTEREST EXPENSE BOND ISSUANCE</v>
      </c>
      <c r="C67" s="11"/>
      <c r="D67" s="6"/>
      <c r="E67" s="2"/>
      <c r="F67" s="7">
        <f t="shared" si="36"/>
        <v>0</v>
      </c>
      <c r="G67" s="2"/>
      <c r="H67" s="6">
        <v>0</v>
      </c>
      <c r="I67" s="2"/>
      <c r="J67" s="7">
        <f t="shared" si="37"/>
        <v>0</v>
      </c>
      <c r="K67" s="2"/>
      <c r="L67" s="6">
        <f t="shared" si="38"/>
        <v>0</v>
      </c>
      <c r="M67" s="2"/>
      <c r="N67" s="7">
        <f t="shared" si="39"/>
        <v>0</v>
      </c>
      <c r="O67" s="11"/>
      <c r="P67" s="6"/>
      <c r="Q67" s="2"/>
      <c r="R67" s="7">
        <f t="shared" si="40"/>
        <v>0</v>
      </c>
      <c r="S67" s="2"/>
      <c r="T67" s="6">
        <v>0</v>
      </c>
      <c r="U67" s="2"/>
      <c r="V67" s="7">
        <f t="shared" si="41"/>
        <v>0</v>
      </c>
      <c r="W67" s="2"/>
      <c r="X67" s="6">
        <f t="shared" si="42"/>
        <v>0</v>
      </c>
      <c r="Y67" s="2"/>
      <c r="Z67" s="7">
        <f t="shared" si="43"/>
        <v>0</v>
      </c>
    </row>
    <row r="68" spans="1:26" s="24" customFormat="1" hidden="1" outlineLevel="2" x14ac:dyDescent="0.25">
      <c r="A68" s="25"/>
      <c r="B68" s="11" t="str">
        <f>CONCATENATE("          ", "6403", " - ", "INTEREST EXPENSE LEASE EQUIP")</f>
        <v xml:space="preserve">          6403 - INTEREST EXPENSE LEASE EQUIP</v>
      </c>
      <c r="C68" s="11"/>
      <c r="D68" s="6"/>
      <c r="E68" s="2"/>
      <c r="F68" s="7">
        <f t="shared" si="36"/>
        <v>0</v>
      </c>
      <c r="G68" s="2"/>
      <c r="H68" s="6">
        <v>0</v>
      </c>
      <c r="I68" s="2"/>
      <c r="J68" s="7">
        <f t="shared" si="37"/>
        <v>0</v>
      </c>
      <c r="K68" s="2"/>
      <c r="L68" s="6">
        <f t="shared" si="38"/>
        <v>0</v>
      </c>
      <c r="M68" s="2"/>
      <c r="N68" s="7">
        <f t="shared" si="39"/>
        <v>0</v>
      </c>
      <c r="O68" s="11"/>
      <c r="P68" s="6"/>
      <c r="Q68" s="2"/>
      <c r="R68" s="7">
        <f t="shared" si="40"/>
        <v>0</v>
      </c>
      <c r="S68" s="2"/>
      <c r="T68" s="6">
        <v>0</v>
      </c>
      <c r="U68" s="2"/>
      <c r="V68" s="7">
        <f t="shared" si="41"/>
        <v>0</v>
      </c>
      <c r="W68" s="2"/>
      <c r="X68" s="6">
        <f t="shared" si="42"/>
        <v>0</v>
      </c>
      <c r="Y68" s="2"/>
      <c r="Z68" s="7">
        <f t="shared" si="43"/>
        <v>0</v>
      </c>
    </row>
    <row r="69" spans="1:26" s="27" customFormat="1" outlineLevel="1" collapsed="1" x14ac:dyDescent="0.25">
      <c r="A69" s="26"/>
      <c r="B69" s="13" t="str">
        <f>CONCATENATE("     ","Professional Services                             ")</f>
        <v xml:space="preserve">     Professional Services                             </v>
      </c>
      <c r="C69" s="13"/>
      <c r="D69" s="1">
        <f>SUM(OSRRefD22_13x_0)</f>
        <v>27350</v>
      </c>
      <c r="E69" s="1"/>
      <c r="F69" s="5">
        <f t="shared" ref="F69:F73" si="44">IF(D$12=0,0,D69/D$12)</f>
        <v>0</v>
      </c>
      <c r="G69" s="1"/>
      <c r="H69" s="1">
        <f>SUM(OSRRefH22_13x_0)</f>
        <v>13933</v>
      </c>
      <c r="I69" s="1"/>
      <c r="J69" s="5">
        <f t="shared" ref="J69:J73" si="45">IF(H$12=0,0,H69/H$12)</f>
        <v>0</v>
      </c>
      <c r="K69" s="1"/>
      <c r="L69" s="1">
        <f t="shared" ref="L69:L73" si="46">+D69-H69</f>
        <v>13417</v>
      </c>
      <c r="M69" s="1"/>
      <c r="N69" s="5">
        <f t="shared" ref="N69:N73" si="47">IF(H69=0,0,L69/H69)</f>
        <v>0.96296562118710971</v>
      </c>
      <c r="O69" s="13"/>
      <c r="P69" s="1">
        <f>SUM(OSRRefP22_13x_0)</f>
        <v>186349.25999999998</v>
      </c>
      <c r="Q69" s="1"/>
      <c r="R69" s="5">
        <f t="shared" ref="R69:R73" si="48">IF(P$12=0,0,P69/P$12)</f>
        <v>0</v>
      </c>
      <c r="S69" s="1"/>
      <c r="T69" s="1">
        <f>SUM(OSRRefT22_13x_0)</f>
        <v>183097</v>
      </c>
      <c r="U69" s="1"/>
      <c r="V69" s="5">
        <f t="shared" ref="V69:V73" si="49">IF(T$12=0,0,T69/T$12)</f>
        <v>915.48500000000001</v>
      </c>
      <c r="W69" s="1"/>
      <c r="X69" s="1">
        <f t="shared" ref="X69:X73" si="50">+P69-T69</f>
        <v>3252.2599999999802</v>
      </c>
      <c r="Y69" s="1"/>
      <c r="Z69" s="5">
        <f t="shared" ref="Z69:Z73" si="51">IF(T69=0,0,X69/T69)</f>
        <v>1.7762497474016398E-2</v>
      </c>
    </row>
    <row r="70" spans="1:26" s="24" customFormat="1" hidden="1" outlineLevel="2" x14ac:dyDescent="0.25">
      <c r="A70" s="25"/>
      <c r="B70" s="11" t="str">
        <f>CONCATENATE("          ", "6331", " - ", "INDIRECT COSTS-AUXILIARY ORGAN")</f>
        <v xml:space="preserve">          6331 - INDIRECT COSTS-AUXILIARY ORGAN</v>
      </c>
      <c r="C70" s="11"/>
      <c r="D70" s="6"/>
      <c r="E70" s="2"/>
      <c r="F70" s="7">
        <f t="shared" si="44"/>
        <v>0</v>
      </c>
      <c r="G70" s="2"/>
      <c r="H70" s="6"/>
      <c r="I70" s="2"/>
      <c r="J70" s="7">
        <f t="shared" si="45"/>
        <v>0</v>
      </c>
      <c r="K70" s="2"/>
      <c r="L70" s="6">
        <f t="shared" si="46"/>
        <v>0</v>
      </c>
      <c r="M70" s="2"/>
      <c r="N70" s="7">
        <f t="shared" si="47"/>
        <v>0</v>
      </c>
      <c r="O70" s="11"/>
      <c r="P70" s="6">
        <v>80236</v>
      </c>
      <c r="Q70" s="2"/>
      <c r="R70" s="7">
        <f t="shared" si="48"/>
        <v>0</v>
      </c>
      <c r="S70" s="2"/>
      <c r="T70" s="6">
        <v>85500</v>
      </c>
      <c r="U70" s="2"/>
      <c r="V70" s="7">
        <f t="shared" si="49"/>
        <v>427.5</v>
      </c>
      <c r="W70" s="2"/>
      <c r="X70" s="6">
        <f t="shared" si="50"/>
        <v>-5264</v>
      </c>
      <c r="Y70" s="2"/>
      <c r="Z70" s="7">
        <f t="shared" si="51"/>
        <v>-6.1567251461988305E-2</v>
      </c>
    </row>
    <row r="71" spans="1:26" s="24" customFormat="1" hidden="1" outlineLevel="2" x14ac:dyDescent="0.25">
      <c r="A71" s="25"/>
      <c r="B71" s="11" t="str">
        <f>CONCATENATE("          ", "6332", " - ", "CONSULTANT FEES")</f>
        <v xml:space="preserve">          6332 - CONSULTANT FEES</v>
      </c>
      <c r="C71" s="11"/>
      <c r="D71" s="6">
        <v>21750</v>
      </c>
      <c r="E71" s="2"/>
      <c r="F71" s="7">
        <f t="shared" si="44"/>
        <v>0</v>
      </c>
      <c r="G71" s="2"/>
      <c r="H71" s="6">
        <v>600</v>
      </c>
      <c r="I71" s="2"/>
      <c r="J71" s="7">
        <f t="shared" si="45"/>
        <v>0</v>
      </c>
      <c r="K71" s="2"/>
      <c r="L71" s="6">
        <f t="shared" si="46"/>
        <v>21150</v>
      </c>
      <c r="M71" s="2"/>
      <c r="N71" s="7">
        <f t="shared" si="47"/>
        <v>35.25</v>
      </c>
      <c r="O71" s="11"/>
      <c r="P71" s="6">
        <v>36894.74</v>
      </c>
      <c r="Q71" s="2"/>
      <c r="R71" s="7">
        <f t="shared" si="48"/>
        <v>0</v>
      </c>
      <c r="S71" s="2"/>
      <c r="T71" s="6">
        <v>33400</v>
      </c>
      <c r="U71" s="2"/>
      <c r="V71" s="7">
        <f t="shared" si="49"/>
        <v>167</v>
      </c>
      <c r="W71" s="2"/>
      <c r="X71" s="6">
        <f t="shared" si="50"/>
        <v>3494.739999999998</v>
      </c>
      <c r="Y71" s="2"/>
      <c r="Z71" s="7">
        <f t="shared" si="51"/>
        <v>0.10463293413173647</v>
      </c>
    </row>
    <row r="72" spans="1:26" s="24" customFormat="1" hidden="1" outlineLevel="2" x14ac:dyDescent="0.25">
      <c r="A72" s="25"/>
      <c r="B72" s="11" t="str">
        <f>CONCATENATE("          ", "6334", " - ", "LEGAL COUNCIL EXPENSE")</f>
        <v xml:space="preserve">          6334 - LEGAL COUNCIL EXPENSE</v>
      </c>
      <c r="C72" s="11"/>
      <c r="D72" s="6"/>
      <c r="E72" s="2"/>
      <c r="F72" s="7">
        <f t="shared" si="44"/>
        <v>0</v>
      </c>
      <c r="G72" s="2"/>
      <c r="H72" s="6">
        <v>1333</v>
      </c>
      <c r="I72" s="2"/>
      <c r="J72" s="7">
        <f t="shared" si="45"/>
        <v>0</v>
      </c>
      <c r="K72" s="2"/>
      <c r="L72" s="6">
        <f t="shared" si="46"/>
        <v>-1333</v>
      </c>
      <c r="M72" s="2"/>
      <c r="N72" s="7">
        <f t="shared" si="47"/>
        <v>-1</v>
      </c>
      <c r="O72" s="11"/>
      <c r="P72" s="6">
        <v>39175</v>
      </c>
      <c r="Q72" s="2"/>
      <c r="R72" s="7">
        <f t="shared" si="48"/>
        <v>0</v>
      </c>
      <c r="S72" s="2"/>
      <c r="T72" s="6">
        <v>10697</v>
      </c>
      <c r="U72" s="2"/>
      <c r="V72" s="7">
        <f t="shared" si="49"/>
        <v>53.484999999999999</v>
      </c>
      <c r="W72" s="2"/>
      <c r="X72" s="6">
        <f t="shared" si="50"/>
        <v>28478</v>
      </c>
      <c r="Y72" s="2"/>
      <c r="Z72" s="7">
        <f t="shared" si="51"/>
        <v>2.6622417500233708</v>
      </c>
    </row>
    <row r="73" spans="1:26" s="24" customFormat="1" hidden="1" outlineLevel="2" x14ac:dyDescent="0.25">
      <c r="A73" s="25"/>
      <c r="B73" s="11" t="str">
        <f>CONCATENATE("          ", "6336", " - ", "PROFESSIONAL SERVICES")</f>
        <v xml:space="preserve">          6336 - PROFESSIONAL SERVICES</v>
      </c>
      <c r="C73" s="11"/>
      <c r="D73" s="6">
        <v>5600</v>
      </c>
      <c r="E73" s="2"/>
      <c r="F73" s="7">
        <f t="shared" si="44"/>
        <v>0</v>
      </c>
      <c r="G73" s="2"/>
      <c r="H73" s="6">
        <v>12000</v>
      </c>
      <c r="I73" s="2"/>
      <c r="J73" s="7">
        <f t="shared" si="45"/>
        <v>0</v>
      </c>
      <c r="K73" s="2"/>
      <c r="L73" s="6">
        <f t="shared" si="46"/>
        <v>-6400</v>
      </c>
      <c r="M73" s="2"/>
      <c r="N73" s="7">
        <f t="shared" si="47"/>
        <v>-0.53333333333333333</v>
      </c>
      <c r="O73" s="11"/>
      <c r="P73" s="6">
        <v>30043.52</v>
      </c>
      <c r="Q73" s="2"/>
      <c r="R73" s="7">
        <f t="shared" si="48"/>
        <v>0</v>
      </c>
      <c r="S73" s="2"/>
      <c r="T73" s="6">
        <v>53500</v>
      </c>
      <c r="U73" s="2"/>
      <c r="V73" s="7">
        <f t="shared" si="49"/>
        <v>267.5</v>
      </c>
      <c r="W73" s="2"/>
      <c r="X73" s="6">
        <f t="shared" si="50"/>
        <v>-23456.48</v>
      </c>
      <c r="Y73" s="2"/>
      <c r="Z73" s="7">
        <f t="shared" si="51"/>
        <v>-0.43843887850467289</v>
      </c>
    </row>
    <row r="74" spans="1:26" s="27" customFormat="1" outlineLevel="1" collapsed="1" x14ac:dyDescent="0.25">
      <c r="A74" s="26"/>
      <c r="B74" s="13" t="str">
        <f>CONCATENATE("     ","Repair and Maintenance                            ")</f>
        <v xml:space="preserve">     Repair and Maintenance                            </v>
      </c>
      <c r="C74" s="13"/>
      <c r="D74" s="1">
        <f>SUM(OSRRefD22_14x_0)</f>
        <v>43554.270000000004</v>
      </c>
      <c r="E74" s="1"/>
      <c r="F74" s="5">
        <f t="shared" ref="F74:F78" si="52">IF(D$12=0,0,D74/D$12)</f>
        <v>0</v>
      </c>
      <c r="G74" s="1"/>
      <c r="H74" s="1">
        <f>SUM(OSRRefH22_14x_0)</f>
        <v>42415</v>
      </c>
      <c r="I74" s="1"/>
      <c r="J74" s="5">
        <f t="shared" ref="J74:J78" si="53">IF(H$12=0,0,H74/H$12)</f>
        <v>0</v>
      </c>
      <c r="K74" s="1"/>
      <c r="L74" s="1">
        <f t="shared" ref="L74:L78" si="54">+D74-H74</f>
        <v>1139.2700000000041</v>
      </c>
      <c r="M74" s="1"/>
      <c r="N74" s="5">
        <f t="shared" ref="N74:N78" si="55">IF(H74=0,0,L74/H74)</f>
        <v>2.686007308735127E-2</v>
      </c>
      <c r="O74" s="13"/>
      <c r="P74" s="1">
        <f>SUM(OSRRefP22_14x_0)</f>
        <v>279563.57</v>
      </c>
      <c r="Q74" s="1"/>
      <c r="R74" s="5">
        <f t="shared" ref="R74:R78" si="56">IF(P$12=0,0,P74/P$12)</f>
        <v>0</v>
      </c>
      <c r="S74" s="1"/>
      <c r="T74" s="1">
        <f>SUM(OSRRefT22_14x_0)</f>
        <v>284195</v>
      </c>
      <c r="U74" s="1"/>
      <c r="V74" s="5">
        <f t="shared" ref="V74:V78" si="57">IF(T$12=0,0,T74/T$12)</f>
        <v>1420.9749999999999</v>
      </c>
      <c r="W74" s="1"/>
      <c r="X74" s="1">
        <f t="shared" ref="X74:X78" si="58">+P74-T74</f>
        <v>-4631.429999999993</v>
      </c>
      <c r="Y74" s="1"/>
      <c r="Z74" s="5">
        <f t="shared" ref="Z74:Z78" si="59">IF(T74=0,0,X74/T74)</f>
        <v>-1.6296662502858928E-2</v>
      </c>
    </row>
    <row r="75" spans="1:26" s="24" customFormat="1" hidden="1" outlineLevel="2" x14ac:dyDescent="0.25">
      <c r="A75" s="25"/>
      <c r="B75" s="11" t="str">
        <f>CONCATENATE("          ", "6371", " - ", "COMPUTER SOFTWARE MAINTENANCE")</f>
        <v xml:space="preserve">          6371 - COMPUTER SOFTWARE MAINTENANCE</v>
      </c>
      <c r="C75" s="11"/>
      <c r="D75" s="6">
        <v>28469.59</v>
      </c>
      <c r="E75" s="2"/>
      <c r="F75" s="7">
        <f t="shared" si="52"/>
        <v>0</v>
      </c>
      <c r="G75" s="2"/>
      <c r="H75" s="6">
        <v>25320</v>
      </c>
      <c r="I75" s="2"/>
      <c r="J75" s="7">
        <f t="shared" si="53"/>
        <v>0</v>
      </c>
      <c r="K75" s="2"/>
      <c r="L75" s="6">
        <f t="shared" si="54"/>
        <v>3149.59</v>
      </c>
      <c r="M75" s="2"/>
      <c r="N75" s="7">
        <f t="shared" si="55"/>
        <v>0.12439139020537125</v>
      </c>
      <c r="O75" s="11"/>
      <c r="P75" s="6">
        <v>146771.84</v>
      </c>
      <c r="Q75" s="2"/>
      <c r="R75" s="7">
        <f t="shared" si="56"/>
        <v>0</v>
      </c>
      <c r="S75" s="2"/>
      <c r="T75" s="6">
        <v>138960</v>
      </c>
      <c r="U75" s="2"/>
      <c r="V75" s="7">
        <f t="shared" si="57"/>
        <v>694.8</v>
      </c>
      <c r="W75" s="2"/>
      <c r="X75" s="6">
        <f t="shared" si="58"/>
        <v>7811.8399999999965</v>
      </c>
      <c r="Y75" s="2"/>
      <c r="Z75" s="7">
        <f t="shared" si="59"/>
        <v>5.6216465169833023E-2</v>
      </c>
    </row>
    <row r="76" spans="1:26" s="24" customFormat="1" hidden="1" outlineLevel="2" x14ac:dyDescent="0.25">
      <c r="A76" s="25"/>
      <c r="B76" s="11" t="str">
        <f>CONCATENATE("          ", "6372", " - ", "COMPUTER HARDWARE MAINTENANCE")</f>
        <v xml:space="preserve">          6372 - COMPUTER HARDWARE MAINTENANCE</v>
      </c>
      <c r="C76" s="11"/>
      <c r="D76" s="6"/>
      <c r="E76" s="2"/>
      <c r="F76" s="7">
        <f t="shared" si="52"/>
        <v>0</v>
      </c>
      <c r="G76" s="2"/>
      <c r="H76" s="6">
        <v>1000</v>
      </c>
      <c r="I76" s="2"/>
      <c r="J76" s="7">
        <f t="shared" si="53"/>
        <v>0</v>
      </c>
      <c r="K76" s="2"/>
      <c r="L76" s="6">
        <f t="shared" si="54"/>
        <v>-1000</v>
      </c>
      <c r="M76" s="2"/>
      <c r="N76" s="7">
        <f t="shared" si="55"/>
        <v>-1</v>
      </c>
      <c r="O76" s="11"/>
      <c r="P76" s="6"/>
      <c r="Q76" s="2"/>
      <c r="R76" s="7">
        <f t="shared" si="56"/>
        <v>0</v>
      </c>
      <c r="S76" s="2"/>
      <c r="T76" s="6">
        <v>7500</v>
      </c>
      <c r="U76" s="2"/>
      <c r="V76" s="7">
        <f t="shared" si="57"/>
        <v>37.5</v>
      </c>
      <c r="W76" s="2"/>
      <c r="X76" s="6">
        <f t="shared" si="58"/>
        <v>-7500</v>
      </c>
      <c r="Y76" s="2"/>
      <c r="Z76" s="7">
        <f t="shared" si="59"/>
        <v>-1</v>
      </c>
    </row>
    <row r="77" spans="1:26" s="24" customFormat="1" hidden="1" outlineLevel="2" x14ac:dyDescent="0.25">
      <c r="A77" s="25"/>
      <c r="B77" s="11" t="str">
        <f>CONCATENATE("          ", "6373", " - ", "MAINTENANCE CONTRACTS")</f>
        <v xml:space="preserve">          6373 - MAINTENANCE CONTRACTS</v>
      </c>
      <c r="C77" s="11"/>
      <c r="D77" s="6">
        <v>13623.57</v>
      </c>
      <c r="E77" s="2"/>
      <c r="F77" s="7">
        <f t="shared" si="52"/>
        <v>0</v>
      </c>
      <c r="G77" s="2"/>
      <c r="H77" s="6">
        <v>16095</v>
      </c>
      <c r="I77" s="2"/>
      <c r="J77" s="7">
        <f t="shared" si="53"/>
        <v>0</v>
      </c>
      <c r="K77" s="2"/>
      <c r="L77" s="6">
        <f t="shared" si="54"/>
        <v>-2471.4300000000003</v>
      </c>
      <c r="M77" s="2"/>
      <c r="N77" s="7">
        <f t="shared" si="55"/>
        <v>-0.15355265610438026</v>
      </c>
      <c r="O77" s="11"/>
      <c r="P77" s="6">
        <v>129621.54000000001</v>
      </c>
      <c r="Q77" s="2"/>
      <c r="R77" s="7">
        <f t="shared" si="56"/>
        <v>0</v>
      </c>
      <c r="S77" s="2"/>
      <c r="T77" s="6">
        <v>137735</v>
      </c>
      <c r="U77" s="2"/>
      <c r="V77" s="7">
        <f t="shared" si="57"/>
        <v>688.67499999999995</v>
      </c>
      <c r="W77" s="2"/>
      <c r="X77" s="6">
        <f t="shared" si="58"/>
        <v>-8113.4599999999919</v>
      </c>
      <c r="Y77" s="2"/>
      <c r="Z77" s="7">
        <f t="shared" si="59"/>
        <v>-5.89063055868152E-2</v>
      </c>
    </row>
    <row r="78" spans="1:26" s="24" customFormat="1" hidden="1" outlineLevel="2" x14ac:dyDescent="0.25">
      <c r="A78" s="25"/>
      <c r="B78" s="11" t="str">
        <f>CONCATENATE("          ", "6375", " - ", "OUTSIDE REPAIRS &amp; MAINTENANCE")</f>
        <v xml:space="preserve">          6375 - OUTSIDE REPAIRS &amp; MAINTENANCE</v>
      </c>
      <c r="C78" s="11"/>
      <c r="D78" s="6">
        <v>1461.11</v>
      </c>
      <c r="E78" s="2"/>
      <c r="F78" s="7">
        <f t="shared" si="52"/>
        <v>0</v>
      </c>
      <c r="G78" s="2"/>
      <c r="H78" s="6"/>
      <c r="I78" s="2"/>
      <c r="J78" s="7">
        <f t="shared" si="53"/>
        <v>0</v>
      </c>
      <c r="K78" s="2"/>
      <c r="L78" s="6">
        <f t="shared" si="54"/>
        <v>1461.11</v>
      </c>
      <c r="M78" s="2"/>
      <c r="N78" s="7">
        <f t="shared" si="55"/>
        <v>0</v>
      </c>
      <c r="O78" s="11"/>
      <c r="P78" s="6">
        <v>3170.19</v>
      </c>
      <c r="Q78" s="2"/>
      <c r="R78" s="7">
        <f t="shared" si="56"/>
        <v>0</v>
      </c>
      <c r="S78" s="2"/>
      <c r="T78" s="6"/>
      <c r="U78" s="2"/>
      <c r="V78" s="7">
        <f t="shared" si="57"/>
        <v>0</v>
      </c>
      <c r="W78" s="2"/>
      <c r="X78" s="6">
        <f t="shared" si="58"/>
        <v>3170.19</v>
      </c>
      <c r="Y78" s="2"/>
      <c r="Z78" s="7">
        <f t="shared" si="59"/>
        <v>0</v>
      </c>
    </row>
    <row r="79" spans="1:26" s="27" customFormat="1" outlineLevel="1" collapsed="1" x14ac:dyDescent="0.25">
      <c r="A79" s="26"/>
      <c r="B79" s="13" t="str">
        <f>CONCATENATE("     ","Services                                          ")</f>
        <v xml:space="preserve">     Services                                          </v>
      </c>
      <c r="C79" s="13"/>
      <c r="D79" s="1">
        <f>SUM(OSRRefD22_15x_0)</f>
        <v>13.26</v>
      </c>
      <c r="E79" s="1"/>
      <c r="F79" s="5">
        <f t="shared" ref="F79:F81" si="60">IF(D$12=0,0,D79/D$12)</f>
        <v>0</v>
      </c>
      <c r="G79" s="1"/>
      <c r="H79" s="1">
        <f>SUM(OSRRefH22_15x_0)</f>
        <v>610</v>
      </c>
      <c r="I79" s="1"/>
      <c r="J79" s="5">
        <f t="shared" ref="J79:J81" si="61">IF(H$12=0,0,H79/H$12)</f>
        <v>0</v>
      </c>
      <c r="K79" s="1"/>
      <c r="L79" s="1">
        <f t="shared" ref="L79:L81" si="62">+D79-H79</f>
        <v>-596.74</v>
      </c>
      <c r="M79" s="1"/>
      <c r="N79" s="5">
        <f t="shared" ref="N79:N81" si="63">IF(H79=0,0,L79/H79)</f>
        <v>-0.97826229508196727</v>
      </c>
      <c r="O79" s="13"/>
      <c r="P79" s="1">
        <f>SUM(OSRRefP22_15x_0)</f>
        <v>9513.9499999999989</v>
      </c>
      <c r="Q79" s="1"/>
      <c r="R79" s="5">
        <f t="shared" ref="R79:R81" si="64">IF(P$12=0,0,P79/P$12)</f>
        <v>0</v>
      </c>
      <c r="S79" s="1"/>
      <c r="T79" s="1">
        <f>SUM(OSRRefT22_15x_0)</f>
        <v>5490</v>
      </c>
      <c r="U79" s="1"/>
      <c r="V79" s="5">
        <f t="shared" ref="V79:V81" si="65">IF(T$12=0,0,T79/T$12)</f>
        <v>27.45</v>
      </c>
      <c r="W79" s="1"/>
      <c r="X79" s="1">
        <f t="shared" ref="X79:X81" si="66">+P79-T79</f>
        <v>4023.9499999999989</v>
      </c>
      <c r="Y79" s="1"/>
      <c r="Z79" s="5">
        <f t="shared" ref="Z79:Z81" si="67">IF(T79=0,0,X79/T79)</f>
        <v>0.73295992714025482</v>
      </c>
    </row>
    <row r="80" spans="1:26" s="24" customFormat="1" hidden="1" outlineLevel="2" x14ac:dyDescent="0.25">
      <c r="A80" s="25"/>
      <c r="B80" s="11" t="str">
        <f>CONCATENATE("          ", "6281", " - ", "STORAGE FEE")</f>
        <v xml:space="preserve">          6281 - STORAGE FEE</v>
      </c>
      <c r="C80" s="11"/>
      <c r="D80" s="6"/>
      <c r="E80" s="2"/>
      <c r="F80" s="7">
        <f t="shared" si="60"/>
        <v>0</v>
      </c>
      <c r="G80" s="2"/>
      <c r="H80" s="6">
        <v>600</v>
      </c>
      <c r="I80" s="2"/>
      <c r="J80" s="7">
        <f t="shared" si="61"/>
        <v>0</v>
      </c>
      <c r="K80" s="2"/>
      <c r="L80" s="6">
        <f t="shared" si="62"/>
        <v>-600</v>
      </c>
      <c r="M80" s="2"/>
      <c r="N80" s="7">
        <f t="shared" si="63"/>
        <v>-1</v>
      </c>
      <c r="O80" s="11"/>
      <c r="P80" s="6">
        <v>9429.9699999999993</v>
      </c>
      <c r="Q80" s="2"/>
      <c r="R80" s="7">
        <f t="shared" si="64"/>
        <v>0</v>
      </c>
      <c r="S80" s="2"/>
      <c r="T80" s="6">
        <v>5400</v>
      </c>
      <c r="U80" s="2"/>
      <c r="V80" s="7">
        <f t="shared" si="65"/>
        <v>27</v>
      </c>
      <c r="W80" s="2"/>
      <c r="X80" s="6">
        <f t="shared" si="66"/>
        <v>4029.9699999999993</v>
      </c>
      <c r="Y80" s="2"/>
      <c r="Z80" s="7">
        <f t="shared" si="67"/>
        <v>0.74629074074074064</v>
      </c>
    </row>
    <row r="81" spans="1:26" s="24" customFormat="1" hidden="1" outlineLevel="2" x14ac:dyDescent="0.25">
      <c r="A81" s="25"/>
      <c r="B81" s="11" t="str">
        <f>CONCATENATE("          ", "6286", " - ", "LAUNDRY EXPENSE")</f>
        <v xml:space="preserve">          6286 - LAUNDRY EXPENSE</v>
      </c>
      <c r="C81" s="11"/>
      <c r="D81" s="6">
        <v>13.26</v>
      </c>
      <c r="E81" s="2"/>
      <c r="F81" s="7">
        <f t="shared" si="60"/>
        <v>0</v>
      </c>
      <c r="G81" s="2"/>
      <c r="H81" s="6">
        <v>10</v>
      </c>
      <c r="I81" s="2"/>
      <c r="J81" s="7">
        <f t="shared" si="61"/>
        <v>0</v>
      </c>
      <c r="K81" s="2"/>
      <c r="L81" s="6">
        <f t="shared" si="62"/>
        <v>3.26</v>
      </c>
      <c r="M81" s="2"/>
      <c r="N81" s="7">
        <f t="shared" si="63"/>
        <v>0.32599999999999996</v>
      </c>
      <c r="O81" s="11"/>
      <c r="P81" s="6">
        <v>83.98</v>
      </c>
      <c r="Q81" s="2"/>
      <c r="R81" s="7">
        <f t="shared" si="64"/>
        <v>0</v>
      </c>
      <c r="S81" s="2"/>
      <c r="T81" s="6">
        <v>90</v>
      </c>
      <c r="U81" s="2"/>
      <c r="V81" s="7">
        <f t="shared" si="65"/>
        <v>0.45</v>
      </c>
      <c r="W81" s="2"/>
      <c r="X81" s="6">
        <f t="shared" si="66"/>
        <v>-6.019999999999996</v>
      </c>
      <c r="Y81" s="2"/>
      <c r="Z81" s="7">
        <f t="shared" si="67"/>
        <v>-6.6888888888888845E-2</v>
      </c>
    </row>
    <row r="82" spans="1:26" s="27" customFormat="1" outlineLevel="1" collapsed="1" x14ac:dyDescent="0.25">
      <c r="A82" s="26"/>
      <c r="B82" s="13" t="str">
        <f>CONCATENATE("     ","Subscriptions &amp; Dues                              ")</f>
        <v xml:space="preserve">     Subscriptions &amp; Dues                              </v>
      </c>
      <c r="C82" s="13"/>
      <c r="D82" s="1">
        <f>SUM(OSRRefD22_16x_0)</f>
        <v>0</v>
      </c>
      <c r="E82" s="1"/>
      <c r="F82" s="5">
        <f t="shared" ref="F82:F84" si="68">IF(D$12=0,0,D82/D$12)</f>
        <v>0</v>
      </c>
      <c r="G82" s="1"/>
      <c r="H82" s="1">
        <f>SUM(OSRRefH22_16x_0)</f>
        <v>100</v>
      </c>
      <c r="I82" s="1"/>
      <c r="J82" s="5">
        <f t="shared" ref="J82:J84" si="69">IF(H$12=0,0,H82/H$12)</f>
        <v>0</v>
      </c>
      <c r="K82" s="1"/>
      <c r="L82" s="1">
        <f t="shared" ref="L82:L84" si="70">+D82-H82</f>
        <v>-100</v>
      </c>
      <c r="M82" s="1"/>
      <c r="N82" s="5">
        <f t="shared" ref="N82:N84" si="71">IF(H82=0,0,L82/H82)</f>
        <v>-1</v>
      </c>
      <c r="O82" s="13"/>
      <c r="P82" s="1">
        <f>SUM(OSRRefP22_16x_0)</f>
        <v>2421</v>
      </c>
      <c r="Q82" s="1"/>
      <c r="R82" s="5">
        <f t="shared" ref="R82:R84" si="72">IF(P$12=0,0,P82/P$12)</f>
        <v>0</v>
      </c>
      <c r="S82" s="1"/>
      <c r="T82" s="1">
        <f>SUM(OSRRefT22_16x_0)</f>
        <v>9359</v>
      </c>
      <c r="U82" s="1"/>
      <c r="V82" s="5">
        <f t="shared" ref="V82:V84" si="73">IF(T$12=0,0,T82/T$12)</f>
        <v>46.795000000000002</v>
      </c>
      <c r="W82" s="1"/>
      <c r="X82" s="1">
        <f t="shared" ref="X82:X84" si="74">+P82-T82</f>
        <v>-6938</v>
      </c>
      <c r="Y82" s="1"/>
      <c r="Z82" s="5">
        <f t="shared" ref="Z82:Z84" si="75">IF(T82=0,0,X82/T82)</f>
        <v>-0.74131851693557005</v>
      </c>
    </row>
    <row r="83" spans="1:26" s="24" customFormat="1" hidden="1" outlineLevel="2" x14ac:dyDescent="0.25">
      <c r="A83" s="25"/>
      <c r="B83" s="11" t="str">
        <f>CONCATENATE("          ", "6258", " - ", "MEMBERSHIP DUES")</f>
        <v xml:space="preserve">          6258 - MEMBERSHIP DUES</v>
      </c>
      <c r="C83" s="11"/>
      <c r="D83" s="6"/>
      <c r="E83" s="2"/>
      <c r="F83" s="7">
        <f t="shared" si="68"/>
        <v>0</v>
      </c>
      <c r="G83" s="2"/>
      <c r="H83" s="6"/>
      <c r="I83" s="2"/>
      <c r="J83" s="7">
        <f t="shared" si="69"/>
        <v>0</v>
      </c>
      <c r="K83" s="2"/>
      <c r="L83" s="6">
        <f t="shared" si="70"/>
        <v>0</v>
      </c>
      <c r="M83" s="2"/>
      <c r="N83" s="7">
        <f t="shared" si="71"/>
        <v>0</v>
      </c>
      <c r="O83" s="11"/>
      <c r="P83" s="6">
        <v>2421</v>
      </c>
      <c r="Q83" s="2"/>
      <c r="R83" s="7">
        <f t="shared" si="72"/>
        <v>0</v>
      </c>
      <c r="S83" s="2"/>
      <c r="T83" s="6">
        <v>8359</v>
      </c>
      <c r="U83" s="2"/>
      <c r="V83" s="7">
        <f t="shared" si="73"/>
        <v>41.795000000000002</v>
      </c>
      <c r="W83" s="2"/>
      <c r="X83" s="6">
        <f t="shared" si="74"/>
        <v>-5938</v>
      </c>
      <c r="Y83" s="2"/>
      <c r="Z83" s="7">
        <f t="shared" si="75"/>
        <v>-0.71037205407345372</v>
      </c>
    </row>
    <row r="84" spans="1:26" s="24" customFormat="1" hidden="1" outlineLevel="2" x14ac:dyDescent="0.25">
      <c r="A84" s="25"/>
      <c r="B84" s="11" t="str">
        <f>CONCATENATE("          ", "6275", " - ", "SUBSCRIPTIONS")</f>
        <v xml:space="preserve">          6275 - SUBSCRIPTIONS</v>
      </c>
      <c r="C84" s="11"/>
      <c r="D84" s="6"/>
      <c r="E84" s="2"/>
      <c r="F84" s="7">
        <f t="shared" si="68"/>
        <v>0</v>
      </c>
      <c r="G84" s="2"/>
      <c r="H84" s="6">
        <v>100</v>
      </c>
      <c r="I84" s="2"/>
      <c r="J84" s="7">
        <f t="shared" si="69"/>
        <v>0</v>
      </c>
      <c r="K84" s="2"/>
      <c r="L84" s="6">
        <f t="shared" si="70"/>
        <v>-100</v>
      </c>
      <c r="M84" s="2"/>
      <c r="N84" s="7">
        <f t="shared" si="71"/>
        <v>-1</v>
      </c>
      <c r="O84" s="11"/>
      <c r="P84" s="6"/>
      <c r="Q84" s="2"/>
      <c r="R84" s="7">
        <f t="shared" si="72"/>
        <v>0</v>
      </c>
      <c r="S84" s="2"/>
      <c r="T84" s="6">
        <v>1000</v>
      </c>
      <c r="U84" s="2"/>
      <c r="V84" s="7">
        <f t="shared" si="73"/>
        <v>5</v>
      </c>
      <c r="W84" s="2"/>
      <c r="X84" s="6">
        <f t="shared" si="74"/>
        <v>-1000</v>
      </c>
      <c r="Y84" s="2"/>
      <c r="Z84" s="7">
        <f t="shared" si="75"/>
        <v>-1</v>
      </c>
    </row>
    <row r="85" spans="1:26" s="27" customFormat="1" outlineLevel="1" collapsed="1" x14ac:dyDescent="0.25">
      <c r="A85" s="26"/>
      <c r="B85" s="13" t="str">
        <f>CONCATENATE("     ","Supplies                                          ")</f>
        <v xml:space="preserve">     Supplies                                          </v>
      </c>
      <c r="C85" s="13"/>
      <c r="D85" s="1">
        <f>SUM(OSRRefD22_17x_0)</f>
        <v>4225.63</v>
      </c>
      <c r="E85" s="1"/>
      <c r="F85" s="5">
        <f t="shared" ref="F85:F90" si="76">IF(D$12=0,0,D85/D$12)</f>
        <v>0</v>
      </c>
      <c r="G85" s="1"/>
      <c r="H85" s="1">
        <f>SUM(OSRRefH22_17x_0)</f>
        <v>3602</v>
      </c>
      <c r="I85" s="1"/>
      <c r="J85" s="5">
        <f t="shared" ref="J85:J90" si="77">IF(H$12=0,0,H85/H$12)</f>
        <v>0</v>
      </c>
      <c r="K85" s="1"/>
      <c r="L85" s="1">
        <f t="shared" ref="L85:L90" si="78">+D85-H85</f>
        <v>623.63000000000011</v>
      </c>
      <c r="M85" s="1"/>
      <c r="N85" s="5">
        <f t="shared" ref="N85:N90" si="79">IF(H85=0,0,L85/H85)</f>
        <v>0.1731343697945586</v>
      </c>
      <c r="O85" s="13"/>
      <c r="P85" s="1">
        <f>SUM(OSRRefP22_17x_0)</f>
        <v>55342.249999999993</v>
      </c>
      <c r="Q85" s="1"/>
      <c r="R85" s="5">
        <f t="shared" ref="R85:R90" si="80">IF(P$12=0,0,P85/P$12)</f>
        <v>0</v>
      </c>
      <c r="S85" s="1"/>
      <c r="T85" s="1">
        <f>SUM(OSRRefT22_17x_0)</f>
        <v>36818</v>
      </c>
      <c r="U85" s="1"/>
      <c r="V85" s="5">
        <f t="shared" ref="V85:V90" si="81">IF(T$12=0,0,T85/T$12)</f>
        <v>184.09</v>
      </c>
      <c r="W85" s="1"/>
      <c r="X85" s="1">
        <f t="shared" ref="X85:X90" si="82">+P85-T85</f>
        <v>18524.249999999993</v>
      </c>
      <c r="Y85" s="1"/>
      <c r="Z85" s="5">
        <f t="shared" ref="Z85:Z90" si="83">IF(T85=0,0,X85/T85)</f>
        <v>0.5031302623716658</v>
      </c>
    </row>
    <row r="86" spans="1:26" s="24" customFormat="1" hidden="1" outlineLevel="2" x14ac:dyDescent="0.25">
      <c r="A86" s="25"/>
      <c r="B86" s="11" t="str">
        <f>CONCATENATE("          ", "6234", " - ", "EXPENDABLE SUPPLIES &amp; EQUIPMEN")</f>
        <v xml:space="preserve">          6234 - EXPENDABLE SUPPLIES &amp; EQUIPMEN</v>
      </c>
      <c r="C86" s="11"/>
      <c r="D86" s="6"/>
      <c r="E86" s="2"/>
      <c r="F86" s="7">
        <f t="shared" si="76"/>
        <v>0</v>
      </c>
      <c r="G86" s="2"/>
      <c r="H86" s="6">
        <v>500</v>
      </c>
      <c r="I86" s="2"/>
      <c r="J86" s="7">
        <f t="shared" si="77"/>
        <v>0</v>
      </c>
      <c r="K86" s="2"/>
      <c r="L86" s="6">
        <f t="shared" si="78"/>
        <v>-500</v>
      </c>
      <c r="M86" s="2"/>
      <c r="N86" s="7">
        <f t="shared" si="79"/>
        <v>-1</v>
      </c>
      <c r="O86" s="11"/>
      <c r="P86" s="6">
        <v>1223.6099999999999</v>
      </c>
      <c r="Q86" s="2"/>
      <c r="R86" s="7">
        <f t="shared" si="80"/>
        <v>0</v>
      </c>
      <c r="S86" s="2"/>
      <c r="T86" s="6">
        <v>6100</v>
      </c>
      <c r="U86" s="2"/>
      <c r="V86" s="7">
        <f t="shared" si="81"/>
        <v>30.5</v>
      </c>
      <c r="W86" s="2"/>
      <c r="X86" s="6">
        <f t="shared" si="82"/>
        <v>-4876.3900000000003</v>
      </c>
      <c r="Y86" s="2"/>
      <c r="Z86" s="7">
        <f t="shared" si="83"/>
        <v>-0.79940819672131158</v>
      </c>
    </row>
    <row r="87" spans="1:26" s="24" customFormat="1" hidden="1" outlineLevel="2" x14ac:dyDescent="0.25">
      <c r="A87" s="25"/>
      <c r="B87" s="11" t="str">
        <f>CONCATENATE("          ", "6241", " - ", "OFFICE EXPENSE")</f>
        <v xml:space="preserve">          6241 - OFFICE EXPENSE</v>
      </c>
      <c r="C87" s="11"/>
      <c r="D87" s="6">
        <v>4122.55</v>
      </c>
      <c r="E87" s="2"/>
      <c r="F87" s="7">
        <f t="shared" si="76"/>
        <v>0</v>
      </c>
      <c r="G87" s="2"/>
      <c r="H87" s="6">
        <v>2685</v>
      </c>
      <c r="I87" s="2"/>
      <c r="J87" s="7">
        <f t="shared" si="77"/>
        <v>0</v>
      </c>
      <c r="K87" s="2"/>
      <c r="L87" s="6">
        <f t="shared" si="78"/>
        <v>1437.5500000000002</v>
      </c>
      <c r="M87" s="2"/>
      <c r="N87" s="7">
        <f t="shared" si="79"/>
        <v>0.53540037243947869</v>
      </c>
      <c r="O87" s="11"/>
      <c r="P87" s="6">
        <v>48763.38</v>
      </c>
      <c r="Q87" s="2"/>
      <c r="R87" s="7">
        <f t="shared" si="80"/>
        <v>0</v>
      </c>
      <c r="S87" s="2"/>
      <c r="T87" s="6">
        <v>26265</v>
      </c>
      <c r="U87" s="2"/>
      <c r="V87" s="7">
        <f t="shared" si="81"/>
        <v>131.32499999999999</v>
      </c>
      <c r="W87" s="2"/>
      <c r="X87" s="6">
        <f t="shared" si="82"/>
        <v>22498.379999999997</v>
      </c>
      <c r="Y87" s="2"/>
      <c r="Z87" s="7">
        <f t="shared" si="83"/>
        <v>0.85659166190748137</v>
      </c>
    </row>
    <row r="88" spans="1:26" s="24" customFormat="1" hidden="1" outlineLevel="2" x14ac:dyDescent="0.25">
      <c r="A88" s="25"/>
      <c r="B88" s="11" t="str">
        <f>CONCATENATE("          ", "6244", " - ", "SAFETY SUPPLY EXPENSE")</f>
        <v xml:space="preserve">          6244 - SAFETY SUPPLY EXPENSE</v>
      </c>
      <c r="C88" s="11"/>
      <c r="D88" s="6">
        <v>103.08</v>
      </c>
      <c r="E88" s="2"/>
      <c r="F88" s="7">
        <f t="shared" si="76"/>
        <v>0</v>
      </c>
      <c r="G88" s="2"/>
      <c r="H88" s="6">
        <v>417</v>
      </c>
      <c r="I88" s="2"/>
      <c r="J88" s="7">
        <f t="shared" si="77"/>
        <v>0</v>
      </c>
      <c r="K88" s="2"/>
      <c r="L88" s="6">
        <f t="shared" si="78"/>
        <v>-313.92</v>
      </c>
      <c r="M88" s="2"/>
      <c r="N88" s="7">
        <f t="shared" si="79"/>
        <v>-0.75280575539568351</v>
      </c>
      <c r="O88" s="11"/>
      <c r="P88" s="6">
        <v>2110.41</v>
      </c>
      <c r="Q88" s="2"/>
      <c r="R88" s="7">
        <f t="shared" si="80"/>
        <v>0</v>
      </c>
      <c r="S88" s="2"/>
      <c r="T88" s="6">
        <v>3753</v>
      </c>
      <c r="U88" s="2"/>
      <c r="V88" s="7">
        <f t="shared" si="81"/>
        <v>18.765000000000001</v>
      </c>
      <c r="W88" s="2"/>
      <c r="X88" s="6">
        <f t="shared" si="82"/>
        <v>-1642.5900000000001</v>
      </c>
      <c r="Y88" s="2"/>
      <c r="Z88" s="7">
        <f t="shared" si="83"/>
        <v>-0.43767386091127103</v>
      </c>
    </row>
    <row r="89" spans="1:26" s="24" customFormat="1" hidden="1" outlineLevel="2" x14ac:dyDescent="0.25">
      <c r="A89" s="25"/>
      <c r="B89" s="11" t="str">
        <f>CONCATENATE("          ", "6245", " - ", "PRINTING")</f>
        <v xml:space="preserve">          6245 - PRINTING</v>
      </c>
      <c r="C89" s="11"/>
      <c r="D89" s="6"/>
      <c r="E89" s="2"/>
      <c r="F89" s="7">
        <f t="shared" si="76"/>
        <v>0</v>
      </c>
      <c r="G89" s="2"/>
      <c r="H89" s="6"/>
      <c r="I89" s="2"/>
      <c r="J89" s="7">
        <f t="shared" si="77"/>
        <v>0</v>
      </c>
      <c r="K89" s="2"/>
      <c r="L89" s="6">
        <f t="shared" si="78"/>
        <v>0</v>
      </c>
      <c r="M89" s="2"/>
      <c r="N89" s="7">
        <f t="shared" si="79"/>
        <v>0</v>
      </c>
      <c r="O89" s="11"/>
      <c r="P89" s="6">
        <v>3244.85</v>
      </c>
      <c r="Q89" s="2"/>
      <c r="R89" s="7">
        <f t="shared" si="80"/>
        <v>0</v>
      </c>
      <c r="S89" s="2"/>
      <c r="T89" s="6"/>
      <c r="U89" s="2"/>
      <c r="V89" s="7">
        <f t="shared" si="81"/>
        <v>0</v>
      </c>
      <c r="W89" s="2"/>
      <c r="X89" s="6">
        <f t="shared" si="82"/>
        <v>3244.85</v>
      </c>
      <c r="Y89" s="2"/>
      <c r="Z89" s="7">
        <f t="shared" si="83"/>
        <v>0</v>
      </c>
    </row>
    <row r="90" spans="1:26" s="24" customFormat="1" hidden="1" outlineLevel="2" x14ac:dyDescent="0.25">
      <c r="A90" s="25"/>
      <c r="B90" s="11" t="str">
        <f>CONCATENATE("          ", "6248", " - ", "UNIFORMS")</f>
        <v xml:space="preserve">          6248 - UNIFORMS</v>
      </c>
      <c r="C90" s="11"/>
      <c r="D90" s="6"/>
      <c r="E90" s="2"/>
      <c r="F90" s="7">
        <f t="shared" si="76"/>
        <v>0</v>
      </c>
      <c r="G90" s="2"/>
      <c r="H90" s="6"/>
      <c r="I90" s="2"/>
      <c r="J90" s="7">
        <f t="shared" si="77"/>
        <v>0</v>
      </c>
      <c r="K90" s="2"/>
      <c r="L90" s="6">
        <f t="shared" si="78"/>
        <v>0</v>
      </c>
      <c r="M90" s="2"/>
      <c r="N90" s="7">
        <f t="shared" si="79"/>
        <v>0</v>
      </c>
      <c r="O90" s="11"/>
      <c r="P90" s="6"/>
      <c r="Q90" s="2"/>
      <c r="R90" s="7">
        <f t="shared" si="80"/>
        <v>0</v>
      </c>
      <c r="S90" s="2"/>
      <c r="T90" s="6">
        <v>700</v>
      </c>
      <c r="U90" s="2"/>
      <c r="V90" s="7">
        <f t="shared" si="81"/>
        <v>3.5</v>
      </c>
      <c r="W90" s="2"/>
      <c r="X90" s="6">
        <f t="shared" si="82"/>
        <v>-700</v>
      </c>
      <c r="Y90" s="2"/>
      <c r="Z90" s="7">
        <f t="shared" si="83"/>
        <v>-1</v>
      </c>
    </row>
    <row r="91" spans="1:26" s="27" customFormat="1" outlineLevel="1" collapsed="1" x14ac:dyDescent="0.25">
      <c r="A91" s="26"/>
      <c r="B91" s="13" t="str">
        <f>CONCATENATE("     ","Telephone/Data Lines                              ")</f>
        <v xml:space="preserve">     Telephone/Data Lines                              </v>
      </c>
      <c r="C91" s="13"/>
      <c r="D91" s="1">
        <f>SUM(OSRRefD22_18x_0)</f>
        <v>1742.54</v>
      </c>
      <c r="E91" s="1"/>
      <c r="F91" s="5">
        <f t="shared" ref="F91:F93" si="84">IF(D$12=0,0,D91/D$12)</f>
        <v>0</v>
      </c>
      <c r="G91" s="1"/>
      <c r="H91" s="1">
        <f>SUM(OSRRefH22_18x_0)</f>
        <v>1630</v>
      </c>
      <c r="I91" s="1"/>
      <c r="J91" s="5">
        <f t="shared" ref="J91:J93" si="85">IF(H$12=0,0,H91/H$12)</f>
        <v>0</v>
      </c>
      <c r="K91" s="1"/>
      <c r="L91" s="1">
        <f t="shared" ref="L91:L93" si="86">+D91-H91</f>
        <v>112.53999999999996</v>
      </c>
      <c r="M91" s="1"/>
      <c r="N91" s="5">
        <f t="shared" ref="N91:N93" si="87">IF(H91=0,0,L91/H91)</f>
        <v>6.9042944785276048E-2</v>
      </c>
      <c r="O91" s="13"/>
      <c r="P91" s="1">
        <f>SUM(OSRRefP22_18x_0)</f>
        <v>22620.149999999998</v>
      </c>
      <c r="Q91" s="1"/>
      <c r="R91" s="5">
        <f t="shared" ref="R91:R93" si="88">IF(P$12=0,0,P91/P$12)</f>
        <v>0</v>
      </c>
      <c r="S91" s="1"/>
      <c r="T91" s="1">
        <f>SUM(OSRRefT22_18x_0)</f>
        <v>15320</v>
      </c>
      <c r="U91" s="1"/>
      <c r="V91" s="5">
        <f t="shared" ref="V91:V93" si="89">IF(T$12=0,0,T91/T$12)</f>
        <v>76.599999999999994</v>
      </c>
      <c r="W91" s="1"/>
      <c r="X91" s="1">
        <f t="shared" ref="X91:X93" si="90">+P91-T91</f>
        <v>7300.1499999999978</v>
      </c>
      <c r="Y91" s="1"/>
      <c r="Z91" s="5">
        <f t="shared" ref="Z91:Z93" si="91">IF(T91=0,0,X91/T91)</f>
        <v>0.47651109660574398</v>
      </c>
    </row>
    <row r="92" spans="1:26" s="24" customFormat="1" hidden="1" outlineLevel="2" x14ac:dyDescent="0.25">
      <c r="A92" s="25"/>
      <c r="B92" s="11" t="str">
        <f>CONCATENATE("          ", "6303", " - ", "DATA PHONE LINES")</f>
        <v xml:space="preserve">          6303 - DATA PHONE LINES</v>
      </c>
      <c r="C92" s="11"/>
      <c r="D92" s="6">
        <v>78.989999999999995</v>
      </c>
      <c r="E92" s="2"/>
      <c r="F92" s="7">
        <f t="shared" si="84"/>
        <v>0</v>
      </c>
      <c r="G92" s="2"/>
      <c r="H92" s="6">
        <v>200</v>
      </c>
      <c r="I92" s="2"/>
      <c r="J92" s="7">
        <f t="shared" si="85"/>
        <v>0</v>
      </c>
      <c r="K92" s="2"/>
      <c r="L92" s="6">
        <f t="shared" si="86"/>
        <v>-121.01</v>
      </c>
      <c r="M92" s="2"/>
      <c r="N92" s="7">
        <f t="shared" si="87"/>
        <v>-0.60504999999999998</v>
      </c>
      <c r="O92" s="11"/>
      <c r="P92" s="6">
        <v>1328.03</v>
      </c>
      <c r="Q92" s="2"/>
      <c r="R92" s="7">
        <f t="shared" si="88"/>
        <v>0</v>
      </c>
      <c r="S92" s="2"/>
      <c r="T92" s="6">
        <v>2000</v>
      </c>
      <c r="U92" s="2"/>
      <c r="V92" s="7">
        <f t="shared" si="89"/>
        <v>10</v>
      </c>
      <c r="W92" s="2"/>
      <c r="X92" s="6">
        <f t="shared" si="90"/>
        <v>-671.97</v>
      </c>
      <c r="Y92" s="2"/>
      <c r="Z92" s="7">
        <f t="shared" si="91"/>
        <v>-0.33598500000000003</v>
      </c>
    </row>
    <row r="93" spans="1:26" s="24" customFormat="1" hidden="1" outlineLevel="2" x14ac:dyDescent="0.25">
      <c r="A93" s="25"/>
      <c r="B93" s="11" t="str">
        <f>CONCATENATE("          ", "6309", " - ", "TELEPHONE")</f>
        <v xml:space="preserve">          6309 - TELEPHONE</v>
      </c>
      <c r="C93" s="11"/>
      <c r="D93" s="6">
        <v>1663.55</v>
      </c>
      <c r="E93" s="2"/>
      <c r="F93" s="7">
        <f t="shared" si="84"/>
        <v>0</v>
      </c>
      <c r="G93" s="2"/>
      <c r="H93" s="6">
        <v>1430</v>
      </c>
      <c r="I93" s="2"/>
      <c r="J93" s="7">
        <f t="shared" si="85"/>
        <v>0</v>
      </c>
      <c r="K93" s="2"/>
      <c r="L93" s="6">
        <f t="shared" si="86"/>
        <v>233.54999999999995</v>
      </c>
      <c r="M93" s="2"/>
      <c r="N93" s="7">
        <f t="shared" si="87"/>
        <v>0.16332167832167829</v>
      </c>
      <c r="O93" s="11"/>
      <c r="P93" s="6">
        <v>21292.12</v>
      </c>
      <c r="Q93" s="2"/>
      <c r="R93" s="7">
        <f t="shared" si="88"/>
        <v>0</v>
      </c>
      <c r="S93" s="2"/>
      <c r="T93" s="6">
        <v>13320</v>
      </c>
      <c r="U93" s="2"/>
      <c r="V93" s="7">
        <f t="shared" si="89"/>
        <v>66.599999999999994</v>
      </c>
      <c r="W93" s="2"/>
      <c r="X93" s="6">
        <f t="shared" si="90"/>
        <v>7972.119999999999</v>
      </c>
      <c r="Y93" s="2"/>
      <c r="Z93" s="7">
        <f t="shared" si="91"/>
        <v>0.59850750750750747</v>
      </c>
    </row>
    <row r="94" spans="1:26" s="27" customFormat="1" outlineLevel="1" collapsed="1" x14ac:dyDescent="0.25">
      <c r="A94" s="26"/>
      <c r="B94" s="13" t="str">
        <f>CONCATENATE("     ","Training                                          ")</f>
        <v xml:space="preserve">     Training                                          </v>
      </c>
      <c r="C94" s="13"/>
      <c r="D94" s="1">
        <f>SUM(OSRRefD22_19x_0)</f>
        <v>4334.3900000000003</v>
      </c>
      <c r="E94" s="1"/>
      <c r="F94" s="5">
        <f t="shared" ref="F94:F98" si="92">IF(D$12=0,0,D94/D$12)</f>
        <v>0</v>
      </c>
      <c r="G94" s="1"/>
      <c r="H94" s="1">
        <f>SUM(OSRRefH22_19x_0)</f>
        <v>2283</v>
      </c>
      <c r="I94" s="1"/>
      <c r="J94" s="5">
        <f t="shared" ref="J94:J98" si="93">IF(H$12=0,0,H94/H$12)</f>
        <v>0</v>
      </c>
      <c r="K94" s="1"/>
      <c r="L94" s="1">
        <f t="shared" ref="L94:L98" si="94">+D94-H94</f>
        <v>2051.3900000000003</v>
      </c>
      <c r="M94" s="1"/>
      <c r="N94" s="5">
        <f t="shared" ref="N94:N98" si="95">IF(H94=0,0,L94/H94)</f>
        <v>0.89855015330705224</v>
      </c>
      <c r="O94" s="13"/>
      <c r="P94" s="1">
        <f>SUM(OSRRefP22_19x_0)</f>
        <v>21870.42</v>
      </c>
      <c r="Q94" s="1"/>
      <c r="R94" s="5">
        <f t="shared" ref="R94:R98" si="96">IF(P$12=0,0,P94/P$12)</f>
        <v>0</v>
      </c>
      <c r="S94" s="1"/>
      <c r="T94" s="1">
        <f>SUM(OSRRefT22_19x_0)</f>
        <v>28747</v>
      </c>
      <c r="U94" s="1"/>
      <c r="V94" s="5">
        <f t="shared" ref="V94:V98" si="97">IF(T$12=0,0,T94/T$12)</f>
        <v>143.73500000000001</v>
      </c>
      <c r="W94" s="1"/>
      <c r="X94" s="1">
        <f t="shared" ref="X94:X98" si="98">+P94-T94</f>
        <v>-6876.5800000000017</v>
      </c>
      <c r="Y94" s="1"/>
      <c r="Z94" s="5">
        <f t="shared" ref="Z94:Z98" si="99">IF(T94=0,0,X94/T94)</f>
        <v>-0.2392103523845967</v>
      </c>
    </row>
    <row r="95" spans="1:26" s="24" customFormat="1" hidden="1" outlineLevel="2" x14ac:dyDescent="0.25">
      <c r="A95" s="25"/>
      <c r="B95" s="11" t="str">
        <f>CONCATENATE("          ", "6376", " - ", "TRAINING")</f>
        <v xml:space="preserve">          6376 - TRAINING</v>
      </c>
      <c r="C95" s="11"/>
      <c r="D95" s="6">
        <v>4334.3900000000003</v>
      </c>
      <c r="E95" s="2"/>
      <c r="F95" s="7">
        <f t="shared" si="92"/>
        <v>0</v>
      </c>
      <c r="G95" s="2"/>
      <c r="H95" s="6">
        <v>2283</v>
      </c>
      <c r="I95" s="2"/>
      <c r="J95" s="7">
        <f t="shared" si="93"/>
        <v>0</v>
      </c>
      <c r="K95" s="2"/>
      <c r="L95" s="6">
        <f t="shared" si="94"/>
        <v>2051.3900000000003</v>
      </c>
      <c r="M95" s="2"/>
      <c r="N95" s="7">
        <f t="shared" si="95"/>
        <v>0.89855015330705224</v>
      </c>
      <c r="O95" s="11"/>
      <c r="P95" s="6">
        <v>21870.42</v>
      </c>
      <c r="Q95" s="2"/>
      <c r="R95" s="7">
        <f t="shared" si="96"/>
        <v>0</v>
      </c>
      <c r="S95" s="2"/>
      <c r="T95" s="6">
        <v>28747</v>
      </c>
      <c r="U95" s="2"/>
      <c r="V95" s="7">
        <f t="shared" si="97"/>
        <v>143.73500000000001</v>
      </c>
      <c r="W95" s="2"/>
      <c r="X95" s="6">
        <f t="shared" si="98"/>
        <v>-6876.5800000000017</v>
      </c>
      <c r="Y95" s="2"/>
      <c r="Z95" s="7">
        <f t="shared" si="99"/>
        <v>-0.2392103523845967</v>
      </c>
    </row>
    <row r="96" spans="1:26" s="27" customFormat="1" outlineLevel="1" collapsed="1" x14ac:dyDescent="0.25">
      <c r="A96" s="26"/>
      <c r="B96" s="13" t="str">
        <f>CONCATENATE("     ","Travel                                            ")</f>
        <v xml:space="preserve">     Travel                                            </v>
      </c>
      <c r="C96" s="13"/>
      <c r="D96" s="1">
        <f>SUM(OSRRefD22_20x_0)</f>
        <v>0</v>
      </c>
      <c r="E96" s="1"/>
      <c r="F96" s="5">
        <f t="shared" si="92"/>
        <v>0</v>
      </c>
      <c r="G96" s="1"/>
      <c r="H96" s="1">
        <f>SUM(OSRRefH22_20x_0)</f>
        <v>1000</v>
      </c>
      <c r="I96" s="1"/>
      <c r="J96" s="5">
        <f t="shared" si="93"/>
        <v>0</v>
      </c>
      <c r="K96" s="1"/>
      <c r="L96" s="1">
        <f t="shared" si="94"/>
        <v>-1000</v>
      </c>
      <c r="M96" s="1"/>
      <c r="N96" s="5">
        <f t="shared" si="95"/>
        <v>-1</v>
      </c>
      <c r="O96" s="13"/>
      <c r="P96" s="1">
        <f>SUM(OSRRefP22_20x_0)</f>
        <v>12860.449999999999</v>
      </c>
      <c r="Q96" s="1"/>
      <c r="R96" s="5">
        <f t="shared" si="96"/>
        <v>0</v>
      </c>
      <c r="S96" s="1"/>
      <c r="T96" s="1">
        <f>SUM(OSRRefT22_20x_0)</f>
        <v>32629</v>
      </c>
      <c r="U96" s="1"/>
      <c r="V96" s="5">
        <f t="shared" si="97"/>
        <v>163.14500000000001</v>
      </c>
      <c r="W96" s="1"/>
      <c r="X96" s="1">
        <f t="shared" si="98"/>
        <v>-19768.550000000003</v>
      </c>
      <c r="Y96" s="1"/>
      <c r="Z96" s="5">
        <f t="shared" si="99"/>
        <v>-0.60585828557418253</v>
      </c>
    </row>
    <row r="97" spans="1:26" s="24" customFormat="1" hidden="1" outlineLevel="2" x14ac:dyDescent="0.25">
      <c r="A97" s="25"/>
      <c r="B97" s="11" t="str">
        <f>CONCATENATE("          ", "6292", " - ", "TRAVEL/CONFERENCE")</f>
        <v xml:space="preserve">          6292 - TRAVEL/CONFERENCE</v>
      </c>
      <c r="C97" s="11"/>
      <c r="D97" s="6"/>
      <c r="E97" s="2"/>
      <c r="F97" s="7">
        <f t="shared" si="92"/>
        <v>0</v>
      </c>
      <c r="G97" s="2"/>
      <c r="H97" s="6">
        <v>1000</v>
      </c>
      <c r="I97" s="2"/>
      <c r="J97" s="7">
        <f t="shared" si="93"/>
        <v>0</v>
      </c>
      <c r="K97" s="2"/>
      <c r="L97" s="6">
        <f t="shared" si="94"/>
        <v>-1000</v>
      </c>
      <c r="M97" s="2"/>
      <c r="N97" s="7">
        <f t="shared" si="95"/>
        <v>-1</v>
      </c>
      <c r="O97" s="11"/>
      <c r="P97" s="6">
        <v>12836.55</v>
      </c>
      <c r="Q97" s="2"/>
      <c r="R97" s="7">
        <f t="shared" si="96"/>
        <v>0</v>
      </c>
      <c r="S97" s="2"/>
      <c r="T97" s="6">
        <v>31379</v>
      </c>
      <c r="U97" s="2"/>
      <c r="V97" s="7">
        <f t="shared" si="97"/>
        <v>156.89500000000001</v>
      </c>
      <c r="W97" s="2"/>
      <c r="X97" s="6">
        <f t="shared" si="98"/>
        <v>-18542.45</v>
      </c>
      <c r="Y97" s="2"/>
      <c r="Z97" s="7">
        <f t="shared" si="99"/>
        <v>-0.59091908601293863</v>
      </c>
    </row>
    <row r="98" spans="1:26" s="24" customFormat="1" hidden="1" outlineLevel="2" x14ac:dyDescent="0.25">
      <c r="A98" s="25"/>
      <c r="B98" s="11" t="str">
        <f>CONCATENATE("          ", "6294", " - ", "TRAVEL OPERATIONAL")</f>
        <v xml:space="preserve">          6294 - TRAVEL OPERATIONAL</v>
      </c>
      <c r="C98" s="11"/>
      <c r="D98" s="6"/>
      <c r="E98" s="2"/>
      <c r="F98" s="7">
        <f t="shared" si="92"/>
        <v>0</v>
      </c>
      <c r="G98" s="2"/>
      <c r="H98" s="6"/>
      <c r="I98" s="2"/>
      <c r="J98" s="7">
        <f t="shared" si="93"/>
        <v>0</v>
      </c>
      <c r="K98" s="2"/>
      <c r="L98" s="6">
        <f t="shared" si="94"/>
        <v>0</v>
      </c>
      <c r="M98" s="2"/>
      <c r="N98" s="7">
        <f t="shared" si="95"/>
        <v>0</v>
      </c>
      <c r="O98" s="11"/>
      <c r="P98" s="6">
        <v>23.9</v>
      </c>
      <c r="Q98" s="2"/>
      <c r="R98" s="7">
        <f t="shared" si="96"/>
        <v>0</v>
      </c>
      <c r="S98" s="2"/>
      <c r="T98" s="6">
        <v>1250</v>
      </c>
      <c r="U98" s="2"/>
      <c r="V98" s="7">
        <f t="shared" si="97"/>
        <v>6.25</v>
      </c>
      <c r="W98" s="2"/>
      <c r="X98" s="6">
        <f t="shared" si="98"/>
        <v>-1226.0999999999999</v>
      </c>
      <c r="Y98" s="2"/>
      <c r="Z98" s="7">
        <f t="shared" si="99"/>
        <v>-0.98087999999999997</v>
      </c>
    </row>
    <row r="99" spans="1:26" s="56" customFormat="1" x14ac:dyDescent="0.25">
      <c r="A99" s="36"/>
      <c r="B99" s="36"/>
      <c r="C99" s="36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6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3" customFormat="1" x14ac:dyDescent="0.25">
      <c r="A100" s="10"/>
      <c r="B100" s="29" t="s">
        <v>0</v>
      </c>
      <c r="C100" s="10"/>
      <c r="D100" s="4">
        <f>SUM(0)</f>
        <v>0</v>
      </c>
      <c r="E100" s="4"/>
      <c r="F100" s="12">
        <f>IF(D$12=0,0,D100/D$12)</f>
        <v>0</v>
      </c>
      <c r="G100" s="4"/>
      <c r="H100" s="4">
        <f>SUM(0)</f>
        <v>0</v>
      </c>
      <c r="I100" s="4"/>
      <c r="J100" s="12">
        <f>IF(H$12=0,0,H100/H$12)</f>
        <v>0</v>
      </c>
      <c r="K100" s="4"/>
      <c r="L100" s="4">
        <f>+D100-H100</f>
        <v>0</v>
      </c>
      <c r="M100" s="4"/>
      <c r="N100" s="12">
        <f>IF(H100=0,0,L100/H100)</f>
        <v>0</v>
      </c>
      <c r="O100" s="10"/>
      <c r="P100" s="4">
        <f>SUM(0)</f>
        <v>0</v>
      </c>
      <c r="Q100" s="4"/>
      <c r="R100" s="12">
        <f>IF(P$12=0,0,P100/P$12)</f>
        <v>0</v>
      </c>
      <c r="S100" s="4"/>
      <c r="T100" s="4">
        <f>SUM(0)</f>
        <v>0</v>
      </c>
      <c r="U100" s="4"/>
      <c r="V100" s="12">
        <f>IF(T$12=0,0,T100/T$12)</f>
        <v>0</v>
      </c>
      <c r="W100" s="4"/>
      <c r="X100" s="4">
        <f>+P100-T100</f>
        <v>0</v>
      </c>
      <c r="Y100" s="4"/>
      <c r="Z100" s="12">
        <f>IF(T100=0,0,X100/T100)</f>
        <v>0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10"/>
      <c r="B102" s="28" t="s">
        <v>3</v>
      </c>
      <c r="C102" s="28"/>
      <c r="D102" s="20">
        <f>+D17-D19+D100</f>
        <v>-329768.88000000006</v>
      </c>
      <c r="E102" s="14"/>
      <c r="F102" s="22">
        <f>IF(D$12=0,0,D102/D$12)</f>
        <v>0</v>
      </c>
      <c r="G102" s="14"/>
      <c r="H102" s="20">
        <f>+H17-H19+H100</f>
        <v>-339891.12873287429</v>
      </c>
      <c r="I102" s="14"/>
      <c r="J102" s="22">
        <f>IF(H$12=0,0,H102/H$12)</f>
        <v>0</v>
      </c>
      <c r="K102" s="16"/>
      <c r="L102" s="20">
        <f>+D102-H102</f>
        <v>10122.248732874228</v>
      </c>
      <c r="M102" s="16"/>
      <c r="N102" s="22">
        <f>IF(H102=0,0,L102/H102)</f>
        <v>-2.978085591880646E-2</v>
      </c>
      <c r="O102" s="29"/>
      <c r="P102" s="20">
        <f>+P17-P19+P100</f>
        <v>-2897984.9</v>
      </c>
      <c r="Q102" s="14"/>
      <c r="R102" s="22">
        <f>IF(P$12=0,0,P102/P$12)</f>
        <v>0</v>
      </c>
      <c r="S102" s="14"/>
      <c r="T102" s="20">
        <f>+T17-T19+T100</f>
        <v>-3500133.8613602901</v>
      </c>
      <c r="U102" s="14"/>
      <c r="V102" s="22">
        <f>IF(T$12=0,0,T102/T$12)</f>
        <v>-17500.66930680145</v>
      </c>
      <c r="W102" s="16"/>
      <c r="X102" s="20">
        <f>+P102-T102</f>
        <v>602148.96136029018</v>
      </c>
      <c r="Y102" s="16"/>
      <c r="Z102" s="22">
        <f>IF(T102=0,0,X102/T102)</f>
        <v>-0.17203598068282774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52"/>
      <c r="B104" s="10" t="s">
        <v>14</v>
      </c>
      <c r="C104" s="10"/>
      <c r="D104" s="4"/>
      <c r="E104" s="4"/>
      <c r="F104" s="12">
        <f>IF(D$12=0,0,D104/D$12)</f>
        <v>0</v>
      </c>
      <c r="G104" s="4"/>
      <c r="H104" s="4"/>
      <c r="I104" s="4"/>
      <c r="J104" s="12">
        <f>IF(H$12=0,0,H104/H$12)</f>
        <v>0</v>
      </c>
      <c r="K104" s="4"/>
      <c r="L104" s="4">
        <f>+D104-H104</f>
        <v>0</v>
      </c>
      <c r="M104" s="4"/>
      <c r="N104" s="12">
        <f>IF(H104=0,0,L104/H104)</f>
        <v>0</v>
      </c>
      <c r="O104" s="10"/>
      <c r="P104" s="4"/>
      <c r="Q104" s="4"/>
      <c r="R104" s="12">
        <f>IF(P$12=0,0,P104/P$12)</f>
        <v>0</v>
      </c>
      <c r="S104" s="4"/>
      <c r="T104" s="4"/>
      <c r="U104" s="4"/>
      <c r="V104" s="12">
        <f>IF(T$12=0,0,T104/T$12)</f>
        <v>0</v>
      </c>
      <c r="W104" s="4"/>
      <c r="X104" s="4">
        <f>+P104-T104</f>
        <v>0</v>
      </c>
      <c r="Y104" s="4"/>
      <c r="Z104" s="12">
        <f>IF(T104=0,0,X104/T104)</f>
        <v>0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8" t="s">
        <v>4</v>
      </c>
      <c r="C106" s="28"/>
      <c r="D106" s="31">
        <f>+D102-D104</f>
        <v>-329768.88000000006</v>
      </c>
      <c r="E106" s="14"/>
      <c r="F106" s="34">
        <f>IF(D$12=0,0,D106/D$12)</f>
        <v>0</v>
      </c>
      <c r="G106" s="14"/>
      <c r="H106" s="31">
        <f>+H102-H104</f>
        <v>-339891.12873287429</v>
      </c>
      <c r="I106" s="14"/>
      <c r="J106" s="34">
        <f>IF(H$12=0,0,H106/H$12)</f>
        <v>0</v>
      </c>
      <c r="K106" s="16"/>
      <c r="L106" s="31">
        <f>D106-H106</f>
        <v>10122.248732874228</v>
      </c>
      <c r="M106" s="16"/>
      <c r="N106" s="34">
        <f>IF(H106=0,0,L106/H106)</f>
        <v>-2.978085591880646E-2</v>
      </c>
      <c r="O106" s="29"/>
      <c r="P106" s="31">
        <f>+P102-P104</f>
        <v>-2897984.9</v>
      </c>
      <c r="Q106" s="14"/>
      <c r="R106" s="34">
        <f>IF(P$12=0,0,P106/P$12)</f>
        <v>0</v>
      </c>
      <c r="S106" s="14"/>
      <c r="T106" s="31">
        <f>+T102-T104</f>
        <v>-3500133.8613602901</v>
      </c>
      <c r="U106" s="14"/>
      <c r="V106" s="34">
        <f>IF(T$12=0,0,T106/T$12)</f>
        <v>-17500.66930680145</v>
      </c>
      <c r="W106" s="16"/>
      <c r="X106" s="31">
        <f>P106-T106</f>
        <v>602148.96136029018</v>
      </c>
      <c r="Y106" s="16"/>
      <c r="Z106" s="34">
        <f>IF(T106=0,0,X106/T106)</f>
        <v>-0.17203598068282774</v>
      </c>
    </row>
    <row r="107" spans="1:26" ht="15.75" thickTop="1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8" t="s">
        <v>5</v>
      </c>
      <c r="C109" s="28"/>
      <c r="D109" s="32">
        <f>SUM(D106:D108)</f>
        <v>-329768.88000000006</v>
      </c>
      <c r="E109" s="14"/>
      <c r="F109" s="35">
        <f>IF(D$12=0,0,D109/D$12)</f>
        <v>0</v>
      </c>
      <c r="G109" s="14"/>
      <c r="H109" s="32">
        <f>SUM(H106:H108)</f>
        <v>-339891.12873287429</v>
      </c>
      <c r="I109" s="14"/>
      <c r="J109" s="35">
        <f>IF(H$12=0,0,H109/H$12)</f>
        <v>0</v>
      </c>
      <c r="K109" s="16"/>
      <c r="L109" s="32">
        <f>+D109-H109</f>
        <v>10122.248732874228</v>
      </c>
      <c r="M109" s="16"/>
      <c r="N109" s="35">
        <f>IF(H109=0,0,L109/H109)</f>
        <v>-2.978085591880646E-2</v>
      </c>
      <c r="O109" s="29"/>
      <c r="P109" s="32">
        <f>SUM(P106:P108)</f>
        <v>-2897984.9</v>
      </c>
      <c r="Q109" s="14"/>
      <c r="R109" s="35">
        <f>IF(P$12=0,0,P109/P$12)</f>
        <v>0</v>
      </c>
      <c r="S109" s="14"/>
      <c r="T109" s="32">
        <f>SUM(T106:T108)</f>
        <v>-3500133.8613602901</v>
      </c>
      <c r="U109" s="14"/>
      <c r="V109" s="35">
        <f>IF(T$12=0,0,T109/T$12)</f>
        <v>-17500.66930680145</v>
      </c>
      <c r="W109" s="16"/>
      <c r="X109" s="32">
        <f>+P109-T109</f>
        <v>602148.96136029018</v>
      </c>
      <c r="Y109" s="16"/>
      <c r="Z109" s="35">
        <f>IF(T109=0,0,X109/T109)</f>
        <v>-0.17203598068282774</v>
      </c>
    </row>
    <row r="110" spans="1:26" ht="15.75" thickTop="1" x14ac:dyDescent="0.25">
      <c r="A110" s="9"/>
      <c r="C110" s="9"/>
      <c r="D110" s="18"/>
      <c r="E110" s="18"/>
      <c r="G110" s="18"/>
      <c r="H110" s="18"/>
      <c r="I110" s="18"/>
      <c r="J110" s="42"/>
      <c r="K110" s="18"/>
      <c r="L110" s="18"/>
      <c r="M110" s="18"/>
      <c r="P110" s="18"/>
      <c r="Q110" s="18"/>
      <c r="R110" s="42"/>
      <c r="S110" s="18"/>
      <c r="T110" s="18"/>
      <c r="U110" s="18"/>
      <c r="V110" s="42"/>
      <c r="W110" s="18"/>
      <c r="X110" s="18"/>
    </row>
    <row r="111" spans="1:26" x14ac:dyDescent="0.25">
      <c r="A111" s="9"/>
      <c r="B111" s="57">
        <v>43934.465833993054</v>
      </c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  <row r="112" spans="1:26" x14ac:dyDescent="0.25">
      <c r="A112" s="9"/>
      <c r="B112" s="62" t="s">
        <v>314</v>
      </c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  <row r="113" spans="1:24" x14ac:dyDescent="0.25">
      <c r="A113" s="9"/>
      <c r="B113" s="60"/>
      <c r="D113" s="18"/>
      <c r="E113" s="18"/>
      <c r="G113" s="18"/>
      <c r="H113" s="18"/>
      <c r="I113" s="18"/>
      <c r="J113" s="42"/>
      <c r="K113" s="18"/>
      <c r="L113" s="18"/>
      <c r="M113" s="18"/>
      <c r="P113" s="18"/>
      <c r="Q113" s="18"/>
      <c r="R113" s="42"/>
      <c r="S113" s="18"/>
      <c r="T113" s="18"/>
      <c r="U113" s="18"/>
      <c r="V113" s="42"/>
      <c r="W113" s="18"/>
      <c r="X113" s="18"/>
    </row>
    <row r="114" spans="1:24" x14ac:dyDescent="0.25">
      <c r="D114" s="18"/>
      <c r="E114" s="18"/>
      <c r="G114" s="18"/>
      <c r="H114" s="18"/>
      <c r="I114" s="18"/>
      <c r="J114" s="42"/>
      <c r="K114" s="18"/>
      <c r="L114" s="18"/>
      <c r="M114" s="18"/>
      <c r="P114" s="18"/>
      <c r="Q114" s="18"/>
      <c r="R114" s="42"/>
      <c r="S114" s="18"/>
      <c r="T114" s="18"/>
      <c r="U114" s="18"/>
      <c r="V114" s="42"/>
      <c r="W114" s="18"/>
      <c r="X114" s="18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","200", " - ", "Corporate Expense")</f>
        <v>Department 200 - Corporate Expense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33194.83</v>
      </c>
      <c r="E18" s="21"/>
      <c r="F18" s="30">
        <f t="shared" ref="F18:F29" si="0">IF(D$12=0,0,D18/D$12)</f>
        <v>0</v>
      </c>
      <c r="G18" s="21"/>
      <c r="H18" s="21">
        <f>SUM(OSRRefH22x_0)</f>
        <v>46000</v>
      </c>
      <c r="I18" s="21"/>
      <c r="J18" s="30">
        <f t="shared" ref="J18:J29" si="1">IF(H$12=0,0,H18/H$12)</f>
        <v>0</v>
      </c>
      <c r="K18" s="4"/>
      <c r="L18" s="21">
        <f t="shared" ref="L18:L29" si="2">+D18-H18</f>
        <v>-12805.169999999998</v>
      </c>
      <c r="M18" s="4"/>
      <c r="N18" s="30">
        <f t="shared" ref="N18:N29" si="3">IF(H18=0,0,L18/H18)</f>
        <v>-0.27837326086956515</v>
      </c>
      <c r="O18" s="10"/>
      <c r="P18" s="21">
        <f>SUM(OSRRefP22x_0)</f>
        <v>497517.49000000005</v>
      </c>
      <c r="Q18" s="21"/>
      <c r="R18" s="30">
        <f t="shared" ref="R18:R29" si="4">IF(P$12=0,0,P18/P$12)</f>
        <v>0</v>
      </c>
      <c r="S18" s="21"/>
      <c r="T18" s="21">
        <f>SUM(OSRRefT22x_0)</f>
        <v>617000</v>
      </c>
      <c r="U18" s="21"/>
      <c r="V18" s="30">
        <f t="shared" ref="V18:V29" si="5">IF(T$12=0,0,T18/T$12)</f>
        <v>0</v>
      </c>
      <c r="W18" s="4"/>
      <c r="X18" s="21">
        <f t="shared" ref="X18:X29" si="6">+P18-T18</f>
        <v>-119482.50999999995</v>
      </c>
      <c r="Y18" s="4"/>
      <c r="Z18" s="30">
        <f t="shared" ref="Z18:Z29" si="7">IF(T18=0,0,X18/T18)</f>
        <v>-0.19365074554294967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29545</v>
      </c>
      <c r="E19" s="1"/>
      <c r="F19" s="5">
        <f t="shared" si="0"/>
        <v>0</v>
      </c>
      <c r="G19" s="1"/>
      <c r="H19" s="1">
        <f>SUM(OSRRefH22_0x_0)</f>
        <v>39000</v>
      </c>
      <c r="I19" s="1"/>
      <c r="J19" s="5">
        <f t="shared" si="1"/>
        <v>0</v>
      </c>
      <c r="K19" s="1"/>
      <c r="L19" s="1">
        <f t="shared" si="2"/>
        <v>-9455</v>
      </c>
      <c r="M19" s="1"/>
      <c r="N19" s="5">
        <f t="shared" si="3"/>
        <v>-0.24243589743589744</v>
      </c>
      <c r="O19" s="13"/>
      <c r="P19" s="1">
        <f>SUM(OSRRefP22_0x_0)</f>
        <v>265062.99000000005</v>
      </c>
      <c r="Q19" s="1"/>
      <c r="R19" s="5">
        <f t="shared" si="4"/>
        <v>0</v>
      </c>
      <c r="S19" s="1"/>
      <c r="T19" s="1">
        <f>SUM(OSRRefT22_0x_0)</f>
        <v>352300</v>
      </c>
      <c r="U19" s="1"/>
      <c r="V19" s="5">
        <f t="shared" si="5"/>
        <v>0</v>
      </c>
      <c r="W19" s="1"/>
      <c r="X19" s="1">
        <f t="shared" si="6"/>
        <v>-87237.009999999951</v>
      </c>
      <c r="Y19" s="1"/>
      <c r="Z19" s="5">
        <f t="shared" si="7"/>
        <v>-0.24762137382912278</v>
      </c>
    </row>
    <row r="20" spans="1:26" s="24" customFormat="1" hidden="1" outlineLevel="2" x14ac:dyDescent="0.25">
      <c r="A20" s="25"/>
      <c r="B20" s="11" t="str">
        <f>CONCATENATE("          ", "6120", " - ", "RETIREES HEALTH INSURANCE")</f>
        <v xml:space="preserve">          6120 - RETIREES HEALTH INSURANCE</v>
      </c>
      <c r="C20" s="11"/>
      <c r="D20" s="6">
        <v>29545</v>
      </c>
      <c r="E20" s="2"/>
      <c r="F20" s="7">
        <f t="shared" si="0"/>
        <v>0</v>
      </c>
      <c r="G20" s="2"/>
      <c r="H20" s="6">
        <v>39000</v>
      </c>
      <c r="I20" s="2"/>
      <c r="J20" s="7">
        <f t="shared" si="1"/>
        <v>0</v>
      </c>
      <c r="K20" s="2"/>
      <c r="L20" s="6">
        <f t="shared" si="2"/>
        <v>-9455</v>
      </c>
      <c r="M20" s="2"/>
      <c r="N20" s="7">
        <f t="shared" si="3"/>
        <v>-0.24243589743589744</v>
      </c>
      <c r="O20" s="11"/>
      <c r="P20" s="6">
        <v>265062.99000000005</v>
      </c>
      <c r="Q20" s="2"/>
      <c r="R20" s="7">
        <f t="shared" si="4"/>
        <v>0</v>
      </c>
      <c r="S20" s="2"/>
      <c r="T20" s="6">
        <v>352300</v>
      </c>
      <c r="U20" s="2"/>
      <c r="V20" s="7">
        <f t="shared" si="5"/>
        <v>0</v>
      </c>
      <c r="W20" s="2"/>
      <c r="X20" s="6">
        <f t="shared" si="6"/>
        <v>-87237.009999999951</v>
      </c>
      <c r="Y20" s="2"/>
      <c r="Z20" s="7">
        <f t="shared" si="7"/>
        <v>-0.24762137382912278</v>
      </c>
    </row>
    <row r="21" spans="1:26" s="27" customFormat="1" outlineLevel="1" collapsed="1" x14ac:dyDescent="0.25">
      <c r="A21" s="26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SUM(OSRRefD22_1x_0)</f>
        <v>1512.97</v>
      </c>
      <c r="E21" s="1"/>
      <c r="F21" s="5">
        <f t="shared" si="0"/>
        <v>0</v>
      </c>
      <c r="G21" s="1"/>
      <c r="H21" s="1">
        <f>SUM(OSRRefH22_1x_0)</f>
        <v>2000</v>
      </c>
      <c r="I21" s="1"/>
      <c r="J21" s="5">
        <f t="shared" si="1"/>
        <v>0</v>
      </c>
      <c r="K21" s="1"/>
      <c r="L21" s="1">
        <f t="shared" si="2"/>
        <v>-487.03</v>
      </c>
      <c r="M21" s="1"/>
      <c r="N21" s="5">
        <f t="shared" si="3"/>
        <v>-0.24351499999999998</v>
      </c>
      <c r="O21" s="13"/>
      <c r="P21" s="1">
        <f>SUM(OSRRefP22_1x_0)</f>
        <v>41075.360000000001</v>
      </c>
      <c r="Q21" s="1"/>
      <c r="R21" s="5">
        <f t="shared" si="4"/>
        <v>0</v>
      </c>
      <c r="S21" s="1"/>
      <c r="T21" s="1">
        <f>SUM(OSRRefT22_1x_0)</f>
        <v>54000</v>
      </c>
      <c r="U21" s="1"/>
      <c r="V21" s="5">
        <f t="shared" si="5"/>
        <v>0</v>
      </c>
      <c r="W21" s="1"/>
      <c r="X21" s="1">
        <f t="shared" si="6"/>
        <v>-12924.64</v>
      </c>
      <c r="Y21" s="1"/>
      <c r="Z21" s="5">
        <f t="shared" si="7"/>
        <v>-0.23934518518518516</v>
      </c>
    </row>
    <row r="22" spans="1:26" s="24" customFormat="1" hidden="1" outlineLevel="2" x14ac:dyDescent="0.25">
      <c r="A22" s="25"/>
      <c r="B22" s="11" t="str">
        <f>CONCATENATE("          ", "6381", " - ", "BANK/CREDIT CARD FEES")</f>
        <v xml:space="preserve">          6381 - BANK/CREDIT CARD FEES</v>
      </c>
      <c r="C22" s="11"/>
      <c r="D22" s="6">
        <v>1512.97</v>
      </c>
      <c r="E22" s="2"/>
      <c r="F22" s="7">
        <f t="shared" si="0"/>
        <v>0</v>
      </c>
      <c r="G22" s="2"/>
      <c r="H22" s="6">
        <v>2000</v>
      </c>
      <c r="I22" s="2"/>
      <c r="J22" s="7">
        <f t="shared" si="1"/>
        <v>0</v>
      </c>
      <c r="K22" s="2"/>
      <c r="L22" s="6">
        <f t="shared" si="2"/>
        <v>-487.03</v>
      </c>
      <c r="M22" s="2"/>
      <c r="N22" s="7">
        <f t="shared" si="3"/>
        <v>-0.24351499999999998</v>
      </c>
      <c r="O22" s="11"/>
      <c r="P22" s="6">
        <v>41075.360000000001</v>
      </c>
      <c r="Q22" s="2"/>
      <c r="R22" s="7">
        <f t="shared" si="4"/>
        <v>0</v>
      </c>
      <c r="S22" s="2"/>
      <c r="T22" s="6">
        <v>54000</v>
      </c>
      <c r="U22" s="2"/>
      <c r="V22" s="7">
        <f t="shared" si="5"/>
        <v>0</v>
      </c>
      <c r="W22" s="2"/>
      <c r="X22" s="6">
        <f t="shared" si="6"/>
        <v>-12924.64</v>
      </c>
      <c r="Y22" s="2"/>
      <c r="Z22" s="7">
        <f t="shared" si="7"/>
        <v>-0.23934518518518516</v>
      </c>
    </row>
    <row r="23" spans="1:26" s="27" customFormat="1" outlineLevel="1" collapsed="1" x14ac:dyDescent="0.25">
      <c r="A23" s="26"/>
      <c r="B23" s="13" t="str">
        <f>CONCATENATE("     ","Board                                             ")</f>
        <v xml:space="preserve">     Board                                             </v>
      </c>
      <c r="C23" s="13"/>
      <c r="D23" s="1">
        <f>SUM(OSRRefD22_2x_0)</f>
        <v>2136.86</v>
      </c>
      <c r="E23" s="1"/>
      <c r="F23" s="5">
        <f t="shared" si="0"/>
        <v>0</v>
      </c>
      <c r="G23" s="1"/>
      <c r="H23" s="1">
        <f>SUM(OSRRefH22_2x_0)</f>
        <v>5000</v>
      </c>
      <c r="I23" s="1"/>
      <c r="J23" s="5">
        <f t="shared" si="1"/>
        <v>0</v>
      </c>
      <c r="K23" s="1"/>
      <c r="L23" s="1">
        <f t="shared" si="2"/>
        <v>-2863.14</v>
      </c>
      <c r="M23" s="1"/>
      <c r="N23" s="5">
        <f t="shared" si="3"/>
        <v>-0.57262800000000003</v>
      </c>
      <c r="O23" s="13"/>
      <c r="P23" s="1">
        <f>SUM(OSRRefP22_2x_0)</f>
        <v>38502.71</v>
      </c>
      <c r="Q23" s="1"/>
      <c r="R23" s="5">
        <f t="shared" si="4"/>
        <v>0</v>
      </c>
      <c r="S23" s="1"/>
      <c r="T23" s="1">
        <f>SUM(OSRRefT22_2x_0)</f>
        <v>47700</v>
      </c>
      <c r="U23" s="1"/>
      <c r="V23" s="5">
        <f t="shared" si="5"/>
        <v>0</v>
      </c>
      <c r="W23" s="1"/>
      <c r="X23" s="1">
        <f t="shared" si="6"/>
        <v>-9197.2900000000009</v>
      </c>
      <c r="Y23" s="1"/>
      <c r="Z23" s="5">
        <f t="shared" si="7"/>
        <v>-0.19281530398322852</v>
      </c>
    </row>
    <row r="24" spans="1:26" s="24" customFormat="1" hidden="1" outlineLevel="2" x14ac:dyDescent="0.25">
      <c r="A24" s="25"/>
      <c r="B24" s="11" t="str">
        <f>CONCATENATE("          ", "6397", " - ", "BOARD EXPENSES")</f>
        <v xml:space="preserve">          6397 - BOARD EXPENSES</v>
      </c>
      <c r="C24" s="11"/>
      <c r="D24" s="6">
        <v>2136.86</v>
      </c>
      <c r="E24" s="2"/>
      <c r="F24" s="7">
        <f t="shared" si="0"/>
        <v>0</v>
      </c>
      <c r="G24" s="2"/>
      <c r="H24" s="6">
        <v>5000</v>
      </c>
      <c r="I24" s="2"/>
      <c r="J24" s="7">
        <f t="shared" si="1"/>
        <v>0</v>
      </c>
      <c r="K24" s="2"/>
      <c r="L24" s="6">
        <f t="shared" si="2"/>
        <v>-2863.14</v>
      </c>
      <c r="M24" s="2"/>
      <c r="N24" s="7">
        <f t="shared" si="3"/>
        <v>-0.57262800000000003</v>
      </c>
      <c r="O24" s="11"/>
      <c r="P24" s="6">
        <v>38502.71</v>
      </c>
      <c r="Q24" s="2"/>
      <c r="R24" s="7">
        <f t="shared" si="4"/>
        <v>0</v>
      </c>
      <c r="S24" s="2"/>
      <c r="T24" s="6">
        <v>47700</v>
      </c>
      <c r="U24" s="2"/>
      <c r="V24" s="7">
        <f t="shared" si="5"/>
        <v>0</v>
      </c>
      <c r="W24" s="2"/>
      <c r="X24" s="6">
        <f t="shared" si="6"/>
        <v>-9197.2900000000009</v>
      </c>
      <c r="Y24" s="2"/>
      <c r="Z24" s="7">
        <f t="shared" si="7"/>
        <v>-0.19281530398322852</v>
      </c>
    </row>
    <row r="25" spans="1:26" s="27" customFormat="1" outlineLevel="1" collapsed="1" x14ac:dyDescent="0.25">
      <c r="A25" s="26"/>
      <c r="B25" s="13" t="str">
        <f>CONCATENATE("     ","Donations                                         ")</f>
        <v xml:space="preserve">     Donations                                         </v>
      </c>
      <c r="C25" s="13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3"/>
      <c r="P25" s="1">
        <f>SUM(OSRRefP22_3x_0)</f>
        <v>103128.19</v>
      </c>
      <c r="Q25" s="1"/>
      <c r="R25" s="5">
        <f t="shared" si="4"/>
        <v>0</v>
      </c>
      <c r="S25" s="1"/>
      <c r="T25" s="1">
        <f>SUM(OSRRefT22_3x_0)</f>
        <v>97500</v>
      </c>
      <c r="U25" s="1"/>
      <c r="V25" s="5">
        <f t="shared" si="5"/>
        <v>0</v>
      </c>
      <c r="W25" s="1"/>
      <c r="X25" s="1">
        <f t="shared" si="6"/>
        <v>5628.1900000000023</v>
      </c>
      <c r="Y25" s="1"/>
      <c r="Z25" s="5">
        <f t="shared" si="7"/>
        <v>5.7725025641025662E-2</v>
      </c>
    </row>
    <row r="26" spans="1:26" s="24" customFormat="1" hidden="1" outlineLevel="2" x14ac:dyDescent="0.25">
      <c r="A26" s="25"/>
      <c r="B26" s="11" t="str">
        <f>CONCATENATE("          ", "6399", " - ", "DONATION-ON CAMPUS")</f>
        <v xml:space="preserve">          6399 - DONATION-ON CAMPUS</v>
      </c>
      <c r="C26" s="11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103128.19</v>
      </c>
      <c r="Q26" s="2"/>
      <c r="R26" s="7">
        <f t="shared" si="4"/>
        <v>0</v>
      </c>
      <c r="S26" s="2"/>
      <c r="T26" s="6">
        <v>97500</v>
      </c>
      <c r="U26" s="2"/>
      <c r="V26" s="7">
        <f t="shared" si="5"/>
        <v>0</v>
      </c>
      <c r="W26" s="2"/>
      <c r="X26" s="6">
        <f t="shared" si="6"/>
        <v>5628.1900000000023</v>
      </c>
      <c r="Y26" s="2"/>
      <c r="Z26" s="7">
        <f t="shared" si="7"/>
        <v>5.7725025641025662E-2</v>
      </c>
    </row>
    <row r="27" spans="1:26" s="27" customFormat="1" outlineLevel="1" collapsed="1" x14ac:dyDescent="0.25">
      <c r="A27" s="26"/>
      <c r="B27" s="13" t="str">
        <f>CONCATENATE("     ","Professional Services                             ")</f>
        <v xml:space="preserve">     Professional Services                             </v>
      </c>
      <c r="C27" s="13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0</v>
      </c>
      <c r="I27" s="1"/>
      <c r="J27" s="5">
        <f t="shared" si="1"/>
        <v>0</v>
      </c>
      <c r="K27" s="1"/>
      <c r="L27" s="1">
        <f t="shared" si="2"/>
        <v>0</v>
      </c>
      <c r="M27" s="1"/>
      <c r="N27" s="5">
        <f t="shared" si="3"/>
        <v>0</v>
      </c>
      <c r="O27" s="13"/>
      <c r="P27" s="1">
        <f>SUM(OSRRefP22_4x_0)</f>
        <v>49748.24</v>
      </c>
      <c r="Q27" s="1"/>
      <c r="R27" s="5">
        <f t="shared" si="4"/>
        <v>0</v>
      </c>
      <c r="S27" s="1"/>
      <c r="T27" s="1">
        <f>SUM(OSRRefT22_4x_0)</f>
        <v>65500</v>
      </c>
      <c r="U27" s="1"/>
      <c r="V27" s="5">
        <f t="shared" si="5"/>
        <v>0</v>
      </c>
      <c r="W27" s="1"/>
      <c r="X27" s="1">
        <f t="shared" si="6"/>
        <v>-15751.760000000002</v>
      </c>
      <c r="Y27" s="1"/>
      <c r="Z27" s="5">
        <f t="shared" si="7"/>
        <v>-0.24048488549618324</v>
      </c>
    </row>
    <row r="28" spans="1:26" s="24" customFormat="1" hidden="1" outlineLevel="2" x14ac:dyDescent="0.25">
      <c r="A28" s="25"/>
      <c r="B28" s="11" t="str">
        <f>CONCATENATE("          ", "6331", " - ", "INDIRECT COSTS-AUXILIARY ORGAN")</f>
        <v xml:space="preserve">          6331 - INDIRECT COSTS-AUXILIARY ORGAN</v>
      </c>
      <c r="C28" s="11"/>
      <c r="D28" s="6"/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0</v>
      </c>
      <c r="M28" s="2"/>
      <c r="N28" s="7">
        <f t="shared" si="3"/>
        <v>0</v>
      </c>
      <c r="O28" s="11"/>
      <c r="P28" s="6">
        <v>34686</v>
      </c>
      <c r="Q28" s="2"/>
      <c r="R28" s="7">
        <f t="shared" si="4"/>
        <v>0</v>
      </c>
      <c r="S28" s="2"/>
      <c r="T28" s="6">
        <v>37500</v>
      </c>
      <c r="U28" s="2"/>
      <c r="V28" s="7">
        <f t="shared" si="5"/>
        <v>0</v>
      </c>
      <c r="W28" s="2"/>
      <c r="X28" s="6">
        <f t="shared" si="6"/>
        <v>-2814</v>
      </c>
      <c r="Y28" s="2"/>
      <c r="Z28" s="7">
        <f t="shared" si="7"/>
        <v>-7.5039999999999996E-2</v>
      </c>
    </row>
    <row r="29" spans="1:26" s="24" customFormat="1" hidden="1" outlineLevel="2" x14ac:dyDescent="0.25">
      <c r="A29" s="25"/>
      <c r="B29" s="11" t="str">
        <f>CONCATENATE("          ", "6332", " - ", "CONSULTANT FEES")</f>
        <v xml:space="preserve">          6332 - CONSULTANT FEES</v>
      </c>
      <c r="C29" s="11"/>
      <c r="D29" s="6"/>
      <c r="E29" s="2"/>
      <c r="F29" s="7">
        <f t="shared" si="0"/>
        <v>0</v>
      </c>
      <c r="G29" s="2"/>
      <c r="H29" s="6">
        <v>0</v>
      </c>
      <c r="I29" s="2"/>
      <c r="J29" s="7">
        <f t="shared" si="1"/>
        <v>0</v>
      </c>
      <c r="K29" s="2"/>
      <c r="L29" s="6">
        <f t="shared" si="2"/>
        <v>0</v>
      </c>
      <c r="M29" s="2"/>
      <c r="N29" s="7">
        <f t="shared" si="3"/>
        <v>0</v>
      </c>
      <c r="O29" s="11"/>
      <c r="P29" s="6">
        <v>15062.24</v>
      </c>
      <c r="Q29" s="2"/>
      <c r="R29" s="7">
        <f t="shared" si="4"/>
        <v>0</v>
      </c>
      <c r="S29" s="2"/>
      <c r="T29" s="6">
        <v>28000</v>
      </c>
      <c r="U29" s="2"/>
      <c r="V29" s="7">
        <f t="shared" si="5"/>
        <v>0</v>
      </c>
      <c r="W29" s="2"/>
      <c r="X29" s="6">
        <f t="shared" si="6"/>
        <v>-12937.76</v>
      </c>
      <c r="Y29" s="2"/>
      <c r="Z29" s="7">
        <f t="shared" si="7"/>
        <v>-0.46206285714285716</v>
      </c>
    </row>
    <row r="30" spans="1:26" s="56" customFormat="1" x14ac:dyDescent="0.25">
      <c r="A30" s="36"/>
      <c r="B30" s="36"/>
      <c r="C30" s="36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6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9" t="s">
        <v>0</v>
      </c>
      <c r="C31" s="10"/>
      <c r="D31" s="4">
        <f>SUM(0)</f>
        <v>0</v>
      </c>
      <c r="E31" s="4"/>
      <c r="F31" s="12">
        <f>IF(D$12=0,0,D31/D$12)</f>
        <v>0</v>
      </c>
      <c r="G31" s="4"/>
      <c r="H31" s="4">
        <f>SUM(0)</f>
        <v>0</v>
      </c>
      <c r="I31" s="4"/>
      <c r="J31" s="12">
        <f>IF(H$12=0,0,H31/H$12)</f>
        <v>0</v>
      </c>
      <c r="K31" s="4"/>
      <c r="L31" s="4">
        <f>+D31-H31</f>
        <v>0</v>
      </c>
      <c r="M31" s="4"/>
      <c r="N31" s="12">
        <f>IF(H31=0,0,L31/H31)</f>
        <v>0</v>
      </c>
      <c r="O31" s="10"/>
      <c r="P31" s="4">
        <f>SUM(0)</f>
        <v>0</v>
      </c>
      <c r="Q31" s="4"/>
      <c r="R31" s="12">
        <f>IF(P$12=0,0,P31/P$12)</f>
        <v>0</v>
      </c>
      <c r="S31" s="4"/>
      <c r="T31" s="4">
        <f>SUM(0)</f>
        <v>0</v>
      </c>
      <c r="U31" s="4"/>
      <c r="V31" s="12">
        <f>IF(T$12=0,0,T31/T$12)</f>
        <v>0</v>
      </c>
      <c r="W31" s="4"/>
      <c r="X31" s="4">
        <f>+P31-T31</f>
        <v>0</v>
      </c>
      <c r="Y31" s="4"/>
      <c r="Z31" s="12">
        <f>IF(T31=0,0,X31/T31)</f>
        <v>0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10"/>
      <c r="B33" s="28" t="s">
        <v>3</v>
      </c>
      <c r="C33" s="28"/>
      <c r="D33" s="20">
        <f>+D16-D18+D31</f>
        <v>-33194.83</v>
      </c>
      <c r="E33" s="14"/>
      <c r="F33" s="22">
        <f>IF(D$12=0,0,D33/D$12)</f>
        <v>0</v>
      </c>
      <c r="G33" s="14"/>
      <c r="H33" s="20">
        <f>+H16-H18+H31</f>
        <v>-46000</v>
      </c>
      <c r="I33" s="14"/>
      <c r="J33" s="22">
        <f>IF(H$12=0,0,H33/H$12)</f>
        <v>0</v>
      </c>
      <c r="K33" s="16"/>
      <c r="L33" s="20">
        <f>+D33-H33</f>
        <v>12805.169999999998</v>
      </c>
      <c r="M33" s="16"/>
      <c r="N33" s="22">
        <f>IF(H33=0,0,L33/H33)</f>
        <v>-0.27837326086956515</v>
      </c>
      <c r="O33" s="29"/>
      <c r="P33" s="20">
        <f>+P16-P18+P31</f>
        <v>-497517.49000000005</v>
      </c>
      <c r="Q33" s="14"/>
      <c r="R33" s="22">
        <f>IF(P$12=0,0,P33/P$12)</f>
        <v>0</v>
      </c>
      <c r="S33" s="14"/>
      <c r="T33" s="20">
        <f>+T16-T18+T31</f>
        <v>-617000</v>
      </c>
      <c r="U33" s="14"/>
      <c r="V33" s="22">
        <f>IF(T$12=0,0,T33/T$12)</f>
        <v>0</v>
      </c>
      <c r="W33" s="16"/>
      <c r="X33" s="20">
        <f>+P33-T33</f>
        <v>119482.50999999995</v>
      </c>
      <c r="Y33" s="16"/>
      <c r="Z33" s="22">
        <f>IF(T33=0,0,X33/T33)</f>
        <v>-0.19365074554294967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52"/>
      <c r="B35" s="10" t="s">
        <v>14</v>
      </c>
      <c r="C35" s="10"/>
      <c r="D35" s="4"/>
      <c r="E35" s="4"/>
      <c r="F35" s="12">
        <f>IF(D$12=0,0,D35/D$12)</f>
        <v>0</v>
      </c>
      <c r="G35" s="4"/>
      <c r="H35" s="4"/>
      <c r="I35" s="4"/>
      <c r="J35" s="12">
        <f>IF(H$12=0,0,H35/H$12)</f>
        <v>0</v>
      </c>
      <c r="K35" s="4"/>
      <c r="L35" s="4">
        <f>+D35-H35</f>
        <v>0</v>
      </c>
      <c r="M35" s="4"/>
      <c r="N35" s="12">
        <f>IF(H35=0,0,L35/H35)</f>
        <v>0</v>
      </c>
      <c r="O35" s="10"/>
      <c r="P35" s="4"/>
      <c r="Q35" s="4"/>
      <c r="R35" s="12">
        <f>IF(P$12=0,0,P35/P$12)</f>
        <v>0</v>
      </c>
      <c r="S35" s="4"/>
      <c r="T35" s="4"/>
      <c r="U35" s="4"/>
      <c r="V35" s="12">
        <f>IF(T$12=0,0,T35/T$12)</f>
        <v>0</v>
      </c>
      <c r="W35" s="4"/>
      <c r="X35" s="4">
        <f>+P35-T35</f>
        <v>0</v>
      </c>
      <c r="Y35" s="4"/>
      <c r="Z35" s="12">
        <f>IF(T35=0,0,X35/T35)</f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8" t="s">
        <v>4</v>
      </c>
      <c r="C37" s="28"/>
      <c r="D37" s="31">
        <f>+D33-D35</f>
        <v>-33194.83</v>
      </c>
      <c r="E37" s="14"/>
      <c r="F37" s="34">
        <f>IF(D$12=0,0,D37/D$12)</f>
        <v>0</v>
      </c>
      <c r="G37" s="14"/>
      <c r="H37" s="31">
        <f>+H33-H35</f>
        <v>-46000</v>
      </c>
      <c r="I37" s="14"/>
      <c r="J37" s="34">
        <f>IF(H$12=0,0,H37/H$12)</f>
        <v>0</v>
      </c>
      <c r="K37" s="16"/>
      <c r="L37" s="31">
        <f>D37-H37</f>
        <v>12805.169999999998</v>
      </c>
      <c r="M37" s="16"/>
      <c r="N37" s="34">
        <f>IF(H37=0,0,L37/H37)</f>
        <v>-0.27837326086956515</v>
      </c>
      <c r="O37" s="29"/>
      <c r="P37" s="31">
        <f>+P33-P35</f>
        <v>-497517.49000000005</v>
      </c>
      <c r="Q37" s="14"/>
      <c r="R37" s="34">
        <f>IF(P$12=0,0,P37/P$12)</f>
        <v>0</v>
      </c>
      <c r="S37" s="14"/>
      <c r="T37" s="31">
        <f>+T33-T35</f>
        <v>-617000</v>
      </c>
      <c r="U37" s="14"/>
      <c r="V37" s="34">
        <f>IF(T$12=0,0,T37/T$12)</f>
        <v>0</v>
      </c>
      <c r="W37" s="16"/>
      <c r="X37" s="31">
        <f>P37-T37</f>
        <v>119482.50999999995</v>
      </c>
      <c r="Y37" s="16"/>
      <c r="Z37" s="34">
        <f>IF(T37=0,0,X37/T37)</f>
        <v>-0.19365074554294967</v>
      </c>
    </row>
    <row r="38" spans="1:26" ht="15.75" thickTop="1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x14ac:dyDescent="0.2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.75" thickBot="1" x14ac:dyDescent="0.3">
      <c r="A40" s="10"/>
      <c r="B40" s="28" t="s">
        <v>5</v>
      </c>
      <c r="C40" s="28"/>
      <c r="D40" s="32">
        <f>SUM(D37:D39)</f>
        <v>-33194.83</v>
      </c>
      <c r="E40" s="14"/>
      <c r="F40" s="35">
        <f>IF(D$12=0,0,D40/D$12)</f>
        <v>0</v>
      </c>
      <c r="G40" s="14"/>
      <c r="H40" s="32">
        <f>SUM(H37:H39)</f>
        <v>-46000</v>
      </c>
      <c r="I40" s="14"/>
      <c r="J40" s="35">
        <f>IF(H$12=0,0,H40/H$12)</f>
        <v>0</v>
      </c>
      <c r="K40" s="16"/>
      <c r="L40" s="32">
        <f>+D40-H40</f>
        <v>12805.169999999998</v>
      </c>
      <c r="M40" s="16"/>
      <c r="N40" s="35">
        <f>IF(H40=0,0,L40/H40)</f>
        <v>-0.27837326086956515</v>
      </c>
      <c r="O40" s="29"/>
      <c r="P40" s="32">
        <f>SUM(P37:P39)</f>
        <v>-497517.49000000005</v>
      </c>
      <c r="Q40" s="14"/>
      <c r="R40" s="35">
        <f>IF(P$12=0,0,P40/P$12)</f>
        <v>0</v>
      </c>
      <c r="S40" s="14"/>
      <c r="T40" s="32">
        <f>SUM(T37:T39)</f>
        <v>-617000</v>
      </c>
      <c r="U40" s="14"/>
      <c r="V40" s="35">
        <f>IF(T$12=0,0,T40/T$12)</f>
        <v>0</v>
      </c>
      <c r="W40" s="16"/>
      <c r="X40" s="32">
        <f>+P40-T40</f>
        <v>119482.50999999995</v>
      </c>
      <c r="Y40" s="16"/>
      <c r="Z40" s="35">
        <f>IF(T40=0,0,X40/T40)</f>
        <v>-0.19365074554294967</v>
      </c>
    </row>
    <row r="41" spans="1:26" ht="15.75" thickTop="1" x14ac:dyDescent="0.25">
      <c r="A41" s="9"/>
      <c r="C41" s="9"/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A42" s="9"/>
      <c r="B42" s="57">
        <v>43934.466153159723</v>
      </c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  <row r="43" spans="1:26" x14ac:dyDescent="0.25">
      <c r="A43" s="9"/>
      <c r="B43" s="62" t="s">
        <v>314</v>
      </c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  <row r="44" spans="1:26" x14ac:dyDescent="0.25">
      <c r="A44" s="9"/>
      <c r="B44" s="60"/>
      <c r="D44" s="18"/>
      <c r="E44" s="18"/>
      <c r="G44" s="18"/>
      <c r="H44" s="18"/>
      <c r="I44" s="18"/>
      <c r="J44" s="42"/>
      <c r="K44" s="18"/>
      <c r="L44" s="18"/>
      <c r="M44" s="18"/>
      <c r="P44" s="18"/>
      <c r="Q44" s="18"/>
      <c r="R44" s="42"/>
      <c r="S44" s="18"/>
      <c r="T44" s="18"/>
      <c r="U44" s="18"/>
      <c r="V44" s="42"/>
      <c r="W44" s="18"/>
      <c r="X44" s="18"/>
    </row>
    <row r="45" spans="1:26" x14ac:dyDescent="0.25">
      <c r="D45" s="18"/>
      <c r="E45" s="18"/>
      <c r="G45" s="18"/>
      <c r="H45" s="18"/>
      <c r="I45" s="18"/>
      <c r="J45" s="42"/>
      <c r="K45" s="18"/>
      <c r="L45" s="18"/>
      <c r="M45" s="18"/>
      <c r="P45" s="18"/>
      <c r="Q45" s="18"/>
      <c r="R45" s="42"/>
      <c r="S45" s="18"/>
      <c r="T45" s="18"/>
      <c r="U45" s="18"/>
      <c r="V45" s="42"/>
      <c r="W45" s="18"/>
      <c r="X45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","201", " - ", "General Manager")</f>
        <v>Department 201 - General Manager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38606.709999999992</v>
      </c>
      <c r="E18" s="21"/>
      <c r="F18" s="30">
        <f t="shared" ref="F18:F28" si="0">IF(D$12=0,0,D18/D$12)</f>
        <v>0</v>
      </c>
      <c r="G18" s="21"/>
      <c r="H18" s="21">
        <f>SUM(OSRRefH22x_0)</f>
        <v>69096.394416923053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-30489.684416923061</v>
      </c>
      <c r="M18" s="4"/>
      <c r="N18" s="30">
        <f t="shared" ref="N18:N28" si="3">IF(H18=0,0,L18/H18)</f>
        <v>-0.4412630307878343</v>
      </c>
      <c r="O18" s="10"/>
      <c r="P18" s="21">
        <f>SUM(OSRRefP22x_0)</f>
        <v>552368.17999999982</v>
      </c>
      <c r="Q18" s="21"/>
      <c r="R18" s="30">
        <f t="shared" ref="R18:R28" si="4">IF(P$12=0,0,P18/P$12)</f>
        <v>0</v>
      </c>
      <c r="S18" s="21"/>
      <c r="T18" s="21">
        <f>SUM(OSRRefT22x_0)</f>
        <v>994394.09556499985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-442025.91556500003</v>
      </c>
      <c r="Y18" s="4"/>
      <c r="Z18" s="30">
        <f t="shared" ref="Z18:Z28" si="7">IF(T18=0,0,X18/T18)</f>
        <v>-0.44451784009623219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10102.949999999999</v>
      </c>
      <c r="E19" s="1"/>
      <c r="F19" s="5">
        <f t="shared" si="0"/>
        <v>0</v>
      </c>
      <c r="G19" s="1"/>
      <c r="H19" s="1">
        <f>SUM(OSRRefH22_0x_0)</f>
        <v>13117.425186153856</v>
      </c>
      <c r="I19" s="1"/>
      <c r="J19" s="5">
        <f t="shared" si="1"/>
        <v>0</v>
      </c>
      <c r="K19" s="1"/>
      <c r="L19" s="1">
        <f t="shared" si="2"/>
        <v>-3014.4751861538571</v>
      </c>
      <c r="M19" s="1"/>
      <c r="N19" s="5">
        <f t="shared" si="3"/>
        <v>-0.22980692806510511</v>
      </c>
      <c r="O19" s="13"/>
      <c r="P19" s="1">
        <f>SUM(OSRRefP22_0x_0)</f>
        <v>129643.74000000002</v>
      </c>
      <c r="Q19" s="1"/>
      <c r="R19" s="5">
        <f t="shared" si="4"/>
        <v>0</v>
      </c>
      <c r="S19" s="1"/>
      <c r="T19" s="1">
        <f>SUM(OSRRefT22_0x_0)</f>
        <v>124340.64556500007</v>
      </c>
      <c r="U19" s="1"/>
      <c r="V19" s="5">
        <f t="shared" si="5"/>
        <v>0</v>
      </c>
      <c r="W19" s="1"/>
      <c r="X19" s="1">
        <f t="shared" si="6"/>
        <v>5303.0944349999481</v>
      </c>
      <c r="Y19" s="1"/>
      <c r="Z19" s="5">
        <f t="shared" si="7"/>
        <v>4.2649725766685943E-2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1472.79</v>
      </c>
      <c r="E20" s="2"/>
      <c r="F20" s="7">
        <f t="shared" si="0"/>
        <v>0</v>
      </c>
      <c r="G20" s="2"/>
      <c r="H20" s="6">
        <v>2387.8184169230799</v>
      </c>
      <c r="I20" s="2"/>
      <c r="J20" s="7">
        <f t="shared" si="1"/>
        <v>0</v>
      </c>
      <c r="K20" s="2"/>
      <c r="L20" s="6">
        <f t="shared" si="2"/>
        <v>-915.02841692307993</v>
      </c>
      <c r="M20" s="2"/>
      <c r="N20" s="7">
        <f t="shared" si="3"/>
        <v>-0.38320686800890702</v>
      </c>
      <c r="O20" s="11"/>
      <c r="P20" s="6">
        <v>17280.11</v>
      </c>
      <c r="Q20" s="2"/>
      <c r="R20" s="7">
        <f t="shared" si="4"/>
        <v>0</v>
      </c>
      <c r="S20" s="2"/>
      <c r="T20" s="6">
        <v>23281.229565000031</v>
      </c>
      <c r="U20" s="2"/>
      <c r="V20" s="7">
        <f t="shared" si="5"/>
        <v>0</v>
      </c>
      <c r="W20" s="2"/>
      <c r="X20" s="6">
        <f t="shared" si="6"/>
        <v>-6001.11956500003</v>
      </c>
      <c r="Y20" s="2"/>
      <c r="Z20" s="7">
        <f t="shared" si="7"/>
        <v>-0.25776643575654817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70.53</v>
      </c>
      <c r="E21" s="2"/>
      <c r="F21" s="7">
        <f t="shared" si="0"/>
        <v>0</v>
      </c>
      <c r="G21" s="2"/>
      <c r="H21" s="6">
        <v>106.08366153846201</v>
      </c>
      <c r="I21" s="2"/>
      <c r="J21" s="7">
        <f t="shared" si="1"/>
        <v>0</v>
      </c>
      <c r="K21" s="2"/>
      <c r="L21" s="6">
        <f t="shared" si="2"/>
        <v>-35.553661538462009</v>
      </c>
      <c r="M21" s="2"/>
      <c r="N21" s="7">
        <f t="shared" si="3"/>
        <v>-0.33514738295087571</v>
      </c>
      <c r="O21" s="11"/>
      <c r="P21" s="6">
        <v>1058.23</v>
      </c>
      <c r="Q21" s="2"/>
      <c r="R21" s="7">
        <f t="shared" si="4"/>
        <v>0</v>
      </c>
      <c r="S21" s="2"/>
      <c r="T21" s="6">
        <v>1034.3157000000028</v>
      </c>
      <c r="U21" s="2"/>
      <c r="V21" s="7">
        <f t="shared" si="5"/>
        <v>0</v>
      </c>
      <c r="W21" s="2"/>
      <c r="X21" s="6">
        <f t="shared" si="6"/>
        <v>23.914299999997183</v>
      </c>
      <c r="Y21" s="2"/>
      <c r="Z21" s="7">
        <f t="shared" si="7"/>
        <v>2.3120890459264146E-2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3965.44</v>
      </c>
      <c r="E22" s="2"/>
      <c r="F22" s="7">
        <f t="shared" si="0"/>
        <v>0</v>
      </c>
      <c r="G22" s="2"/>
      <c r="H22" s="6">
        <v>4739</v>
      </c>
      <c r="I22" s="2"/>
      <c r="J22" s="7">
        <f t="shared" si="1"/>
        <v>0</v>
      </c>
      <c r="K22" s="2"/>
      <c r="L22" s="6">
        <f t="shared" si="2"/>
        <v>-773.56</v>
      </c>
      <c r="M22" s="2"/>
      <c r="N22" s="7">
        <f t="shared" si="3"/>
        <v>-0.16323274952521627</v>
      </c>
      <c r="O22" s="11"/>
      <c r="P22" s="6">
        <v>37036.18</v>
      </c>
      <c r="Q22" s="2"/>
      <c r="R22" s="7">
        <f t="shared" si="4"/>
        <v>0</v>
      </c>
      <c r="S22" s="2"/>
      <c r="T22" s="6">
        <v>42651</v>
      </c>
      <c r="U22" s="2"/>
      <c r="V22" s="7">
        <f t="shared" si="5"/>
        <v>0</v>
      </c>
      <c r="W22" s="2"/>
      <c r="X22" s="6">
        <f t="shared" si="6"/>
        <v>-5614.82</v>
      </c>
      <c r="Y22" s="2"/>
      <c r="Z22" s="7">
        <f t="shared" si="7"/>
        <v>-0.13164568239900587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53.94</v>
      </c>
      <c r="E23" s="2"/>
      <c r="F23" s="7">
        <f t="shared" si="0"/>
        <v>0</v>
      </c>
      <c r="G23" s="2"/>
      <c r="H23" s="6">
        <v>81.122799999999998</v>
      </c>
      <c r="I23" s="2"/>
      <c r="J23" s="7">
        <f t="shared" si="1"/>
        <v>0</v>
      </c>
      <c r="K23" s="2"/>
      <c r="L23" s="6">
        <f t="shared" si="2"/>
        <v>-27.1828</v>
      </c>
      <c r="M23" s="2"/>
      <c r="N23" s="7">
        <f t="shared" si="3"/>
        <v>-0.33508212241194829</v>
      </c>
      <c r="O23" s="11"/>
      <c r="P23" s="6">
        <v>965.92</v>
      </c>
      <c r="Q23" s="2"/>
      <c r="R23" s="7">
        <f t="shared" si="4"/>
        <v>0</v>
      </c>
      <c r="S23" s="2"/>
      <c r="T23" s="6">
        <v>790.94730000000004</v>
      </c>
      <c r="U23" s="2"/>
      <c r="V23" s="7">
        <f t="shared" si="5"/>
        <v>0</v>
      </c>
      <c r="W23" s="2"/>
      <c r="X23" s="6">
        <f t="shared" si="6"/>
        <v>174.97269999999992</v>
      </c>
      <c r="Y23" s="2"/>
      <c r="Z23" s="7">
        <f t="shared" si="7"/>
        <v>0.22121916340064618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1898.57</v>
      </c>
      <c r="E24" s="2"/>
      <c r="F24" s="7">
        <f t="shared" si="0"/>
        <v>0</v>
      </c>
      <c r="G24" s="2"/>
      <c r="H24" s="6">
        <v>2683.2926153846201</v>
      </c>
      <c r="I24" s="2"/>
      <c r="J24" s="7">
        <f t="shared" si="1"/>
        <v>0</v>
      </c>
      <c r="K24" s="2"/>
      <c r="L24" s="6">
        <f t="shared" si="2"/>
        <v>-784.72261538462021</v>
      </c>
      <c r="M24" s="2"/>
      <c r="N24" s="7">
        <f t="shared" si="3"/>
        <v>-0.29244764841725579</v>
      </c>
      <c r="O24" s="11"/>
      <c r="P24" s="6">
        <v>26353.57</v>
      </c>
      <c r="Q24" s="2"/>
      <c r="R24" s="7">
        <f t="shared" si="4"/>
        <v>0</v>
      </c>
      <c r="S24" s="2"/>
      <c r="T24" s="6">
        <v>26162.103000000032</v>
      </c>
      <c r="U24" s="2"/>
      <c r="V24" s="7">
        <f t="shared" si="5"/>
        <v>0</v>
      </c>
      <c r="W24" s="2"/>
      <c r="X24" s="6">
        <f t="shared" si="6"/>
        <v>191.46699999996781</v>
      </c>
      <c r="Y24" s="2"/>
      <c r="Z24" s="7">
        <f t="shared" si="7"/>
        <v>7.3184865910805247E-3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1621.64</v>
      </c>
      <c r="E26" s="2"/>
      <c r="F26" s="7">
        <f t="shared" si="0"/>
        <v>0</v>
      </c>
      <c r="G26" s="2"/>
      <c r="H26" s="6">
        <v>2447.1215384615398</v>
      </c>
      <c r="I26" s="2"/>
      <c r="J26" s="7">
        <f t="shared" si="1"/>
        <v>0</v>
      </c>
      <c r="K26" s="2"/>
      <c r="L26" s="6">
        <f t="shared" si="2"/>
        <v>-825.48153846153969</v>
      </c>
      <c r="M26" s="2"/>
      <c r="N26" s="7">
        <f t="shared" si="3"/>
        <v>-0.33732756035505485</v>
      </c>
      <c r="O26" s="11"/>
      <c r="P26" s="6">
        <v>21374.1</v>
      </c>
      <c r="Q26" s="2"/>
      <c r="R26" s="7">
        <f t="shared" si="4"/>
        <v>0</v>
      </c>
      <c r="S26" s="2"/>
      <c r="T26" s="6">
        <v>23859.435000000001</v>
      </c>
      <c r="U26" s="2"/>
      <c r="V26" s="7">
        <f t="shared" si="5"/>
        <v>0</v>
      </c>
      <c r="W26" s="2"/>
      <c r="X26" s="6">
        <f t="shared" si="6"/>
        <v>-2485.3350000000028</v>
      </c>
      <c r="Y26" s="2"/>
      <c r="Z26" s="7">
        <f t="shared" si="7"/>
        <v>-0.10416571054595394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856.8</v>
      </c>
      <c r="E27" s="2"/>
      <c r="F27" s="7">
        <f t="shared" si="0"/>
        <v>0</v>
      </c>
      <c r="G27" s="2"/>
      <c r="H27" s="6">
        <v>672.98615384615402</v>
      </c>
      <c r="I27" s="2"/>
      <c r="J27" s="7">
        <f t="shared" si="1"/>
        <v>0</v>
      </c>
      <c r="K27" s="2"/>
      <c r="L27" s="6">
        <f t="shared" si="2"/>
        <v>183.81384615384593</v>
      </c>
      <c r="M27" s="2"/>
      <c r="N27" s="7">
        <f t="shared" si="3"/>
        <v>0.27313169090231554</v>
      </c>
      <c r="O27" s="11"/>
      <c r="P27" s="6">
        <v>22970</v>
      </c>
      <c r="Q27" s="2"/>
      <c r="R27" s="7">
        <f t="shared" si="4"/>
        <v>0</v>
      </c>
      <c r="S27" s="2"/>
      <c r="T27" s="6">
        <v>6561.6149999999998</v>
      </c>
      <c r="U27" s="2"/>
      <c r="V27" s="7">
        <f t="shared" si="5"/>
        <v>0</v>
      </c>
      <c r="W27" s="2"/>
      <c r="X27" s="6">
        <f t="shared" si="6"/>
        <v>16408.385000000002</v>
      </c>
      <c r="Y27" s="2"/>
      <c r="Z27" s="7">
        <f t="shared" si="7"/>
        <v>2.5006625655421724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>
        <v>163.24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163.24</v>
      </c>
      <c r="M28" s="2"/>
      <c r="N28" s="7">
        <f t="shared" si="3"/>
        <v>0</v>
      </c>
      <c r="O28" s="11"/>
      <c r="P28" s="6">
        <v>2605.63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2605.63</v>
      </c>
      <c r="Y28" s="2"/>
      <c r="Z28" s="7">
        <f t="shared" si="7"/>
        <v>0</v>
      </c>
    </row>
    <row r="29" spans="1:26" s="27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20849.920000000002</v>
      </c>
      <c r="E29" s="1"/>
      <c r="F29" s="5">
        <f t="shared" ref="F29:F39" si="8">IF(D$12=0,0,D29/D$12)</f>
        <v>0</v>
      </c>
      <c r="G29" s="1"/>
      <c r="H29" s="1">
        <f>SUM(OSRRefH22_1x_0)</f>
        <v>28080.969230769191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-7231.0492307691893</v>
      </c>
      <c r="M29" s="1"/>
      <c r="N29" s="5">
        <f t="shared" ref="N29:N39" si="11">IF(H29=0,0,L29/H29)</f>
        <v>-0.25750710993429327</v>
      </c>
      <c r="O29" s="13"/>
      <c r="P29" s="1">
        <f>SUM(OSRRefP22_1x_0)</f>
        <v>145488.78</v>
      </c>
      <c r="Q29" s="1"/>
      <c r="R29" s="5">
        <f t="shared" ref="R29:R39" si="12">IF(P$12=0,0,P29/P$12)</f>
        <v>0</v>
      </c>
      <c r="S29" s="1"/>
      <c r="T29" s="1">
        <f>SUM(OSRRefT22_1x_0)</f>
        <v>273789.44999999972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-128300.66999999972</v>
      </c>
      <c r="Y29" s="1"/>
      <c r="Z29" s="5">
        <f t="shared" ref="Z29:Z39" si="15">IF(T29=0,0,X29/T29)</f>
        <v>-0.46861071527774301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6">
        <v>14140.28</v>
      </c>
      <c r="E30" s="2"/>
      <c r="F30" s="7">
        <f t="shared" si="8"/>
        <v>0</v>
      </c>
      <c r="G30" s="2"/>
      <c r="H30" s="6">
        <v>23674.1538461538</v>
      </c>
      <c r="I30" s="2"/>
      <c r="J30" s="7">
        <f t="shared" si="9"/>
        <v>0</v>
      </c>
      <c r="K30" s="2"/>
      <c r="L30" s="6">
        <f t="shared" si="10"/>
        <v>-9533.8738461537996</v>
      </c>
      <c r="M30" s="2"/>
      <c r="N30" s="7">
        <f t="shared" si="11"/>
        <v>-0.40271233802523893</v>
      </c>
      <c r="O30" s="11"/>
      <c r="P30" s="6">
        <v>141114.04</v>
      </c>
      <c r="Q30" s="2"/>
      <c r="R30" s="7">
        <f t="shared" si="12"/>
        <v>0</v>
      </c>
      <c r="S30" s="2"/>
      <c r="T30" s="6">
        <v>230822.99999999968</v>
      </c>
      <c r="U30" s="2"/>
      <c r="V30" s="7">
        <f t="shared" si="13"/>
        <v>0</v>
      </c>
      <c r="W30" s="2"/>
      <c r="X30" s="6">
        <f t="shared" si="14"/>
        <v>-89708.959999999672</v>
      </c>
      <c r="Y30" s="2"/>
      <c r="Z30" s="7">
        <f t="shared" si="15"/>
        <v>-0.38864827161937848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6">
        <v>4651.66</v>
      </c>
      <c r="E31" s="2"/>
      <c r="F31" s="7">
        <f t="shared" si="8"/>
        <v>0</v>
      </c>
      <c r="G31" s="2"/>
      <c r="H31" s="6">
        <v>4406.81538461539</v>
      </c>
      <c r="I31" s="2"/>
      <c r="J31" s="7">
        <f t="shared" si="9"/>
        <v>0</v>
      </c>
      <c r="K31" s="2"/>
      <c r="L31" s="6">
        <f t="shared" si="10"/>
        <v>244.84461538460982</v>
      </c>
      <c r="M31" s="2"/>
      <c r="N31" s="7">
        <f t="shared" si="11"/>
        <v>5.5560443089897882E-2</v>
      </c>
      <c r="O31" s="11"/>
      <c r="P31" s="6">
        <v>42354.460000000006</v>
      </c>
      <c r="Q31" s="2"/>
      <c r="R31" s="7">
        <f t="shared" si="12"/>
        <v>0</v>
      </c>
      <c r="S31" s="2"/>
      <c r="T31" s="6">
        <v>42966.450000000033</v>
      </c>
      <c r="U31" s="2"/>
      <c r="V31" s="7">
        <f t="shared" si="13"/>
        <v>0</v>
      </c>
      <c r="W31" s="2"/>
      <c r="X31" s="6">
        <f t="shared" si="14"/>
        <v>-611.99000000002707</v>
      </c>
      <c r="Y31" s="2"/>
      <c r="Z31" s="7">
        <f t="shared" si="15"/>
        <v>-1.4243438776068923E-2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>
        <v>2057.98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2057.98</v>
      </c>
      <c r="M36" s="2"/>
      <c r="N36" s="7">
        <f t="shared" si="11"/>
        <v>0</v>
      </c>
      <c r="O36" s="11"/>
      <c r="P36" s="6">
        <v>-37979.72</v>
      </c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-37979.72</v>
      </c>
      <c r="Y36" s="2"/>
      <c r="Z36" s="7">
        <f t="shared" si="15"/>
        <v>0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7" customFormat="1" outlineLevel="1" collapsed="1" x14ac:dyDescent="0.25">
      <c r="A40" s="26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46" si="16">IF(D$12=0,0,D40/D$12)</f>
        <v>0</v>
      </c>
      <c r="G40" s="1"/>
      <c r="H40" s="1">
        <f>SUM(OSRRefH22_2x_0)</f>
        <v>9000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-9000</v>
      </c>
      <c r="M40" s="1"/>
      <c r="N40" s="5">
        <f t="shared" ref="N40:N46" si="19">IF(H40=0,0,L40/H40)</f>
        <v>-1</v>
      </c>
      <c r="O40" s="13"/>
      <c r="P40" s="1">
        <f>SUM(OSRRefP22_2x_0)</f>
        <v>12880.83</v>
      </c>
      <c r="Q40" s="1"/>
      <c r="R40" s="5">
        <f t="shared" ref="R40:R46" si="20">IF(P$12=0,0,P40/P$12)</f>
        <v>0</v>
      </c>
      <c r="S40" s="1"/>
      <c r="T40" s="1">
        <f>SUM(OSRRefT22_2x_0)</f>
        <v>81000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-68119.17</v>
      </c>
      <c r="Y40" s="1"/>
      <c r="Z40" s="5">
        <f t="shared" ref="Z40:Z46" si="23">IF(T40=0,0,X40/T40)</f>
        <v>-0.84097740740740734</v>
      </c>
    </row>
    <row r="41" spans="1:26" s="24" customFormat="1" hidden="1" outlineLevel="2" x14ac:dyDescent="0.25">
      <c r="A41" s="25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>
        <v>9000</v>
      </c>
      <c r="I41" s="2"/>
      <c r="J41" s="7">
        <f t="shared" si="17"/>
        <v>0</v>
      </c>
      <c r="K41" s="2"/>
      <c r="L41" s="6">
        <f t="shared" si="18"/>
        <v>-9000</v>
      </c>
      <c r="M41" s="2"/>
      <c r="N41" s="7">
        <f t="shared" si="19"/>
        <v>-1</v>
      </c>
      <c r="O41" s="11"/>
      <c r="P41" s="6">
        <v>12880.83</v>
      </c>
      <c r="Q41" s="2"/>
      <c r="R41" s="7">
        <f t="shared" si="20"/>
        <v>0</v>
      </c>
      <c r="S41" s="2"/>
      <c r="T41" s="6">
        <v>81000</v>
      </c>
      <c r="U41" s="2"/>
      <c r="V41" s="7">
        <f t="shared" si="21"/>
        <v>0</v>
      </c>
      <c r="W41" s="2"/>
      <c r="X41" s="6">
        <f t="shared" si="22"/>
        <v>-68119.17</v>
      </c>
      <c r="Y41" s="2"/>
      <c r="Z41" s="7">
        <f t="shared" si="23"/>
        <v>-0.84097740740740734</v>
      </c>
    </row>
    <row r="42" spans="1:26" s="27" customFormat="1" outlineLevel="1" collapsed="1" x14ac:dyDescent="0.25">
      <c r="A42" s="26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SUM(OSRRefD22_3x_0)</f>
        <v>345.23</v>
      </c>
      <c r="E42" s="1"/>
      <c r="F42" s="5">
        <f t="shared" si="16"/>
        <v>0</v>
      </c>
      <c r="G42" s="1"/>
      <c r="H42" s="1">
        <f>SUM(OSRRefH22_3x_0)</f>
        <v>345</v>
      </c>
      <c r="I42" s="1"/>
      <c r="J42" s="5">
        <f t="shared" si="17"/>
        <v>0</v>
      </c>
      <c r="K42" s="1"/>
      <c r="L42" s="1">
        <f t="shared" si="18"/>
        <v>0.23000000000001819</v>
      </c>
      <c r="M42" s="1"/>
      <c r="N42" s="5">
        <f t="shared" si="19"/>
        <v>6.6666666666671945E-4</v>
      </c>
      <c r="O42" s="13"/>
      <c r="P42" s="1">
        <f>SUM(OSRRefP22_3x_0)</f>
        <v>3107.07</v>
      </c>
      <c r="Q42" s="1"/>
      <c r="R42" s="5">
        <f t="shared" si="20"/>
        <v>0</v>
      </c>
      <c r="S42" s="1"/>
      <c r="T42" s="1">
        <f>SUM(OSRRefT22_3x_0)</f>
        <v>3105</v>
      </c>
      <c r="U42" s="1"/>
      <c r="V42" s="5">
        <f t="shared" si="21"/>
        <v>0</v>
      </c>
      <c r="W42" s="1"/>
      <c r="X42" s="1">
        <f t="shared" si="22"/>
        <v>2.0700000000001637</v>
      </c>
      <c r="Y42" s="1"/>
      <c r="Z42" s="5">
        <f t="shared" si="23"/>
        <v>6.6666666666671945E-4</v>
      </c>
    </row>
    <row r="43" spans="1:26" s="24" customFormat="1" hidden="1" outlineLevel="2" x14ac:dyDescent="0.25">
      <c r="A43" s="25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345.23</v>
      </c>
      <c r="E43" s="2"/>
      <c r="F43" s="7">
        <f t="shared" si="16"/>
        <v>0</v>
      </c>
      <c r="G43" s="2"/>
      <c r="H43" s="6">
        <v>345</v>
      </c>
      <c r="I43" s="2"/>
      <c r="J43" s="7">
        <f t="shared" si="17"/>
        <v>0</v>
      </c>
      <c r="K43" s="2"/>
      <c r="L43" s="6">
        <f t="shared" si="18"/>
        <v>0.23000000000001819</v>
      </c>
      <c r="M43" s="2"/>
      <c r="N43" s="7">
        <f t="shared" si="19"/>
        <v>6.6666666666671945E-4</v>
      </c>
      <c r="O43" s="11"/>
      <c r="P43" s="6">
        <v>3107.07</v>
      </c>
      <c r="Q43" s="2"/>
      <c r="R43" s="7">
        <f t="shared" si="20"/>
        <v>0</v>
      </c>
      <c r="S43" s="2"/>
      <c r="T43" s="6">
        <v>3105</v>
      </c>
      <c r="U43" s="2"/>
      <c r="V43" s="7">
        <f t="shared" si="21"/>
        <v>0</v>
      </c>
      <c r="W43" s="2"/>
      <c r="X43" s="6">
        <f t="shared" si="22"/>
        <v>2.0700000000001637</v>
      </c>
      <c r="Y43" s="2"/>
      <c r="Z43" s="7">
        <f t="shared" si="23"/>
        <v>6.6666666666671945E-4</v>
      </c>
    </row>
    <row r="44" spans="1:26" s="27" customFormat="1" outlineLevel="1" collapsed="1" x14ac:dyDescent="0.25">
      <c r="A44" s="26"/>
      <c r="B44" s="13" t="str">
        <f>CONCATENATE("     ","Donations                                         ")</f>
        <v xml:space="preserve">     Donations              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10000</v>
      </c>
      <c r="I44" s="1"/>
      <c r="J44" s="5">
        <f t="shared" si="17"/>
        <v>0</v>
      </c>
      <c r="K44" s="1"/>
      <c r="L44" s="1">
        <f t="shared" si="18"/>
        <v>-10000</v>
      </c>
      <c r="M44" s="1"/>
      <c r="N44" s="5">
        <f t="shared" si="19"/>
        <v>-1</v>
      </c>
      <c r="O44" s="13"/>
      <c r="P44" s="1">
        <f>SUM(OSRRefP22_4x_0)</f>
        <v>145645</v>
      </c>
      <c r="Q44" s="1"/>
      <c r="R44" s="5">
        <f t="shared" si="20"/>
        <v>0</v>
      </c>
      <c r="S44" s="1"/>
      <c r="T44" s="1">
        <f>SUM(OSRRefT22_4x_0)</f>
        <v>377800</v>
      </c>
      <c r="U44" s="1"/>
      <c r="V44" s="5">
        <f t="shared" si="21"/>
        <v>0</v>
      </c>
      <c r="W44" s="1"/>
      <c r="X44" s="1">
        <f t="shared" si="22"/>
        <v>-232155</v>
      </c>
      <c r="Y44" s="1"/>
      <c r="Z44" s="5">
        <f t="shared" si="23"/>
        <v>-0.61449179460031766</v>
      </c>
    </row>
    <row r="45" spans="1:26" s="24" customFormat="1" hidden="1" outlineLevel="2" x14ac:dyDescent="0.25">
      <c r="A45" s="25"/>
      <c r="B45" s="11" t="str">
        <f>CONCATENATE("          ", "6395", " - ", "DONATION-OFF CAMPUS")</f>
        <v xml:space="preserve">          6395 - DONATION-OFF CAMPUS</v>
      </c>
      <c r="C45" s="11"/>
      <c r="D45" s="6"/>
      <c r="E45" s="2"/>
      <c r="F45" s="7">
        <f t="shared" si="16"/>
        <v>0</v>
      </c>
      <c r="G45" s="2"/>
      <c r="H45" s="6"/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/>
      <c r="Q45" s="2"/>
      <c r="R45" s="7">
        <f t="shared" si="20"/>
        <v>0</v>
      </c>
      <c r="S45" s="2"/>
      <c r="T45" s="6">
        <v>2300</v>
      </c>
      <c r="U45" s="2"/>
      <c r="V45" s="7">
        <f t="shared" si="21"/>
        <v>0</v>
      </c>
      <c r="W45" s="2"/>
      <c r="X45" s="6">
        <f t="shared" si="22"/>
        <v>-2300</v>
      </c>
      <c r="Y45" s="2"/>
      <c r="Z45" s="7">
        <f t="shared" si="23"/>
        <v>-1</v>
      </c>
    </row>
    <row r="46" spans="1:26" s="24" customFormat="1" hidden="1" outlineLevel="2" x14ac:dyDescent="0.25">
      <c r="A46" s="25"/>
      <c r="B46" s="11" t="str">
        <f>CONCATENATE("          ", "6399", " - ", "DONATION-ON CAMPUS")</f>
        <v xml:space="preserve">          6399 - DONATION-ON CAMPUS</v>
      </c>
      <c r="C46" s="11"/>
      <c r="D46" s="6"/>
      <c r="E46" s="2"/>
      <c r="F46" s="7">
        <f t="shared" si="16"/>
        <v>0</v>
      </c>
      <c r="G46" s="2"/>
      <c r="H46" s="6">
        <v>10000</v>
      </c>
      <c r="I46" s="2"/>
      <c r="J46" s="7">
        <f t="shared" si="17"/>
        <v>0</v>
      </c>
      <c r="K46" s="2"/>
      <c r="L46" s="6">
        <f t="shared" si="18"/>
        <v>-10000</v>
      </c>
      <c r="M46" s="2"/>
      <c r="N46" s="7">
        <f t="shared" si="19"/>
        <v>-1</v>
      </c>
      <c r="O46" s="11"/>
      <c r="P46" s="6">
        <v>145645</v>
      </c>
      <c r="Q46" s="2"/>
      <c r="R46" s="7">
        <f t="shared" si="20"/>
        <v>0</v>
      </c>
      <c r="S46" s="2"/>
      <c r="T46" s="6">
        <v>375500</v>
      </c>
      <c r="U46" s="2"/>
      <c r="V46" s="7">
        <f t="shared" si="21"/>
        <v>0</v>
      </c>
      <c r="W46" s="2"/>
      <c r="X46" s="6">
        <f t="shared" si="22"/>
        <v>-229855</v>
      </c>
      <c r="Y46" s="2"/>
      <c r="Z46" s="7">
        <f t="shared" si="23"/>
        <v>-0.61213049267643138</v>
      </c>
    </row>
    <row r="47" spans="1:26" s="27" customFormat="1" outlineLevel="1" collapsed="1" x14ac:dyDescent="0.25">
      <c r="A47" s="26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SUM(OSRRefD22_5x_0)</f>
        <v>0</v>
      </c>
      <c r="E47" s="1"/>
      <c r="F47" s="5">
        <f t="shared" ref="F47:F60" si="24">IF(D$12=0,0,D47/D$12)</f>
        <v>0</v>
      </c>
      <c r="G47" s="1"/>
      <c r="H47" s="1">
        <f>SUM(OSRRefH22_5x_0)</f>
        <v>500</v>
      </c>
      <c r="I47" s="1"/>
      <c r="J47" s="5">
        <f t="shared" ref="J47:J60" si="25">IF(H$12=0,0,H47/H$12)</f>
        <v>0</v>
      </c>
      <c r="K47" s="1"/>
      <c r="L47" s="1">
        <f t="shared" ref="L47:L60" si="26">+D47-H47</f>
        <v>-500</v>
      </c>
      <c r="M47" s="1"/>
      <c r="N47" s="5">
        <f t="shared" ref="N47:N60" si="27">IF(H47=0,0,L47/H47)</f>
        <v>-1</v>
      </c>
      <c r="O47" s="13"/>
      <c r="P47" s="1">
        <f>SUM(OSRRefP22_5x_0)</f>
        <v>0</v>
      </c>
      <c r="Q47" s="1"/>
      <c r="R47" s="5">
        <f t="shared" ref="R47:R60" si="28">IF(P$12=0,0,P47/P$12)</f>
        <v>0</v>
      </c>
      <c r="S47" s="1"/>
      <c r="T47" s="1">
        <f>SUM(OSRRefT22_5x_0)</f>
        <v>5000</v>
      </c>
      <c r="U47" s="1"/>
      <c r="V47" s="5">
        <f t="shared" ref="V47:V60" si="29">IF(T$12=0,0,T47/T$12)</f>
        <v>0</v>
      </c>
      <c r="W47" s="1"/>
      <c r="X47" s="1">
        <f t="shared" ref="X47:X60" si="30">+P47-T47</f>
        <v>-5000</v>
      </c>
      <c r="Y47" s="1"/>
      <c r="Z47" s="5">
        <f t="shared" ref="Z47:Z60" si="31">IF(T47=0,0,X47/T47)</f>
        <v>-1</v>
      </c>
    </row>
    <row r="48" spans="1:26" s="24" customFormat="1" hidden="1" outlineLevel="2" x14ac:dyDescent="0.25">
      <c r="A48" s="25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24"/>
        <v>0</v>
      </c>
      <c r="G48" s="2"/>
      <c r="H48" s="6">
        <v>500</v>
      </c>
      <c r="I48" s="2"/>
      <c r="J48" s="7">
        <f t="shared" si="25"/>
        <v>0</v>
      </c>
      <c r="K48" s="2"/>
      <c r="L48" s="6">
        <f t="shared" si="26"/>
        <v>-500</v>
      </c>
      <c r="M48" s="2"/>
      <c r="N48" s="7">
        <f t="shared" si="27"/>
        <v>-1</v>
      </c>
      <c r="O48" s="11"/>
      <c r="P48" s="6"/>
      <c r="Q48" s="2"/>
      <c r="R48" s="7">
        <f t="shared" si="28"/>
        <v>0</v>
      </c>
      <c r="S48" s="2"/>
      <c r="T48" s="6">
        <v>5000</v>
      </c>
      <c r="U48" s="2"/>
      <c r="V48" s="7">
        <f t="shared" si="29"/>
        <v>0</v>
      </c>
      <c r="W48" s="2"/>
      <c r="X48" s="6">
        <f t="shared" si="30"/>
        <v>-5000</v>
      </c>
      <c r="Y48" s="2"/>
      <c r="Z48" s="7">
        <f t="shared" si="31"/>
        <v>-1</v>
      </c>
    </row>
    <row r="49" spans="1:26" s="27" customFormat="1" outlineLevel="1" collapsed="1" x14ac:dyDescent="0.25">
      <c r="A49" s="26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SUM(OSRRefD22_6x_0)</f>
        <v>117.72</v>
      </c>
      <c r="E49" s="1"/>
      <c r="F49" s="5">
        <f t="shared" si="24"/>
        <v>0</v>
      </c>
      <c r="G49" s="1"/>
      <c r="H49" s="1">
        <f>SUM(OSRRefH22_6x_0)</f>
        <v>118</v>
      </c>
      <c r="I49" s="1"/>
      <c r="J49" s="5">
        <f t="shared" si="25"/>
        <v>0</v>
      </c>
      <c r="K49" s="1"/>
      <c r="L49" s="1">
        <f t="shared" si="26"/>
        <v>-0.28000000000000114</v>
      </c>
      <c r="M49" s="1"/>
      <c r="N49" s="5">
        <f t="shared" si="27"/>
        <v>-2.3728813559322128E-3</v>
      </c>
      <c r="O49" s="13"/>
      <c r="P49" s="1">
        <f>SUM(OSRRefP22_6x_0)</f>
        <v>1059.48</v>
      </c>
      <c r="Q49" s="1"/>
      <c r="R49" s="5">
        <f t="shared" si="28"/>
        <v>0</v>
      </c>
      <c r="S49" s="1"/>
      <c r="T49" s="1">
        <f>SUM(OSRRefT22_6x_0)</f>
        <v>1062</v>
      </c>
      <c r="U49" s="1"/>
      <c r="V49" s="5">
        <f t="shared" si="29"/>
        <v>0</v>
      </c>
      <c r="W49" s="1"/>
      <c r="X49" s="1">
        <f t="shared" si="30"/>
        <v>-2.5199999999999818</v>
      </c>
      <c r="Y49" s="1"/>
      <c r="Z49" s="5">
        <f t="shared" si="31"/>
        <v>-2.3728813559321864E-3</v>
      </c>
    </row>
    <row r="50" spans="1:26" s="24" customFormat="1" hidden="1" outlineLevel="2" x14ac:dyDescent="0.25">
      <c r="A50" s="25"/>
      <c r="B50" s="11" t="str">
        <f>CONCATENATE("          ", "6351", " - ", "EQUIPMENT RENTAL")</f>
        <v xml:space="preserve">          6351 - EQUIPMENT RENTAL</v>
      </c>
      <c r="C50" s="11"/>
      <c r="D50" s="6">
        <v>117.72</v>
      </c>
      <c r="E50" s="2"/>
      <c r="F50" s="7">
        <f t="shared" si="24"/>
        <v>0</v>
      </c>
      <c r="G50" s="2"/>
      <c r="H50" s="6">
        <v>118</v>
      </c>
      <c r="I50" s="2"/>
      <c r="J50" s="7">
        <f t="shared" si="25"/>
        <v>0</v>
      </c>
      <c r="K50" s="2"/>
      <c r="L50" s="6">
        <f t="shared" si="26"/>
        <v>-0.28000000000000114</v>
      </c>
      <c r="M50" s="2"/>
      <c r="N50" s="7">
        <f t="shared" si="27"/>
        <v>-2.3728813559322128E-3</v>
      </c>
      <c r="O50" s="11"/>
      <c r="P50" s="6">
        <v>1059.48</v>
      </c>
      <c r="Q50" s="2"/>
      <c r="R50" s="7">
        <f t="shared" si="28"/>
        <v>0</v>
      </c>
      <c r="S50" s="2"/>
      <c r="T50" s="6">
        <v>1062</v>
      </c>
      <c r="U50" s="2"/>
      <c r="V50" s="7">
        <f t="shared" si="29"/>
        <v>0</v>
      </c>
      <c r="W50" s="2"/>
      <c r="X50" s="6">
        <f t="shared" si="30"/>
        <v>-2.5199999999999818</v>
      </c>
      <c r="Y50" s="2"/>
      <c r="Z50" s="7">
        <f t="shared" si="31"/>
        <v>-2.3728813559321864E-3</v>
      </c>
    </row>
    <row r="51" spans="1:26" s="27" customFormat="1" outlineLevel="1" collapsed="1" x14ac:dyDescent="0.25">
      <c r="A51" s="26"/>
      <c r="B51" s="13" t="str">
        <f>CONCATENATE("     ","Freight out/Postage                               ")</f>
        <v xml:space="preserve">     Freight out/Postage                               </v>
      </c>
      <c r="C51" s="13"/>
      <c r="D51" s="1">
        <f>SUM(OSRRefD22_7x_0)</f>
        <v>5.48</v>
      </c>
      <c r="E51" s="1"/>
      <c r="F51" s="5">
        <f t="shared" si="24"/>
        <v>0</v>
      </c>
      <c r="G51" s="1"/>
      <c r="H51" s="1">
        <f>SUM(OSRRefH22_7x_0)</f>
        <v>0</v>
      </c>
      <c r="I51" s="1"/>
      <c r="J51" s="5">
        <f t="shared" si="25"/>
        <v>0</v>
      </c>
      <c r="K51" s="1"/>
      <c r="L51" s="1">
        <f t="shared" si="26"/>
        <v>5.48</v>
      </c>
      <c r="M51" s="1"/>
      <c r="N51" s="5">
        <f t="shared" si="27"/>
        <v>0</v>
      </c>
      <c r="O51" s="13"/>
      <c r="P51" s="1">
        <f>SUM(OSRRefP22_7x_0)</f>
        <v>171.76</v>
      </c>
      <c r="Q51" s="1"/>
      <c r="R51" s="5">
        <f t="shared" si="28"/>
        <v>0</v>
      </c>
      <c r="S51" s="1"/>
      <c r="T51" s="1">
        <f>SUM(OSRRefT22_7x_0)</f>
        <v>0</v>
      </c>
      <c r="U51" s="1"/>
      <c r="V51" s="5">
        <f t="shared" si="29"/>
        <v>0</v>
      </c>
      <c r="W51" s="1"/>
      <c r="X51" s="1">
        <f t="shared" si="30"/>
        <v>171.76</v>
      </c>
      <c r="Y51" s="1"/>
      <c r="Z51" s="5">
        <f t="shared" si="31"/>
        <v>0</v>
      </c>
    </row>
    <row r="52" spans="1:26" s="24" customFormat="1" hidden="1" outlineLevel="2" x14ac:dyDescent="0.25">
      <c r="A52" s="25"/>
      <c r="B52" s="11" t="str">
        <f>CONCATENATE("          ", "6307", " - ", "POSTAGE")</f>
        <v xml:space="preserve">          6307 - POSTAGE</v>
      </c>
      <c r="C52" s="11"/>
      <c r="D52" s="6">
        <v>5.48</v>
      </c>
      <c r="E52" s="2"/>
      <c r="F52" s="7">
        <f t="shared" si="24"/>
        <v>0</v>
      </c>
      <c r="G52" s="2"/>
      <c r="H52" s="6"/>
      <c r="I52" s="2"/>
      <c r="J52" s="7">
        <f t="shared" si="25"/>
        <v>0</v>
      </c>
      <c r="K52" s="2"/>
      <c r="L52" s="6">
        <f t="shared" si="26"/>
        <v>5.48</v>
      </c>
      <c r="M52" s="2"/>
      <c r="N52" s="7">
        <f t="shared" si="27"/>
        <v>0</v>
      </c>
      <c r="O52" s="11"/>
      <c r="P52" s="6">
        <v>171.76</v>
      </c>
      <c r="Q52" s="2"/>
      <c r="R52" s="7">
        <f t="shared" si="28"/>
        <v>0</v>
      </c>
      <c r="S52" s="2"/>
      <c r="T52" s="6"/>
      <c r="U52" s="2"/>
      <c r="V52" s="7">
        <f t="shared" si="29"/>
        <v>0</v>
      </c>
      <c r="W52" s="2"/>
      <c r="X52" s="6">
        <f t="shared" si="30"/>
        <v>171.76</v>
      </c>
      <c r="Y52" s="2"/>
      <c r="Z52" s="7">
        <f t="shared" si="31"/>
        <v>0</v>
      </c>
    </row>
    <row r="53" spans="1:26" s="27" customFormat="1" outlineLevel="1" collapsed="1" x14ac:dyDescent="0.25">
      <c r="A53" s="26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SUM(OSRRefD22_8x_0)</f>
        <v>1729.79</v>
      </c>
      <c r="E53" s="1"/>
      <c r="F53" s="5">
        <f t="shared" si="24"/>
        <v>0</v>
      </c>
      <c r="G53" s="1"/>
      <c r="H53" s="1">
        <f>SUM(OSRRefH22_8x_0)</f>
        <v>2500</v>
      </c>
      <c r="I53" s="1"/>
      <c r="J53" s="5">
        <f t="shared" si="25"/>
        <v>0</v>
      </c>
      <c r="K53" s="1"/>
      <c r="L53" s="1">
        <f t="shared" si="26"/>
        <v>-770.21</v>
      </c>
      <c r="M53" s="1"/>
      <c r="N53" s="5">
        <f t="shared" si="27"/>
        <v>-0.30808400000000002</v>
      </c>
      <c r="O53" s="13"/>
      <c r="P53" s="1">
        <f>SUM(OSRRefP22_8x_0)</f>
        <v>13430.41</v>
      </c>
      <c r="Q53" s="1"/>
      <c r="R53" s="5">
        <f t="shared" si="28"/>
        <v>0</v>
      </c>
      <c r="S53" s="1"/>
      <c r="T53" s="1">
        <f>SUM(OSRRefT22_8x_0)</f>
        <v>7500</v>
      </c>
      <c r="U53" s="1"/>
      <c r="V53" s="5">
        <f t="shared" si="29"/>
        <v>0</v>
      </c>
      <c r="W53" s="1"/>
      <c r="X53" s="1">
        <f t="shared" si="30"/>
        <v>5930.41</v>
      </c>
      <c r="Y53" s="1"/>
      <c r="Z53" s="5">
        <f t="shared" si="31"/>
        <v>0.79072133333333328</v>
      </c>
    </row>
    <row r="54" spans="1:26" s="24" customFormat="1" hidden="1" outlineLevel="2" x14ac:dyDescent="0.25">
      <c r="A54" s="25"/>
      <c r="B54" s="11" t="str">
        <f>CONCATENATE("          ", "6279", " - ", "GENERAL EXPENSE")</f>
        <v xml:space="preserve">          6279 - GENERAL EXPENSE</v>
      </c>
      <c r="C54" s="11"/>
      <c r="D54" s="6">
        <v>1729.79</v>
      </c>
      <c r="E54" s="2"/>
      <c r="F54" s="7">
        <f t="shared" si="24"/>
        <v>0</v>
      </c>
      <c r="G54" s="2"/>
      <c r="H54" s="6">
        <v>2500</v>
      </c>
      <c r="I54" s="2"/>
      <c r="J54" s="7">
        <f t="shared" si="25"/>
        <v>0</v>
      </c>
      <c r="K54" s="2"/>
      <c r="L54" s="6">
        <f t="shared" si="26"/>
        <v>-770.21</v>
      </c>
      <c r="M54" s="2"/>
      <c r="N54" s="7">
        <f t="shared" si="27"/>
        <v>-0.30808400000000002</v>
      </c>
      <c r="O54" s="11"/>
      <c r="P54" s="6">
        <v>13430.41</v>
      </c>
      <c r="Q54" s="2"/>
      <c r="R54" s="7">
        <f t="shared" si="28"/>
        <v>0</v>
      </c>
      <c r="S54" s="2"/>
      <c r="T54" s="6">
        <v>7500</v>
      </c>
      <c r="U54" s="2"/>
      <c r="V54" s="7">
        <f t="shared" si="29"/>
        <v>0</v>
      </c>
      <c r="W54" s="2"/>
      <c r="X54" s="6">
        <f t="shared" si="30"/>
        <v>5930.41</v>
      </c>
      <c r="Y54" s="2"/>
      <c r="Z54" s="7">
        <f t="shared" si="31"/>
        <v>0.79072133333333328</v>
      </c>
    </row>
    <row r="55" spans="1:26" s="27" customFormat="1" outlineLevel="1" collapsed="1" x14ac:dyDescent="0.25">
      <c r="A55" s="26"/>
      <c r="B55" s="13" t="str">
        <f>CONCATENATE("     ","Insurance                                         ")</f>
        <v xml:space="preserve">     Insurance                                         </v>
      </c>
      <c r="C55" s="13"/>
      <c r="D55" s="1">
        <f>SUM(OSRRefD22_9x_0)</f>
        <v>115.13</v>
      </c>
      <c r="E55" s="1"/>
      <c r="F55" s="5">
        <f t="shared" si="24"/>
        <v>0</v>
      </c>
      <c r="G55" s="1"/>
      <c r="H55" s="1">
        <f>SUM(OSRRefH22_9x_0)</f>
        <v>110</v>
      </c>
      <c r="I55" s="1"/>
      <c r="J55" s="5">
        <f t="shared" si="25"/>
        <v>0</v>
      </c>
      <c r="K55" s="1"/>
      <c r="L55" s="1">
        <f t="shared" si="26"/>
        <v>5.1299999999999955</v>
      </c>
      <c r="M55" s="1"/>
      <c r="N55" s="5">
        <f t="shared" si="27"/>
        <v>4.6636363636363594E-2</v>
      </c>
      <c r="O55" s="13"/>
      <c r="P55" s="1">
        <f>SUM(OSRRefP22_9x_0)</f>
        <v>1036.17</v>
      </c>
      <c r="Q55" s="1"/>
      <c r="R55" s="5">
        <f t="shared" si="28"/>
        <v>0</v>
      </c>
      <c r="S55" s="1"/>
      <c r="T55" s="1">
        <f>SUM(OSRRefT22_9x_0)</f>
        <v>990</v>
      </c>
      <c r="U55" s="1"/>
      <c r="V55" s="5">
        <f t="shared" si="29"/>
        <v>0</v>
      </c>
      <c r="W55" s="1"/>
      <c r="X55" s="1">
        <f t="shared" si="30"/>
        <v>46.170000000000073</v>
      </c>
      <c r="Y55" s="1"/>
      <c r="Z55" s="5">
        <f t="shared" si="31"/>
        <v>4.6636363636363712E-2</v>
      </c>
    </row>
    <row r="56" spans="1:26" s="24" customFormat="1" hidden="1" outlineLevel="2" x14ac:dyDescent="0.25">
      <c r="A56" s="25"/>
      <c r="B56" s="11" t="str">
        <f>CONCATENATE("          ", "6314", " - ", "LIABILITY INSURANCE")</f>
        <v xml:space="preserve">          6314 - LIABILITY INSURANCE</v>
      </c>
      <c r="C56" s="11"/>
      <c r="D56" s="6">
        <v>115.13</v>
      </c>
      <c r="E56" s="2"/>
      <c r="F56" s="7">
        <f t="shared" si="24"/>
        <v>0</v>
      </c>
      <c r="G56" s="2"/>
      <c r="H56" s="6">
        <v>110</v>
      </c>
      <c r="I56" s="2"/>
      <c r="J56" s="7">
        <f t="shared" si="25"/>
        <v>0</v>
      </c>
      <c r="K56" s="2"/>
      <c r="L56" s="6">
        <f t="shared" si="26"/>
        <v>5.1299999999999955</v>
      </c>
      <c r="M56" s="2"/>
      <c r="N56" s="7">
        <f t="shared" si="27"/>
        <v>4.6636363636363594E-2</v>
      </c>
      <c r="O56" s="11"/>
      <c r="P56" s="6">
        <v>1036.17</v>
      </c>
      <c r="Q56" s="2"/>
      <c r="R56" s="7">
        <f t="shared" si="28"/>
        <v>0</v>
      </c>
      <c r="S56" s="2"/>
      <c r="T56" s="6">
        <v>990</v>
      </c>
      <c r="U56" s="2"/>
      <c r="V56" s="7">
        <f t="shared" si="29"/>
        <v>0</v>
      </c>
      <c r="W56" s="2"/>
      <c r="X56" s="6">
        <f t="shared" si="30"/>
        <v>46.170000000000073</v>
      </c>
      <c r="Y56" s="2"/>
      <c r="Z56" s="7">
        <f t="shared" si="31"/>
        <v>4.6636363636363712E-2</v>
      </c>
    </row>
    <row r="57" spans="1:26" s="27" customFormat="1" outlineLevel="1" collapsed="1" x14ac:dyDescent="0.25">
      <c r="A57" s="26"/>
      <c r="B57" s="13" t="str">
        <f>CONCATENATE("     ","Professional Services                             ")</f>
        <v xml:space="preserve">     Professional Services                             </v>
      </c>
      <c r="C57" s="13"/>
      <c r="D57" s="1">
        <f>SUM(OSRRefD22_10x_0)</f>
        <v>0</v>
      </c>
      <c r="E57" s="1"/>
      <c r="F57" s="5">
        <f t="shared" si="24"/>
        <v>0</v>
      </c>
      <c r="G57" s="1"/>
      <c r="H57" s="1">
        <f>SUM(OSRRefH22_10x_0)</f>
        <v>500</v>
      </c>
      <c r="I57" s="1"/>
      <c r="J57" s="5">
        <f t="shared" si="25"/>
        <v>0</v>
      </c>
      <c r="K57" s="1"/>
      <c r="L57" s="1">
        <f t="shared" si="26"/>
        <v>-500</v>
      </c>
      <c r="M57" s="1"/>
      <c r="N57" s="5">
        <f t="shared" si="27"/>
        <v>-1</v>
      </c>
      <c r="O57" s="13"/>
      <c r="P57" s="1">
        <f>SUM(OSRRefP22_10x_0)</f>
        <v>51735</v>
      </c>
      <c r="Q57" s="1"/>
      <c r="R57" s="5">
        <f t="shared" si="28"/>
        <v>0</v>
      </c>
      <c r="S57" s="1"/>
      <c r="T57" s="1">
        <f>SUM(OSRRefT22_10x_0)</f>
        <v>56200</v>
      </c>
      <c r="U57" s="1"/>
      <c r="V57" s="5">
        <f t="shared" si="29"/>
        <v>0</v>
      </c>
      <c r="W57" s="1"/>
      <c r="X57" s="1">
        <f t="shared" si="30"/>
        <v>-4465</v>
      </c>
      <c r="Y57" s="1"/>
      <c r="Z57" s="5">
        <f t="shared" si="31"/>
        <v>-7.9448398576512452E-2</v>
      </c>
    </row>
    <row r="58" spans="1:26" s="24" customFormat="1" hidden="1" outlineLevel="2" x14ac:dyDescent="0.25">
      <c r="A58" s="25"/>
      <c r="B58" s="11" t="str">
        <f>CONCATENATE("          ", "6331", " - ", "INDIRECT COSTS-AUXILIARY ORGAN")</f>
        <v xml:space="preserve">          6331 - INDIRECT COSTS-AUXILIARY ORGAN</v>
      </c>
      <c r="C58" s="11"/>
      <c r="D58" s="6"/>
      <c r="E58" s="2"/>
      <c r="F58" s="7">
        <f t="shared" si="24"/>
        <v>0</v>
      </c>
      <c r="G58" s="2"/>
      <c r="H58" s="6"/>
      <c r="I58" s="2"/>
      <c r="J58" s="7">
        <f t="shared" si="25"/>
        <v>0</v>
      </c>
      <c r="K58" s="2"/>
      <c r="L58" s="6">
        <f t="shared" si="26"/>
        <v>0</v>
      </c>
      <c r="M58" s="2"/>
      <c r="N58" s="7">
        <f t="shared" si="27"/>
        <v>0</v>
      </c>
      <c r="O58" s="11"/>
      <c r="P58" s="6">
        <v>45550</v>
      </c>
      <c r="Q58" s="2"/>
      <c r="R58" s="7">
        <f t="shared" si="28"/>
        <v>0</v>
      </c>
      <c r="S58" s="2"/>
      <c r="T58" s="6">
        <v>48000</v>
      </c>
      <c r="U58" s="2"/>
      <c r="V58" s="7">
        <f t="shared" si="29"/>
        <v>0</v>
      </c>
      <c r="W58" s="2"/>
      <c r="X58" s="6">
        <f t="shared" si="30"/>
        <v>-2450</v>
      </c>
      <c r="Y58" s="2"/>
      <c r="Z58" s="7">
        <f t="shared" si="31"/>
        <v>-5.1041666666666666E-2</v>
      </c>
    </row>
    <row r="59" spans="1:26" s="24" customFormat="1" hidden="1" outlineLevel="2" x14ac:dyDescent="0.25">
      <c r="A59" s="25"/>
      <c r="B59" s="11" t="str">
        <f>CONCATENATE("          ", "6334", " - ", "LEGAL COUNCIL EXPENSE")</f>
        <v xml:space="preserve">          6334 - LEGAL COUNCIL EXPENSE</v>
      </c>
      <c r="C59" s="11"/>
      <c r="D59" s="6"/>
      <c r="E59" s="2"/>
      <c r="F59" s="7">
        <f t="shared" si="24"/>
        <v>0</v>
      </c>
      <c r="G59" s="2"/>
      <c r="H59" s="6">
        <v>500</v>
      </c>
      <c r="I59" s="2"/>
      <c r="J59" s="7">
        <f t="shared" si="25"/>
        <v>0</v>
      </c>
      <c r="K59" s="2"/>
      <c r="L59" s="6">
        <f t="shared" si="26"/>
        <v>-500</v>
      </c>
      <c r="M59" s="2"/>
      <c r="N59" s="7">
        <f t="shared" si="27"/>
        <v>-1</v>
      </c>
      <c r="O59" s="11"/>
      <c r="P59" s="6">
        <v>1165</v>
      </c>
      <c r="Q59" s="2"/>
      <c r="R59" s="7">
        <f t="shared" si="28"/>
        <v>0</v>
      </c>
      <c r="S59" s="2"/>
      <c r="T59" s="6">
        <v>3200</v>
      </c>
      <c r="U59" s="2"/>
      <c r="V59" s="7">
        <f t="shared" si="29"/>
        <v>0</v>
      </c>
      <c r="W59" s="2"/>
      <c r="X59" s="6">
        <f t="shared" si="30"/>
        <v>-2035</v>
      </c>
      <c r="Y59" s="2"/>
      <c r="Z59" s="7">
        <f t="shared" si="31"/>
        <v>-0.63593750000000004</v>
      </c>
    </row>
    <row r="60" spans="1:26" s="24" customFormat="1" hidden="1" outlineLevel="2" x14ac:dyDescent="0.25">
      <c r="A60" s="25"/>
      <c r="B60" s="11" t="str">
        <f>CONCATENATE("          ", "6336", " - ", "PROFESSIONAL SERVICES")</f>
        <v xml:space="preserve">          6336 - PROFESSIONAL SERVICES</v>
      </c>
      <c r="C60" s="11"/>
      <c r="D60" s="6"/>
      <c r="E60" s="2"/>
      <c r="F60" s="7">
        <f t="shared" si="24"/>
        <v>0</v>
      </c>
      <c r="G60" s="2"/>
      <c r="H60" s="6">
        <v>0</v>
      </c>
      <c r="I60" s="2"/>
      <c r="J60" s="7">
        <f t="shared" si="25"/>
        <v>0</v>
      </c>
      <c r="K60" s="2"/>
      <c r="L60" s="6">
        <f t="shared" si="26"/>
        <v>0</v>
      </c>
      <c r="M60" s="2"/>
      <c r="N60" s="7">
        <f t="shared" si="27"/>
        <v>0</v>
      </c>
      <c r="O60" s="11"/>
      <c r="P60" s="6">
        <v>5020</v>
      </c>
      <c r="Q60" s="2"/>
      <c r="R60" s="7">
        <f t="shared" si="28"/>
        <v>0</v>
      </c>
      <c r="S60" s="2"/>
      <c r="T60" s="6">
        <v>5000</v>
      </c>
      <c r="U60" s="2"/>
      <c r="V60" s="7">
        <f t="shared" si="29"/>
        <v>0</v>
      </c>
      <c r="W60" s="2"/>
      <c r="X60" s="6">
        <f t="shared" si="30"/>
        <v>20</v>
      </c>
      <c r="Y60" s="2"/>
      <c r="Z60" s="7">
        <f t="shared" si="31"/>
        <v>4.0000000000000001E-3</v>
      </c>
    </row>
    <row r="61" spans="1:26" s="27" customFormat="1" outlineLevel="1" collapsed="1" x14ac:dyDescent="0.25">
      <c r="A61" s="26"/>
      <c r="B61" s="13" t="str">
        <f>CONCATENATE("     ","Repair and Maintenance                            ")</f>
        <v xml:space="preserve">     Repair and Maintenance                            </v>
      </c>
      <c r="C61" s="13"/>
      <c r="D61" s="1">
        <f>SUM(OSRRefD22_11x_0)</f>
        <v>2642.2</v>
      </c>
      <c r="E61" s="1"/>
      <c r="F61" s="5">
        <f t="shared" ref="F61:F64" si="32">IF(D$12=0,0,D61/D$12)</f>
        <v>0</v>
      </c>
      <c r="G61" s="1"/>
      <c r="H61" s="1">
        <f>SUM(OSRRefH22_11x_0)</f>
        <v>2975</v>
      </c>
      <c r="I61" s="1"/>
      <c r="J61" s="5">
        <f t="shared" ref="J61:J64" si="33">IF(H$12=0,0,H61/H$12)</f>
        <v>0</v>
      </c>
      <c r="K61" s="1"/>
      <c r="L61" s="1">
        <f t="shared" ref="L61:L64" si="34">+D61-H61</f>
        <v>-332.80000000000018</v>
      </c>
      <c r="M61" s="1"/>
      <c r="N61" s="5">
        <f t="shared" ref="N61:N64" si="35">IF(H61=0,0,L61/H61)</f>
        <v>-0.11186554621848746</v>
      </c>
      <c r="O61" s="13"/>
      <c r="P61" s="1">
        <f>SUM(OSRRefP22_11x_0)</f>
        <v>28272.460000000003</v>
      </c>
      <c r="Q61" s="1"/>
      <c r="R61" s="5">
        <f t="shared" ref="R61:R64" si="36">IF(P$12=0,0,P61/P$12)</f>
        <v>0</v>
      </c>
      <c r="S61" s="1"/>
      <c r="T61" s="1">
        <f>SUM(OSRRefT22_11x_0)</f>
        <v>26775</v>
      </c>
      <c r="U61" s="1"/>
      <c r="V61" s="5">
        <f t="shared" ref="V61:V64" si="37">IF(T$12=0,0,T61/T$12)</f>
        <v>0</v>
      </c>
      <c r="W61" s="1"/>
      <c r="X61" s="1">
        <f t="shared" ref="X61:X64" si="38">+P61-T61</f>
        <v>1497.4600000000028</v>
      </c>
      <c r="Y61" s="1"/>
      <c r="Z61" s="5">
        <f t="shared" ref="Z61:Z64" si="39">IF(T61=0,0,X61/T61)</f>
        <v>5.5927544351073867E-2</v>
      </c>
    </row>
    <row r="62" spans="1:26" s="24" customFormat="1" hidden="1" outlineLevel="2" x14ac:dyDescent="0.25">
      <c r="A62" s="25"/>
      <c r="B62" s="11" t="str">
        <f>CONCATENATE("          ", "6371", " - ", "COMPUTER SOFTWARE MAINTENANCE")</f>
        <v xml:space="preserve">          6371 - COMPUTER SOFTWARE MAINTENANCE</v>
      </c>
      <c r="C62" s="11"/>
      <c r="D62" s="6"/>
      <c r="E62" s="2"/>
      <c r="F62" s="7">
        <f t="shared" si="32"/>
        <v>0</v>
      </c>
      <c r="G62" s="2"/>
      <c r="H62" s="6"/>
      <c r="I62" s="2"/>
      <c r="J62" s="7">
        <f t="shared" si="33"/>
        <v>0</v>
      </c>
      <c r="K62" s="2"/>
      <c r="L62" s="6">
        <f t="shared" si="34"/>
        <v>0</v>
      </c>
      <c r="M62" s="2"/>
      <c r="N62" s="7">
        <f t="shared" si="35"/>
        <v>0</v>
      </c>
      <c r="O62" s="11"/>
      <c r="P62" s="6">
        <v>31.58</v>
      </c>
      <c r="Q62" s="2"/>
      <c r="R62" s="7">
        <f t="shared" si="36"/>
        <v>0</v>
      </c>
      <c r="S62" s="2"/>
      <c r="T62" s="6"/>
      <c r="U62" s="2"/>
      <c r="V62" s="7">
        <f t="shared" si="37"/>
        <v>0</v>
      </c>
      <c r="W62" s="2"/>
      <c r="X62" s="6">
        <f t="shared" si="38"/>
        <v>31.58</v>
      </c>
      <c r="Y62" s="2"/>
      <c r="Z62" s="7">
        <f t="shared" si="39"/>
        <v>0</v>
      </c>
    </row>
    <row r="63" spans="1:26" s="24" customFormat="1" hidden="1" outlineLevel="2" x14ac:dyDescent="0.25">
      <c r="A63" s="25"/>
      <c r="B63" s="11" t="str">
        <f>CONCATENATE("          ", "6373", " - ", "MAINTENANCE CONTRACTS")</f>
        <v xml:space="preserve">          6373 - MAINTENANCE CONTRACTS</v>
      </c>
      <c r="C63" s="11"/>
      <c r="D63" s="6">
        <v>2642.2</v>
      </c>
      <c r="E63" s="2"/>
      <c r="F63" s="7">
        <f t="shared" si="32"/>
        <v>0</v>
      </c>
      <c r="G63" s="2"/>
      <c r="H63" s="6">
        <v>2975</v>
      </c>
      <c r="I63" s="2"/>
      <c r="J63" s="7">
        <f t="shared" si="33"/>
        <v>0</v>
      </c>
      <c r="K63" s="2"/>
      <c r="L63" s="6">
        <f t="shared" si="34"/>
        <v>-332.80000000000018</v>
      </c>
      <c r="M63" s="2"/>
      <c r="N63" s="7">
        <f t="shared" si="35"/>
        <v>-0.11186554621848746</v>
      </c>
      <c r="O63" s="11"/>
      <c r="P63" s="6">
        <v>27715.89</v>
      </c>
      <c r="Q63" s="2"/>
      <c r="R63" s="7">
        <f t="shared" si="36"/>
        <v>0</v>
      </c>
      <c r="S63" s="2"/>
      <c r="T63" s="6">
        <v>26775</v>
      </c>
      <c r="U63" s="2"/>
      <c r="V63" s="7">
        <f t="shared" si="37"/>
        <v>0</v>
      </c>
      <c r="W63" s="2"/>
      <c r="X63" s="6">
        <f t="shared" si="38"/>
        <v>940.88999999999942</v>
      </c>
      <c r="Y63" s="2"/>
      <c r="Z63" s="7">
        <f t="shared" si="39"/>
        <v>3.5140616246498578E-2</v>
      </c>
    </row>
    <row r="64" spans="1:26" s="24" customFormat="1" hidden="1" outlineLevel="2" x14ac:dyDescent="0.25">
      <c r="A64" s="25"/>
      <c r="B64" s="11" t="str">
        <f>CONCATENATE("          ", "6375", " - ", "OUTSIDE REPAIRS &amp; MAINTENANCE")</f>
        <v xml:space="preserve">          6375 - OUTSIDE REPAIRS &amp; MAINTENANCE</v>
      </c>
      <c r="C64" s="11"/>
      <c r="D64" s="6"/>
      <c r="E64" s="2"/>
      <c r="F64" s="7">
        <f t="shared" si="32"/>
        <v>0</v>
      </c>
      <c r="G64" s="2"/>
      <c r="H64" s="6"/>
      <c r="I64" s="2"/>
      <c r="J64" s="7">
        <f t="shared" si="33"/>
        <v>0</v>
      </c>
      <c r="K64" s="2"/>
      <c r="L64" s="6">
        <f t="shared" si="34"/>
        <v>0</v>
      </c>
      <c r="M64" s="2"/>
      <c r="N64" s="7">
        <f t="shared" si="35"/>
        <v>0</v>
      </c>
      <c r="O64" s="11"/>
      <c r="P64" s="6">
        <v>524.99</v>
      </c>
      <c r="Q64" s="2"/>
      <c r="R64" s="7">
        <f t="shared" si="36"/>
        <v>0</v>
      </c>
      <c r="S64" s="2"/>
      <c r="T64" s="6"/>
      <c r="U64" s="2"/>
      <c r="V64" s="7">
        <f t="shared" si="37"/>
        <v>0</v>
      </c>
      <c r="W64" s="2"/>
      <c r="X64" s="6">
        <f t="shared" si="38"/>
        <v>524.99</v>
      </c>
      <c r="Y64" s="2"/>
      <c r="Z64" s="7">
        <f t="shared" si="39"/>
        <v>0</v>
      </c>
    </row>
    <row r="65" spans="1:26" s="27" customFormat="1" outlineLevel="1" collapsed="1" x14ac:dyDescent="0.25">
      <c r="A65" s="26"/>
      <c r="B65" s="13" t="str">
        <f>CONCATENATE("     ","Subscriptions &amp; Dues                              ")</f>
        <v xml:space="preserve">     Subscriptions &amp; Dues                              </v>
      </c>
      <c r="C65" s="13"/>
      <c r="D65" s="1">
        <f>SUM(OSRRefD22_12x_0)</f>
        <v>0</v>
      </c>
      <c r="E65" s="1"/>
      <c r="F65" s="5">
        <f t="shared" ref="F65:F70" si="40">IF(D$12=0,0,D65/D$12)</f>
        <v>0</v>
      </c>
      <c r="G65" s="1"/>
      <c r="H65" s="1">
        <f>SUM(OSRRefH22_12x_0)</f>
        <v>0</v>
      </c>
      <c r="I65" s="1"/>
      <c r="J65" s="5">
        <f t="shared" ref="J65:J70" si="41">IF(H$12=0,0,H65/H$12)</f>
        <v>0</v>
      </c>
      <c r="K65" s="1"/>
      <c r="L65" s="1">
        <f t="shared" ref="L65:L70" si="42">+D65-H65</f>
        <v>0</v>
      </c>
      <c r="M65" s="1"/>
      <c r="N65" s="5">
        <f t="shared" ref="N65:N70" si="43">IF(H65=0,0,L65/H65)</f>
        <v>0</v>
      </c>
      <c r="O65" s="13"/>
      <c r="P65" s="1">
        <f>SUM(OSRRefP22_12x_0)</f>
        <v>1795</v>
      </c>
      <c r="Q65" s="1"/>
      <c r="R65" s="5">
        <f t="shared" ref="R65:R70" si="44">IF(P$12=0,0,P65/P$12)</f>
        <v>0</v>
      </c>
      <c r="S65" s="1"/>
      <c r="T65" s="1">
        <f>SUM(OSRRefT22_12x_0)</f>
        <v>7732</v>
      </c>
      <c r="U65" s="1"/>
      <c r="V65" s="5">
        <f t="shared" ref="V65:V70" si="45">IF(T$12=0,0,T65/T$12)</f>
        <v>0</v>
      </c>
      <c r="W65" s="1"/>
      <c r="X65" s="1">
        <f t="shared" ref="X65:X70" si="46">+P65-T65</f>
        <v>-5937</v>
      </c>
      <c r="Y65" s="1"/>
      <c r="Z65" s="5">
        <f t="shared" ref="Z65:Z70" si="47">IF(T65=0,0,X65/T65)</f>
        <v>-0.76784790481117438</v>
      </c>
    </row>
    <row r="66" spans="1:26" s="24" customFormat="1" hidden="1" outlineLevel="2" x14ac:dyDescent="0.25">
      <c r="A66" s="25"/>
      <c r="B66" s="11" t="str">
        <f>CONCATENATE("          ", "6258", " - ", "MEMBERSHIP DUES")</f>
        <v xml:space="preserve">          6258 - MEMBERSHIP DUES</v>
      </c>
      <c r="C66" s="11"/>
      <c r="D66" s="6"/>
      <c r="E66" s="2"/>
      <c r="F66" s="7">
        <f t="shared" si="40"/>
        <v>0</v>
      </c>
      <c r="G66" s="2"/>
      <c r="H66" s="6"/>
      <c r="I66" s="2"/>
      <c r="J66" s="7">
        <f t="shared" si="41"/>
        <v>0</v>
      </c>
      <c r="K66" s="2"/>
      <c r="L66" s="6">
        <f t="shared" si="42"/>
        <v>0</v>
      </c>
      <c r="M66" s="2"/>
      <c r="N66" s="7">
        <f t="shared" si="43"/>
        <v>0</v>
      </c>
      <c r="O66" s="11"/>
      <c r="P66" s="6">
        <v>1795</v>
      </c>
      <c r="Q66" s="2"/>
      <c r="R66" s="7">
        <f t="shared" si="44"/>
        <v>0</v>
      </c>
      <c r="S66" s="2"/>
      <c r="T66" s="6">
        <v>7732</v>
      </c>
      <c r="U66" s="2"/>
      <c r="V66" s="7">
        <f t="shared" si="45"/>
        <v>0</v>
      </c>
      <c r="W66" s="2"/>
      <c r="X66" s="6">
        <f t="shared" si="46"/>
        <v>-5937</v>
      </c>
      <c r="Y66" s="2"/>
      <c r="Z66" s="7">
        <f t="shared" si="47"/>
        <v>-0.76784790481117438</v>
      </c>
    </row>
    <row r="67" spans="1:26" s="27" customFormat="1" outlineLevel="1" collapsed="1" x14ac:dyDescent="0.25">
      <c r="A67" s="26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SUM(OSRRefD22_13x_0)</f>
        <v>246.37</v>
      </c>
      <c r="E67" s="1"/>
      <c r="F67" s="5">
        <f t="shared" si="40"/>
        <v>0</v>
      </c>
      <c r="G67" s="1"/>
      <c r="H67" s="1">
        <f>SUM(OSRRefH22_13x_0)</f>
        <v>500</v>
      </c>
      <c r="I67" s="1"/>
      <c r="J67" s="5">
        <f t="shared" si="41"/>
        <v>0</v>
      </c>
      <c r="K67" s="1"/>
      <c r="L67" s="1">
        <f t="shared" si="42"/>
        <v>-253.63</v>
      </c>
      <c r="M67" s="1"/>
      <c r="N67" s="5">
        <f t="shared" si="43"/>
        <v>-0.50726000000000004</v>
      </c>
      <c r="O67" s="13"/>
      <c r="P67" s="1">
        <f>SUM(OSRRefP22_13x_0)</f>
        <v>4201.83</v>
      </c>
      <c r="Q67" s="1"/>
      <c r="R67" s="5">
        <f t="shared" si="44"/>
        <v>0</v>
      </c>
      <c r="S67" s="1"/>
      <c r="T67" s="1">
        <f>SUM(OSRRefT22_13x_0)</f>
        <v>5500</v>
      </c>
      <c r="U67" s="1"/>
      <c r="V67" s="5">
        <f t="shared" si="45"/>
        <v>0</v>
      </c>
      <c r="W67" s="1"/>
      <c r="X67" s="1">
        <f t="shared" si="46"/>
        <v>-1298.17</v>
      </c>
      <c r="Y67" s="1"/>
      <c r="Z67" s="5">
        <f t="shared" si="47"/>
        <v>-0.2360309090909091</v>
      </c>
    </row>
    <row r="68" spans="1:26" s="24" customFormat="1" hidden="1" outlineLevel="2" x14ac:dyDescent="0.25">
      <c r="A68" s="25"/>
      <c r="B68" s="11" t="str">
        <f>CONCATENATE("          ", "6234", " - ", "EXPENDABLE SUPPLIES &amp; EQUIPMEN")</f>
        <v xml:space="preserve">          6234 - EXPENDABLE SUPPLIES &amp; EQUIPMEN</v>
      </c>
      <c r="C68" s="11"/>
      <c r="D68" s="6"/>
      <c r="E68" s="2"/>
      <c r="F68" s="7">
        <f t="shared" si="40"/>
        <v>0</v>
      </c>
      <c r="G68" s="2"/>
      <c r="H68" s="6">
        <v>500</v>
      </c>
      <c r="I68" s="2"/>
      <c r="J68" s="7">
        <f t="shared" si="41"/>
        <v>0</v>
      </c>
      <c r="K68" s="2"/>
      <c r="L68" s="6">
        <f t="shared" si="42"/>
        <v>-500</v>
      </c>
      <c r="M68" s="2"/>
      <c r="N68" s="7">
        <f t="shared" si="43"/>
        <v>-1</v>
      </c>
      <c r="O68" s="11"/>
      <c r="P68" s="6">
        <v>217.02</v>
      </c>
      <c r="Q68" s="2"/>
      <c r="R68" s="7">
        <f t="shared" si="44"/>
        <v>0</v>
      </c>
      <c r="S68" s="2"/>
      <c r="T68" s="6">
        <v>5500</v>
      </c>
      <c r="U68" s="2"/>
      <c r="V68" s="7">
        <f t="shared" si="45"/>
        <v>0</v>
      </c>
      <c r="W68" s="2"/>
      <c r="X68" s="6">
        <f t="shared" si="46"/>
        <v>-5282.98</v>
      </c>
      <c r="Y68" s="2"/>
      <c r="Z68" s="7">
        <f t="shared" si="47"/>
        <v>-0.96054181818181805</v>
      </c>
    </row>
    <row r="69" spans="1:26" s="24" customFormat="1" hidden="1" outlineLevel="2" x14ac:dyDescent="0.25">
      <c r="A69" s="25"/>
      <c r="B69" s="11" t="str">
        <f>CONCATENATE("          ", "6241", " - ", "OFFICE EXPENSE")</f>
        <v xml:space="preserve">          6241 - OFFICE EXPENSE</v>
      </c>
      <c r="C69" s="11"/>
      <c r="D69" s="6">
        <v>246.37</v>
      </c>
      <c r="E69" s="2"/>
      <c r="F69" s="7">
        <f t="shared" si="40"/>
        <v>0</v>
      </c>
      <c r="G69" s="2"/>
      <c r="H69" s="6"/>
      <c r="I69" s="2"/>
      <c r="J69" s="7">
        <f t="shared" si="41"/>
        <v>0</v>
      </c>
      <c r="K69" s="2"/>
      <c r="L69" s="6">
        <f t="shared" si="42"/>
        <v>246.37</v>
      </c>
      <c r="M69" s="2"/>
      <c r="N69" s="7">
        <f t="shared" si="43"/>
        <v>0</v>
      </c>
      <c r="O69" s="11"/>
      <c r="P69" s="6">
        <v>3952.95</v>
      </c>
      <c r="Q69" s="2"/>
      <c r="R69" s="7">
        <f t="shared" si="44"/>
        <v>0</v>
      </c>
      <c r="S69" s="2"/>
      <c r="T69" s="6"/>
      <c r="U69" s="2"/>
      <c r="V69" s="7">
        <f t="shared" si="45"/>
        <v>0</v>
      </c>
      <c r="W69" s="2"/>
      <c r="X69" s="6">
        <f t="shared" si="46"/>
        <v>3952.95</v>
      </c>
      <c r="Y69" s="2"/>
      <c r="Z69" s="7">
        <f t="shared" si="47"/>
        <v>0</v>
      </c>
    </row>
    <row r="70" spans="1:26" s="24" customFormat="1" hidden="1" outlineLevel="2" x14ac:dyDescent="0.25">
      <c r="A70" s="25"/>
      <c r="B70" s="11" t="str">
        <f>CONCATENATE("          ", "6245", " - ", "PRINTING")</f>
        <v xml:space="preserve">          6245 - PRINTING</v>
      </c>
      <c r="C70" s="11"/>
      <c r="D70" s="6"/>
      <c r="E70" s="2"/>
      <c r="F70" s="7">
        <f t="shared" si="40"/>
        <v>0</v>
      </c>
      <c r="G70" s="2"/>
      <c r="H70" s="6"/>
      <c r="I70" s="2"/>
      <c r="J70" s="7">
        <f t="shared" si="41"/>
        <v>0</v>
      </c>
      <c r="K70" s="2"/>
      <c r="L70" s="6">
        <f t="shared" si="42"/>
        <v>0</v>
      </c>
      <c r="M70" s="2"/>
      <c r="N70" s="7">
        <f t="shared" si="43"/>
        <v>0</v>
      </c>
      <c r="O70" s="11"/>
      <c r="P70" s="6">
        <v>31.86</v>
      </c>
      <c r="Q70" s="2"/>
      <c r="R70" s="7">
        <f t="shared" si="44"/>
        <v>0</v>
      </c>
      <c r="S70" s="2"/>
      <c r="T70" s="6"/>
      <c r="U70" s="2"/>
      <c r="V70" s="7">
        <f t="shared" si="45"/>
        <v>0</v>
      </c>
      <c r="W70" s="2"/>
      <c r="X70" s="6">
        <f t="shared" si="46"/>
        <v>31.86</v>
      </c>
      <c r="Y70" s="2"/>
      <c r="Z70" s="7">
        <f t="shared" si="47"/>
        <v>0</v>
      </c>
    </row>
    <row r="71" spans="1:26" s="27" customFormat="1" outlineLevel="1" collapsed="1" x14ac:dyDescent="0.25">
      <c r="A71" s="26"/>
      <c r="B71" s="13" t="str">
        <f>CONCATENATE("     ","Telephone/Data Lines                              ")</f>
        <v xml:space="preserve">     Telephone/Data Lines                              </v>
      </c>
      <c r="C71" s="13"/>
      <c r="D71" s="1">
        <f>SUM(OSRRefD22_14x_0)</f>
        <v>240.4</v>
      </c>
      <c r="E71" s="1"/>
      <c r="F71" s="5">
        <f t="shared" ref="F71:F77" si="48">IF(D$12=0,0,D71/D$12)</f>
        <v>0</v>
      </c>
      <c r="G71" s="1"/>
      <c r="H71" s="1">
        <f>SUM(OSRRefH22_14x_0)</f>
        <v>350</v>
      </c>
      <c r="I71" s="1"/>
      <c r="J71" s="5">
        <f t="shared" ref="J71:J77" si="49">IF(H$12=0,0,H71/H$12)</f>
        <v>0</v>
      </c>
      <c r="K71" s="1"/>
      <c r="L71" s="1">
        <f t="shared" ref="L71:L77" si="50">+D71-H71</f>
        <v>-109.6</v>
      </c>
      <c r="M71" s="1"/>
      <c r="N71" s="5">
        <f t="shared" ref="N71:N77" si="51">IF(H71=0,0,L71/H71)</f>
        <v>-0.31314285714285711</v>
      </c>
      <c r="O71" s="13"/>
      <c r="P71" s="1">
        <f>SUM(OSRRefP22_14x_0)</f>
        <v>3465.95</v>
      </c>
      <c r="Q71" s="1"/>
      <c r="R71" s="5">
        <f t="shared" ref="R71:R77" si="52">IF(P$12=0,0,P71/P$12)</f>
        <v>0</v>
      </c>
      <c r="S71" s="1"/>
      <c r="T71" s="1">
        <f>SUM(OSRRefT22_14x_0)</f>
        <v>3150</v>
      </c>
      <c r="U71" s="1"/>
      <c r="V71" s="5">
        <f t="shared" ref="V71:V77" si="53">IF(T$12=0,0,T71/T$12)</f>
        <v>0</v>
      </c>
      <c r="W71" s="1"/>
      <c r="X71" s="1">
        <f t="shared" ref="X71:X77" si="54">+P71-T71</f>
        <v>315.94999999999982</v>
      </c>
      <c r="Y71" s="1"/>
      <c r="Z71" s="5">
        <f t="shared" ref="Z71:Z77" si="55">IF(T71=0,0,X71/T71)</f>
        <v>0.10030158730158724</v>
      </c>
    </row>
    <row r="72" spans="1:26" s="24" customFormat="1" hidden="1" outlineLevel="2" x14ac:dyDescent="0.25">
      <c r="A72" s="25"/>
      <c r="B72" s="11" t="str">
        <f>CONCATENATE("          ", "6309", " - ", "TELEPHONE")</f>
        <v xml:space="preserve">          6309 - TELEPHONE</v>
      </c>
      <c r="C72" s="11"/>
      <c r="D72" s="6">
        <v>240.4</v>
      </c>
      <c r="E72" s="2"/>
      <c r="F72" s="7">
        <f t="shared" si="48"/>
        <v>0</v>
      </c>
      <c r="G72" s="2"/>
      <c r="H72" s="6">
        <v>350</v>
      </c>
      <c r="I72" s="2"/>
      <c r="J72" s="7">
        <f t="shared" si="49"/>
        <v>0</v>
      </c>
      <c r="K72" s="2"/>
      <c r="L72" s="6">
        <f t="shared" si="50"/>
        <v>-109.6</v>
      </c>
      <c r="M72" s="2"/>
      <c r="N72" s="7">
        <f t="shared" si="51"/>
        <v>-0.31314285714285711</v>
      </c>
      <c r="O72" s="11"/>
      <c r="P72" s="6">
        <v>3465.95</v>
      </c>
      <c r="Q72" s="2"/>
      <c r="R72" s="7">
        <f t="shared" si="52"/>
        <v>0</v>
      </c>
      <c r="S72" s="2"/>
      <c r="T72" s="6">
        <v>3150</v>
      </c>
      <c r="U72" s="2"/>
      <c r="V72" s="7">
        <f t="shared" si="53"/>
        <v>0</v>
      </c>
      <c r="W72" s="2"/>
      <c r="X72" s="6">
        <f t="shared" si="54"/>
        <v>315.94999999999982</v>
      </c>
      <c r="Y72" s="2"/>
      <c r="Z72" s="7">
        <f t="shared" si="55"/>
        <v>0.10030158730158724</v>
      </c>
    </row>
    <row r="73" spans="1:26" s="27" customFormat="1" outlineLevel="1" collapsed="1" x14ac:dyDescent="0.25">
      <c r="A73" s="26"/>
      <c r="B73" s="13" t="str">
        <f>CONCATENATE("     ","Training                                          ")</f>
        <v xml:space="preserve">     Training                                          </v>
      </c>
      <c r="C73" s="13"/>
      <c r="D73" s="1">
        <f>SUM(OSRRefD22_15x_0)</f>
        <v>2211.52</v>
      </c>
      <c r="E73" s="1"/>
      <c r="F73" s="5">
        <f t="shared" si="48"/>
        <v>0</v>
      </c>
      <c r="G73" s="1"/>
      <c r="H73" s="1">
        <f>SUM(OSRRefH22_15x_0)</f>
        <v>500</v>
      </c>
      <c r="I73" s="1"/>
      <c r="J73" s="5">
        <f t="shared" si="49"/>
        <v>0</v>
      </c>
      <c r="K73" s="1"/>
      <c r="L73" s="1">
        <f t="shared" si="50"/>
        <v>1711.52</v>
      </c>
      <c r="M73" s="1"/>
      <c r="N73" s="5">
        <f t="shared" si="51"/>
        <v>3.4230399999999999</v>
      </c>
      <c r="O73" s="13"/>
      <c r="P73" s="1">
        <f>SUM(OSRRefP22_15x_0)</f>
        <v>6622.71</v>
      </c>
      <c r="Q73" s="1"/>
      <c r="R73" s="5">
        <f t="shared" si="52"/>
        <v>0</v>
      </c>
      <c r="S73" s="1"/>
      <c r="T73" s="1">
        <f>SUM(OSRRefT22_15x_0)</f>
        <v>4700</v>
      </c>
      <c r="U73" s="1"/>
      <c r="V73" s="5">
        <f t="shared" si="53"/>
        <v>0</v>
      </c>
      <c r="W73" s="1"/>
      <c r="X73" s="1">
        <f t="shared" si="54"/>
        <v>1922.71</v>
      </c>
      <c r="Y73" s="1"/>
      <c r="Z73" s="5">
        <f t="shared" si="55"/>
        <v>0.4090872340425532</v>
      </c>
    </row>
    <row r="74" spans="1:26" s="24" customFormat="1" hidden="1" outlineLevel="2" x14ac:dyDescent="0.25">
      <c r="A74" s="25"/>
      <c r="B74" s="11" t="str">
        <f>CONCATENATE("          ", "6376", " - ", "TRAINING")</f>
        <v xml:space="preserve">          6376 - TRAINING</v>
      </c>
      <c r="C74" s="11"/>
      <c r="D74" s="6">
        <v>2211.52</v>
      </c>
      <c r="E74" s="2"/>
      <c r="F74" s="7">
        <f t="shared" si="48"/>
        <v>0</v>
      </c>
      <c r="G74" s="2"/>
      <c r="H74" s="6">
        <v>500</v>
      </c>
      <c r="I74" s="2"/>
      <c r="J74" s="7">
        <f t="shared" si="49"/>
        <v>0</v>
      </c>
      <c r="K74" s="2"/>
      <c r="L74" s="6">
        <f t="shared" si="50"/>
        <v>1711.52</v>
      </c>
      <c r="M74" s="2"/>
      <c r="N74" s="7">
        <f t="shared" si="51"/>
        <v>3.4230399999999999</v>
      </c>
      <c r="O74" s="11"/>
      <c r="P74" s="6">
        <v>6622.71</v>
      </c>
      <c r="Q74" s="2"/>
      <c r="R74" s="7">
        <f t="shared" si="52"/>
        <v>0</v>
      </c>
      <c r="S74" s="2"/>
      <c r="T74" s="6">
        <v>4700</v>
      </c>
      <c r="U74" s="2"/>
      <c r="V74" s="7">
        <f t="shared" si="53"/>
        <v>0</v>
      </c>
      <c r="W74" s="2"/>
      <c r="X74" s="6">
        <f t="shared" si="54"/>
        <v>1922.71</v>
      </c>
      <c r="Y74" s="2"/>
      <c r="Z74" s="7">
        <f t="shared" si="55"/>
        <v>0.4090872340425532</v>
      </c>
    </row>
    <row r="75" spans="1:26" s="27" customFormat="1" outlineLevel="1" collapsed="1" x14ac:dyDescent="0.25">
      <c r="A75" s="26"/>
      <c r="B75" s="13" t="str">
        <f>CONCATENATE("     ","Travel                                            ")</f>
        <v xml:space="preserve">     Travel                                            </v>
      </c>
      <c r="C75" s="13"/>
      <c r="D75" s="1">
        <f>SUM(OSRRefD22_16x_0)</f>
        <v>0</v>
      </c>
      <c r="E75" s="1"/>
      <c r="F75" s="5">
        <f t="shared" si="48"/>
        <v>0</v>
      </c>
      <c r="G75" s="1"/>
      <c r="H75" s="1">
        <f>SUM(OSRRefH22_16x_0)</f>
        <v>500</v>
      </c>
      <c r="I75" s="1"/>
      <c r="J75" s="5">
        <f t="shared" si="49"/>
        <v>0</v>
      </c>
      <c r="K75" s="1"/>
      <c r="L75" s="1">
        <f t="shared" si="50"/>
        <v>-500</v>
      </c>
      <c r="M75" s="1"/>
      <c r="N75" s="5">
        <f t="shared" si="51"/>
        <v>-1</v>
      </c>
      <c r="O75" s="13"/>
      <c r="P75" s="1">
        <f>SUM(OSRRefP22_16x_0)</f>
        <v>3811.99</v>
      </c>
      <c r="Q75" s="1"/>
      <c r="R75" s="5">
        <f t="shared" si="52"/>
        <v>0</v>
      </c>
      <c r="S75" s="1"/>
      <c r="T75" s="1">
        <f>SUM(OSRRefT22_16x_0)</f>
        <v>15750</v>
      </c>
      <c r="U75" s="1"/>
      <c r="V75" s="5">
        <f t="shared" si="53"/>
        <v>0</v>
      </c>
      <c r="W75" s="1"/>
      <c r="X75" s="1">
        <f t="shared" si="54"/>
        <v>-11938.01</v>
      </c>
      <c r="Y75" s="1"/>
      <c r="Z75" s="5">
        <f t="shared" si="55"/>
        <v>-0.75796888888888891</v>
      </c>
    </row>
    <row r="76" spans="1:26" s="24" customFormat="1" hidden="1" outlineLevel="2" x14ac:dyDescent="0.25">
      <c r="A76" s="25"/>
      <c r="B76" s="11" t="str">
        <f>CONCATENATE("          ", "6292", " - ", "TRAVEL/CONFERENCE")</f>
        <v xml:space="preserve">          6292 - TRAVEL/CONFERENCE</v>
      </c>
      <c r="C76" s="11"/>
      <c r="D76" s="6"/>
      <c r="E76" s="2"/>
      <c r="F76" s="7">
        <f t="shared" si="48"/>
        <v>0</v>
      </c>
      <c r="G76" s="2"/>
      <c r="H76" s="6">
        <v>500</v>
      </c>
      <c r="I76" s="2"/>
      <c r="J76" s="7">
        <f t="shared" si="49"/>
        <v>0</v>
      </c>
      <c r="K76" s="2"/>
      <c r="L76" s="6">
        <f t="shared" si="50"/>
        <v>-500</v>
      </c>
      <c r="M76" s="2"/>
      <c r="N76" s="7">
        <f t="shared" si="51"/>
        <v>-1</v>
      </c>
      <c r="O76" s="11"/>
      <c r="P76" s="6">
        <v>3811.99</v>
      </c>
      <c r="Q76" s="2"/>
      <c r="R76" s="7">
        <f t="shared" si="52"/>
        <v>0</v>
      </c>
      <c r="S76" s="2"/>
      <c r="T76" s="6">
        <v>14500</v>
      </c>
      <c r="U76" s="2"/>
      <c r="V76" s="7">
        <f t="shared" si="53"/>
        <v>0</v>
      </c>
      <c r="W76" s="2"/>
      <c r="X76" s="6">
        <f t="shared" si="54"/>
        <v>-10688.01</v>
      </c>
      <c r="Y76" s="2"/>
      <c r="Z76" s="7">
        <f t="shared" si="55"/>
        <v>-0.73710413793103446</v>
      </c>
    </row>
    <row r="77" spans="1:26" s="24" customFormat="1" hidden="1" outlineLevel="2" x14ac:dyDescent="0.25">
      <c r="A77" s="25"/>
      <c r="B77" s="11" t="str">
        <f>CONCATENATE("          ", "6294", " - ", "TRAVEL OPERATIONAL")</f>
        <v xml:space="preserve">          6294 - TRAVEL OPERATIONAL</v>
      </c>
      <c r="C77" s="11"/>
      <c r="D77" s="6"/>
      <c r="E77" s="2"/>
      <c r="F77" s="7">
        <f t="shared" si="48"/>
        <v>0</v>
      </c>
      <c r="G77" s="2"/>
      <c r="H77" s="6"/>
      <c r="I77" s="2"/>
      <c r="J77" s="7">
        <f t="shared" si="49"/>
        <v>0</v>
      </c>
      <c r="K77" s="2"/>
      <c r="L77" s="6">
        <f t="shared" si="50"/>
        <v>0</v>
      </c>
      <c r="M77" s="2"/>
      <c r="N77" s="7">
        <f t="shared" si="51"/>
        <v>0</v>
      </c>
      <c r="O77" s="11"/>
      <c r="P77" s="6"/>
      <c r="Q77" s="2"/>
      <c r="R77" s="7">
        <f t="shared" si="52"/>
        <v>0</v>
      </c>
      <c r="S77" s="2"/>
      <c r="T77" s="6">
        <v>1250</v>
      </c>
      <c r="U77" s="2"/>
      <c r="V77" s="7">
        <f t="shared" si="53"/>
        <v>0</v>
      </c>
      <c r="W77" s="2"/>
      <c r="X77" s="6">
        <f t="shared" si="54"/>
        <v>-1250</v>
      </c>
      <c r="Y77" s="2"/>
      <c r="Z77" s="7">
        <f t="shared" si="55"/>
        <v>-1</v>
      </c>
    </row>
    <row r="78" spans="1:26" s="56" customFormat="1" x14ac:dyDescent="0.25">
      <c r="A78" s="36"/>
      <c r="B78" s="36"/>
      <c r="C78" s="36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6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25">
      <c r="A79" s="10"/>
      <c r="B79" s="29" t="s">
        <v>0</v>
      </c>
      <c r="C79" s="10"/>
      <c r="D79" s="4">
        <f>SUM(0)</f>
        <v>0</v>
      </c>
      <c r="E79" s="4"/>
      <c r="F79" s="12">
        <f>IF(D$12=0,0,D79/D$12)</f>
        <v>0</v>
      </c>
      <c r="G79" s="4"/>
      <c r="H79" s="4">
        <f>SUM(0)</f>
        <v>0</v>
      </c>
      <c r="I79" s="4"/>
      <c r="J79" s="12">
        <f>IF(H$12=0,0,H79/H$12)</f>
        <v>0</v>
      </c>
      <c r="K79" s="4"/>
      <c r="L79" s="4">
        <f>+D79-H79</f>
        <v>0</v>
      </c>
      <c r="M79" s="4"/>
      <c r="N79" s="12">
        <f>IF(H79=0,0,L79/H79)</f>
        <v>0</v>
      </c>
      <c r="O79" s="10"/>
      <c r="P79" s="4">
        <f>SUM(0)</f>
        <v>0</v>
      </c>
      <c r="Q79" s="4"/>
      <c r="R79" s="12">
        <f>IF(P$12=0,0,P79/P$12)</f>
        <v>0</v>
      </c>
      <c r="S79" s="4"/>
      <c r="T79" s="4">
        <f>SUM(0)</f>
        <v>0</v>
      </c>
      <c r="U79" s="4"/>
      <c r="V79" s="12">
        <f>IF(T$12=0,0,T79/T$12)</f>
        <v>0</v>
      </c>
      <c r="W79" s="4"/>
      <c r="X79" s="4">
        <f>+P79-T79</f>
        <v>0</v>
      </c>
      <c r="Y79" s="4"/>
      <c r="Z79" s="12">
        <f>IF(T79=0,0,X79/T79)</f>
        <v>0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10"/>
      <c r="B81" s="28" t="s">
        <v>3</v>
      </c>
      <c r="C81" s="28"/>
      <c r="D81" s="20">
        <f>+D16-D18+D79</f>
        <v>-38606.709999999992</v>
      </c>
      <c r="E81" s="14"/>
      <c r="F81" s="22">
        <f>IF(D$12=0,0,D81/D$12)</f>
        <v>0</v>
      </c>
      <c r="G81" s="14"/>
      <c r="H81" s="20">
        <f>+H16-H18+H79</f>
        <v>-69096.394416923053</v>
      </c>
      <c r="I81" s="14"/>
      <c r="J81" s="22">
        <f>IF(H$12=0,0,H81/H$12)</f>
        <v>0</v>
      </c>
      <c r="K81" s="16"/>
      <c r="L81" s="20">
        <f>+D81-H81</f>
        <v>30489.684416923061</v>
      </c>
      <c r="M81" s="16"/>
      <c r="N81" s="22">
        <f>IF(H81=0,0,L81/H81)</f>
        <v>-0.4412630307878343</v>
      </c>
      <c r="O81" s="29"/>
      <c r="P81" s="20">
        <f>+P16-P18+P79</f>
        <v>-552368.17999999982</v>
      </c>
      <c r="Q81" s="14"/>
      <c r="R81" s="22">
        <f>IF(P$12=0,0,P81/P$12)</f>
        <v>0</v>
      </c>
      <c r="S81" s="14"/>
      <c r="T81" s="20">
        <f>+T16-T18+T79</f>
        <v>-994394.09556499985</v>
      </c>
      <c r="U81" s="14"/>
      <c r="V81" s="22">
        <f>IF(T$12=0,0,T81/T$12)</f>
        <v>0</v>
      </c>
      <c r="W81" s="16"/>
      <c r="X81" s="20">
        <f>+P81-T81</f>
        <v>442025.91556500003</v>
      </c>
      <c r="Y81" s="16"/>
      <c r="Z81" s="22">
        <f>IF(T81=0,0,X81/T81)</f>
        <v>-0.44451784009623219</v>
      </c>
    </row>
    <row r="82" spans="1:26" x14ac:dyDescent="0.25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52"/>
      <c r="B83" s="10" t="s">
        <v>14</v>
      </c>
      <c r="C83" s="10"/>
      <c r="D83" s="4"/>
      <c r="E83" s="4"/>
      <c r="F83" s="12">
        <f>IF(D$12=0,0,D83/D$12)</f>
        <v>0</v>
      </c>
      <c r="G83" s="4"/>
      <c r="H83" s="4"/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/>
      <c r="Q83" s="4"/>
      <c r="R83" s="12">
        <f>IF(P$12=0,0,P83/P$12)</f>
        <v>0</v>
      </c>
      <c r="S83" s="4"/>
      <c r="T83" s="4"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8" t="s">
        <v>4</v>
      </c>
      <c r="C85" s="28"/>
      <c r="D85" s="31">
        <f>+D81-D83</f>
        <v>-38606.709999999992</v>
      </c>
      <c r="E85" s="14"/>
      <c r="F85" s="34">
        <f>IF(D$12=0,0,D85/D$12)</f>
        <v>0</v>
      </c>
      <c r="G85" s="14"/>
      <c r="H85" s="31">
        <f>+H81-H83</f>
        <v>-69096.394416923053</v>
      </c>
      <c r="I85" s="14"/>
      <c r="J85" s="34">
        <f>IF(H$12=0,0,H85/H$12)</f>
        <v>0</v>
      </c>
      <c r="K85" s="16"/>
      <c r="L85" s="31">
        <f>D85-H85</f>
        <v>30489.684416923061</v>
      </c>
      <c r="M85" s="16"/>
      <c r="N85" s="34">
        <f>IF(H85=0,0,L85/H85)</f>
        <v>-0.4412630307878343</v>
      </c>
      <c r="O85" s="29"/>
      <c r="P85" s="31">
        <f>+P81-P83</f>
        <v>-552368.17999999982</v>
      </c>
      <c r="Q85" s="14"/>
      <c r="R85" s="34">
        <f>IF(P$12=0,0,P85/P$12)</f>
        <v>0</v>
      </c>
      <c r="S85" s="14"/>
      <c r="T85" s="31">
        <f>+T81-T83</f>
        <v>-994394.09556499985</v>
      </c>
      <c r="U85" s="14"/>
      <c r="V85" s="34">
        <f>IF(T$12=0,0,T85/T$12)</f>
        <v>0</v>
      </c>
      <c r="W85" s="16"/>
      <c r="X85" s="31">
        <f>P85-T85</f>
        <v>442025.91556500003</v>
      </c>
      <c r="Y85" s="16"/>
      <c r="Z85" s="34">
        <f>IF(T85=0,0,X85/T85)</f>
        <v>-0.44451784009623219</v>
      </c>
    </row>
    <row r="86" spans="1:26" ht="15.75" thickTop="1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8" t="s">
        <v>5</v>
      </c>
      <c r="C88" s="28"/>
      <c r="D88" s="32">
        <f>SUM(D85:D87)</f>
        <v>-38606.709999999992</v>
      </c>
      <c r="E88" s="14"/>
      <c r="F88" s="35">
        <f>IF(D$12=0,0,D88/D$12)</f>
        <v>0</v>
      </c>
      <c r="G88" s="14"/>
      <c r="H88" s="32">
        <f>SUM(H85:H87)</f>
        <v>-69096.394416923053</v>
      </c>
      <c r="I88" s="14"/>
      <c r="J88" s="35">
        <f>IF(H$12=0,0,H88/H$12)</f>
        <v>0</v>
      </c>
      <c r="K88" s="16"/>
      <c r="L88" s="32">
        <f>+D88-H88</f>
        <v>30489.684416923061</v>
      </c>
      <c r="M88" s="16"/>
      <c r="N88" s="35">
        <f>IF(H88=0,0,L88/H88)</f>
        <v>-0.4412630307878343</v>
      </c>
      <c r="O88" s="29"/>
      <c r="P88" s="32">
        <f>SUM(P85:P87)</f>
        <v>-552368.17999999982</v>
      </c>
      <c r="Q88" s="14"/>
      <c r="R88" s="35">
        <f>IF(P$12=0,0,P88/P$12)</f>
        <v>0</v>
      </c>
      <c r="S88" s="14"/>
      <c r="T88" s="32">
        <f>SUM(T85:T87)</f>
        <v>-994394.09556499985</v>
      </c>
      <c r="U88" s="14"/>
      <c r="V88" s="35">
        <f>IF(T$12=0,0,T88/T$12)</f>
        <v>0</v>
      </c>
      <c r="W88" s="16"/>
      <c r="X88" s="32">
        <f>+P88-T88</f>
        <v>442025.91556500003</v>
      </c>
      <c r="Y88" s="16"/>
      <c r="Z88" s="35">
        <f>IF(T88=0,0,X88/T88)</f>
        <v>-0.44451784009623219</v>
      </c>
    </row>
    <row r="89" spans="1:26" ht="15.75" thickTop="1" x14ac:dyDescent="0.25">
      <c r="A89" s="9"/>
      <c r="C89" s="9"/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57">
        <v>43934.466167395833</v>
      </c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62" t="s">
        <v>314</v>
      </c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A92" s="9"/>
      <c r="B92" s="60"/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","202", " - ", "Accounting")</f>
        <v>Department 202 - Accounting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79652.860000000015</v>
      </c>
      <c r="E18" s="21"/>
      <c r="F18" s="30">
        <f t="shared" ref="F18:F28" si="0">IF(D$12=0,0,D18/D$12)</f>
        <v>0</v>
      </c>
      <c r="G18" s="21"/>
      <c r="H18" s="21">
        <f>SUM(OSRRefH22x_0)</f>
        <v>60650.188613846098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19002.671386153917</v>
      </c>
      <c r="M18" s="4"/>
      <c r="N18" s="30">
        <f t="shared" ref="N18:N28" si="3">IF(H18=0,0,L18/H18)</f>
        <v>0.31331594872922974</v>
      </c>
      <c r="O18" s="10"/>
      <c r="P18" s="21">
        <f>SUM(OSRRefP22x_0)</f>
        <v>513639.52999999997</v>
      </c>
      <c r="Q18" s="21"/>
      <c r="R18" s="30">
        <f t="shared" ref="R18:R28" si="4">IF(P$12=0,0,P18/P$12)</f>
        <v>0</v>
      </c>
      <c r="S18" s="21"/>
      <c r="T18" s="21">
        <f>SUM(OSRRefT22x_0)</f>
        <v>505235.95350999973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8403.5764900002396</v>
      </c>
      <c r="Y18" s="4"/>
      <c r="Z18" s="30">
        <f t="shared" ref="Z18:Z28" si="7">IF(T18=0,0,X18/T18)</f>
        <v>1.6632974022570059E-2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18012.850000000002</v>
      </c>
      <c r="E19" s="1"/>
      <c r="F19" s="5">
        <f t="shared" si="0"/>
        <v>0</v>
      </c>
      <c r="G19" s="1"/>
      <c r="H19" s="1">
        <f>SUM(OSRRefH22_0x_0)</f>
        <v>14070.866152307681</v>
      </c>
      <c r="I19" s="1"/>
      <c r="J19" s="5">
        <f t="shared" si="1"/>
        <v>0</v>
      </c>
      <c r="K19" s="1"/>
      <c r="L19" s="1">
        <f t="shared" si="2"/>
        <v>3941.9838476923214</v>
      </c>
      <c r="M19" s="1"/>
      <c r="N19" s="5">
        <f t="shared" si="3"/>
        <v>0.28015218146651333</v>
      </c>
      <c r="O19" s="13"/>
      <c r="P19" s="1">
        <f>SUM(OSRRefP22_0x_0)</f>
        <v>144503.87999999998</v>
      </c>
      <c r="Q19" s="1"/>
      <c r="R19" s="5">
        <f t="shared" si="4"/>
        <v>0</v>
      </c>
      <c r="S19" s="1"/>
      <c r="T19" s="1">
        <f>SUM(OSRRefT22_0x_0)</f>
        <v>132855.75050999998</v>
      </c>
      <c r="U19" s="1"/>
      <c r="V19" s="5">
        <f t="shared" si="5"/>
        <v>0</v>
      </c>
      <c r="W19" s="1"/>
      <c r="X19" s="1">
        <f t="shared" si="6"/>
        <v>11648.129489999992</v>
      </c>
      <c r="Y19" s="1"/>
      <c r="Z19" s="5">
        <f t="shared" si="7"/>
        <v>8.7675011772435418E-2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4107.34</v>
      </c>
      <c r="E20" s="2"/>
      <c r="F20" s="7">
        <f t="shared" si="0"/>
        <v>0</v>
      </c>
      <c r="G20" s="2"/>
      <c r="H20" s="6">
        <v>2111.3214138461499</v>
      </c>
      <c r="I20" s="2"/>
      <c r="J20" s="7">
        <f t="shared" si="1"/>
        <v>0</v>
      </c>
      <c r="K20" s="2"/>
      <c r="L20" s="6">
        <f t="shared" si="2"/>
        <v>1996.0185861538503</v>
      </c>
      <c r="M20" s="2"/>
      <c r="N20" s="7">
        <f t="shared" si="3"/>
        <v>0.94538831135035239</v>
      </c>
      <c r="O20" s="11"/>
      <c r="P20" s="6">
        <v>24061.53</v>
      </c>
      <c r="Q20" s="2"/>
      <c r="R20" s="7">
        <f t="shared" si="4"/>
        <v>0</v>
      </c>
      <c r="S20" s="2"/>
      <c r="T20" s="6">
        <v>21419.752109999972</v>
      </c>
      <c r="U20" s="2"/>
      <c r="V20" s="7">
        <f t="shared" si="5"/>
        <v>0</v>
      </c>
      <c r="W20" s="2"/>
      <c r="X20" s="6">
        <f t="shared" si="6"/>
        <v>2641.7778900000267</v>
      </c>
      <c r="Y20" s="2"/>
      <c r="Z20" s="7">
        <f t="shared" si="7"/>
        <v>0.12333372844061499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205.18</v>
      </c>
      <c r="E21" s="2"/>
      <c r="F21" s="7">
        <f t="shared" si="0"/>
        <v>0</v>
      </c>
      <c r="G21" s="2"/>
      <c r="H21" s="6">
        <v>115.829003076923</v>
      </c>
      <c r="I21" s="2"/>
      <c r="J21" s="7">
        <f t="shared" si="1"/>
        <v>0</v>
      </c>
      <c r="K21" s="2"/>
      <c r="L21" s="6">
        <f t="shared" si="2"/>
        <v>89.350996923077005</v>
      </c>
      <c r="M21" s="2"/>
      <c r="N21" s="7">
        <f t="shared" si="3"/>
        <v>0.77140435080614711</v>
      </c>
      <c r="O21" s="11"/>
      <c r="P21" s="6">
        <v>1013.14</v>
      </c>
      <c r="Q21" s="2"/>
      <c r="R21" s="7">
        <f t="shared" si="4"/>
        <v>0</v>
      </c>
      <c r="S21" s="2"/>
      <c r="T21" s="6">
        <v>1123.82546</v>
      </c>
      <c r="U21" s="2"/>
      <c r="V21" s="7">
        <f t="shared" si="5"/>
        <v>0</v>
      </c>
      <c r="W21" s="2"/>
      <c r="X21" s="6">
        <f t="shared" si="6"/>
        <v>-110.68546000000003</v>
      </c>
      <c r="Y21" s="2"/>
      <c r="Z21" s="7">
        <f t="shared" si="7"/>
        <v>-9.8489902515645114E-2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6963.3</v>
      </c>
      <c r="E22" s="2"/>
      <c r="F22" s="7">
        <f t="shared" si="0"/>
        <v>0</v>
      </c>
      <c r="G22" s="2"/>
      <c r="H22" s="6">
        <v>6065</v>
      </c>
      <c r="I22" s="2"/>
      <c r="J22" s="7">
        <f t="shared" si="1"/>
        <v>0</v>
      </c>
      <c r="K22" s="2"/>
      <c r="L22" s="6">
        <f t="shared" si="2"/>
        <v>898.30000000000018</v>
      </c>
      <c r="M22" s="2"/>
      <c r="N22" s="7">
        <f t="shared" si="3"/>
        <v>0.14811211871393243</v>
      </c>
      <c r="O22" s="11"/>
      <c r="P22" s="6">
        <v>55175.67</v>
      </c>
      <c r="Q22" s="2"/>
      <c r="R22" s="7">
        <f t="shared" si="4"/>
        <v>0</v>
      </c>
      <c r="S22" s="2"/>
      <c r="T22" s="6">
        <v>54585</v>
      </c>
      <c r="U22" s="2"/>
      <c r="V22" s="7">
        <f t="shared" si="5"/>
        <v>0</v>
      </c>
      <c r="W22" s="2"/>
      <c r="X22" s="6">
        <f t="shared" si="6"/>
        <v>590.66999999999825</v>
      </c>
      <c r="Y22" s="2"/>
      <c r="Z22" s="7">
        <f t="shared" si="7"/>
        <v>1.0821104699093125E-2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156.9</v>
      </c>
      <c r="E23" s="2"/>
      <c r="F23" s="7">
        <f t="shared" si="0"/>
        <v>0</v>
      </c>
      <c r="G23" s="2"/>
      <c r="H23" s="6">
        <v>88.575119999999998</v>
      </c>
      <c r="I23" s="2"/>
      <c r="J23" s="7">
        <f t="shared" si="1"/>
        <v>0</v>
      </c>
      <c r="K23" s="2"/>
      <c r="L23" s="6">
        <f t="shared" si="2"/>
        <v>68.324880000000007</v>
      </c>
      <c r="M23" s="2"/>
      <c r="N23" s="7">
        <f t="shared" si="3"/>
        <v>0.77137778644838428</v>
      </c>
      <c r="O23" s="11"/>
      <c r="P23" s="6">
        <v>915.51</v>
      </c>
      <c r="Q23" s="2"/>
      <c r="R23" s="7">
        <f t="shared" si="4"/>
        <v>0</v>
      </c>
      <c r="S23" s="2"/>
      <c r="T23" s="6">
        <v>859.39594</v>
      </c>
      <c r="U23" s="2"/>
      <c r="V23" s="7">
        <f t="shared" si="5"/>
        <v>0</v>
      </c>
      <c r="W23" s="2"/>
      <c r="X23" s="6">
        <f t="shared" si="6"/>
        <v>56.114059999999995</v>
      </c>
      <c r="Y23" s="2"/>
      <c r="Z23" s="7">
        <f t="shared" si="7"/>
        <v>6.5294769719298415E-2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2556.79</v>
      </c>
      <c r="E24" s="2"/>
      <c r="F24" s="7">
        <f t="shared" si="0"/>
        <v>0</v>
      </c>
      <c r="G24" s="2"/>
      <c r="H24" s="6">
        <v>2159.9892307692298</v>
      </c>
      <c r="I24" s="2"/>
      <c r="J24" s="7">
        <f t="shared" si="1"/>
        <v>0</v>
      </c>
      <c r="K24" s="2"/>
      <c r="L24" s="6">
        <f t="shared" si="2"/>
        <v>396.80076923077013</v>
      </c>
      <c r="M24" s="2"/>
      <c r="N24" s="7">
        <f t="shared" si="3"/>
        <v>0.18370497573705902</v>
      </c>
      <c r="O24" s="11"/>
      <c r="P24" s="6">
        <v>22817.31</v>
      </c>
      <c r="Q24" s="2"/>
      <c r="R24" s="7">
        <f t="shared" si="4"/>
        <v>0</v>
      </c>
      <c r="S24" s="2"/>
      <c r="T24" s="6">
        <v>21059.895</v>
      </c>
      <c r="U24" s="2"/>
      <c r="V24" s="7">
        <f t="shared" si="5"/>
        <v>0</v>
      </c>
      <c r="W24" s="2"/>
      <c r="X24" s="6">
        <f t="shared" si="6"/>
        <v>1757.4150000000009</v>
      </c>
      <c r="Y24" s="2"/>
      <c r="Z24" s="7">
        <f t="shared" si="7"/>
        <v>8.3448421751390542E-2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2065.1799999999998</v>
      </c>
      <c r="E26" s="2"/>
      <c r="F26" s="7">
        <f t="shared" si="0"/>
        <v>0</v>
      </c>
      <c r="G26" s="2"/>
      <c r="H26" s="6">
        <v>1255.8076923076899</v>
      </c>
      <c r="I26" s="2"/>
      <c r="J26" s="7">
        <f t="shared" si="1"/>
        <v>0</v>
      </c>
      <c r="K26" s="2"/>
      <c r="L26" s="6">
        <f t="shared" si="2"/>
        <v>809.37230769230996</v>
      </c>
      <c r="M26" s="2"/>
      <c r="N26" s="7">
        <f t="shared" si="3"/>
        <v>0.64450338427613552</v>
      </c>
      <c r="O26" s="11"/>
      <c r="P26" s="6">
        <v>18901.289999999997</v>
      </c>
      <c r="Q26" s="2"/>
      <c r="R26" s="7">
        <f t="shared" si="4"/>
        <v>0</v>
      </c>
      <c r="S26" s="2"/>
      <c r="T26" s="6">
        <v>12244.125</v>
      </c>
      <c r="U26" s="2"/>
      <c r="V26" s="7">
        <f t="shared" si="5"/>
        <v>0</v>
      </c>
      <c r="W26" s="2"/>
      <c r="X26" s="6">
        <f t="shared" si="6"/>
        <v>6657.1649999999972</v>
      </c>
      <c r="Y26" s="2"/>
      <c r="Z26" s="7">
        <f t="shared" si="7"/>
        <v>0.54370279623901241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1389.92</v>
      </c>
      <c r="E27" s="2"/>
      <c r="F27" s="7">
        <f t="shared" si="0"/>
        <v>0</v>
      </c>
      <c r="G27" s="2"/>
      <c r="H27" s="6">
        <v>1524.3436923076899</v>
      </c>
      <c r="I27" s="2"/>
      <c r="J27" s="7">
        <f t="shared" si="1"/>
        <v>0</v>
      </c>
      <c r="K27" s="2"/>
      <c r="L27" s="6">
        <f t="shared" si="2"/>
        <v>-134.42369230768986</v>
      </c>
      <c r="M27" s="2"/>
      <c r="N27" s="7">
        <f t="shared" si="3"/>
        <v>-8.8184635122665195E-2</v>
      </c>
      <c r="O27" s="11"/>
      <c r="P27" s="6">
        <v>14204.05</v>
      </c>
      <c r="Q27" s="2"/>
      <c r="R27" s="7">
        <f t="shared" si="4"/>
        <v>0</v>
      </c>
      <c r="S27" s="2"/>
      <c r="T27" s="6">
        <v>14813.757</v>
      </c>
      <c r="U27" s="2"/>
      <c r="V27" s="7">
        <f t="shared" si="5"/>
        <v>0</v>
      </c>
      <c r="W27" s="2"/>
      <c r="X27" s="6">
        <f t="shared" si="6"/>
        <v>-609.70700000000033</v>
      </c>
      <c r="Y27" s="2"/>
      <c r="Z27" s="7">
        <f t="shared" si="7"/>
        <v>-4.1158161295611936E-2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>
        <v>568.24</v>
      </c>
      <c r="E28" s="2"/>
      <c r="F28" s="7">
        <f t="shared" si="0"/>
        <v>0</v>
      </c>
      <c r="G28" s="2"/>
      <c r="H28" s="6">
        <v>750</v>
      </c>
      <c r="I28" s="2"/>
      <c r="J28" s="7">
        <f t="shared" si="1"/>
        <v>0</v>
      </c>
      <c r="K28" s="2"/>
      <c r="L28" s="6">
        <f t="shared" si="2"/>
        <v>-181.76</v>
      </c>
      <c r="M28" s="2"/>
      <c r="N28" s="7">
        <f t="shared" si="3"/>
        <v>-0.24234666666666665</v>
      </c>
      <c r="O28" s="11"/>
      <c r="P28" s="6">
        <v>7415.38</v>
      </c>
      <c r="Q28" s="2"/>
      <c r="R28" s="7">
        <f t="shared" si="4"/>
        <v>0</v>
      </c>
      <c r="S28" s="2"/>
      <c r="T28" s="6">
        <v>6750</v>
      </c>
      <c r="U28" s="2"/>
      <c r="V28" s="7">
        <f t="shared" si="5"/>
        <v>0</v>
      </c>
      <c r="W28" s="2"/>
      <c r="X28" s="6">
        <f t="shared" si="6"/>
        <v>665.38000000000011</v>
      </c>
      <c r="Y28" s="2"/>
      <c r="Z28" s="7">
        <f t="shared" si="7"/>
        <v>9.8574814814814837E-2</v>
      </c>
    </row>
    <row r="29" spans="1:26" s="27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43524.670000000006</v>
      </c>
      <c r="E29" s="1"/>
      <c r="F29" s="5">
        <f t="shared" ref="F29:F39" si="8">IF(D$12=0,0,D29/D$12)</f>
        <v>0</v>
      </c>
      <c r="G29" s="1"/>
      <c r="H29" s="1">
        <f>SUM(OSRRefH22_1x_0)</f>
        <v>31626.322461538424</v>
      </c>
      <c r="I29" s="1"/>
      <c r="J29" s="5">
        <f t="shared" ref="J29:J39" si="9">IF(H$12=0,0,H29/H$12)</f>
        <v>0</v>
      </c>
      <c r="K29" s="1"/>
      <c r="L29" s="1">
        <f t="shared" ref="L29:L39" si="10">+D29-H29</f>
        <v>11898.347538461581</v>
      </c>
      <c r="M29" s="1"/>
      <c r="N29" s="5">
        <f t="shared" ref="N29:N39" si="11">IF(H29=0,0,L29/H29)</f>
        <v>0.37621660099530901</v>
      </c>
      <c r="O29" s="13"/>
      <c r="P29" s="1">
        <f>SUM(OSRRefP22_1x_0)</f>
        <v>300372.13999999996</v>
      </c>
      <c r="Q29" s="1"/>
      <c r="R29" s="5">
        <f t="shared" ref="R29:R39" si="12">IF(P$12=0,0,P29/P$12)</f>
        <v>0</v>
      </c>
      <c r="S29" s="1"/>
      <c r="T29" s="1">
        <f>SUM(OSRRefT22_1x_0)</f>
        <v>306648.20299999969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-6276.0629999997327</v>
      </c>
      <c r="Y29" s="1"/>
      <c r="Z29" s="5">
        <f t="shared" ref="Z29:Z39" si="15">IF(T29=0,0,X29/T29)</f>
        <v>-2.0466655074446137E-2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5419.3846153846198</v>
      </c>
      <c r="I30" s="2"/>
      <c r="J30" s="7">
        <f t="shared" si="9"/>
        <v>0</v>
      </c>
      <c r="K30" s="2"/>
      <c r="L30" s="6">
        <f t="shared" si="10"/>
        <v>-5419.3846153846198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52839.000000000036</v>
      </c>
      <c r="U30" s="2"/>
      <c r="V30" s="7">
        <f t="shared" si="13"/>
        <v>0</v>
      </c>
      <c r="W30" s="2"/>
      <c r="X30" s="6">
        <f t="shared" si="14"/>
        <v>-52839.000000000036</v>
      </c>
      <c r="Y30" s="2"/>
      <c r="Z30" s="7">
        <f t="shared" si="15"/>
        <v>-1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6">
        <v>35256.83</v>
      </c>
      <c r="E31" s="2"/>
      <c r="F31" s="7">
        <f t="shared" si="8"/>
        <v>0</v>
      </c>
      <c r="G31" s="2"/>
      <c r="H31" s="6">
        <v>17185.1538461538</v>
      </c>
      <c r="I31" s="2"/>
      <c r="J31" s="7">
        <f t="shared" si="9"/>
        <v>0</v>
      </c>
      <c r="K31" s="2"/>
      <c r="L31" s="6">
        <f t="shared" si="10"/>
        <v>18071.676153846201</v>
      </c>
      <c r="M31" s="2"/>
      <c r="N31" s="7">
        <f t="shared" si="11"/>
        <v>1.0515865214608371</v>
      </c>
      <c r="O31" s="11"/>
      <c r="P31" s="6">
        <v>241808.1</v>
      </c>
      <c r="Q31" s="2"/>
      <c r="R31" s="7">
        <f t="shared" si="12"/>
        <v>0</v>
      </c>
      <c r="S31" s="2"/>
      <c r="T31" s="6">
        <v>167555.24999999968</v>
      </c>
      <c r="U31" s="2"/>
      <c r="V31" s="7">
        <f t="shared" si="13"/>
        <v>0</v>
      </c>
      <c r="W31" s="2"/>
      <c r="X31" s="6">
        <f t="shared" si="14"/>
        <v>74252.850000000326</v>
      </c>
      <c r="Y31" s="2"/>
      <c r="Z31" s="7">
        <f t="shared" si="15"/>
        <v>0.4431544221980539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2496.7199999999998</v>
      </c>
      <c r="I33" s="2"/>
      <c r="J33" s="7">
        <f t="shared" si="9"/>
        <v>0</v>
      </c>
      <c r="K33" s="2"/>
      <c r="L33" s="6">
        <f t="shared" si="10"/>
        <v>-2496.7199999999998</v>
      </c>
      <c r="M33" s="2"/>
      <c r="N33" s="7">
        <f t="shared" si="11"/>
        <v>-1</v>
      </c>
      <c r="O33" s="11"/>
      <c r="P33" s="6"/>
      <c r="Q33" s="2"/>
      <c r="R33" s="7">
        <f t="shared" si="12"/>
        <v>0</v>
      </c>
      <c r="S33" s="2"/>
      <c r="T33" s="6">
        <v>24343.02</v>
      </c>
      <c r="U33" s="2"/>
      <c r="V33" s="7">
        <f t="shared" si="13"/>
        <v>0</v>
      </c>
      <c r="W33" s="2"/>
      <c r="X33" s="6">
        <f t="shared" si="14"/>
        <v>-24343.02</v>
      </c>
      <c r="Y33" s="2"/>
      <c r="Z33" s="7">
        <f t="shared" si="15"/>
        <v>-1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>
        <v>3038.7</v>
      </c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3038.7</v>
      </c>
      <c r="M34" s="2"/>
      <c r="N34" s="7">
        <f t="shared" si="11"/>
        <v>0</v>
      </c>
      <c r="O34" s="11"/>
      <c r="P34" s="6">
        <v>20823.22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20823.22</v>
      </c>
      <c r="Y34" s="2"/>
      <c r="Z34" s="7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>
        <v>4342.41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4342.41</v>
      </c>
      <c r="M36" s="2"/>
      <c r="N36" s="7">
        <f t="shared" si="11"/>
        <v>0</v>
      </c>
      <c r="O36" s="11"/>
      <c r="P36" s="6">
        <v>32671.350000000002</v>
      </c>
      <c r="Q36" s="2"/>
      <c r="R36" s="7">
        <f t="shared" si="12"/>
        <v>0</v>
      </c>
      <c r="S36" s="2"/>
      <c r="T36" s="6">
        <v>10902.5</v>
      </c>
      <c r="U36" s="2"/>
      <c r="V36" s="7">
        <f t="shared" si="13"/>
        <v>0</v>
      </c>
      <c r="W36" s="2"/>
      <c r="X36" s="6">
        <f t="shared" si="14"/>
        <v>21768.850000000002</v>
      </c>
      <c r="Y36" s="2"/>
      <c r="Z36" s="7">
        <f t="shared" si="15"/>
        <v>1.9966842467324011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>
        <v>886.73</v>
      </c>
      <c r="E37" s="2"/>
      <c r="F37" s="7">
        <f t="shared" si="8"/>
        <v>0</v>
      </c>
      <c r="G37" s="2"/>
      <c r="H37" s="6">
        <v>6525.0640000000003</v>
      </c>
      <c r="I37" s="2"/>
      <c r="J37" s="7">
        <f t="shared" si="9"/>
        <v>0</v>
      </c>
      <c r="K37" s="2"/>
      <c r="L37" s="6">
        <f t="shared" si="10"/>
        <v>-5638.3340000000007</v>
      </c>
      <c r="M37" s="2"/>
      <c r="N37" s="7">
        <f t="shared" si="11"/>
        <v>-0.86410401491847444</v>
      </c>
      <c r="O37" s="11"/>
      <c r="P37" s="6">
        <v>5069.47</v>
      </c>
      <c r="Q37" s="2"/>
      <c r="R37" s="7">
        <f t="shared" si="12"/>
        <v>0</v>
      </c>
      <c r="S37" s="2"/>
      <c r="T37" s="6">
        <v>51008.433000000005</v>
      </c>
      <c r="U37" s="2"/>
      <c r="V37" s="7">
        <f t="shared" si="13"/>
        <v>0</v>
      </c>
      <c r="W37" s="2"/>
      <c r="X37" s="6">
        <f t="shared" si="14"/>
        <v>-45938.963000000003</v>
      </c>
      <c r="Y37" s="2"/>
      <c r="Z37" s="7">
        <f t="shared" si="15"/>
        <v>-0.90061506104294553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7" customFormat="1" outlineLevel="1" collapsed="1" x14ac:dyDescent="0.25">
      <c r="A40" s="26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44</v>
      </c>
      <c r="E40" s="1"/>
      <c r="F40" s="5">
        <f t="shared" ref="F40:F57" si="16">IF(D$12=0,0,D40/D$12)</f>
        <v>0</v>
      </c>
      <c r="G40" s="1"/>
      <c r="H40" s="1">
        <f>SUM(OSRRefH22_2x_0)</f>
        <v>0</v>
      </c>
      <c r="I40" s="1"/>
      <c r="J40" s="5">
        <f t="shared" ref="J40:J57" si="17">IF(H$12=0,0,H40/H$12)</f>
        <v>0</v>
      </c>
      <c r="K40" s="1"/>
      <c r="L40" s="1">
        <f t="shared" ref="L40:L57" si="18">+D40-H40</f>
        <v>44</v>
      </c>
      <c r="M40" s="1"/>
      <c r="N40" s="5">
        <f t="shared" ref="N40:N57" si="19">IF(H40=0,0,L40/H40)</f>
        <v>0</v>
      </c>
      <c r="O40" s="13"/>
      <c r="P40" s="1">
        <f>SUM(OSRRefP22_2x_0)</f>
        <v>62</v>
      </c>
      <c r="Q40" s="1"/>
      <c r="R40" s="5">
        <f t="shared" ref="R40:R57" si="20">IF(P$12=0,0,P40/P$12)</f>
        <v>0</v>
      </c>
      <c r="S40" s="1"/>
      <c r="T40" s="1">
        <f>SUM(OSRRefT22_2x_0)</f>
        <v>25</v>
      </c>
      <c r="U40" s="1"/>
      <c r="V40" s="5">
        <f t="shared" ref="V40:V57" si="21">IF(T$12=0,0,T40/T$12)</f>
        <v>0</v>
      </c>
      <c r="W40" s="1"/>
      <c r="X40" s="1">
        <f t="shared" ref="X40:X57" si="22">+P40-T40</f>
        <v>37</v>
      </c>
      <c r="Y40" s="1"/>
      <c r="Z40" s="5">
        <f t="shared" ref="Z40:Z57" si="23">IF(T40=0,0,X40/T40)</f>
        <v>1.48</v>
      </c>
    </row>
    <row r="41" spans="1:26" s="24" customFormat="1" hidden="1" outlineLevel="2" x14ac:dyDescent="0.25">
      <c r="A41" s="25"/>
      <c r="B41" s="11" t="str">
        <f>CONCATENATE("          ", "6362", " - ", "ADVERTISING EXPENSE")</f>
        <v xml:space="preserve">          6362 - ADVERTISING EXPENSE</v>
      </c>
      <c r="C41" s="11"/>
      <c r="D41" s="6">
        <v>44</v>
      </c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44</v>
      </c>
      <c r="M41" s="2"/>
      <c r="N41" s="7">
        <f t="shared" si="19"/>
        <v>0</v>
      </c>
      <c r="O41" s="11"/>
      <c r="P41" s="6">
        <v>62</v>
      </c>
      <c r="Q41" s="2"/>
      <c r="R41" s="7">
        <f t="shared" si="20"/>
        <v>0</v>
      </c>
      <c r="S41" s="2"/>
      <c r="T41" s="6">
        <v>25</v>
      </c>
      <c r="U41" s="2"/>
      <c r="V41" s="7">
        <f t="shared" si="21"/>
        <v>0</v>
      </c>
      <c r="W41" s="2"/>
      <c r="X41" s="6">
        <f t="shared" si="22"/>
        <v>37</v>
      </c>
      <c r="Y41" s="2"/>
      <c r="Z41" s="7">
        <f t="shared" si="23"/>
        <v>1.48</v>
      </c>
    </row>
    <row r="42" spans="1:26" s="27" customFormat="1" outlineLevel="1" collapsed="1" x14ac:dyDescent="0.25">
      <c r="A42" s="26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SUM(OSRRefD22_3x_0)</f>
        <v>1558.88</v>
      </c>
      <c r="E42" s="1"/>
      <c r="F42" s="5">
        <f t="shared" si="16"/>
        <v>0</v>
      </c>
      <c r="G42" s="1"/>
      <c r="H42" s="1">
        <f>SUM(OSRRefH22_3x_0)</f>
        <v>1559</v>
      </c>
      <c r="I42" s="1"/>
      <c r="J42" s="5">
        <f t="shared" si="17"/>
        <v>0</v>
      </c>
      <c r="K42" s="1"/>
      <c r="L42" s="1">
        <f t="shared" si="18"/>
        <v>-0.11999999999989086</v>
      </c>
      <c r="M42" s="1"/>
      <c r="N42" s="5">
        <f t="shared" si="19"/>
        <v>-7.6972418216735637E-5</v>
      </c>
      <c r="O42" s="13"/>
      <c r="P42" s="1">
        <f>SUM(OSRRefP22_3x_0)</f>
        <v>14029.92</v>
      </c>
      <c r="Q42" s="1"/>
      <c r="R42" s="5">
        <f t="shared" si="20"/>
        <v>0</v>
      </c>
      <c r="S42" s="1"/>
      <c r="T42" s="1">
        <f>SUM(OSRRefT22_3x_0)</f>
        <v>14031</v>
      </c>
      <c r="U42" s="1"/>
      <c r="V42" s="5">
        <f t="shared" si="21"/>
        <v>0</v>
      </c>
      <c r="W42" s="1"/>
      <c r="X42" s="1">
        <f t="shared" si="22"/>
        <v>-1.0799999999999272</v>
      </c>
      <c r="Y42" s="1"/>
      <c r="Z42" s="5">
        <f t="shared" si="23"/>
        <v>-7.6972418216800459E-5</v>
      </c>
    </row>
    <row r="43" spans="1:26" s="24" customFormat="1" hidden="1" outlineLevel="2" x14ac:dyDescent="0.25">
      <c r="A43" s="25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1558.88</v>
      </c>
      <c r="E43" s="2"/>
      <c r="F43" s="7">
        <f t="shared" si="16"/>
        <v>0</v>
      </c>
      <c r="G43" s="2"/>
      <c r="H43" s="6">
        <v>1559</v>
      </c>
      <c r="I43" s="2"/>
      <c r="J43" s="7">
        <f t="shared" si="17"/>
        <v>0</v>
      </c>
      <c r="K43" s="2"/>
      <c r="L43" s="6">
        <f t="shared" si="18"/>
        <v>-0.11999999999989086</v>
      </c>
      <c r="M43" s="2"/>
      <c r="N43" s="7">
        <f t="shared" si="19"/>
        <v>-7.6972418216735637E-5</v>
      </c>
      <c r="O43" s="11"/>
      <c r="P43" s="6">
        <v>14029.92</v>
      </c>
      <c r="Q43" s="2"/>
      <c r="R43" s="7">
        <f t="shared" si="20"/>
        <v>0</v>
      </c>
      <c r="S43" s="2"/>
      <c r="T43" s="6">
        <v>14031</v>
      </c>
      <c r="U43" s="2"/>
      <c r="V43" s="7">
        <f t="shared" si="21"/>
        <v>0</v>
      </c>
      <c r="W43" s="2"/>
      <c r="X43" s="6">
        <f t="shared" si="22"/>
        <v>-1.0799999999999272</v>
      </c>
      <c r="Y43" s="2"/>
      <c r="Z43" s="7">
        <f t="shared" si="23"/>
        <v>-7.6972418216800459E-5</v>
      </c>
    </row>
    <row r="44" spans="1:26" s="27" customFormat="1" outlineLevel="1" collapsed="1" x14ac:dyDescent="0.25">
      <c r="A44" s="26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SUM(OSRRefD22_4x_0)</f>
        <v>3.96</v>
      </c>
      <c r="E44" s="1"/>
      <c r="F44" s="5">
        <f t="shared" si="16"/>
        <v>0</v>
      </c>
      <c r="G44" s="1"/>
      <c r="H44" s="1">
        <f>SUM(OSRRefH22_4x_0)</f>
        <v>25</v>
      </c>
      <c r="I44" s="1"/>
      <c r="J44" s="5">
        <f t="shared" si="17"/>
        <v>0</v>
      </c>
      <c r="K44" s="1"/>
      <c r="L44" s="1">
        <f t="shared" si="18"/>
        <v>-21.04</v>
      </c>
      <c r="M44" s="1"/>
      <c r="N44" s="5">
        <f t="shared" si="19"/>
        <v>-0.84160000000000001</v>
      </c>
      <c r="O44" s="13"/>
      <c r="P44" s="1">
        <f>SUM(OSRRefP22_4x_0)</f>
        <v>3.96</v>
      </c>
      <c r="Q44" s="1"/>
      <c r="R44" s="5">
        <f t="shared" si="20"/>
        <v>0</v>
      </c>
      <c r="S44" s="1"/>
      <c r="T44" s="1">
        <f>SUM(OSRRefT22_4x_0)</f>
        <v>225</v>
      </c>
      <c r="U44" s="1"/>
      <c r="V44" s="5">
        <f t="shared" si="21"/>
        <v>0</v>
      </c>
      <c r="W44" s="1"/>
      <c r="X44" s="1">
        <f t="shared" si="22"/>
        <v>-221.04</v>
      </c>
      <c r="Y44" s="1"/>
      <c r="Z44" s="5">
        <f t="shared" si="23"/>
        <v>-0.98239999999999994</v>
      </c>
    </row>
    <row r="45" spans="1:26" s="24" customFormat="1" hidden="1" outlineLevel="2" x14ac:dyDescent="0.25">
      <c r="A45" s="25"/>
      <c r="B45" s="11" t="str">
        <f>CONCATENATE("          ", "6277", " - ", "EMPLOYEE APPRECIATION")</f>
        <v xml:space="preserve">          6277 - EMPLOYEE APPRECIATION</v>
      </c>
      <c r="C45" s="11"/>
      <c r="D45" s="6">
        <v>3.96</v>
      </c>
      <c r="E45" s="2"/>
      <c r="F45" s="7">
        <f t="shared" si="16"/>
        <v>0</v>
      </c>
      <c r="G45" s="2"/>
      <c r="H45" s="6">
        <v>25</v>
      </c>
      <c r="I45" s="2"/>
      <c r="J45" s="7">
        <f t="shared" si="17"/>
        <v>0</v>
      </c>
      <c r="K45" s="2"/>
      <c r="L45" s="6">
        <f t="shared" si="18"/>
        <v>-21.04</v>
      </c>
      <c r="M45" s="2"/>
      <c r="N45" s="7">
        <f t="shared" si="19"/>
        <v>-0.84160000000000001</v>
      </c>
      <c r="O45" s="11"/>
      <c r="P45" s="6">
        <v>3.96</v>
      </c>
      <c r="Q45" s="2"/>
      <c r="R45" s="7">
        <f t="shared" si="20"/>
        <v>0</v>
      </c>
      <c r="S45" s="2"/>
      <c r="T45" s="6">
        <v>225</v>
      </c>
      <c r="U45" s="2"/>
      <c r="V45" s="7">
        <f t="shared" si="21"/>
        <v>0</v>
      </c>
      <c r="W45" s="2"/>
      <c r="X45" s="6">
        <f t="shared" si="22"/>
        <v>-221.04</v>
      </c>
      <c r="Y45" s="2"/>
      <c r="Z45" s="7">
        <f t="shared" si="23"/>
        <v>-0.98239999999999994</v>
      </c>
    </row>
    <row r="46" spans="1:26" s="27" customFormat="1" outlineLevel="1" collapsed="1" x14ac:dyDescent="0.25">
      <c r="A46" s="26"/>
      <c r="B46" s="13" t="str">
        <f>CONCATENATE("     ","Equipment Rental                                  ")</f>
        <v xml:space="preserve">     Equipment Rental                                  </v>
      </c>
      <c r="C46" s="13"/>
      <c r="D46" s="1">
        <f>SUM(OSRRefD22_5x_0)</f>
        <v>91.26</v>
      </c>
      <c r="E46" s="1"/>
      <c r="F46" s="5">
        <f t="shared" si="16"/>
        <v>0</v>
      </c>
      <c r="G46" s="1"/>
      <c r="H46" s="1">
        <f>SUM(OSRRefH22_5x_0)</f>
        <v>91</v>
      </c>
      <c r="I46" s="1"/>
      <c r="J46" s="5">
        <f t="shared" si="17"/>
        <v>0</v>
      </c>
      <c r="K46" s="1"/>
      <c r="L46" s="1">
        <f t="shared" si="18"/>
        <v>0.26000000000000512</v>
      </c>
      <c r="M46" s="1"/>
      <c r="N46" s="5">
        <f t="shared" si="19"/>
        <v>2.8571428571429135E-3</v>
      </c>
      <c r="O46" s="13"/>
      <c r="P46" s="1">
        <f>SUM(OSRRefP22_5x_0)</f>
        <v>821.34</v>
      </c>
      <c r="Q46" s="1"/>
      <c r="R46" s="5">
        <f t="shared" si="20"/>
        <v>0</v>
      </c>
      <c r="S46" s="1"/>
      <c r="T46" s="1">
        <f>SUM(OSRRefT22_5x_0)</f>
        <v>819</v>
      </c>
      <c r="U46" s="1"/>
      <c r="V46" s="5">
        <f t="shared" si="21"/>
        <v>0</v>
      </c>
      <c r="W46" s="1"/>
      <c r="X46" s="1">
        <f t="shared" si="22"/>
        <v>2.3400000000000318</v>
      </c>
      <c r="Y46" s="1"/>
      <c r="Z46" s="5">
        <f t="shared" si="23"/>
        <v>2.8571428571428962E-3</v>
      </c>
    </row>
    <row r="47" spans="1:26" s="24" customFormat="1" hidden="1" outlineLevel="2" x14ac:dyDescent="0.25">
      <c r="A47" s="25"/>
      <c r="B47" s="11" t="str">
        <f>CONCATENATE("          ", "6351", " - ", "EQUIPMENT RENTAL")</f>
        <v xml:space="preserve">          6351 - EQUIPMENT RENTAL</v>
      </c>
      <c r="C47" s="11"/>
      <c r="D47" s="6">
        <v>91.26</v>
      </c>
      <c r="E47" s="2"/>
      <c r="F47" s="7">
        <f t="shared" si="16"/>
        <v>0</v>
      </c>
      <c r="G47" s="2"/>
      <c r="H47" s="6">
        <v>91</v>
      </c>
      <c r="I47" s="2"/>
      <c r="J47" s="7">
        <f t="shared" si="17"/>
        <v>0</v>
      </c>
      <c r="K47" s="2"/>
      <c r="L47" s="6">
        <f t="shared" si="18"/>
        <v>0.26000000000000512</v>
      </c>
      <c r="M47" s="2"/>
      <c r="N47" s="7">
        <f t="shared" si="19"/>
        <v>2.8571428571429135E-3</v>
      </c>
      <c r="O47" s="11"/>
      <c r="P47" s="6">
        <v>821.34</v>
      </c>
      <c r="Q47" s="2"/>
      <c r="R47" s="7">
        <f t="shared" si="20"/>
        <v>0</v>
      </c>
      <c r="S47" s="2"/>
      <c r="T47" s="6">
        <v>819</v>
      </c>
      <c r="U47" s="2"/>
      <c r="V47" s="7">
        <f t="shared" si="21"/>
        <v>0</v>
      </c>
      <c r="W47" s="2"/>
      <c r="X47" s="6">
        <f t="shared" si="22"/>
        <v>2.3400000000000318</v>
      </c>
      <c r="Y47" s="2"/>
      <c r="Z47" s="7">
        <f t="shared" si="23"/>
        <v>2.8571428571428962E-3</v>
      </c>
    </row>
    <row r="48" spans="1:26" s="27" customFormat="1" outlineLevel="1" collapsed="1" x14ac:dyDescent="0.25">
      <c r="A48" s="26"/>
      <c r="B48" s="13" t="str">
        <f>CONCATENATE("     ","Freight out/Postage                               ")</f>
        <v xml:space="preserve">     Freight out/Postage                               </v>
      </c>
      <c r="C48" s="13"/>
      <c r="D48" s="1">
        <f>SUM(OSRRefD22_6x_0)</f>
        <v>101.3</v>
      </c>
      <c r="E48" s="1"/>
      <c r="F48" s="5">
        <f t="shared" si="16"/>
        <v>0</v>
      </c>
      <c r="G48" s="1"/>
      <c r="H48" s="1">
        <f>SUM(OSRRefH22_6x_0)</f>
        <v>150</v>
      </c>
      <c r="I48" s="1"/>
      <c r="J48" s="5">
        <f t="shared" si="17"/>
        <v>0</v>
      </c>
      <c r="K48" s="1"/>
      <c r="L48" s="1">
        <f t="shared" si="18"/>
        <v>-48.7</v>
      </c>
      <c r="M48" s="1"/>
      <c r="N48" s="5">
        <f t="shared" si="19"/>
        <v>-0.32466666666666666</v>
      </c>
      <c r="O48" s="13"/>
      <c r="P48" s="1">
        <f>SUM(OSRRefP22_6x_0)</f>
        <v>1140.9000000000001</v>
      </c>
      <c r="Q48" s="1"/>
      <c r="R48" s="5">
        <f t="shared" si="20"/>
        <v>0</v>
      </c>
      <c r="S48" s="1"/>
      <c r="T48" s="1">
        <f>SUM(OSRRefT22_6x_0)</f>
        <v>1350</v>
      </c>
      <c r="U48" s="1"/>
      <c r="V48" s="5">
        <f t="shared" si="21"/>
        <v>0</v>
      </c>
      <c r="W48" s="1"/>
      <c r="X48" s="1">
        <f t="shared" si="22"/>
        <v>-209.09999999999991</v>
      </c>
      <c r="Y48" s="1"/>
      <c r="Z48" s="5">
        <f t="shared" si="23"/>
        <v>-0.15488888888888883</v>
      </c>
    </row>
    <row r="49" spans="1:26" s="24" customFormat="1" hidden="1" outlineLevel="2" x14ac:dyDescent="0.25">
      <c r="A49" s="25"/>
      <c r="B49" s="11" t="str">
        <f>CONCATENATE("          ", "6307", " - ", "POSTAGE")</f>
        <v xml:space="preserve">          6307 - POSTAGE</v>
      </c>
      <c r="C49" s="11"/>
      <c r="D49" s="6">
        <v>101.3</v>
      </c>
      <c r="E49" s="2"/>
      <c r="F49" s="7">
        <f t="shared" si="16"/>
        <v>0</v>
      </c>
      <c r="G49" s="2"/>
      <c r="H49" s="6">
        <v>150</v>
      </c>
      <c r="I49" s="2"/>
      <c r="J49" s="7">
        <f t="shared" si="17"/>
        <v>0</v>
      </c>
      <c r="K49" s="2"/>
      <c r="L49" s="6">
        <f t="shared" si="18"/>
        <v>-48.7</v>
      </c>
      <c r="M49" s="2"/>
      <c r="N49" s="7">
        <f t="shared" si="19"/>
        <v>-0.32466666666666666</v>
      </c>
      <c r="O49" s="11"/>
      <c r="P49" s="6">
        <v>1140.9000000000001</v>
      </c>
      <c r="Q49" s="2"/>
      <c r="R49" s="7">
        <f t="shared" si="20"/>
        <v>0</v>
      </c>
      <c r="S49" s="2"/>
      <c r="T49" s="6">
        <v>1350</v>
      </c>
      <c r="U49" s="2"/>
      <c r="V49" s="7">
        <f t="shared" si="21"/>
        <v>0</v>
      </c>
      <c r="W49" s="2"/>
      <c r="X49" s="6">
        <f t="shared" si="22"/>
        <v>-209.09999999999991</v>
      </c>
      <c r="Y49" s="2"/>
      <c r="Z49" s="7">
        <f t="shared" si="23"/>
        <v>-0.15488888888888883</v>
      </c>
    </row>
    <row r="50" spans="1:26" s="27" customFormat="1" outlineLevel="1" collapsed="1" x14ac:dyDescent="0.25">
      <c r="A50" s="26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SUM(OSRRefD22_7x_0)</f>
        <v>0</v>
      </c>
      <c r="E50" s="1"/>
      <c r="F50" s="5">
        <f t="shared" si="16"/>
        <v>0</v>
      </c>
      <c r="G50" s="1"/>
      <c r="H50" s="1">
        <f>SUM(OSRRefH22_7x_0)</f>
        <v>25</v>
      </c>
      <c r="I50" s="1"/>
      <c r="J50" s="5">
        <f t="shared" si="17"/>
        <v>0</v>
      </c>
      <c r="K50" s="1"/>
      <c r="L50" s="1">
        <f t="shared" si="18"/>
        <v>-25</v>
      </c>
      <c r="M50" s="1"/>
      <c r="N50" s="5">
        <f t="shared" si="19"/>
        <v>-1</v>
      </c>
      <c r="O50" s="13"/>
      <c r="P50" s="1">
        <f>SUM(OSRRefP22_7x_0)</f>
        <v>0</v>
      </c>
      <c r="Q50" s="1"/>
      <c r="R50" s="5">
        <f t="shared" si="20"/>
        <v>0</v>
      </c>
      <c r="S50" s="1"/>
      <c r="T50" s="1">
        <f>SUM(OSRRefT22_7x_0)</f>
        <v>225</v>
      </c>
      <c r="U50" s="1"/>
      <c r="V50" s="5">
        <f t="shared" si="21"/>
        <v>0</v>
      </c>
      <c r="W50" s="1"/>
      <c r="X50" s="1">
        <f t="shared" si="22"/>
        <v>-225</v>
      </c>
      <c r="Y50" s="1"/>
      <c r="Z50" s="5">
        <f t="shared" si="23"/>
        <v>-1</v>
      </c>
    </row>
    <row r="51" spans="1:26" s="24" customFormat="1" hidden="1" outlineLevel="2" x14ac:dyDescent="0.25">
      <c r="A51" s="25"/>
      <c r="B51" s="11" t="str">
        <f>CONCATENATE("          ", "6279", " - ", "GENERAL EXPENSE")</f>
        <v xml:space="preserve">          6279 - GENERAL EXPENSE</v>
      </c>
      <c r="C51" s="11"/>
      <c r="D51" s="6"/>
      <c r="E51" s="2"/>
      <c r="F51" s="7">
        <f t="shared" si="16"/>
        <v>0</v>
      </c>
      <c r="G51" s="2"/>
      <c r="H51" s="6">
        <v>25</v>
      </c>
      <c r="I51" s="2"/>
      <c r="J51" s="7">
        <f t="shared" si="17"/>
        <v>0</v>
      </c>
      <c r="K51" s="2"/>
      <c r="L51" s="6">
        <f t="shared" si="18"/>
        <v>-25</v>
      </c>
      <c r="M51" s="2"/>
      <c r="N51" s="7">
        <f t="shared" si="19"/>
        <v>-1</v>
      </c>
      <c r="O51" s="11"/>
      <c r="P51" s="6"/>
      <c r="Q51" s="2"/>
      <c r="R51" s="7">
        <f t="shared" si="20"/>
        <v>0</v>
      </c>
      <c r="S51" s="2"/>
      <c r="T51" s="6">
        <v>225</v>
      </c>
      <c r="U51" s="2"/>
      <c r="V51" s="7">
        <f t="shared" si="21"/>
        <v>0</v>
      </c>
      <c r="W51" s="2"/>
      <c r="X51" s="6">
        <f t="shared" si="22"/>
        <v>-225</v>
      </c>
      <c r="Y51" s="2"/>
      <c r="Z51" s="7">
        <f t="shared" si="23"/>
        <v>-1</v>
      </c>
    </row>
    <row r="52" spans="1:26" s="27" customFormat="1" outlineLevel="1" collapsed="1" x14ac:dyDescent="0.25">
      <c r="A52" s="26"/>
      <c r="B52" s="13" t="str">
        <f>CONCATENATE("     ","Insurance                                         ")</f>
        <v xml:space="preserve">     Insurance                                         </v>
      </c>
      <c r="C52" s="13"/>
      <c r="D52" s="1">
        <f>SUM(OSRRefD22_8x_0)</f>
        <v>132.16999999999999</v>
      </c>
      <c r="E52" s="1"/>
      <c r="F52" s="5">
        <f t="shared" si="16"/>
        <v>0</v>
      </c>
      <c r="G52" s="1"/>
      <c r="H52" s="1">
        <f>SUM(OSRRefH22_8x_0)</f>
        <v>125</v>
      </c>
      <c r="I52" s="1"/>
      <c r="J52" s="5">
        <f t="shared" si="17"/>
        <v>0</v>
      </c>
      <c r="K52" s="1"/>
      <c r="L52" s="1">
        <f t="shared" si="18"/>
        <v>7.1699999999999875</v>
      </c>
      <c r="M52" s="1"/>
      <c r="N52" s="5">
        <f t="shared" si="19"/>
        <v>5.7359999999999897E-2</v>
      </c>
      <c r="O52" s="13"/>
      <c r="P52" s="1">
        <f>SUM(OSRRefP22_8x_0)</f>
        <v>1189.53</v>
      </c>
      <c r="Q52" s="1"/>
      <c r="R52" s="5">
        <f t="shared" si="20"/>
        <v>0</v>
      </c>
      <c r="S52" s="1"/>
      <c r="T52" s="1">
        <f>SUM(OSRRefT22_8x_0)</f>
        <v>1125</v>
      </c>
      <c r="U52" s="1"/>
      <c r="V52" s="5">
        <f t="shared" si="21"/>
        <v>0</v>
      </c>
      <c r="W52" s="1"/>
      <c r="X52" s="1">
        <f t="shared" si="22"/>
        <v>64.529999999999973</v>
      </c>
      <c r="Y52" s="1"/>
      <c r="Z52" s="5">
        <f t="shared" si="23"/>
        <v>5.7359999999999974E-2</v>
      </c>
    </row>
    <row r="53" spans="1:26" s="24" customFormat="1" hidden="1" outlineLevel="2" x14ac:dyDescent="0.25">
      <c r="A53" s="25"/>
      <c r="B53" s="11" t="str">
        <f>CONCATENATE("          ", "6314", " - ", "LIABILITY INSURANCE")</f>
        <v xml:space="preserve">          6314 - LIABILITY INSURANCE</v>
      </c>
      <c r="C53" s="11"/>
      <c r="D53" s="6">
        <v>132.16999999999999</v>
      </c>
      <c r="E53" s="2"/>
      <c r="F53" s="7">
        <f t="shared" si="16"/>
        <v>0</v>
      </c>
      <c r="G53" s="2"/>
      <c r="H53" s="6">
        <v>125</v>
      </c>
      <c r="I53" s="2"/>
      <c r="J53" s="7">
        <f t="shared" si="17"/>
        <v>0</v>
      </c>
      <c r="K53" s="2"/>
      <c r="L53" s="6">
        <f t="shared" si="18"/>
        <v>7.1699999999999875</v>
      </c>
      <c r="M53" s="2"/>
      <c r="N53" s="7">
        <f t="shared" si="19"/>
        <v>5.7359999999999897E-2</v>
      </c>
      <c r="O53" s="11"/>
      <c r="P53" s="6">
        <v>1189.53</v>
      </c>
      <c r="Q53" s="2"/>
      <c r="R53" s="7">
        <f t="shared" si="20"/>
        <v>0</v>
      </c>
      <c r="S53" s="2"/>
      <c r="T53" s="6">
        <v>1125</v>
      </c>
      <c r="U53" s="2"/>
      <c r="V53" s="7">
        <f t="shared" si="21"/>
        <v>0</v>
      </c>
      <c r="W53" s="2"/>
      <c r="X53" s="6">
        <f t="shared" si="22"/>
        <v>64.529999999999973</v>
      </c>
      <c r="Y53" s="2"/>
      <c r="Z53" s="7">
        <f t="shared" si="23"/>
        <v>5.7359999999999974E-2</v>
      </c>
    </row>
    <row r="54" spans="1:26" s="27" customFormat="1" outlineLevel="1" collapsed="1" x14ac:dyDescent="0.25">
      <c r="A54" s="26"/>
      <c r="B54" s="13" t="str">
        <f>CONCATENATE("     ","Interest                                          ")</f>
        <v xml:space="preserve">     Interest                                          </v>
      </c>
      <c r="C54" s="13"/>
      <c r="D54" s="1">
        <f>SUM(OSRRefD22_9x_0)</f>
        <v>0</v>
      </c>
      <c r="E54" s="1"/>
      <c r="F54" s="5">
        <f t="shared" si="16"/>
        <v>0</v>
      </c>
      <c r="G54" s="1"/>
      <c r="H54" s="1">
        <f>SUM(OSRRefH22_9x_0)</f>
        <v>0</v>
      </c>
      <c r="I54" s="1"/>
      <c r="J54" s="5">
        <f t="shared" si="17"/>
        <v>0</v>
      </c>
      <c r="K54" s="1"/>
      <c r="L54" s="1">
        <f t="shared" si="18"/>
        <v>0</v>
      </c>
      <c r="M54" s="1"/>
      <c r="N54" s="5">
        <f t="shared" si="19"/>
        <v>0</v>
      </c>
      <c r="O54" s="13"/>
      <c r="P54" s="1">
        <f>SUM(OSRRefP22_9x_0)</f>
        <v>0</v>
      </c>
      <c r="Q54" s="1"/>
      <c r="R54" s="5">
        <f t="shared" si="20"/>
        <v>0</v>
      </c>
      <c r="S54" s="1"/>
      <c r="T54" s="1">
        <f>SUM(OSRRefT22_9x_0)</f>
        <v>0</v>
      </c>
      <c r="U54" s="1"/>
      <c r="V54" s="5">
        <f t="shared" si="21"/>
        <v>0</v>
      </c>
      <c r="W54" s="1"/>
      <c r="X54" s="1">
        <f t="shared" si="22"/>
        <v>0</v>
      </c>
      <c r="Y54" s="1"/>
      <c r="Z54" s="5">
        <f t="shared" si="23"/>
        <v>0</v>
      </c>
    </row>
    <row r="55" spans="1:26" s="24" customFormat="1" hidden="1" outlineLevel="2" x14ac:dyDescent="0.25">
      <c r="A55" s="25"/>
      <c r="B55" s="11" t="str">
        <f>CONCATENATE("          ", "6401", " - ", "INTEREST EXPENSE")</f>
        <v xml:space="preserve">          6401 - INTEREST EXPENSE</v>
      </c>
      <c r="C55" s="11"/>
      <c r="D55" s="6"/>
      <c r="E55" s="2"/>
      <c r="F55" s="7">
        <f t="shared" si="16"/>
        <v>0</v>
      </c>
      <c r="G55" s="2"/>
      <c r="H55" s="6">
        <v>0</v>
      </c>
      <c r="I55" s="2"/>
      <c r="J55" s="7">
        <f t="shared" si="17"/>
        <v>0</v>
      </c>
      <c r="K55" s="2"/>
      <c r="L55" s="6">
        <f t="shared" si="18"/>
        <v>0</v>
      </c>
      <c r="M55" s="2"/>
      <c r="N55" s="7">
        <f t="shared" si="19"/>
        <v>0</v>
      </c>
      <c r="O55" s="11"/>
      <c r="P55" s="6"/>
      <c r="Q55" s="2"/>
      <c r="R55" s="7">
        <f t="shared" si="20"/>
        <v>0</v>
      </c>
      <c r="S55" s="2"/>
      <c r="T55" s="6">
        <v>0</v>
      </c>
      <c r="U55" s="2"/>
      <c r="V55" s="7">
        <f t="shared" si="21"/>
        <v>0</v>
      </c>
      <c r="W55" s="2"/>
      <c r="X55" s="6">
        <f t="shared" si="22"/>
        <v>0</v>
      </c>
      <c r="Y55" s="2"/>
      <c r="Z55" s="7">
        <f t="shared" si="23"/>
        <v>0</v>
      </c>
    </row>
    <row r="56" spans="1:26" s="24" customFormat="1" hidden="1" outlineLevel="2" x14ac:dyDescent="0.25">
      <c r="A56" s="25"/>
      <c r="B56" s="11" t="str">
        <f>CONCATENATE("          ", "6402", " - ", "INTEREST EXPENSE BOND ISSUANCE")</f>
        <v xml:space="preserve">          6402 - INTEREST EXPENSE BOND ISSUANCE</v>
      </c>
      <c r="C56" s="11"/>
      <c r="D56" s="6"/>
      <c r="E56" s="2"/>
      <c r="F56" s="7">
        <f t="shared" si="16"/>
        <v>0</v>
      </c>
      <c r="G56" s="2"/>
      <c r="H56" s="6">
        <v>0</v>
      </c>
      <c r="I56" s="2"/>
      <c r="J56" s="7">
        <f t="shared" si="17"/>
        <v>0</v>
      </c>
      <c r="K56" s="2"/>
      <c r="L56" s="6">
        <f t="shared" si="18"/>
        <v>0</v>
      </c>
      <c r="M56" s="2"/>
      <c r="N56" s="7">
        <f t="shared" si="19"/>
        <v>0</v>
      </c>
      <c r="O56" s="11"/>
      <c r="P56" s="6"/>
      <c r="Q56" s="2"/>
      <c r="R56" s="7">
        <f t="shared" si="20"/>
        <v>0</v>
      </c>
      <c r="S56" s="2"/>
      <c r="T56" s="6">
        <v>0</v>
      </c>
      <c r="U56" s="2"/>
      <c r="V56" s="7">
        <f t="shared" si="21"/>
        <v>0</v>
      </c>
      <c r="W56" s="2"/>
      <c r="X56" s="6">
        <f t="shared" si="22"/>
        <v>0</v>
      </c>
      <c r="Y56" s="2"/>
      <c r="Z56" s="7">
        <f t="shared" si="23"/>
        <v>0</v>
      </c>
    </row>
    <row r="57" spans="1:26" s="24" customFormat="1" hidden="1" outlineLevel="2" x14ac:dyDescent="0.25">
      <c r="A57" s="25"/>
      <c r="B57" s="11" t="str">
        <f>CONCATENATE("          ", "6403", " - ", "INTEREST EXPENSE LEASE EQUIP")</f>
        <v xml:space="preserve">          6403 - INTEREST EXPENSE LEASE EQUIP</v>
      </c>
      <c r="C57" s="11"/>
      <c r="D57" s="6"/>
      <c r="E57" s="2"/>
      <c r="F57" s="7">
        <f t="shared" si="16"/>
        <v>0</v>
      </c>
      <c r="G57" s="2"/>
      <c r="H57" s="6">
        <v>0</v>
      </c>
      <c r="I57" s="2"/>
      <c r="J57" s="7">
        <f t="shared" si="17"/>
        <v>0</v>
      </c>
      <c r="K57" s="2"/>
      <c r="L57" s="6">
        <f t="shared" si="18"/>
        <v>0</v>
      </c>
      <c r="M57" s="2"/>
      <c r="N57" s="7">
        <f t="shared" si="19"/>
        <v>0</v>
      </c>
      <c r="O57" s="11"/>
      <c r="P57" s="6"/>
      <c r="Q57" s="2"/>
      <c r="R57" s="7">
        <f t="shared" si="20"/>
        <v>0</v>
      </c>
      <c r="S57" s="2"/>
      <c r="T57" s="6">
        <v>0</v>
      </c>
      <c r="U57" s="2"/>
      <c r="V57" s="7">
        <f t="shared" si="21"/>
        <v>0</v>
      </c>
      <c r="W57" s="2"/>
      <c r="X57" s="6">
        <f t="shared" si="22"/>
        <v>0</v>
      </c>
      <c r="Y57" s="2"/>
      <c r="Z57" s="7">
        <f t="shared" si="23"/>
        <v>0</v>
      </c>
    </row>
    <row r="58" spans="1:26" s="27" customFormat="1" outlineLevel="1" collapsed="1" x14ac:dyDescent="0.25">
      <c r="A58" s="26"/>
      <c r="B58" s="13" t="str">
        <f>CONCATENATE("     ","Professional Services                             ")</f>
        <v xml:space="preserve">     Professional Services                             </v>
      </c>
      <c r="C58" s="13"/>
      <c r="D58" s="1">
        <f>SUM(OSRRefD22_10x_0)</f>
        <v>0</v>
      </c>
      <c r="E58" s="1"/>
      <c r="F58" s="5">
        <f t="shared" ref="F58:F63" si="24">IF(D$12=0,0,D58/D$12)</f>
        <v>0</v>
      </c>
      <c r="G58" s="1"/>
      <c r="H58" s="1">
        <f>SUM(OSRRefH22_10x_0)</f>
        <v>100</v>
      </c>
      <c r="I58" s="1"/>
      <c r="J58" s="5">
        <f t="shared" ref="J58:J63" si="25">IF(H$12=0,0,H58/H$12)</f>
        <v>0</v>
      </c>
      <c r="K58" s="1"/>
      <c r="L58" s="1">
        <f t="shared" ref="L58:L63" si="26">+D58-H58</f>
        <v>-100</v>
      </c>
      <c r="M58" s="1"/>
      <c r="N58" s="5">
        <f t="shared" ref="N58:N63" si="27">IF(H58=0,0,L58/H58)</f>
        <v>-1</v>
      </c>
      <c r="O58" s="13"/>
      <c r="P58" s="1">
        <f>SUM(OSRRefP22_10x_0)</f>
        <v>82.5</v>
      </c>
      <c r="Q58" s="1"/>
      <c r="R58" s="5">
        <f t="shared" ref="R58:R63" si="28">IF(P$12=0,0,P58/P$12)</f>
        <v>0</v>
      </c>
      <c r="S58" s="1"/>
      <c r="T58" s="1">
        <f>SUM(OSRRefT22_10x_0)</f>
        <v>900</v>
      </c>
      <c r="U58" s="1"/>
      <c r="V58" s="5">
        <f t="shared" ref="V58:V63" si="29">IF(T$12=0,0,T58/T$12)</f>
        <v>0</v>
      </c>
      <c r="W58" s="1"/>
      <c r="X58" s="1">
        <f t="shared" ref="X58:X63" si="30">+P58-T58</f>
        <v>-817.5</v>
      </c>
      <c r="Y58" s="1"/>
      <c r="Z58" s="5">
        <f t="shared" ref="Z58:Z63" si="31">IF(T58=0,0,X58/T58)</f>
        <v>-0.90833333333333333</v>
      </c>
    </row>
    <row r="59" spans="1:26" s="24" customFormat="1" hidden="1" outlineLevel="2" x14ac:dyDescent="0.25">
      <c r="A59" s="25"/>
      <c r="B59" s="11" t="str">
        <f>CONCATENATE("          ", "6332", " - ", "CONSULTANT FEES")</f>
        <v xml:space="preserve">          6332 - CONSULTANT FEES</v>
      </c>
      <c r="C59" s="11"/>
      <c r="D59" s="6"/>
      <c r="E59" s="2"/>
      <c r="F59" s="7">
        <f t="shared" si="24"/>
        <v>0</v>
      </c>
      <c r="G59" s="2"/>
      <c r="H59" s="6">
        <v>100</v>
      </c>
      <c r="I59" s="2"/>
      <c r="J59" s="7">
        <f t="shared" si="25"/>
        <v>0</v>
      </c>
      <c r="K59" s="2"/>
      <c r="L59" s="6">
        <f t="shared" si="26"/>
        <v>-100</v>
      </c>
      <c r="M59" s="2"/>
      <c r="N59" s="7">
        <f t="shared" si="27"/>
        <v>-1</v>
      </c>
      <c r="O59" s="11"/>
      <c r="P59" s="6">
        <v>82.5</v>
      </c>
      <c r="Q59" s="2"/>
      <c r="R59" s="7">
        <f t="shared" si="28"/>
        <v>0</v>
      </c>
      <c r="S59" s="2"/>
      <c r="T59" s="6">
        <v>900</v>
      </c>
      <c r="U59" s="2"/>
      <c r="V59" s="7">
        <f t="shared" si="29"/>
        <v>0</v>
      </c>
      <c r="W59" s="2"/>
      <c r="X59" s="6">
        <f t="shared" si="30"/>
        <v>-817.5</v>
      </c>
      <c r="Y59" s="2"/>
      <c r="Z59" s="7">
        <f t="shared" si="31"/>
        <v>-0.90833333333333333</v>
      </c>
    </row>
    <row r="60" spans="1:26" s="27" customFormat="1" outlineLevel="1" collapsed="1" x14ac:dyDescent="0.25">
      <c r="A60" s="26"/>
      <c r="B60" s="13" t="str">
        <f>CONCATENATE("     ","Repair and Maintenance                            ")</f>
        <v xml:space="preserve">     Repair and Maintenance                            </v>
      </c>
      <c r="C60" s="13"/>
      <c r="D60" s="1">
        <f>SUM(OSRRefD22_11x_0)</f>
        <v>15087.16</v>
      </c>
      <c r="E60" s="1"/>
      <c r="F60" s="5">
        <f t="shared" si="24"/>
        <v>0</v>
      </c>
      <c r="G60" s="1"/>
      <c r="H60" s="1">
        <f>SUM(OSRRefH22_11x_0)</f>
        <v>11020</v>
      </c>
      <c r="I60" s="1"/>
      <c r="J60" s="5">
        <f t="shared" si="25"/>
        <v>0</v>
      </c>
      <c r="K60" s="1"/>
      <c r="L60" s="1">
        <f t="shared" si="26"/>
        <v>4067.16</v>
      </c>
      <c r="M60" s="1"/>
      <c r="N60" s="5">
        <f t="shared" si="27"/>
        <v>0.36907078039927405</v>
      </c>
      <c r="O60" s="13"/>
      <c r="P60" s="1">
        <f>SUM(OSRRefP22_11x_0)</f>
        <v>31793.9</v>
      </c>
      <c r="Q60" s="1"/>
      <c r="R60" s="5">
        <f t="shared" si="28"/>
        <v>0</v>
      </c>
      <c r="S60" s="1"/>
      <c r="T60" s="1">
        <f>SUM(OSRRefT22_11x_0)</f>
        <v>30660</v>
      </c>
      <c r="U60" s="1"/>
      <c r="V60" s="5">
        <f t="shared" si="29"/>
        <v>0</v>
      </c>
      <c r="W60" s="1"/>
      <c r="X60" s="1">
        <f t="shared" si="30"/>
        <v>1133.9000000000015</v>
      </c>
      <c r="Y60" s="1"/>
      <c r="Z60" s="5">
        <f t="shared" si="31"/>
        <v>3.6983039791259019E-2</v>
      </c>
    </row>
    <row r="61" spans="1:26" s="24" customFormat="1" hidden="1" outlineLevel="2" x14ac:dyDescent="0.25">
      <c r="A61" s="25"/>
      <c r="B61" s="11" t="str">
        <f>CONCATENATE("          ", "6371", " - ", "COMPUTER SOFTWARE MAINTENANCE")</f>
        <v xml:space="preserve">          6371 - COMPUTER SOFTWARE MAINTENANCE</v>
      </c>
      <c r="C61" s="11"/>
      <c r="D61" s="6">
        <v>14992.96</v>
      </c>
      <c r="E61" s="2"/>
      <c r="F61" s="7">
        <f t="shared" si="24"/>
        <v>0</v>
      </c>
      <c r="G61" s="2"/>
      <c r="H61" s="6">
        <v>11000</v>
      </c>
      <c r="I61" s="2"/>
      <c r="J61" s="7">
        <f t="shared" si="25"/>
        <v>0</v>
      </c>
      <c r="K61" s="2"/>
      <c r="L61" s="6">
        <f t="shared" si="26"/>
        <v>3992.9599999999991</v>
      </c>
      <c r="M61" s="2"/>
      <c r="N61" s="7">
        <f t="shared" si="27"/>
        <v>0.36299636363636356</v>
      </c>
      <c r="O61" s="11"/>
      <c r="P61" s="6">
        <v>26633.83</v>
      </c>
      <c r="Q61" s="2"/>
      <c r="R61" s="7">
        <f t="shared" si="28"/>
        <v>0</v>
      </c>
      <c r="S61" s="2"/>
      <c r="T61" s="6">
        <v>26000</v>
      </c>
      <c r="U61" s="2"/>
      <c r="V61" s="7">
        <f t="shared" si="29"/>
        <v>0</v>
      </c>
      <c r="W61" s="2"/>
      <c r="X61" s="6">
        <f t="shared" si="30"/>
        <v>633.83000000000175</v>
      </c>
      <c r="Y61" s="2"/>
      <c r="Z61" s="7">
        <f t="shared" si="31"/>
        <v>2.4378076923076992E-2</v>
      </c>
    </row>
    <row r="62" spans="1:26" s="24" customFormat="1" hidden="1" outlineLevel="2" x14ac:dyDescent="0.25">
      <c r="A62" s="25"/>
      <c r="B62" s="11" t="str">
        <f>CONCATENATE("          ", "6373", " - ", "MAINTENANCE CONTRACTS")</f>
        <v xml:space="preserve">          6373 - MAINTENANCE CONTRACTS</v>
      </c>
      <c r="C62" s="11"/>
      <c r="D62" s="6">
        <v>20.84</v>
      </c>
      <c r="E62" s="2"/>
      <c r="F62" s="7">
        <f t="shared" si="24"/>
        <v>0</v>
      </c>
      <c r="G62" s="2"/>
      <c r="H62" s="6">
        <v>20</v>
      </c>
      <c r="I62" s="2"/>
      <c r="J62" s="7">
        <f t="shared" si="25"/>
        <v>0</v>
      </c>
      <c r="K62" s="2"/>
      <c r="L62" s="6">
        <f t="shared" si="26"/>
        <v>0.83999999999999986</v>
      </c>
      <c r="M62" s="2"/>
      <c r="N62" s="7">
        <f t="shared" si="27"/>
        <v>4.1999999999999996E-2</v>
      </c>
      <c r="O62" s="11"/>
      <c r="P62" s="6">
        <v>4622.13</v>
      </c>
      <c r="Q62" s="2"/>
      <c r="R62" s="7">
        <f t="shared" si="28"/>
        <v>0</v>
      </c>
      <c r="S62" s="2"/>
      <c r="T62" s="6">
        <v>4660</v>
      </c>
      <c r="U62" s="2"/>
      <c r="V62" s="7">
        <f t="shared" si="29"/>
        <v>0</v>
      </c>
      <c r="W62" s="2"/>
      <c r="X62" s="6">
        <f t="shared" si="30"/>
        <v>-37.869999999999891</v>
      </c>
      <c r="Y62" s="2"/>
      <c r="Z62" s="7">
        <f t="shared" si="31"/>
        <v>-8.1266094420600621E-3</v>
      </c>
    </row>
    <row r="63" spans="1:26" s="24" customFormat="1" hidden="1" outlineLevel="2" x14ac:dyDescent="0.25">
      <c r="A63" s="25"/>
      <c r="B63" s="11" t="str">
        <f>CONCATENATE("          ", "6375", " - ", "OUTSIDE REPAIRS &amp; MAINTENANCE")</f>
        <v xml:space="preserve">          6375 - OUTSIDE REPAIRS &amp; MAINTENANCE</v>
      </c>
      <c r="C63" s="11"/>
      <c r="D63" s="6">
        <v>73.36</v>
      </c>
      <c r="E63" s="2"/>
      <c r="F63" s="7">
        <f t="shared" si="24"/>
        <v>0</v>
      </c>
      <c r="G63" s="2"/>
      <c r="H63" s="6"/>
      <c r="I63" s="2"/>
      <c r="J63" s="7">
        <f t="shared" si="25"/>
        <v>0</v>
      </c>
      <c r="K63" s="2"/>
      <c r="L63" s="6">
        <f t="shared" si="26"/>
        <v>73.36</v>
      </c>
      <c r="M63" s="2"/>
      <c r="N63" s="7">
        <f t="shared" si="27"/>
        <v>0</v>
      </c>
      <c r="O63" s="11"/>
      <c r="P63" s="6">
        <v>537.94000000000005</v>
      </c>
      <c r="Q63" s="2"/>
      <c r="R63" s="7">
        <f t="shared" si="28"/>
        <v>0</v>
      </c>
      <c r="S63" s="2"/>
      <c r="T63" s="6"/>
      <c r="U63" s="2"/>
      <c r="V63" s="7">
        <f t="shared" si="29"/>
        <v>0</v>
      </c>
      <c r="W63" s="2"/>
      <c r="X63" s="6">
        <f t="shared" si="30"/>
        <v>537.94000000000005</v>
      </c>
      <c r="Y63" s="2"/>
      <c r="Z63" s="7">
        <f t="shared" si="31"/>
        <v>0</v>
      </c>
    </row>
    <row r="64" spans="1:26" s="27" customFormat="1" outlineLevel="1" collapsed="1" x14ac:dyDescent="0.25">
      <c r="A64" s="26"/>
      <c r="B64" s="13" t="str">
        <f>CONCATENATE("     ","Services                                          ")</f>
        <v xml:space="preserve">     Services                                          </v>
      </c>
      <c r="C64" s="13"/>
      <c r="D64" s="1">
        <f>SUM(OSRRefD22_12x_0)</f>
        <v>0</v>
      </c>
      <c r="E64" s="1"/>
      <c r="F64" s="5">
        <f t="shared" ref="F64:F70" si="32">IF(D$12=0,0,D64/D$12)</f>
        <v>0</v>
      </c>
      <c r="G64" s="1"/>
      <c r="H64" s="1">
        <f>SUM(OSRRefH22_12x_0)</f>
        <v>600</v>
      </c>
      <c r="I64" s="1"/>
      <c r="J64" s="5">
        <f t="shared" ref="J64:J70" si="33">IF(H$12=0,0,H64/H$12)</f>
        <v>0</v>
      </c>
      <c r="K64" s="1"/>
      <c r="L64" s="1">
        <f t="shared" ref="L64:L70" si="34">+D64-H64</f>
        <v>-600</v>
      </c>
      <c r="M64" s="1"/>
      <c r="N64" s="5">
        <f t="shared" ref="N64:N70" si="35">IF(H64=0,0,L64/H64)</f>
        <v>-1</v>
      </c>
      <c r="O64" s="13"/>
      <c r="P64" s="1">
        <f>SUM(OSRRefP22_12x_0)</f>
        <v>9429.9699999999993</v>
      </c>
      <c r="Q64" s="1"/>
      <c r="R64" s="5">
        <f t="shared" ref="R64:R70" si="36">IF(P$12=0,0,P64/P$12)</f>
        <v>0</v>
      </c>
      <c r="S64" s="1"/>
      <c r="T64" s="1">
        <f>SUM(OSRRefT22_12x_0)</f>
        <v>5400</v>
      </c>
      <c r="U64" s="1"/>
      <c r="V64" s="5">
        <f t="shared" ref="V64:V70" si="37">IF(T$12=0,0,T64/T$12)</f>
        <v>0</v>
      </c>
      <c r="W64" s="1"/>
      <c r="X64" s="1">
        <f t="shared" ref="X64:X70" si="38">+P64-T64</f>
        <v>4029.9699999999993</v>
      </c>
      <c r="Y64" s="1"/>
      <c r="Z64" s="5">
        <f t="shared" ref="Z64:Z70" si="39">IF(T64=0,0,X64/T64)</f>
        <v>0.74629074074074064</v>
      </c>
    </row>
    <row r="65" spans="1:26" s="24" customFormat="1" hidden="1" outlineLevel="2" x14ac:dyDescent="0.25">
      <c r="A65" s="25"/>
      <c r="B65" s="11" t="str">
        <f>CONCATENATE("          ", "6281", " - ", "STORAGE FEE")</f>
        <v xml:space="preserve">          6281 - STORAGE FEE</v>
      </c>
      <c r="C65" s="11"/>
      <c r="D65" s="6"/>
      <c r="E65" s="2"/>
      <c r="F65" s="7">
        <f t="shared" si="32"/>
        <v>0</v>
      </c>
      <c r="G65" s="2"/>
      <c r="H65" s="6">
        <v>600</v>
      </c>
      <c r="I65" s="2"/>
      <c r="J65" s="7">
        <f t="shared" si="33"/>
        <v>0</v>
      </c>
      <c r="K65" s="2"/>
      <c r="L65" s="6">
        <f t="shared" si="34"/>
        <v>-600</v>
      </c>
      <c r="M65" s="2"/>
      <c r="N65" s="7">
        <f t="shared" si="35"/>
        <v>-1</v>
      </c>
      <c r="O65" s="11"/>
      <c r="P65" s="6">
        <v>9429.9699999999993</v>
      </c>
      <c r="Q65" s="2"/>
      <c r="R65" s="7">
        <f t="shared" si="36"/>
        <v>0</v>
      </c>
      <c r="S65" s="2"/>
      <c r="T65" s="6">
        <v>5400</v>
      </c>
      <c r="U65" s="2"/>
      <c r="V65" s="7">
        <f t="shared" si="37"/>
        <v>0</v>
      </c>
      <c r="W65" s="2"/>
      <c r="X65" s="6">
        <f t="shared" si="38"/>
        <v>4029.9699999999993</v>
      </c>
      <c r="Y65" s="2"/>
      <c r="Z65" s="7">
        <f t="shared" si="39"/>
        <v>0.74629074074074064</v>
      </c>
    </row>
    <row r="66" spans="1:26" s="27" customFormat="1" outlineLevel="1" collapsed="1" x14ac:dyDescent="0.25">
      <c r="A66" s="26"/>
      <c r="B66" s="13" t="str">
        <f>CONCATENATE("     ","Subscriptions &amp; Dues                              ")</f>
        <v xml:space="preserve">     Subscriptions &amp; Dues                              </v>
      </c>
      <c r="C66" s="13"/>
      <c r="D66" s="1">
        <f>SUM(OSRRefD22_13x_0)</f>
        <v>0</v>
      </c>
      <c r="E66" s="1"/>
      <c r="F66" s="5">
        <f t="shared" si="32"/>
        <v>0</v>
      </c>
      <c r="G66" s="1"/>
      <c r="H66" s="1">
        <f>SUM(OSRRefH22_13x_0)</f>
        <v>0</v>
      </c>
      <c r="I66" s="1"/>
      <c r="J66" s="5">
        <f t="shared" si="33"/>
        <v>0</v>
      </c>
      <c r="K66" s="1"/>
      <c r="L66" s="1">
        <f t="shared" si="34"/>
        <v>0</v>
      </c>
      <c r="M66" s="1"/>
      <c r="N66" s="5">
        <f t="shared" si="35"/>
        <v>0</v>
      </c>
      <c r="O66" s="13"/>
      <c r="P66" s="1">
        <f>SUM(OSRRefP22_13x_0)</f>
        <v>39</v>
      </c>
      <c r="Q66" s="1"/>
      <c r="R66" s="5">
        <f t="shared" si="36"/>
        <v>0</v>
      </c>
      <c r="S66" s="1"/>
      <c r="T66" s="1">
        <f>SUM(OSRRefT22_13x_0)</f>
        <v>0</v>
      </c>
      <c r="U66" s="1"/>
      <c r="V66" s="5">
        <f t="shared" si="37"/>
        <v>0</v>
      </c>
      <c r="W66" s="1"/>
      <c r="X66" s="1">
        <f t="shared" si="38"/>
        <v>39</v>
      </c>
      <c r="Y66" s="1"/>
      <c r="Z66" s="5">
        <f t="shared" si="39"/>
        <v>0</v>
      </c>
    </row>
    <row r="67" spans="1:26" s="24" customFormat="1" hidden="1" outlineLevel="2" x14ac:dyDescent="0.25">
      <c r="A67" s="25"/>
      <c r="B67" s="11" t="str">
        <f>CONCATENATE("          ", "6258", " - ", "MEMBERSHIP DUES")</f>
        <v xml:space="preserve">          6258 - MEMBERSHIP DUES</v>
      </c>
      <c r="C67" s="11"/>
      <c r="D67" s="6"/>
      <c r="E67" s="2"/>
      <c r="F67" s="7">
        <f t="shared" si="32"/>
        <v>0</v>
      </c>
      <c r="G67" s="2"/>
      <c r="H67" s="6"/>
      <c r="I67" s="2"/>
      <c r="J67" s="7">
        <f t="shared" si="33"/>
        <v>0</v>
      </c>
      <c r="K67" s="2"/>
      <c r="L67" s="6">
        <f t="shared" si="34"/>
        <v>0</v>
      </c>
      <c r="M67" s="2"/>
      <c r="N67" s="7">
        <f t="shared" si="35"/>
        <v>0</v>
      </c>
      <c r="O67" s="11"/>
      <c r="P67" s="6">
        <v>39</v>
      </c>
      <c r="Q67" s="2"/>
      <c r="R67" s="7">
        <f t="shared" si="36"/>
        <v>0</v>
      </c>
      <c r="S67" s="2"/>
      <c r="T67" s="6"/>
      <c r="U67" s="2"/>
      <c r="V67" s="7">
        <f t="shared" si="37"/>
        <v>0</v>
      </c>
      <c r="W67" s="2"/>
      <c r="X67" s="6">
        <f t="shared" si="38"/>
        <v>39</v>
      </c>
      <c r="Y67" s="2"/>
      <c r="Z67" s="7">
        <f t="shared" si="39"/>
        <v>0</v>
      </c>
    </row>
    <row r="68" spans="1:26" s="27" customFormat="1" outlineLevel="1" collapsed="1" x14ac:dyDescent="0.25">
      <c r="A68" s="26"/>
      <c r="B68" s="13" t="str">
        <f>CONCATENATE("     ","Supplies                                          ")</f>
        <v xml:space="preserve">     Supplies                                          </v>
      </c>
      <c r="C68" s="13"/>
      <c r="D68" s="1">
        <f>SUM(OSRRefD22_14x_0)</f>
        <v>679.46</v>
      </c>
      <c r="E68" s="1"/>
      <c r="F68" s="5">
        <f t="shared" si="32"/>
        <v>0</v>
      </c>
      <c r="G68" s="1"/>
      <c r="H68" s="1">
        <f>SUM(OSRRefH22_14x_0)</f>
        <v>300</v>
      </c>
      <c r="I68" s="1"/>
      <c r="J68" s="5">
        <f t="shared" si="33"/>
        <v>0</v>
      </c>
      <c r="K68" s="1"/>
      <c r="L68" s="1">
        <f t="shared" si="34"/>
        <v>379.46000000000004</v>
      </c>
      <c r="M68" s="1"/>
      <c r="N68" s="5">
        <f t="shared" si="35"/>
        <v>1.2648666666666668</v>
      </c>
      <c r="O68" s="13"/>
      <c r="P68" s="1">
        <f>SUM(OSRRefP22_14x_0)</f>
        <v>6074.12</v>
      </c>
      <c r="Q68" s="1"/>
      <c r="R68" s="5">
        <f t="shared" si="36"/>
        <v>0</v>
      </c>
      <c r="S68" s="1"/>
      <c r="T68" s="1">
        <f>SUM(OSRRefT22_14x_0)</f>
        <v>2350</v>
      </c>
      <c r="U68" s="1"/>
      <c r="V68" s="5">
        <f t="shared" si="37"/>
        <v>0</v>
      </c>
      <c r="W68" s="1"/>
      <c r="X68" s="1">
        <f t="shared" si="38"/>
        <v>3724.12</v>
      </c>
      <c r="Y68" s="1"/>
      <c r="Z68" s="5">
        <f t="shared" si="39"/>
        <v>1.584731914893617</v>
      </c>
    </row>
    <row r="69" spans="1:26" s="24" customFormat="1" hidden="1" outlineLevel="2" x14ac:dyDescent="0.25">
      <c r="A69" s="25"/>
      <c r="B69" s="11" t="str">
        <f>CONCATENATE("          ", "6241", " - ", "OFFICE EXPENSE")</f>
        <v xml:space="preserve">          6241 - OFFICE EXPENSE</v>
      </c>
      <c r="C69" s="11"/>
      <c r="D69" s="6">
        <v>679.46</v>
      </c>
      <c r="E69" s="2"/>
      <c r="F69" s="7">
        <f t="shared" si="32"/>
        <v>0</v>
      </c>
      <c r="G69" s="2"/>
      <c r="H69" s="6">
        <v>300</v>
      </c>
      <c r="I69" s="2"/>
      <c r="J69" s="7">
        <f t="shared" si="33"/>
        <v>0</v>
      </c>
      <c r="K69" s="2"/>
      <c r="L69" s="6">
        <f t="shared" si="34"/>
        <v>379.46000000000004</v>
      </c>
      <c r="M69" s="2"/>
      <c r="N69" s="7">
        <f t="shared" si="35"/>
        <v>1.2648666666666668</v>
      </c>
      <c r="O69" s="11"/>
      <c r="P69" s="6">
        <v>5411.21</v>
      </c>
      <c r="Q69" s="2"/>
      <c r="R69" s="7">
        <f t="shared" si="36"/>
        <v>0</v>
      </c>
      <c r="S69" s="2"/>
      <c r="T69" s="6">
        <v>2350</v>
      </c>
      <c r="U69" s="2"/>
      <c r="V69" s="7">
        <f t="shared" si="37"/>
        <v>0</v>
      </c>
      <c r="W69" s="2"/>
      <c r="X69" s="6">
        <f t="shared" si="38"/>
        <v>3061.21</v>
      </c>
      <c r="Y69" s="2"/>
      <c r="Z69" s="7">
        <f t="shared" si="39"/>
        <v>1.3026425531914894</v>
      </c>
    </row>
    <row r="70" spans="1:26" s="24" customFormat="1" hidden="1" outlineLevel="2" x14ac:dyDescent="0.25">
      <c r="A70" s="25"/>
      <c r="B70" s="11" t="str">
        <f>CONCATENATE("          ", "6245", " - ", "PRINTING")</f>
        <v xml:space="preserve">          6245 - PRINTING</v>
      </c>
      <c r="C70" s="11"/>
      <c r="D70" s="6"/>
      <c r="E70" s="2"/>
      <c r="F70" s="7">
        <f t="shared" si="32"/>
        <v>0</v>
      </c>
      <c r="G70" s="2"/>
      <c r="H70" s="6"/>
      <c r="I70" s="2"/>
      <c r="J70" s="7">
        <f t="shared" si="33"/>
        <v>0</v>
      </c>
      <c r="K70" s="2"/>
      <c r="L70" s="6">
        <f t="shared" si="34"/>
        <v>0</v>
      </c>
      <c r="M70" s="2"/>
      <c r="N70" s="7">
        <f t="shared" si="35"/>
        <v>0</v>
      </c>
      <c r="O70" s="11"/>
      <c r="P70" s="6">
        <v>662.91</v>
      </c>
      <c r="Q70" s="2"/>
      <c r="R70" s="7">
        <f t="shared" si="36"/>
        <v>0</v>
      </c>
      <c r="S70" s="2"/>
      <c r="T70" s="6"/>
      <c r="U70" s="2"/>
      <c r="V70" s="7">
        <f t="shared" si="37"/>
        <v>0</v>
      </c>
      <c r="W70" s="2"/>
      <c r="X70" s="6">
        <f t="shared" si="38"/>
        <v>662.91</v>
      </c>
      <c r="Y70" s="2"/>
      <c r="Z70" s="7">
        <f t="shared" si="39"/>
        <v>0</v>
      </c>
    </row>
    <row r="71" spans="1:26" s="27" customFormat="1" outlineLevel="1" collapsed="1" x14ac:dyDescent="0.25">
      <c r="A71" s="26"/>
      <c r="B71" s="13" t="str">
        <f>CONCATENATE("     ","Telephone/Data Lines                              ")</f>
        <v xml:space="preserve">     Telephone/Data Lines                              </v>
      </c>
      <c r="C71" s="13"/>
      <c r="D71" s="1">
        <f>SUM(OSRRefD22_15x_0)</f>
        <v>417.15</v>
      </c>
      <c r="E71" s="1"/>
      <c r="F71" s="5">
        <f t="shared" ref="F71:F74" si="40">IF(D$12=0,0,D71/D$12)</f>
        <v>0</v>
      </c>
      <c r="G71" s="1"/>
      <c r="H71" s="1">
        <f>SUM(OSRRefH22_15x_0)</f>
        <v>375</v>
      </c>
      <c r="I71" s="1"/>
      <c r="J71" s="5">
        <f t="shared" ref="J71:J74" si="41">IF(H$12=0,0,H71/H$12)</f>
        <v>0</v>
      </c>
      <c r="K71" s="1"/>
      <c r="L71" s="1">
        <f t="shared" ref="L71:L74" si="42">+D71-H71</f>
        <v>42.149999999999977</v>
      </c>
      <c r="M71" s="1"/>
      <c r="N71" s="5">
        <f t="shared" ref="N71:N74" si="43">IF(H71=0,0,L71/H71)</f>
        <v>0.11239999999999994</v>
      </c>
      <c r="O71" s="13"/>
      <c r="P71" s="1">
        <f>SUM(OSRRefP22_15x_0)</f>
        <v>3696.19</v>
      </c>
      <c r="Q71" s="1"/>
      <c r="R71" s="5">
        <f t="shared" ref="R71:R74" si="44">IF(P$12=0,0,P71/P$12)</f>
        <v>0</v>
      </c>
      <c r="S71" s="1"/>
      <c r="T71" s="1">
        <f>SUM(OSRRefT22_15x_0)</f>
        <v>3375</v>
      </c>
      <c r="U71" s="1"/>
      <c r="V71" s="5">
        <f t="shared" ref="V71:V74" si="45">IF(T$12=0,0,T71/T$12)</f>
        <v>0</v>
      </c>
      <c r="W71" s="1"/>
      <c r="X71" s="1">
        <f t="shared" ref="X71:X74" si="46">+P71-T71</f>
        <v>321.19000000000005</v>
      </c>
      <c r="Y71" s="1"/>
      <c r="Z71" s="5">
        <f t="shared" ref="Z71:Z74" si="47">IF(T71=0,0,X71/T71)</f>
        <v>9.5167407407407423E-2</v>
      </c>
    </row>
    <row r="72" spans="1:26" s="24" customFormat="1" hidden="1" outlineLevel="2" x14ac:dyDescent="0.25">
      <c r="A72" s="25"/>
      <c r="B72" s="11" t="str">
        <f>CONCATENATE("          ", "6309", " - ", "TELEPHONE")</f>
        <v xml:space="preserve">          6309 - TELEPHONE</v>
      </c>
      <c r="C72" s="11"/>
      <c r="D72" s="6">
        <v>417.15</v>
      </c>
      <c r="E72" s="2"/>
      <c r="F72" s="7">
        <f t="shared" si="40"/>
        <v>0</v>
      </c>
      <c r="G72" s="2"/>
      <c r="H72" s="6">
        <v>375</v>
      </c>
      <c r="I72" s="2"/>
      <c r="J72" s="7">
        <f t="shared" si="41"/>
        <v>0</v>
      </c>
      <c r="K72" s="2"/>
      <c r="L72" s="6">
        <f t="shared" si="42"/>
        <v>42.149999999999977</v>
      </c>
      <c r="M72" s="2"/>
      <c r="N72" s="7">
        <f t="shared" si="43"/>
        <v>0.11239999999999994</v>
      </c>
      <c r="O72" s="11"/>
      <c r="P72" s="6">
        <v>3696.19</v>
      </c>
      <c r="Q72" s="2"/>
      <c r="R72" s="7">
        <f t="shared" si="44"/>
        <v>0</v>
      </c>
      <c r="S72" s="2"/>
      <c r="T72" s="6">
        <v>3375</v>
      </c>
      <c r="U72" s="2"/>
      <c r="V72" s="7">
        <f t="shared" si="45"/>
        <v>0</v>
      </c>
      <c r="W72" s="2"/>
      <c r="X72" s="6">
        <f t="shared" si="46"/>
        <v>321.19000000000005</v>
      </c>
      <c r="Y72" s="2"/>
      <c r="Z72" s="7">
        <f t="shared" si="47"/>
        <v>9.5167407407407423E-2</v>
      </c>
    </row>
    <row r="73" spans="1:26" s="27" customFormat="1" outlineLevel="1" collapsed="1" x14ac:dyDescent="0.25">
      <c r="A73" s="26"/>
      <c r="B73" s="13" t="str">
        <f>CONCATENATE("     ","Training                                          ")</f>
        <v xml:space="preserve">     Training                                          </v>
      </c>
      <c r="C73" s="13"/>
      <c r="D73" s="1">
        <f>SUM(OSRRefD22_16x_0)</f>
        <v>0</v>
      </c>
      <c r="E73" s="1"/>
      <c r="F73" s="5">
        <f t="shared" si="40"/>
        <v>0</v>
      </c>
      <c r="G73" s="1"/>
      <c r="H73" s="1">
        <f>SUM(OSRRefH22_16x_0)</f>
        <v>583</v>
      </c>
      <c r="I73" s="1"/>
      <c r="J73" s="5">
        <f t="shared" si="41"/>
        <v>0</v>
      </c>
      <c r="K73" s="1"/>
      <c r="L73" s="1">
        <f t="shared" si="42"/>
        <v>-583</v>
      </c>
      <c r="M73" s="1"/>
      <c r="N73" s="5">
        <f t="shared" si="43"/>
        <v>-1</v>
      </c>
      <c r="O73" s="13"/>
      <c r="P73" s="1">
        <f>SUM(OSRRefP22_16x_0)</f>
        <v>400.18</v>
      </c>
      <c r="Q73" s="1"/>
      <c r="R73" s="5">
        <f t="shared" si="44"/>
        <v>0</v>
      </c>
      <c r="S73" s="1"/>
      <c r="T73" s="1">
        <f>SUM(OSRRefT22_16x_0)</f>
        <v>5247</v>
      </c>
      <c r="U73" s="1"/>
      <c r="V73" s="5">
        <f t="shared" si="45"/>
        <v>0</v>
      </c>
      <c r="W73" s="1"/>
      <c r="X73" s="1">
        <f t="shared" si="46"/>
        <v>-4846.82</v>
      </c>
      <c r="Y73" s="1"/>
      <c r="Z73" s="5">
        <f t="shared" si="47"/>
        <v>-0.92373165618448627</v>
      </c>
    </row>
    <row r="74" spans="1:26" s="24" customFormat="1" hidden="1" outlineLevel="2" x14ac:dyDescent="0.25">
      <c r="A74" s="25"/>
      <c r="B74" s="11" t="str">
        <f>CONCATENATE("          ", "6376", " - ", "TRAINING")</f>
        <v xml:space="preserve">          6376 - TRAINING</v>
      </c>
      <c r="C74" s="11"/>
      <c r="D74" s="6"/>
      <c r="E74" s="2"/>
      <c r="F74" s="7">
        <f t="shared" si="40"/>
        <v>0</v>
      </c>
      <c r="G74" s="2"/>
      <c r="H74" s="6">
        <v>583</v>
      </c>
      <c r="I74" s="2"/>
      <c r="J74" s="7">
        <f t="shared" si="41"/>
        <v>0</v>
      </c>
      <c r="K74" s="2"/>
      <c r="L74" s="6">
        <f t="shared" si="42"/>
        <v>-583</v>
      </c>
      <c r="M74" s="2"/>
      <c r="N74" s="7">
        <f t="shared" si="43"/>
        <v>-1</v>
      </c>
      <c r="O74" s="11"/>
      <c r="P74" s="6">
        <v>400.18</v>
      </c>
      <c r="Q74" s="2"/>
      <c r="R74" s="7">
        <f t="shared" si="44"/>
        <v>0</v>
      </c>
      <c r="S74" s="2"/>
      <c r="T74" s="6">
        <v>5247</v>
      </c>
      <c r="U74" s="2"/>
      <c r="V74" s="7">
        <f t="shared" si="45"/>
        <v>0</v>
      </c>
      <c r="W74" s="2"/>
      <c r="X74" s="6">
        <f t="shared" si="46"/>
        <v>-4846.82</v>
      </c>
      <c r="Y74" s="2"/>
      <c r="Z74" s="7">
        <f t="shared" si="47"/>
        <v>-0.92373165618448627</v>
      </c>
    </row>
    <row r="75" spans="1:26" s="56" customFormat="1" x14ac:dyDescent="0.2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9" t="s">
        <v>0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8" t="s">
        <v>3</v>
      </c>
      <c r="C78" s="28"/>
      <c r="D78" s="20">
        <f>+D16-D18+D76</f>
        <v>-79652.860000000015</v>
      </c>
      <c r="E78" s="14"/>
      <c r="F78" s="22">
        <f>IF(D$12=0,0,D78/D$12)</f>
        <v>0</v>
      </c>
      <c r="G78" s="14"/>
      <c r="H78" s="20">
        <f>+H16-H18+H76</f>
        <v>-60650.188613846098</v>
      </c>
      <c r="I78" s="14"/>
      <c r="J78" s="22">
        <f>IF(H$12=0,0,H78/H$12)</f>
        <v>0</v>
      </c>
      <c r="K78" s="16"/>
      <c r="L78" s="20">
        <f>+D78-H78</f>
        <v>-19002.671386153917</v>
      </c>
      <c r="M78" s="16"/>
      <c r="N78" s="22">
        <f>IF(H78=0,0,L78/H78)</f>
        <v>0.31331594872922974</v>
      </c>
      <c r="O78" s="29"/>
      <c r="P78" s="20">
        <f>+P16-P18+P76</f>
        <v>-513639.52999999997</v>
      </c>
      <c r="Q78" s="14"/>
      <c r="R78" s="22">
        <f>IF(P$12=0,0,P78/P$12)</f>
        <v>0</v>
      </c>
      <c r="S78" s="14"/>
      <c r="T78" s="20">
        <f>+T16-T18+T76</f>
        <v>-505235.95350999973</v>
      </c>
      <c r="U78" s="14"/>
      <c r="V78" s="22">
        <f>IF(T$12=0,0,T78/T$12)</f>
        <v>0</v>
      </c>
      <c r="W78" s="16"/>
      <c r="X78" s="20">
        <f>+P78-T78</f>
        <v>-8403.5764900002396</v>
      </c>
      <c r="Y78" s="16"/>
      <c r="Z78" s="22">
        <f>IF(T78=0,0,X78/T78)</f>
        <v>1.6632974022570059E-2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2"/>
      <c r="B80" s="10" t="s">
        <v>14</v>
      </c>
      <c r="C80" s="10"/>
      <c r="D80" s="4"/>
      <c r="E80" s="4"/>
      <c r="F80" s="12">
        <f>IF(D$12=0,0,D80/D$12)</f>
        <v>0</v>
      </c>
      <c r="G80" s="4"/>
      <c r="H80" s="4"/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/>
      <c r="Q80" s="4"/>
      <c r="R80" s="12">
        <f>IF(P$12=0,0,P80/P$12)</f>
        <v>0</v>
      </c>
      <c r="S80" s="4"/>
      <c r="T80" s="4"/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8" t="s">
        <v>4</v>
      </c>
      <c r="C82" s="28"/>
      <c r="D82" s="31">
        <f>+D78-D80</f>
        <v>-79652.860000000015</v>
      </c>
      <c r="E82" s="14"/>
      <c r="F82" s="34">
        <f>IF(D$12=0,0,D82/D$12)</f>
        <v>0</v>
      </c>
      <c r="G82" s="14"/>
      <c r="H82" s="31">
        <f>+H78-H80</f>
        <v>-60650.188613846098</v>
      </c>
      <c r="I82" s="14"/>
      <c r="J82" s="34">
        <f>IF(H$12=0,0,H82/H$12)</f>
        <v>0</v>
      </c>
      <c r="K82" s="16"/>
      <c r="L82" s="31">
        <f>D82-H82</f>
        <v>-19002.671386153917</v>
      </c>
      <c r="M82" s="16"/>
      <c r="N82" s="34">
        <f>IF(H82=0,0,L82/H82)</f>
        <v>0.31331594872922974</v>
      </c>
      <c r="O82" s="29"/>
      <c r="P82" s="31">
        <f>+P78-P80</f>
        <v>-513639.52999999997</v>
      </c>
      <c r="Q82" s="14"/>
      <c r="R82" s="34">
        <f>IF(P$12=0,0,P82/P$12)</f>
        <v>0</v>
      </c>
      <c r="S82" s="14"/>
      <c r="T82" s="31">
        <f>+T78-T80</f>
        <v>-505235.95350999973</v>
      </c>
      <c r="U82" s="14"/>
      <c r="V82" s="34">
        <f>IF(T$12=0,0,T82/T$12)</f>
        <v>0</v>
      </c>
      <c r="W82" s="16"/>
      <c r="X82" s="31">
        <f>P82-T82</f>
        <v>-8403.5764900002396</v>
      </c>
      <c r="Y82" s="16"/>
      <c r="Z82" s="34">
        <f>IF(T82=0,0,X82/T82)</f>
        <v>1.6632974022570059E-2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8" t="s">
        <v>5</v>
      </c>
      <c r="C85" s="28"/>
      <c r="D85" s="32">
        <f>SUM(D82:D84)</f>
        <v>-79652.860000000015</v>
      </c>
      <c r="E85" s="14"/>
      <c r="F85" s="35">
        <f>IF(D$12=0,0,D85/D$12)</f>
        <v>0</v>
      </c>
      <c r="G85" s="14"/>
      <c r="H85" s="32">
        <f>SUM(H82:H84)</f>
        <v>-60650.188613846098</v>
      </c>
      <c r="I85" s="14"/>
      <c r="J85" s="35">
        <f>IF(H$12=0,0,H85/H$12)</f>
        <v>0</v>
      </c>
      <c r="K85" s="16"/>
      <c r="L85" s="32">
        <f>+D85-H85</f>
        <v>-19002.671386153917</v>
      </c>
      <c r="M85" s="16"/>
      <c r="N85" s="35">
        <f>IF(H85=0,0,L85/H85)</f>
        <v>0.31331594872922974</v>
      </c>
      <c r="O85" s="29"/>
      <c r="P85" s="32">
        <f>SUM(P82:P84)</f>
        <v>-513639.52999999997</v>
      </c>
      <c r="Q85" s="14"/>
      <c r="R85" s="35">
        <f>IF(P$12=0,0,P85/P$12)</f>
        <v>0</v>
      </c>
      <c r="S85" s="14"/>
      <c r="T85" s="32">
        <f>SUM(T82:T84)</f>
        <v>-505235.95350999973</v>
      </c>
      <c r="U85" s="14"/>
      <c r="V85" s="35">
        <f>IF(T$12=0,0,T85/T$12)</f>
        <v>0</v>
      </c>
      <c r="W85" s="16"/>
      <c r="X85" s="32">
        <f>+P85-T85</f>
        <v>-8403.5764900002396</v>
      </c>
      <c r="Y85" s="16"/>
      <c r="Z85" s="35">
        <f>IF(T85=0,0,X85/T85)</f>
        <v>1.6632974022570059E-2</v>
      </c>
    </row>
    <row r="86" spans="1:26" ht="15.75" thickTop="1" x14ac:dyDescent="0.25">
      <c r="A86" s="9"/>
      <c r="C86" s="9"/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A87" s="9"/>
      <c r="B87" s="57">
        <v>43934.466181481483</v>
      </c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A88" s="9"/>
      <c r="B88" s="62" t="s">
        <v>314</v>
      </c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60"/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","203", " - ", "Human Resources")</f>
        <v>Department 203 - Human Resources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101936.90000000001</v>
      </c>
      <c r="E18" s="21"/>
      <c r="F18" s="30">
        <f t="shared" ref="F18:F29" si="0">IF(D$12=0,0,D18/D$12)</f>
        <v>0</v>
      </c>
      <c r="G18" s="21"/>
      <c r="H18" s="21">
        <f>SUM(OSRRefH22x_0)</f>
        <v>62111.270203673834</v>
      </c>
      <c r="I18" s="21"/>
      <c r="J18" s="30">
        <f t="shared" ref="J18:J29" si="1">IF(H$12=0,0,H18/H$12)</f>
        <v>0</v>
      </c>
      <c r="K18" s="4"/>
      <c r="L18" s="21">
        <f t="shared" ref="L18:L29" si="2">+D18-H18</f>
        <v>39825.629796326175</v>
      </c>
      <c r="M18" s="4"/>
      <c r="N18" s="30">
        <f t="shared" ref="N18:N29" si="3">IF(H18=0,0,L18/H18)</f>
        <v>0.64119812178580304</v>
      </c>
      <c r="O18" s="10"/>
      <c r="P18" s="21">
        <f>SUM(OSRRefP22x_0)</f>
        <v>645933.95000000007</v>
      </c>
      <c r="Q18" s="21"/>
      <c r="R18" s="30">
        <f t="shared" ref="R18:R29" si="4">IF(P$12=0,0,P18/P$12)</f>
        <v>0</v>
      </c>
      <c r="S18" s="21"/>
      <c r="T18" s="21">
        <f>SUM(OSRRefT22x_0)</f>
        <v>550753.54082616151</v>
      </c>
      <c r="U18" s="21"/>
      <c r="V18" s="30">
        <f t="shared" ref="V18:V29" si="5">IF(T$12=0,0,T18/T$12)</f>
        <v>0</v>
      </c>
      <c r="W18" s="4"/>
      <c r="X18" s="21">
        <f t="shared" ref="X18:X29" si="6">+P18-T18</f>
        <v>95180.409173838561</v>
      </c>
      <c r="Y18" s="4"/>
      <c r="Z18" s="30">
        <f t="shared" ref="Z18:Z29" si="7">IF(T18=0,0,X18/T18)</f>
        <v>0.17281851521292546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19502.84</v>
      </c>
      <c r="E19" s="1"/>
      <c r="F19" s="5">
        <f t="shared" si="0"/>
        <v>0</v>
      </c>
      <c r="G19" s="1"/>
      <c r="H19" s="1">
        <f>SUM(OSRRefH22_0x_0)</f>
        <v>10034.688480596915</v>
      </c>
      <c r="I19" s="1"/>
      <c r="J19" s="5">
        <f t="shared" si="1"/>
        <v>0</v>
      </c>
      <c r="K19" s="1"/>
      <c r="L19" s="1">
        <f t="shared" si="2"/>
        <v>9468.1515194030853</v>
      </c>
      <c r="M19" s="1"/>
      <c r="N19" s="5">
        <f t="shared" si="3"/>
        <v>0.94354214759239552</v>
      </c>
      <c r="O19" s="13"/>
      <c r="P19" s="1">
        <f>SUM(OSRRefP22_0x_0)</f>
        <v>130481.32</v>
      </c>
      <c r="Q19" s="1"/>
      <c r="R19" s="5">
        <f t="shared" si="4"/>
        <v>0</v>
      </c>
      <c r="S19" s="1"/>
      <c r="T19" s="1">
        <f>SUM(OSRRefT22_0x_0)</f>
        <v>96925.142826161507</v>
      </c>
      <c r="U19" s="1"/>
      <c r="V19" s="5">
        <f t="shared" si="5"/>
        <v>0</v>
      </c>
      <c r="W19" s="1"/>
      <c r="X19" s="1">
        <f t="shared" si="6"/>
        <v>33556.1771738385</v>
      </c>
      <c r="Y19" s="1"/>
      <c r="Z19" s="5">
        <f t="shared" si="7"/>
        <v>0.34620714703534283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2997.25</v>
      </c>
      <c r="E20" s="2"/>
      <c r="F20" s="7">
        <f t="shared" si="0"/>
        <v>0</v>
      </c>
      <c r="G20" s="2"/>
      <c r="H20" s="6">
        <v>1285.4190258276901</v>
      </c>
      <c r="I20" s="2"/>
      <c r="J20" s="7">
        <f t="shared" si="1"/>
        <v>0</v>
      </c>
      <c r="K20" s="2"/>
      <c r="L20" s="6">
        <f t="shared" si="2"/>
        <v>1711.8309741723099</v>
      </c>
      <c r="M20" s="2"/>
      <c r="N20" s="7">
        <f t="shared" si="3"/>
        <v>1.3317299182420692</v>
      </c>
      <c r="O20" s="11"/>
      <c r="P20" s="6">
        <v>19897.27</v>
      </c>
      <c r="Q20" s="2"/>
      <c r="R20" s="7">
        <f t="shared" si="4"/>
        <v>0</v>
      </c>
      <c r="S20" s="2"/>
      <c r="T20" s="6">
        <v>12701.8440477</v>
      </c>
      <c r="U20" s="2"/>
      <c r="V20" s="7">
        <f t="shared" si="5"/>
        <v>0</v>
      </c>
      <c r="W20" s="2"/>
      <c r="X20" s="6">
        <f t="shared" si="6"/>
        <v>7195.4259523000001</v>
      </c>
      <c r="Y20" s="2"/>
      <c r="Z20" s="7">
        <f t="shared" si="7"/>
        <v>0.5664867184070741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134.43</v>
      </c>
      <c r="E21" s="2"/>
      <c r="F21" s="7">
        <f t="shared" si="0"/>
        <v>0</v>
      </c>
      <c r="G21" s="2"/>
      <c r="H21" s="6">
        <v>81.560139446153897</v>
      </c>
      <c r="I21" s="2"/>
      <c r="J21" s="7">
        <f t="shared" si="1"/>
        <v>0</v>
      </c>
      <c r="K21" s="2"/>
      <c r="L21" s="6">
        <f t="shared" si="2"/>
        <v>52.869860553846109</v>
      </c>
      <c r="M21" s="2"/>
      <c r="N21" s="7">
        <f t="shared" si="3"/>
        <v>0.64823161059883738</v>
      </c>
      <c r="O21" s="11"/>
      <c r="P21" s="6">
        <v>756.27</v>
      </c>
      <c r="Q21" s="2"/>
      <c r="R21" s="7">
        <f t="shared" si="4"/>
        <v>0</v>
      </c>
      <c r="S21" s="2"/>
      <c r="T21" s="6">
        <v>808.83310599999936</v>
      </c>
      <c r="U21" s="2"/>
      <c r="V21" s="7">
        <f t="shared" si="5"/>
        <v>0</v>
      </c>
      <c r="W21" s="2"/>
      <c r="X21" s="6">
        <f t="shared" si="6"/>
        <v>-52.563105999999379</v>
      </c>
      <c r="Y21" s="2"/>
      <c r="Z21" s="7">
        <f t="shared" si="7"/>
        <v>-6.4986343424967841E-2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8119.42</v>
      </c>
      <c r="E22" s="2"/>
      <c r="F22" s="7">
        <f t="shared" si="0"/>
        <v>0</v>
      </c>
      <c r="G22" s="2"/>
      <c r="H22" s="6">
        <v>5626.8461538461497</v>
      </c>
      <c r="I22" s="2"/>
      <c r="J22" s="7">
        <f t="shared" si="1"/>
        <v>0</v>
      </c>
      <c r="K22" s="2"/>
      <c r="L22" s="6">
        <f t="shared" si="2"/>
        <v>2492.5738461538504</v>
      </c>
      <c r="M22" s="2"/>
      <c r="N22" s="7">
        <f t="shared" si="3"/>
        <v>0.44297885138552923</v>
      </c>
      <c r="O22" s="11"/>
      <c r="P22" s="6">
        <v>55524.07</v>
      </c>
      <c r="Q22" s="2"/>
      <c r="R22" s="7">
        <f t="shared" si="4"/>
        <v>0</v>
      </c>
      <c r="S22" s="2"/>
      <c r="T22" s="6">
        <v>54291.46153846151</v>
      </c>
      <c r="U22" s="2"/>
      <c r="V22" s="7">
        <f t="shared" si="5"/>
        <v>0</v>
      </c>
      <c r="W22" s="2"/>
      <c r="X22" s="6">
        <f t="shared" si="6"/>
        <v>1232.6084615384898</v>
      </c>
      <c r="Y22" s="2"/>
      <c r="Z22" s="7">
        <f t="shared" si="7"/>
        <v>2.2703541710058353E-2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102.8</v>
      </c>
      <c r="E23" s="2"/>
      <c r="F23" s="7">
        <f t="shared" si="0"/>
        <v>0</v>
      </c>
      <c r="G23" s="2"/>
      <c r="H23" s="6">
        <v>62.369518399999997</v>
      </c>
      <c r="I23" s="2"/>
      <c r="J23" s="7">
        <f t="shared" si="1"/>
        <v>0</v>
      </c>
      <c r="K23" s="2"/>
      <c r="L23" s="6">
        <f t="shared" si="2"/>
        <v>40.4304816</v>
      </c>
      <c r="M23" s="2"/>
      <c r="N23" s="7">
        <f t="shared" si="3"/>
        <v>0.6482410420536453</v>
      </c>
      <c r="O23" s="11"/>
      <c r="P23" s="6">
        <v>677.01</v>
      </c>
      <c r="Q23" s="2"/>
      <c r="R23" s="7">
        <f t="shared" si="4"/>
        <v>0</v>
      </c>
      <c r="S23" s="2"/>
      <c r="T23" s="6">
        <v>618.51943400000005</v>
      </c>
      <c r="U23" s="2"/>
      <c r="V23" s="7">
        <f t="shared" si="5"/>
        <v>0</v>
      </c>
      <c r="W23" s="2"/>
      <c r="X23" s="6">
        <f t="shared" si="6"/>
        <v>58.490565999999944</v>
      </c>
      <c r="Y23" s="2"/>
      <c r="Z23" s="7">
        <f t="shared" si="7"/>
        <v>9.4565445780317933E-2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1457.31</v>
      </c>
      <c r="E24" s="2"/>
      <c r="F24" s="7">
        <f t="shared" si="0"/>
        <v>0</v>
      </c>
      <c r="G24" s="2"/>
      <c r="H24" s="6">
        <v>684.79153846153804</v>
      </c>
      <c r="I24" s="2"/>
      <c r="J24" s="7">
        <f t="shared" si="1"/>
        <v>0</v>
      </c>
      <c r="K24" s="2"/>
      <c r="L24" s="6">
        <f t="shared" si="2"/>
        <v>772.51846153846191</v>
      </c>
      <c r="M24" s="2"/>
      <c r="N24" s="7">
        <f t="shared" si="3"/>
        <v>1.1281074869499883</v>
      </c>
      <c r="O24" s="11"/>
      <c r="P24" s="6">
        <v>11465.04</v>
      </c>
      <c r="Q24" s="2"/>
      <c r="R24" s="7">
        <f t="shared" si="4"/>
        <v>0</v>
      </c>
      <c r="S24" s="2"/>
      <c r="T24" s="6">
        <v>6676.717499999997</v>
      </c>
      <c r="U24" s="2"/>
      <c r="V24" s="7">
        <f t="shared" si="5"/>
        <v>0</v>
      </c>
      <c r="W24" s="2"/>
      <c r="X24" s="6">
        <f t="shared" si="6"/>
        <v>4788.3225000000039</v>
      </c>
      <c r="Y24" s="2"/>
      <c r="Z24" s="7">
        <f t="shared" si="7"/>
        <v>0.71716715586663748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500</v>
      </c>
      <c r="I25" s="2"/>
      <c r="J25" s="7">
        <f t="shared" si="1"/>
        <v>0</v>
      </c>
      <c r="K25" s="2"/>
      <c r="L25" s="6">
        <f t="shared" si="2"/>
        <v>-500</v>
      </c>
      <c r="M25" s="2"/>
      <c r="N25" s="7">
        <f t="shared" si="3"/>
        <v>-1</v>
      </c>
      <c r="O25" s="11"/>
      <c r="P25" s="6">
        <v>4936.88</v>
      </c>
      <c r="Q25" s="2"/>
      <c r="R25" s="7">
        <f t="shared" si="4"/>
        <v>0</v>
      </c>
      <c r="S25" s="2"/>
      <c r="T25" s="6">
        <v>4500</v>
      </c>
      <c r="U25" s="2"/>
      <c r="V25" s="7">
        <f t="shared" si="5"/>
        <v>0</v>
      </c>
      <c r="W25" s="2"/>
      <c r="X25" s="6">
        <f t="shared" si="6"/>
        <v>436.88000000000011</v>
      </c>
      <c r="Y25" s="2"/>
      <c r="Z25" s="7">
        <f t="shared" si="7"/>
        <v>9.7084444444444473E-2</v>
      </c>
    </row>
    <row r="26" spans="1:26" s="24" customFormat="1" hidden="1" outlineLevel="2" x14ac:dyDescent="0.25">
      <c r="A26" s="25"/>
      <c r="B26" s="11" t="str">
        <f>CONCATENATE("          ", "6117", " - ", "RETIREMENT STAFF HOURLY")</f>
        <v xml:space="preserve">          6117 - RETIREMENT STAFF HOURLY</v>
      </c>
      <c r="C26" s="11"/>
      <c r="D26" s="6">
        <v>229.47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229.47</v>
      </c>
      <c r="M26" s="2"/>
      <c r="N26" s="7">
        <f t="shared" si="3"/>
        <v>0</v>
      </c>
      <c r="O26" s="11"/>
      <c r="P26" s="6">
        <v>3790.68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3790.68</v>
      </c>
      <c r="Y26" s="2"/>
      <c r="Z26" s="7">
        <f t="shared" si="7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6">
        <v>3877.12</v>
      </c>
      <c r="E27" s="2"/>
      <c r="F27" s="7">
        <f t="shared" si="0"/>
        <v>0</v>
      </c>
      <c r="G27" s="2"/>
      <c r="H27" s="6">
        <v>839.81381538461505</v>
      </c>
      <c r="I27" s="2"/>
      <c r="J27" s="7">
        <f t="shared" si="1"/>
        <v>0</v>
      </c>
      <c r="K27" s="2"/>
      <c r="L27" s="6">
        <f t="shared" si="2"/>
        <v>3037.3061846153851</v>
      </c>
      <c r="M27" s="2"/>
      <c r="N27" s="7">
        <f t="shared" si="3"/>
        <v>3.616642318779157</v>
      </c>
      <c r="O27" s="11"/>
      <c r="P27" s="6">
        <v>17937.150000000001</v>
      </c>
      <c r="Q27" s="2"/>
      <c r="R27" s="7">
        <f t="shared" si="4"/>
        <v>0</v>
      </c>
      <c r="S27" s="2"/>
      <c r="T27" s="6">
        <v>8298.6045000000013</v>
      </c>
      <c r="U27" s="2"/>
      <c r="V27" s="7">
        <f t="shared" si="5"/>
        <v>0</v>
      </c>
      <c r="W27" s="2"/>
      <c r="X27" s="6">
        <f t="shared" si="6"/>
        <v>9638.5455000000002</v>
      </c>
      <c r="Y27" s="2"/>
      <c r="Z27" s="7">
        <f t="shared" si="7"/>
        <v>1.1614658223560357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6">
        <v>2273.4299999999998</v>
      </c>
      <c r="E28" s="2"/>
      <c r="F28" s="7">
        <f t="shared" si="0"/>
        <v>0</v>
      </c>
      <c r="G28" s="2"/>
      <c r="H28" s="6">
        <v>503.88828923076903</v>
      </c>
      <c r="I28" s="2"/>
      <c r="J28" s="7">
        <f t="shared" si="1"/>
        <v>0</v>
      </c>
      <c r="K28" s="2"/>
      <c r="L28" s="6">
        <f t="shared" si="2"/>
        <v>1769.5417107692308</v>
      </c>
      <c r="M28" s="2"/>
      <c r="N28" s="7">
        <f t="shared" si="3"/>
        <v>3.5117738367577385</v>
      </c>
      <c r="O28" s="11"/>
      <c r="P28" s="6">
        <v>11843.99</v>
      </c>
      <c r="Q28" s="2"/>
      <c r="R28" s="7">
        <f t="shared" si="4"/>
        <v>0</v>
      </c>
      <c r="S28" s="2"/>
      <c r="T28" s="6">
        <v>4979.1627000000008</v>
      </c>
      <c r="U28" s="2"/>
      <c r="V28" s="7">
        <f t="shared" si="5"/>
        <v>0</v>
      </c>
      <c r="W28" s="2"/>
      <c r="X28" s="6">
        <f t="shared" si="6"/>
        <v>6864.827299999999</v>
      </c>
      <c r="Y28" s="2"/>
      <c r="Z28" s="7">
        <f t="shared" si="7"/>
        <v>1.3787111837096622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6">
        <v>311.61</v>
      </c>
      <c r="E29" s="2"/>
      <c r="F29" s="7">
        <f t="shared" si="0"/>
        <v>0</v>
      </c>
      <c r="G29" s="2"/>
      <c r="H29" s="6">
        <v>450</v>
      </c>
      <c r="I29" s="2"/>
      <c r="J29" s="7">
        <f t="shared" si="1"/>
        <v>0</v>
      </c>
      <c r="K29" s="2"/>
      <c r="L29" s="6">
        <f t="shared" si="2"/>
        <v>-138.38999999999999</v>
      </c>
      <c r="M29" s="2"/>
      <c r="N29" s="7">
        <f t="shared" si="3"/>
        <v>-0.30753333333333333</v>
      </c>
      <c r="O29" s="11"/>
      <c r="P29" s="6">
        <v>3652.96</v>
      </c>
      <c r="Q29" s="2"/>
      <c r="R29" s="7">
        <f t="shared" si="4"/>
        <v>0</v>
      </c>
      <c r="S29" s="2"/>
      <c r="T29" s="6">
        <v>4050</v>
      </c>
      <c r="U29" s="2"/>
      <c r="V29" s="7">
        <f t="shared" si="5"/>
        <v>0</v>
      </c>
      <c r="W29" s="2"/>
      <c r="X29" s="6">
        <f t="shared" si="6"/>
        <v>-397.03999999999996</v>
      </c>
      <c r="Y29" s="2"/>
      <c r="Z29" s="7">
        <f t="shared" si="7"/>
        <v>-9.8034567901234562E-2</v>
      </c>
    </row>
    <row r="30" spans="1:26" s="27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37856.629999999997</v>
      </c>
      <c r="E30" s="1"/>
      <c r="F30" s="5">
        <f t="shared" ref="F30:F40" si="8">IF(D$12=0,0,D30/D$12)</f>
        <v>0</v>
      </c>
      <c r="G30" s="1"/>
      <c r="H30" s="1">
        <f>SUM(OSRRefH22_1x_0)</f>
        <v>22909.581723076921</v>
      </c>
      <c r="I30" s="1"/>
      <c r="J30" s="5">
        <f t="shared" ref="J30:J40" si="9">IF(H$12=0,0,H30/H$12)</f>
        <v>0</v>
      </c>
      <c r="K30" s="1"/>
      <c r="L30" s="1">
        <f t="shared" ref="L30:L40" si="10">+D30-H30</f>
        <v>14947.048276923077</v>
      </c>
      <c r="M30" s="1"/>
      <c r="N30" s="5">
        <f t="shared" ref="N30:N40" si="11">IF(H30=0,0,L30/H30)</f>
        <v>0.65243654194990608</v>
      </c>
      <c r="O30" s="13"/>
      <c r="P30" s="1">
        <f>SUM(OSRRefP22_1x_0)</f>
        <v>241103.40000000002</v>
      </c>
      <c r="Q30" s="1"/>
      <c r="R30" s="5">
        <f t="shared" ref="R30:R40" si="12">IF(P$12=0,0,P30/P$12)</f>
        <v>0</v>
      </c>
      <c r="S30" s="1"/>
      <c r="T30" s="1">
        <f>SUM(OSRRefT22_1x_0)</f>
        <v>227264.39799999999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13839.002000000037</v>
      </c>
      <c r="Y30" s="1"/>
      <c r="Z30" s="5">
        <f t="shared" ref="Z30:Z40" si="15">IF(T30=0,0,X30/T30)</f>
        <v>6.0893840486181378E-2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6">
        <v>9894.68</v>
      </c>
      <c r="E31" s="2"/>
      <c r="F31" s="7">
        <f t="shared" si="8"/>
        <v>0</v>
      </c>
      <c r="G31" s="2"/>
      <c r="H31" s="6">
        <v>7325.6769230769205</v>
      </c>
      <c r="I31" s="2"/>
      <c r="J31" s="7">
        <f t="shared" si="9"/>
        <v>0</v>
      </c>
      <c r="K31" s="2"/>
      <c r="L31" s="6">
        <f t="shared" si="10"/>
        <v>2569.0030769230798</v>
      </c>
      <c r="M31" s="2"/>
      <c r="N31" s="7">
        <f t="shared" si="11"/>
        <v>0.35068473588158877</v>
      </c>
      <c r="O31" s="11"/>
      <c r="P31" s="6">
        <v>81181.650000000009</v>
      </c>
      <c r="Q31" s="2"/>
      <c r="R31" s="7">
        <f t="shared" si="12"/>
        <v>0</v>
      </c>
      <c r="S31" s="2"/>
      <c r="T31" s="6">
        <v>71425.349999999977</v>
      </c>
      <c r="U31" s="2"/>
      <c r="V31" s="7">
        <f t="shared" si="13"/>
        <v>0</v>
      </c>
      <c r="W31" s="2"/>
      <c r="X31" s="6">
        <f t="shared" si="14"/>
        <v>9756.300000000032</v>
      </c>
      <c r="Y31" s="2"/>
      <c r="Z31" s="7">
        <f t="shared" si="15"/>
        <v>0.13659436040565479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6">
        <v>9896.25</v>
      </c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9896.25</v>
      </c>
      <c r="M32" s="2"/>
      <c r="N32" s="7">
        <f t="shared" si="11"/>
        <v>0</v>
      </c>
      <c r="O32" s="11"/>
      <c r="P32" s="6">
        <v>21069.18</v>
      </c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21069.18</v>
      </c>
      <c r="Y32" s="2"/>
      <c r="Z32" s="7">
        <f t="shared" si="15"/>
        <v>0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6">
        <v>10437.530000000001</v>
      </c>
      <c r="E34" s="2"/>
      <c r="F34" s="7">
        <f t="shared" si="8"/>
        <v>0</v>
      </c>
      <c r="G34" s="2"/>
      <c r="H34" s="6">
        <v>8391.9048000000003</v>
      </c>
      <c r="I34" s="2"/>
      <c r="J34" s="7">
        <f t="shared" si="9"/>
        <v>0</v>
      </c>
      <c r="K34" s="2"/>
      <c r="L34" s="6">
        <f t="shared" si="10"/>
        <v>2045.6252000000004</v>
      </c>
      <c r="M34" s="2"/>
      <c r="N34" s="7">
        <f t="shared" si="11"/>
        <v>0.24376172618164119</v>
      </c>
      <c r="O34" s="11"/>
      <c r="P34" s="6">
        <v>87723.25</v>
      </c>
      <c r="Q34" s="2"/>
      <c r="R34" s="7">
        <f t="shared" si="12"/>
        <v>0</v>
      </c>
      <c r="S34" s="2"/>
      <c r="T34" s="6">
        <v>83919.047999999995</v>
      </c>
      <c r="U34" s="2"/>
      <c r="V34" s="7">
        <f t="shared" si="13"/>
        <v>0</v>
      </c>
      <c r="W34" s="2"/>
      <c r="X34" s="6">
        <f t="shared" si="14"/>
        <v>3804.2020000000048</v>
      </c>
      <c r="Y34" s="2"/>
      <c r="Z34" s="7">
        <f t="shared" si="15"/>
        <v>4.5331805956616726E-2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6">
        <v>6200.17</v>
      </c>
      <c r="E35" s="2"/>
      <c r="F35" s="7">
        <f t="shared" si="8"/>
        <v>0</v>
      </c>
      <c r="G35" s="2"/>
      <c r="H35" s="6">
        <v>7192</v>
      </c>
      <c r="I35" s="2"/>
      <c r="J35" s="7">
        <f t="shared" si="9"/>
        <v>0</v>
      </c>
      <c r="K35" s="2"/>
      <c r="L35" s="6">
        <f t="shared" si="10"/>
        <v>-991.82999999999993</v>
      </c>
      <c r="M35" s="2"/>
      <c r="N35" s="7">
        <f t="shared" si="11"/>
        <v>-0.13790739710789765</v>
      </c>
      <c r="O35" s="11"/>
      <c r="P35" s="6">
        <v>46666.32</v>
      </c>
      <c r="Q35" s="2"/>
      <c r="R35" s="7">
        <f t="shared" si="12"/>
        <v>0</v>
      </c>
      <c r="S35" s="2"/>
      <c r="T35" s="6">
        <v>71920</v>
      </c>
      <c r="U35" s="2"/>
      <c r="V35" s="7">
        <f t="shared" si="13"/>
        <v>0</v>
      </c>
      <c r="W35" s="2"/>
      <c r="X35" s="6">
        <f t="shared" si="14"/>
        <v>-25253.68</v>
      </c>
      <c r="Y35" s="2"/>
      <c r="Z35" s="7">
        <f t="shared" si="15"/>
        <v>-0.35113570634037822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6">
        <v>1428</v>
      </c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1428</v>
      </c>
      <c r="M37" s="2"/>
      <c r="N37" s="7">
        <f t="shared" si="11"/>
        <v>0</v>
      </c>
      <c r="O37" s="11"/>
      <c r="P37" s="6">
        <v>4463</v>
      </c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4463</v>
      </c>
      <c r="Y37" s="2"/>
      <c r="Z37" s="7">
        <f t="shared" si="15"/>
        <v>0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7" customFormat="1" outlineLevel="1" collapsed="1" x14ac:dyDescent="0.25">
      <c r="A41" s="26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58" si="16">IF(D$12=0,0,D41/D$12)</f>
        <v>0</v>
      </c>
      <c r="G41" s="1"/>
      <c r="H41" s="1">
        <f>SUM(OSRRefH22_2x_0)</f>
        <v>260</v>
      </c>
      <c r="I41" s="1"/>
      <c r="J41" s="5">
        <f t="shared" ref="J41:J58" si="17">IF(H$12=0,0,H41/H$12)</f>
        <v>0</v>
      </c>
      <c r="K41" s="1"/>
      <c r="L41" s="1">
        <f t="shared" ref="L41:L58" si="18">+D41-H41</f>
        <v>-260</v>
      </c>
      <c r="M41" s="1"/>
      <c r="N41" s="5">
        <f t="shared" ref="N41:N58" si="19">IF(H41=0,0,L41/H41)</f>
        <v>-1</v>
      </c>
      <c r="O41" s="13"/>
      <c r="P41" s="1">
        <f>SUM(OSRRefP22_2x_0)</f>
        <v>1556.04</v>
      </c>
      <c r="Q41" s="1"/>
      <c r="R41" s="5">
        <f t="shared" ref="R41:R58" si="20">IF(P$12=0,0,P41/P$12)</f>
        <v>0</v>
      </c>
      <c r="S41" s="1"/>
      <c r="T41" s="1">
        <f>SUM(OSRRefT22_2x_0)</f>
        <v>2340</v>
      </c>
      <c r="U41" s="1"/>
      <c r="V41" s="5">
        <f t="shared" ref="V41:V58" si="21">IF(T$12=0,0,T41/T$12)</f>
        <v>0</v>
      </c>
      <c r="W41" s="1"/>
      <c r="X41" s="1">
        <f t="shared" ref="X41:X58" si="22">+P41-T41</f>
        <v>-783.96</v>
      </c>
      <c r="Y41" s="1"/>
      <c r="Z41" s="5">
        <f t="shared" ref="Z41:Z58" si="23">IF(T41=0,0,X41/T41)</f>
        <v>-0.33502564102564103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16"/>
        <v>0</v>
      </c>
      <c r="G42" s="2"/>
      <c r="H42" s="6">
        <v>260</v>
      </c>
      <c r="I42" s="2"/>
      <c r="J42" s="7">
        <f t="shared" si="17"/>
        <v>0</v>
      </c>
      <c r="K42" s="2"/>
      <c r="L42" s="6">
        <f t="shared" si="18"/>
        <v>-260</v>
      </c>
      <c r="M42" s="2"/>
      <c r="N42" s="7">
        <f t="shared" si="19"/>
        <v>-1</v>
      </c>
      <c r="O42" s="11"/>
      <c r="P42" s="6">
        <v>1556.04</v>
      </c>
      <c r="Q42" s="2"/>
      <c r="R42" s="7">
        <f t="shared" si="20"/>
        <v>0</v>
      </c>
      <c r="S42" s="2"/>
      <c r="T42" s="6">
        <v>2340</v>
      </c>
      <c r="U42" s="2"/>
      <c r="V42" s="7">
        <f t="shared" si="21"/>
        <v>0</v>
      </c>
      <c r="W42" s="2"/>
      <c r="X42" s="6">
        <f t="shared" si="22"/>
        <v>-783.96</v>
      </c>
      <c r="Y42" s="2"/>
      <c r="Z42" s="7">
        <f t="shared" si="23"/>
        <v>-0.33502564102564103</v>
      </c>
    </row>
    <row r="43" spans="1:26" s="27" customFormat="1" outlineLevel="1" collapsed="1" x14ac:dyDescent="0.25">
      <c r="A43" s="26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SUM(OSRRefD22_3x_0)</f>
        <v>224.13</v>
      </c>
      <c r="E43" s="1"/>
      <c r="F43" s="5">
        <f t="shared" si="16"/>
        <v>0</v>
      </c>
      <c r="G43" s="1"/>
      <c r="H43" s="1">
        <f>SUM(OSRRefH22_3x_0)</f>
        <v>224</v>
      </c>
      <c r="I43" s="1"/>
      <c r="J43" s="5">
        <f t="shared" si="17"/>
        <v>0</v>
      </c>
      <c r="K43" s="1"/>
      <c r="L43" s="1">
        <f t="shared" si="18"/>
        <v>0.12999999999999545</v>
      </c>
      <c r="M43" s="1"/>
      <c r="N43" s="5">
        <f t="shared" si="19"/>
        <v>5.803571428571226E-4</v>
      </c>
      <c r="O43" s="13"/>
      <c r="P43" s="1">
        <f>SUM(OSRRefP22_3x_0)</f>
        <v>2017.57</v>
      </c>
      <c r="Q43" s="1"/>
      <c r="R43" s="5">
        <f t="shared" si="20"/>
        <v>0</v>
      </c>
      <c r="S43" s="1"/>
      <c r="T43" s="1">
        <f>SUM(OSRRefT22_3x_0)</f>
        <v>2016</v>
      </c>
      <c r="U43" s="1"/>
      <c r="V43" s="5">
        <f t="shared" si="21"/>
        <v>0</v>
      </c>
      <c r="W43" s="1"/>
      <c r="X43" s="1">
        <f t="shared" si="22"/>
        <v>1.5699999999999363</v>
      </c>
      <c r="Y43" s="1"/>
      <c r="Z43" s="5">
        <f t="shared" si="23"/>
        <v>7.7876984126980969E-4</v>
      </c>
    </row>
    <row r="44" spans="1:26" s="24" customFormat="1" hidden="1" outlineLevel="2" x14ac:dyDescent="0.25">
      <c r="A44" s="25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224.13</v>
      </c>
      <c r="E44" s="2"/>
      <c r="F44" s="7">
        <f t="shared" si="16"/>
        <v>0</v>
      </c>
      <c r="G44" s="2"/>
      <c r="H44" s="6">
        <v>224</v>
      </c>
      <c r="I44" s="2"/>
      <c r="J44" s="7">
        <f t="shared" si="17"/>
        <v>0</v>
      </c>
      <c r="K44" s="2"/>
      <c r="L44" s="6">
        <f t="shared" si="18"/>
        <v>0.12999999999999545</v>
      </c>
      <c r="M44" s="2"/>
      <c r="N44" s="7">
        <f t="shared" si="19"/>
        <v>5.803571428571226E-4</v>
      </c>
      <c r="O44" s="11"/>
      <c r="P44" s="6">
        <v>2017.57</v>
      </c>
      <c r="Q44" s="2"/>
      <c r="R44" s="7">
        <f t="shared" si="20"/>
        <v>0</v>
      </c>
      <c r="S44" s="2"/>
      <c r="T44" s="6">
        <v>2016</v>
      </c>
      <c r="U44" s="2"/>
      <c r="V44" s="7">
        <f t="shared" si="21"/>
        <v>0</v>
      </c>
      <c r="W44" s="2"/>
      <c r="X44" s="6">
        <f t="shared" si="22"/>
        <v>1.5699999999999363</v>
      </c>
      <c r="Y44" s="2"/>
      <c r="Z44" s="7">
        <f t="shared" si="23"/>
        <v>7.7876984126980969E-4</v>
      </c>
    </row>
    <row r="45" spans="1:26" s="27" customFormat="1" outlineLevel="1" collapsed="1" x14ac:dyDescent="0.25">
      <c r="A45" s="26"/>
      <c r="B45" s="13" t="str">
        <f>CONCATENATE("     ","Employees' Appreciation                           ")</f>
        <v xml:space="preserve">     Employees' Appreciation                           </v>
      </c>
      <c r="C45" s="13"/>
      <c r="D45" s="1">
        <f>SUM(OSRRefD22_4x_0)</f>
        <v>806.98</v>
      </c>
      <c r="E45" s="1"/>
      <c r="F45" s="5">
        <f t="shared" si="16"/>
        <v>0</v>
      </c>
      <c r="G45" s="1"/>
      <c r="H45" s="1">
        <f>SUM(OSRRefH22_4x_0)</f>
        <v>583</v>
      </c>
      <c r="I45" s="1"/>
      <c r="J45" s="5">
        <f t="shared" si="17"/>
        <v>0</v>
      </c>
      <c r="K45" s="1"/>
      <c r="L45" s="1">
        <f t="shared" si="18"/>
        <v>223.98000000000002</v>
      </c>
      <c r="M45" s="1"/>
      <c r="N45" s="5">
        <f t="shared" si="19"/>
        <v>0.38418524871355064</v>
      </c>
      <c r="O45" s="13"/>
      <c r="P45" s="1">
        <f>SUM(OSRRefP22_4x_0)</f>
        <v>29326.2</v>
      </c>
      <c r="Q45" s="1"/>
      <c r="R45" s="5">
        <f t="shared" si="20"/>
        <v>0</v>
      </c>
      <c r="S45" s="1"/>
      <c r="T45" s="1">
        <f>SUM(OSRRefT22_4x_0)</f>
        <v>30747</v>
      </c>
      <c r="U45" s="1"/>
      <c r="V45" s="5">
        <f t="shared" si="21"/>
        <v>0</v>
      </c>
      <c r="W45" s="1"/>
      <c r="X45" s="1">
        <f t="shared" si="22"/>
        <v>-1420.7999999999993</v>
      </c>
      <c r="Y45" s="1"/>
      <c r="Z45" s="5">
        <f t="shared" si="23"/>
        <v>-4.6209386281588424E-2</v>
      </c>
    </row>
    <row r="46" spans="1:26" s="24" customFormat="1" hidden="1" outlineLevel="2" x14ac:dyDescent="0.25">
      <c r="A46" s="25"/>
      <c r="B46" s="11" t="str">
        <f>CONCATENATE("          ", "6277", " - ", "EMPLOYEE APPRECIATION")</f>
        <v xml:space="preserve">          6277 - EMPLOYEE APPRECIATION</v>
      </c>
      <c r="C46" s="11"/>
      <c r="D46" s="6">
        <v>806.98</v>
      </c>
      <c r="E46" s="2"/>
      <c r="F46" s="7">
        <f t="shared" si="16"/>
        <v>0</v>
      </c>
      <c r="G46" s="2"/>
      <c r="H46" s="6">
        <v>583</v>
      </c>
      <c r="I46" s="2"/>
      <c r="J46" s="7">
        <f t="shared" si="17"/>
        <v>0</v>
      </c>
      <c r="K46" s="2"/>
      <c r="L46" s="6">
        <f t="shared" si="18"/>
        <v>223.98000000000002</v>
      </c>
      <c r="M46" s="2"/>
      <c r="N46" s="7">
        <f t="shared" si="19"/>
        <v>0.38418524871355064</v>
      </c>
      <c r="O46" s="11"/>
      <c r="P46" s="6">
        <v>29326.2</v>
      </c>
      <c r="Q46" s="2"/>
      <c r="R46" s="7">
        <f t="shared" si="20"/>
        <v>0</v>
      </c>
      <c r="S46" s="2"/>
      <c r="T46" s="6">
        <v>30747</v>
      </c>
      <c r="U46" s="2"/>
      <c r="V46" s="7">
        <f t="shared" si="21"/>
        <v>0</v>
      </c>
      <c r="W46" s="2"/>
      <c r="X46" s="6">
        <f t="shared" si="22"/>
        <v>-1420.7999999999993</v>
      </c>
      <c r="Y46" s="2"/>
      <c r="Z46" s="7">
        <f t="shared" si="23"/>
        <v>-4.6209386281588424E-2</v>
      </c>
    </row>
    <row r="47" spans="1:26" s="27" customFormat="1" outlineLevel="1" collapsed="1" x14ac:dyDescent="0.25">
      <c r="A47" s="26"/>
      <c r="B47" s="13" t="str">
        <f>CONCATENATE("     ","Equipment Rental                                  ")</f>
        <v xml:space="preserve">     Equipment Rental                                  </v>
      </c>
      <c r="C47" s="13"/>
      <c r="D47" s="1">
        <f>SUM(OSRRefD22_5x_0)</f>
        <v>0</v>
      </c>
      <c r="E47" s="1"/>
      <c r="F47" s="5">
        <f t="shared" si="16"/>
        <v>0</v>
      </c>
      <c r="G47" s="1"/>
      <c r="H47" s="1">
        <f>SUM(OSRRefH22_5x_0)</f>
        <v>90</v>
      </c>
      <c r="I47" s="1"/>
      <c r="J47" s="5">
        <f t="shared" si="17"/>
        <v>0</v>
      </c>
      <c r="K47" s="1"/>
      <c r="L47" s="1">
        <f t="shared" si="18"/>
        <v>-90</v>
      </c>
      <c r="M47" s="1"/>
      <c r="N47" s="5">
        <f t="shared" si="19"/>
        <v>-1</v>
      </c>
      <c r="O47" s="13"/>
      <c r="P47" s="1">
        <f>SUM(OSRRefP22_5x_0)</f>
        <v>273.77999999999997</v>
      </c>
      <c r="Q47" s="1"/>
      <c r="R47" s="5">
        <f t="shared" si="20"/>
        <v>0</v>
      </c>
      <c r="S47" s="1"/>
      <c r="T47" s="1">
        <f>SUM(OSRRefT22_5x_0)</f>
        <v>720</v>
      </c>
      <c r="U47" s="1"/>
      <c r="V47" s="5">
        <f t="shared" si="21"/>
        <v>0</v>
      </c>
      <c r="W47" s="1"/>
      <c r="X47" s="1">
        <f t="shared" si="22"/>
        <v>-446.22</v>
      </c>
      <c r="Y47" s="1"/>
      <c r="Z47" s="5">
        <f t="shared" si="23"/>
        <v>-0.61975000000000002</v>
      </c>
    </row>
    <row r="48" spans="1:26" s="24" customFormat="1" hidden="1" outlineLevel="2" x14ac:dyDescent="0.25">
      <c r="A48" s="25"/>
      <c r="B48" s="11" t="str">
        <f>CONCATENATE("          ", "6351", " - ", "EQUIPMENT RENTAL")</f>
        <v xml:space="preserve">          6351 - EQUIPMENT RENTAL</v>
      </c>
      <c r="C48" s="11"/>
      <c r="D48" s="6"/>
      <c r="E48" s="2"/>
      <c r="F48" s="7">
        <f t="shared" si="16"/>
        <v>0</v>
      </c>
      <c r="G48" s="2"/>
      <c r="H48" s="6">
        <v>90</v>
      </c>
      <c r="I48" s="2"/>
      <c r="J48" s="7">
        <f t="shared" si="17"/>
        <v>0</v>
      </c>
      <c r="K48" s="2"/>
      <c r="L48" s="6">
        <f t="shared" si="18"/>
        <v>-90</v>
      </c>
      <c r="M48" s="2"/>
      <c r="N48" s="7">
        <f t="shared" si="19"/>
        <v>-1</v>
      </c>
      <c r="O48" s="11"/>
      <c r="P48" s="6">
        <v>273.77999999999997</v>
      </c>
      <c r="Q48" s="2"/>
      <c r="R48" s="7">
        <f t="shared" si="20"/>
        <v>0</v>
      </c>
      <c r="S48" s="2"/>
      <c r="T48" s="6">
        <v>720</v>
      </c>
      <c r="U48" s="2"/>
      <c r="V48" s="7">
        <f t="shared" si="21"/>
        <v>0</v>
      </c>
      <c r="W48" s="2"/>
      <c r="X48" s="6">
        <f t="shared" si="22"/>
        <v>-446.22</v>
      </c>
      <c r="Y48" s="2"/>
      <c r="Z48" s="7">
        <f t="shared" si="23"/>
        <v>-0.61975000000000002</v>
      </c>
    </row>
    <row r="49" spans="1:26" s="27" customFormat="1" outlineLevel="1" collapsed="1" x14ac:dyDescent="0.25">
      <c r="A49" s="26"/>
      <c r="B49" s="13" t="str">
        <f>CONCATENATE("     ","Freight out/Postage                               ")</f>
        <v xml:space="preserve">     Freight out/Postage                               </v>
      </c>
      <c r="C49" s="13"/>
      <c r="D49" s="1">
        <f>SUM(OSRRefD22_6x_0)</f>
        <v>86.95</v>
      </c>
      <c r="E49" s="1"/>
      <c r="F49" s="5">
        <f t="shared" si="16"/>
        <v>0</v>
      </c>
      <c r="G49" s="1"/>
      <c r="H49" s="1">
        <f>SUM(OSRRefH22_6x_0)</f>
        <v>95</v>
      </c>
      <c r="I49" s="1"/>
      <c r="J49" s="5">
        <f t="shared" si="17"/>
        <v>0</v>
      </c>
      <c r="K49" s="1"/>
      <c r="L49" s="1">
        <f t="shared" si="18"/>
        <v>-8.0499999999999972</v>
      </c>
      <c r="M49" s="1"/>
      <c r="N49" s="5">
        <f t="shared" si="19"/>
        <v>-8.4736842105263124E-2</v>
      </c>
      <c r="O49" s="13"/>
      <c r="P49" s="1">
        <f>SUM(OSRRefP22_6x_0)</f>
        <v>1043.55</v>
      </c>
      <c r="Q49" s="1"/>
      <c r="R49" s="5">
        <f t="shared" si="20"/>
        <v>0</v>
      </c>
      <c r="S49" s="1"/>
      <c r="T49" s="1">
        <f>SUM(OSRRefT22_6x_0)</f>
        <v>760</v>
      </c>
      <c r="U49" s="1"/>
      <c r="V49" s="5">
        <f t="shared" si="21"/>
        <v>0</v>
      </c>
      <c r="W49" s="1"/>
      <c r="X49" s="1">
        <f t="shared" si="22"/>
        <v>283.54999999999995</v>
      </c>
      <c r="Y49" s="1"/>
      <c r="Z49" s="5">
        <f t="shared" si="23"/>
        <v>0.37309210526315784</v>
      </c>
    </row>
    <row r="50" spans="1:26" s="24" customFormat="1" hidden="1" outlineLevel="2" x14ac:dyDescent="0.25">
      <c r="A50" s="25"/>
      <c r="B50" s="11" t="str">
        <f>CONCATENATE("          ", "6307", " - ", "POSTAGE")</f>
        <v xml:space="preserve">          6307 - POSTAGE</v>
      </c>
      <c r="C50" s="11"/>
      <c r="D50" s="6">
        <v>86.95</v>
      </c>
      <c r="E50" s="2"/>
      <c r="F50" s="7">
        <f t="shared" si="16"/>
        <v>0</v>
      </c>
      <c r="G50" s="2"/>
      <c r="H50" s="6">
        <v>95</v>
      </c>
      <c r="I50" s="2"/>
      <c r="J50" s="7">
        <f t="shared" si="17"/>
        <v>0</v>
      </c>
      <c r="K50" s="2"/>
      <c r="L50" s="6">
        <f t="shared" si="18"/>
        <v>-8.0499999999999972</v>
      </c>
      <c r="M50" s="2"/>
      <c r="N50" s="7">
        <f t="shared" si="19"/>
        <v>-8.4736842105263124E-2</v>
      </c>
      <c r="O50" s="11"/>
      <c r="P50" s="6">
        <v>1043.55</v>
      </c>
      <c r="Q50" s="2"/>
      <c r="R50" s="7">
        <f t="shared" si="20"/>
        <v>0</v>
      </c>
      <c r="S50" s="2"/>
      <c r="T50" s="6">
        <v>760</v>
      </c>
      <c r="U50" s="2"/>
      <c r="V50" s="7">
        <f t="shared" si="21"/>
        <v>0</v>
      </c>
      <c r="W50" s="2"/>
      <c r="X50" s="6">
        <f t="shared" si="22"/>
        <v>283.54999999999995</v>
      </c>
      <c r="Y50" s="2"/>
      <c r="Z50" s="7">
        <f t="shared" si="23"/>
        <v>0.37309210526315784</v>
      </c>
    </row>
    <row r="51" spans="1:26" s="27" customFormat="1" outlineLevel="1" collapsed="1" x14ac:dyDescent="0.25">
      <c r="A51" s="26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SUM(OSRRefD22_7x_0)</f>
        <v>0</v>
      </c>
      <c r="E51" s="1"/>
      <c r="F51" s="5">
        <f t="shared" si="16"/>
        <v>0</v>
      </c>
      <c r="G51" s="1"/>
      <c r="H51" s="1">
        <f>SUM(OSRRefH22_7x_0)</f>
        <v>390</v>
      </c>
      <c r="I51" s="1"/>
      <c r="J51" s="5">
        <f t="shared" si="17"/>
        <v>0</v>
      </c>
      <c r="K51" s="1"/>
      <c r="L51" s="1">
        <f t="shared" si="18"/>
        <v>-390</v>
      </c>
      <c r="M51" s="1"/>
      <c r="N51" s="5">
        <f t="shared" si="19"/>
        <v>-1</v>
      </c>
      <c r="O51" s="13"/>
      <c r="P51" s="1">
        <f>SUM(OSRRefP22_7x_0)</f>
        <v>700</v>
      </c>
      <c r="Q51" s="1"/>
      <c r="R51" s="5">
        <f t="shared" si="20"/>
        <v>0</v>
      </c>
      <c r="S51" s="1"/>
      <c r="T51" s="1">
        <f>SUM(OSRRefT22_7x_0)</f>
        <v>3120</v>
      </c>
      <c r="U51" s="1"/>
      <c r="V51" s="5">
        <f t="shared" si="21"/>
        <v>0</v>
      </c>
      <c r="W51" s="1"/>
      <c r="X51" s="1">
        <f t="shared" si="22"/>
        <v>-2420</v>
      </c>
      <c r="Y51" s="1"/>
      <c r="Z51" s="5">
        <f t="shared" si="23"/>
        <v>-0.77564102564102566</v>
      </c>
    </row>
    <row r="52" spans="1:26" s="24" customFormat="1" hidden="1" outlineLevel="2" x14ac:dyDescent="0.25">
      <c r="A52" s="25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16"/>
        <v>0</v>
      </c>
      <c r="G52" s="2"/>
      <c r="H52" s="6">
        <v>390</v>
      </c>
      <c r="I52" s="2"/>
      <c r="J52" s="7">
        <f t="shared" si="17"/>
        <v>0</v>
      </c>
      <c r="K52" s="2"/>
      <c r="L52" s="6">
        <f t="shared" si="18"/>
        <v>-390</v>
      </c>
      <c r="M52" s="2"/>
      <c r="N52" s="7">
        <f t="shared" si="19"/>
        <v>-1</v>
      </c>
      <c r="O52" s="11"/>
      <c r="P52" s="6">
        <v>700</v>
      </c>
      <c r="Q52" s="2"/>
      <c r="R52" s="7">
        <f t="shared" si="20"/>
        <v>0</v>
      </c>
      <c r="S52" s="2"/>
      <c r="T52" s="6">
        <v>3120</v>
      </c>
      <c r="U52" s="2"/>
      <c r="V52" s="7">
        <f t="shared" si="21"/>
        <v>0</v>
      </c>
      <c r="W52" s="2"/>
      <c r="X52" s="6">
        <f t="shared" si="22"/>
        <v>-2420</v>
      </c>
      <c r="Y52" s="2"/>
      <c r="Z52" s="7">
        <f t="shared" si="23"/>
        <v>-0.77564102564102566</v>
      </c>
    </row>
    <row r="53" spans="1:26" s="27" customFormat="1" outlineLevel="1" collapsed="1" x14ac:dyDescent="0.25">
      <c r="A53" s="26"/>
      <c r="B53" s="13" t="str">
        <f>CONCATENATE("     ","Insurance                                         ")</f>
        <v xml:space="preserve">     Insurance                                         </v>
      </c>
      <c r="C53" s="13"/>
      <c r="D53" s="1">
        <f>SUM(OSRRefD22_8x_0)</f>
        <v>65.47</v>
      </c>
      <c r="E53" s="1"/>
      <c r="F53" s="5">
        <f t="shared" si="16"/>
        <v>0</v>
      </c>
      <c r="G53" s="1"/>
      <c r="H53" s="1">
        <f>SUM(OSRRefH22_8x_0)</f>
        <v>65</v>
      </c>
      <c r="I53" s="1"/>
      <c r="J53" s="5">
        <f t="shared" si="17"/>
        <v>0</v>
      </c>
      <c r="K53" s="1"/>
      <c r="L53" s="1">
        <f t="shared" si="18"/>
        <v>0.46999999999999886</v>
      </c>
      <c r="M53" s="1"/>
      <c r="N53" s="5">
        <f t="shared" si="19"/>
        <v>7.2307692307692134E-3</v>
      </c>
      <c r="O53" s="13"/>
      <c r="P53" s="1">
        <f>SUM(OSRRefP22_8x_0)</f>
        <v>589.23</v>
      </c>
      <c r="Q53" s="1"/>
      <c r="R53" s="5">
        <f t="shared" si="20"/>
        <v>0</v>
      </c>
      <c r="S53" s="1"/>
      <c r="T53" s="1">
        <f>SUM(OSRRefT22_8x_0)</f>
        <v>585</v>
      </c>
      <c r="U53" s="1"/>
      <c r="V53" s="5">
        <f t="shared" si="21"/>
        <v>0</v>
      </c>
      <c r="W53" s="1"/>
      <c r="X53" s="1">
        <f t="shared" si="22"/>
        <v>4.2300000000000182</v>
      </c>
      <c r="Y53" s="1"/>
      <c r="Z53" s="5">
        <f t="shared" si="23"/>
        <v>7.2307692307692619E-3</v>
      </c>
    </row>
    <row r="54" spans="1:26" s="24" customFormat="1" hidden="1" outlineLevel="2" x14ac:dyDescent="0.25">
      <c r="A54" s="25"/>
      <c r="B54" s="11" t="str">
        <f>CONCATENATE("          ", "6314", " - ", "LIABILITY INSURANCE")</f>
        <v xml:space="preserve">          6314 - LIABILITY INSURANCE</v>
      </c>
      <c r="C54" s="11"/>
      <c r="D54" s="6">
        <v>65.47</v>
      </c>
      <c r="E54" s="2"/>
      <c r="F54" s="7">
        <f t="shared" si="16"/>
        <v>0</v>
      </c>
      <c r="G54" s="2"/>
      <c r="H54" s="6">
        <v>65</v>
      </c>
      <c r="I54" s="2"/>
      <c r="J54" s="7">
        <f t="shared" si="17"/>
        <v>0</v>
      </c>
      <c r="K54" s="2"/>
      <c r="L54" s="6">
        <f t="shared" si="18"/>
        <v>0.46999999999999886</v>
      </c>
      <c r="M54" s="2"/>
      <c r="N54" s="7">
        <f t="shared" si="19"/>
        <v>7.2307692307692134E-3</v>
      </c>
      <c r="O54" s="11"/>
      <c r="P54" s="6">
        <v>589.23</v>
      </c>
      <c r="Q54" s="2"/>
      <c r="R54" s="7">
        <f t="shared" si="20"/>
        <v>0</v>
      </c>
      <c r="S54" s="2"/>
      <c r="T54" s="6">
        <v>585</v>
      </c>
      <c r="U54" s="2"/>
      <c r="V54" s="7">
        <f t="shared" si="21"/>
        <v>0</v>
      </c>
      <c r="W54" s="2"/>
      <c r="X54" s="6">
        <f t="shared" si="22"/>
        <v>4.2300000000000182</v>
      </c>
      <c r="Y54" s="2"/>
      <c r="Z54" s="7">
        <f t="shared" si="23"/>
        <v>7.2307692307692619E-3</v>
      </c>
    </row>
    <row r="55" spans="1:26" s="27" customFormat="1" outlineLevel="1" collapsed="1" x14ac:dyDescent="0.25">
      <c r="A55" s="26"/>
      <c r="B55" s="13" t="str">
        <f>CONCATENATE("     ","Professional Services                             ")</f>
        <v xml:space="preserve">     Professional Services                             </v>
      </c>
      <c r="C55" s="13"/>
      <c r="D55" s="1">
        <f>SUM(OSRRefD22_9x_0)</f>
        <v>27350</v>
      </c>
      <c r="E55" s="1"/>
      <c r="F55" s="5">
        <f t="shared" si="16"/>
        <v>0</v>
      </c>
      <c r="G55" s="1"/>
      <c r="H55" s="1">
        <f>SUM(OSRRefH22_9x_0)</f>
        <v>12833</v>
      </c>
      <c r="I55" s="1"/>
      <c r="J55" s="5">
        <f t="shared" si="17"/>
        <v>0</v>
      </c>
      <c r="K55" s="1"/>
      <c r="L55" s="1">
        <f t="shared" si="18"/>
        <v>14517</v>
      </c>
      <c r="M55" s="1"/>
      <c r="N55" s="5">
        <f t="shared" si="19"/>
        <v>1.1312241876412374</v>
      </c>
      <c r="O55" s="13"/>
      <c r="P55" s="1">
        <f>SUM(OSRRefP22_9x_0)</f>
        <v>84783.52</v>
      </c>
      <c r="Q55" s="1"/>
      <c r="R55" s="5">
        <f t="shared" si="20"/>
        <v>0</v>
      </c>
      <c r="S55" s="1"/>
      <c r="T55" s="1">
        <f>SUM(OSRRefT22_9x_0)</f>
        <v>51497</v>
      </c>
      <c r="U55" s="1"/>
      <c r="V55" s="5">
        <f t="shared" si="21"/>
        <v>0</v>
      </c>
      <c r="W55" s="1"/>
      <c r="X55" s="1">
        <f t="shared" si="22"/>
        <v>33286.520000000004</v>
      </c>
      <c r="Y55" s="1"/>
      <c r="Z55" s="5">
        <f t="shared" si="23"/>
        <v>0.6463778472532381</v>
      </c>
    </row>
    <row r="56" spans="1:26" s="24" customFormat="1" hidden="1" outlineLevel="2" x14ac:dyDescent="0.25">
      <c r="A56" s="25"/>
      <c r="B56" s="11" t="str">
        <f>CONCATENATE("          ", "6332", " - ", "CONSULTANT FEES")</f>
        <v xml:space="preserve">          6332 - CONSULTANT FEES</v>
      </c>
      <c r="C56" s="11"/>
      <c r="D56" s="6">
        <v>21750</v>
      </c>
      <c r="E56" s="2"/>
      <c r="F56" s="7">
        <f t="shared" si="16"/>
        <v>0</v>
      </c>
      <c r="G56" s="2"/>
      <c r="H56" s="6"/>
      <c r="I56" s="2"/>
      <c r="J56" s="7">
        <f t="shared" si="17"/>
        <v>0</v>
      </c>
      <c r="K56" s="2"/>
      <c r="L56" s="6">
        <f t="shared" si="18"/>
        <v>21750</v>
      </c>
      <c r="M56" s="2"/>
      <c r="N56" s="7">
        <f t="shared" si="19"/>
        <v>0</v>
      </c>
      <c r="O56" s="11"/>
      <c r="P56" s="6">
        <v>21750</v>
      </c>
      <c r="Q56" s="2"/>
      <c r="R56" s="7">
        <f t="shared" si="20"/>
        <v>0</v>
      </c>
      <c r="S56" s="2"/>
      <c r="T56" s="6"/>
      <c r="U56" s="2"/>
      <c r="V56" s="7">
        <f t="shared" si="21"/>
        <v>0</v>
      </c>
      <c r="W56" s="2"/>
      <c r="X56" s="6">
        <f t="shared" si="22"/>
        <v>21750</v>
      </c>
      <c r="Y56" s="2"/>
      <c r="Z56" s="7">
        <f t="shared" si="23"/>
        <v>0</v>
      </c>
    </row>
    <row r="57" spans="1:26" s="24" customFormat="1" hidden="1" outlineLevel="2" x14ac:dyDescent="0.25">
      <c r="A57" s="25"/>
      <c r="B57" s="11" t="str">
        <f>CONCATENATE("          ", "6334", " - ", "LEGAL COUNCIL EXPENSE")</f>
        <v xml:space="preserve">          6334 - LEGAL COUNCIL EXPENSE</v>
      </c>
      <c r="C57" s="11"/>
      <c r="D57" s="6"/>
      <c r="E57" s="2"/>
      <c r="F57" s="7">
        <f t="shared" si="16"/>
        <v>0</v>
      </c>
      <c r="G57" s="2"/>
      <c r="H57" s="6">
        <v>833</v>
      </c>
      <c r="I57" s="2"/>
      <c r="J57" s="7">
        <f t="shared" si="17"/>
        <v>0</v>
      </c>
      <c r="K57" s="2"/>
      <c r="L57" s="6">
        <f t="shared" si="18"/>
        <v>-833</v>
      </c>
      <c r="M57" s="2"/>
      <c r="N57" s="7">
        <f t="shared" si="19"/>
        <v>-1</v>
      </c>
      <c r="O57" s="11"/>
      <c r="P57" s="6">
        <v>38010</v>
      </c>
      <c r="Q57" s="2"/>
      <c r="R57" s="7">
        <f t="shared" si="20"/>
        <v>0</v>
      </c>
      <c r="S57" s="2"/>
      <c r="T57" s="6">
        <v>7497</v>
      </c>
      <c r="U57" s="2"/>
      <c r="V57" s="7">
        <f t="shared" si="21"/>
        <v>0</v>
      </c>
      <c r="W57" s="2"/>
      <c r="X57" s="6">
        <f t="shared" si="22"/>
        <v>30513</v>
      </c>
      <c r="Y57" s="2"/>
      <c r="Z57" s="7">
        <f t="shared" si="23"/>
        <v>4.0700280112044815</v>
      </c>
    </row>
    <row r="58" spans="1:26" s="24" customFormat="1" hidden="1" outlineLevel="2" x14ac:dyDescent="0.25">
      <c r="A58" s="25"/>
      <c r="B58" s="11" t="str">
        <f>CONCATENATE("          ", "6336", " - ", "PROFESSIONAL SERVICES")</f>
        <v xml:space="preserve">          6336 - PROFESSIONAL SERVICES</v>
      </c>
      <c r="C58" s="11"/>
      <c r="D58" s="6">
        <v>5600</v>
      </c>
      <c r="E58" s="2"/>
      <c r="F58" s="7">
        <f t="shared" si="16"/>
        <v>0</v>
      </c>
      <c r="G58" s="2"/>
      <c r="H58" s="6">
        <v>12000</v>
      </c>
      <c r="I58" s="2"/>
      <c r="J58" s="7">
        <f t="shared" si="17"/>
        <v>0</v>
      </c>
      <c r="K58" s="2"/>
      <c r="L58" s="6">
        <f t="shared" si="18"/>
        <v>-6400</v>
      </c>
      <c r="M58" s="2"/>
      <c r="N58" s="7">
        <f t="shared" si="19"/>
        <v>-0.53333333333333333</v>
      </c>
      <c r="O58" s="11"/>
      <c r="P58" s="6">
        <v>25023.52</v>
      </c>
      <c r="Q58" s="2"/>
      <c r="R58" s="7">
        <f t="shared" si="20"/>
        <v>0</v>
      </c>
      <c r="S58" s="2"/>
      <c r="T58" s="6">
        <v>44000</v>
      </c>
      <c r="U58" s="2"/>
      <c r="V58" s="7">
        <f t="shared" si="21"/>
        <v>0</v>
      </c>
      <c r="W58" s="2"/>
      <c r="X58" s="6">
        <f t="shared" si="22"/>
        <v>-18976.48</v>
      </c>
      <c r="Y58" s="2"/>
      <c r="Z58" s="7">
        <f t="shared" si="23"/>
        <v>-0.43128363636363637</v>
      </c>
    </row>
    <row r="59" spans="1:26" s="27" customFormat="1" outlineLevel="1" collapsed="1" x14ac:dyDescent="0.25">
      <c r="A59" s="26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SUM(OSRRefD22_10x_0)</f>
        <v>13340.68</v>
      </c>
      <c r="E59" s="1"/>
      <c r="F59" s="5">
        <f t="shared" ref="F59:F61" si="24">IF(D$12=0,0,D59/D$12)</f>
        <v>0</v>
      </c>
      <c r="G59" s="1"/>
      <c r="H59" s="1">
        <f>SUM(OSRRefH22_10x_0)</f>
        <v>12920</v>
      </c>
      <c r="I59" s="1"/>
      <c r="J59" s="5">
        <f t="shared" ref="J59:J61" si="25">IF(H$12=0,0,H59/H$12)</f>
        <v>0</v>
      </c>
      <c r="K59" s="1"/>
      <c r="L59" s="1">
        <f t="shared" ref="L59:L61" si="26">+D59-H59</f>
        <v>420.68000000000029</v>
      </c>
      <c r="M59" s="1"/>
      <c r="N59" s="5">
        <f t="shared" ref="N59:N61" si="27">IF(H59=0,0,L59/H59)</f>
        <v>3.2560371517027883E-2</v>
      </c>
      <c r="O59" s="13"/>
      <c r="P59" s="1">
        <f>SUM(OSRRefP22_10x_0)</f>
        <v>119644.8</v>
      </c>
      <c r="Q59" s="1"/>
      <c r="R59" s="5">
        <f t="shared" ref="R59:R61" si="28">IF(P$12=0,0,P59/P$12)</f>
        <v>0</v>
      </c>
      <c r="S59" s="1"/>
      <c r="T59" s="1">
        <f>SUM(OSRRefT22_10x_0)</f>
        <v>103360</v>
      </c>
      <c r="U59" s="1"/>
      <c r="V59" s="5">
        <f t="shared" ref="V59:V61" si="29">IF(T$12=0,0,T59/T$12)</f>
        <v>0</v>
      </c>
      <c r="W59" s="1"/>
      <c r="X59" s="1">
        <f t="shared" ref="X59:X61" si="30">+P59-T59</f>
        <v>16284.800000000003</v>
      </c>
      <c r="Y59" s="1"/>
      <c r="Z59" s="5">
        <f t="shared" ref="Z59:Z61" si="31">IF(T59=0,0,X59/T59)</f>
        <v>0.15755417956656351</v>
      </c>
    </row>
    <row r="60" spans="1:26" s="24" customFormat="1" hidden="1" outlineLevel="2" x14ac:dyDescent="0.25">
      <c r="A60" s="25"/>
      <c r="B60" s="11" t="str">
        <f>CONCATENATE("          ", "6371", " - ", "COMPUTER SOFTWARE MAINTENANCE")</f>
        <v xml:space="preserve">          6371 - COMPUTER SOFTWARE MAINTENANCE</v>
      </c>
      <c r="C60" s="11"/>
      <c r="D60" s="6">
        <v>13340.68</v>
      </c>
      <c r="E60" s="2"/>
      <c r="F60" s="7">
        <f t="shared" si="24"/>
        <v>0</v>
      </c>
      <c r="G60" s="2"/>
      <c r="H60" s="6">
        <v>12920</v>
      </c>
      <c r="I60" s="2"/>
      <c r="J60" s="7">
        <f t="shared" si="25"/>
        <v>0</v>
      </c>
      <c r="K60" s="2"/>
      <c r="L60" s="6">
        <f t="shared" si="26"/>
        <v>420.68000000000029</v>
      </c>
      <c r="M60" s="2"/>
      <c r="N60" s="7">
        <f t="shared" si="27"/>
        <v>3.2560371517027883E-2</v>
      </c>
      <c r="O60" s="11"/>
      <c r="P60" s="6">
        <v>118951.13</v>
      </c>
      <c r="Q60" s="2"/>
      <c r="R60" s="7">
        <f t="shared" si="28"/>
        <v>0</v>
      </c>
      <c r="S60" s="2"/>
      <c r="T60" s="6">
        <v>103360</v>
      </c>
      <c r="U60" s="2"/>
      <c r="V60" s="7">
        <f t="shared" si="29"/>
        <v>0</v>
      </c>
      <c r="W60" s="2"/>
      <c r="X60" s="6">
        <f t="shared" si="30"/>
        <v>15591.130000000005</v>
      </c>
      <c r="Y60" s="2"/>
      <c r="Z60" s="7">
        <f t="shared" si="31"/>
        <v>0.15084297600619201</v>
      </c>
    </row>
    <row r="61" spans="1:26" s="24" customFormat="1" hidden="1" outlineLevel="2" x14ac:dyDescent="0.25">
      <c r="A61" s="25"/>
      <c r="B61" s="11" t="str">
        <f>CONCATENATE("          ", "6373", " - ", "MAINTENANCE CONTRACTS")</f>
        <v xml:space="preserve">          6373 - MAINTENANCE CONTRACTS</v>
      </c>
      <c r="C61" s="11"/>
      <c r="D61" s="6"/>
      <c r="E61" s="2"/>
      <c r="F61" s="7">
        <f t="shared" si="24"/>
        <v>0</v>
      </c>
      <c r="G61" s="2"/>
      <c r="H61" s="6"/>
      <c r="I61" s="2"/>
      <c r="J61" s="7">
        <f t="shared" si="25"/>
        <v>0</v>
      </c>
      <c r="K61" s="2"/>
      <c r="L61" s="6">
        <f t="shared" si="26"/>
        <v>0</v>
      </c>
      <c r="M61" s="2"/>
      <c r="N61" s="7">
        <f t="shared" si="27"/>
        <v>0</v>
      </c>
      <c r="O61" s="11"/>
      <c r="P61" s="6">
        <v>693.67</v>
      </c>
      <c r="Q61" s="2"/>
      <c r="R61" s="7">
        <f t="shared" si="28"/>
        <v>0</v>
      </c>
      <c r="S61" s="2"/>
      <c r="T61" s="6"/>
      <c r="U61" s="2"/>
      <c r="V61" s="7">
        <f t="shared" si="29"/>
        <v>0</v>
      </c>
      <c r="W61" s="2"/>
      <c r="X61" s="6">
        <f t="shared" si="30"/>
        <v>693.67</v>
      </c>
      <c r="Y61" s="2"/>
      <c r="Z61" s="7">
        <f t="shared" si="31"/>
        <v>0</v>
      </c>
    </row>
    <row r="62" spans="1:26" s="27" customFormat="1" outlineLevel="1" collapsed="1" x14ac:dyDescent="0.25">
      <c r="A62" s="26"/>
      <c r="B62" s="13" t="str">
        <f>CONCATENATE("     ","Subscriptions &amp; Dues                              ")</f>
        <v xml:space="preserve">     Subscriptions &amp; Dues                              </v>
      </c>
      <c r="C62" s="13"/>
      <c r="D62" s="1">
        <f>SUM(OSRRefD22_11x_0)</f>
        <v>0</v>
      </c>
      <c r="E62" s="1"/>
      <c r="F62" s="5">
        <f t="shared" ref="F62:F67" si="32">IF(D$12=0,0,D62/D$12)</f>
        <v>0</v>
      </c>
      <c r="G62" s="1"/>
      <c r="H62" s="1">
        <f>SUM(OSRRefH22_11x_0)</f>
        <v>0</v>
      </c>
      <c r="I62" s="1"/>
      <c r="J62" s="5">
        <f t="shared" ref="J62:J67" si="33">IF(H$12=0,0,H62/H$12)</f>
        <v>0</v>
      </c>
      <c r="K62" s="1"/>
      <c r="L62" s="1">
        <f t="shared" ref="L62:L67" si="34">+D62-H62</f>
        <v>0</v>
      </c>
      <c r="M62" s="1"/>
      <c r="N62" s="5">
        <f t="shared" ref="N62:N67" si="35">IF(H62=0,0,L62/H62)</f>
        <v>0</v>
      </c>
      <c r="O62" s="13"/>
      <c r="P62" s="1">
        <f>SUM(OSRRefP22_11x_0)</f>
        <v>587</v>
      </c>
      <c r="Q62" s="1"/>
      <c r="R62" s="5">
        <f t="shared" ref="R62:R67" si="36">IF(P$12=0,0,P62/P$12)</f>
        <v>0</v>
      </c>
      <c r="S62" s="1"/>
      <c r="T62" s="1">
        <f>SUM(OSRRefT22_11x_0)</f>
        <v>627</v>
      </c>
      <c r="U62" s="1"/>
      <c r="V62" s="5">
        <f t="shared" ref="V62:V67" si="37">IF(T$12=0,0,T62/T$12)</f>
        <v>0</v>
      </c>
      <c r="W62" s="1"/>
      <c r="X62" s="1">
        <f t="shared" ref="X62:X67" si="38">+P62-T62</f>
        <v>-40</v>
      </c>
      <c r="Y62" s="1"/>
      <c r="Z62" s="5">
        <f t="shared" ref="Z62:Z67" si="39">IF(T62=0,0,X62/T62)</f>
        <v>-6.3795853269537475E-2</v>
      </c>
    </row>
    <row r="63" spans="1:26" s="24" customFormat="1" hidden="1" outlineLevel="2" x14ac:dyDescent="0.25">
      <c r="A63" s="25"/>
      <c r="B63" s="11" t="str">
        <f>CONCATENATE("          ", "6258", " - ", "MEMBERSHIP DUES")</f>
        <v xml:space="preserve">          6258 - MEMBERSHIP DUES</v>
      </c>
      <c r="C63" s="11"/>
      <c r="D63" s="6"/>
      <c r="E63" s="2"/>
      <c r="F63" s="7">
        <f t="shared" si="32"/>
        <v>0</v>
      </c>
      <c r="G63" s="2"/>
      <c r="H63" s="6"/>
      <c r="I63" s="2"/>
      <c r="J63" s="7">
        <f t="shared" si="33"/>
        <v>0</v>
      </c>
      <c r="K63" s="2"/>
      <c r="L63" s="6">
        <f t="shared" si="34"/>
        <v>0</v>
      </c>
      <c r="M63" s="2"/>
      <c r="N63" s="7">
        <f t="shared" si="35"/>
        <v>0</v>
      </c>
      <c r="O63" s="11"/>
      <c r="P63" s="6">
        <v>587</v>
      </c>
      <c r="Q63" s="2"/>
      <c r="R63" s="7">
        <f t="shared" si="36"/>
        <v>0</v>
      </c>
      <c r="S63" s="2"/>
      <c r="T63" s="6">
        <v>627</v>
      </c>
      <c r="U63" s="2"/>
      <c r="V63" s="7">
        <f t="shared" si="37"/>
        <v>0</v>
      </c>
      <c r="W63" s="2"/>
      <c r="X63" s="6">
        <f t="shared" si="38"/>
        <v>-40</v>
      </c>
      <c r="Y63" s="2"/>
      <c r="Z63" s="7">
        <f t="shared" si="39"/>
        <v>-6.3795853269537475E-2</v>
      </c>
    </row>
    <row r="64" spans="1:26" s="27" customFormat="1" outlineLevel="1" collapsed="1" x14ac:dyDescent="0.25">
      <c r="A64" s="26"/>
      <c r="B64" s="13" t="str">
        <f>CONCATENATE("     ","Supplies                                          ")</f>
        <v xml:space="preserve">     Supplies                                          </v>
      </c>
      <c r="C64" s="13"/>
      <c r="D64" s="1">
        <f>SUM(OSRRefD22_12x_0)</f>
        <v>853.40000000000009</v>
      </c>
      <c r="E64" s="1"/>
      <c r="F64" s="5">
        <f t="shared" si="32"/>
        <v>0</v>
      </c>
      <c r="G64" s="1"/>
      <c r="H64" s="1">
        <f>SUM(OSRRefH22_12x_0)</f>
        <v>1417</v>
      </c>
      <c r="I64" s="1"/>
      <c r="J64" s="5">
        <f t="shared" si="33"/>
        <v>0</v>
      </c>
      <c r="K64" s="1"/>
      <c r="L64" s="1">
        <f t="shared" si="34"/>
        <v>-563.59999999999991</v>
      </c>
      <c r="M64" s="1"/>
      <c r="N64" s="5">
        <f t="shared" si="35"/>
        <v>-0.39774170783345086</v>
      </c>
      <c r="O64" s="13"/>
      <c r="P64" s="1">
        <f>SUM(OSRRefP22_12x_0)</f>
        <v>16845.010000000002</v>
      </c>
      <c r="Q64" s="1"/>
      <c r="R64" s="5">
        <f t="shared" si="36"/>
        <v>0</v>
      </c>
      <c r="S64" s="1"/>
      <c r="T64" s="1">
        <f>SUM(OSRRefT22_12x_0)</f>
        <v>15303</v>
      </c>
      <c r="U64" s="1"/>
      <c r="V64" s="5">
        <f t="shared" si="37"/>
        <v>0</v>
      </c>
      <c r="W64" s="1"/>
      <c r="X64" s="1">
        <f t="shared" si="38"/>
        <v>1542.010000000002</v>
      </c>
      <c r="Y64" s="1"/>
      <c r="Z64" s="5">
        <f t="shared" si="39"/>
        <v>0.10076520943605842</v>
      </c>
    </row>
    <row r="65" spans="1:26" s="24" customFormat="1" hidden="1" outlineLevel="2" x14ac:dyDescent="0.25">
      <c r="A65" s="25"/>
      <c r="B65" s="11" t="str">
        <f>CONCATENATE("          ", "6241", " - ", "OFFICE EXPENSE")</f>
        <v xml:space="preserve">          6241 - OFFICE EXPENSE</v>
      </c>
      <c r="C65" s="11"/>
      <c r="D65" s="6">
        <v>750.32</v>
      </c>
      <c r="E65" s="2"/>
      <c r="F65" s="7">
        <f t="shared" si="32"/>
        <v>0</v>
      </c>
      <c r="G65" s="2"/>
      <c r="H65" s="6">
        <v>1000</v>
      </c>
      <c r="I65" s="2"/>
      <c r="J65" s="7">
        <f t="shared" si="33"/>
        <v>0</v>
      </c>
      <c r="K65" s="2"/>
      <c r="L65" s="6">
        <f t="shared" si="34"/>
        <v>-249.67999999999995</v>
      </c>
      <c r="M65" s="2"/>
      <c r="N65" s="7">
        <f t="shared" si="35"/>
        <v>-0.24967999999999996</v>
      </c>
      <c r="O65" s="11"/>
      <c r="P65" s="6">
        <v>12530.94</v>
      </c>
      <c r="Q65" s="2"/>
      <c r="R65" s="7">
        <f t="shared" si="36"/>
        <v>0</v>
      </c>
      <c r="S65" s="2"/>
      <c r="T65" s="6">
        <v>11550</v>
      </c>
      <c r="U65" s="2"/>
      <c r="V65" s="7">
        <f t="shared" si="37"/>
        <v>0</v>
      </c>
      <c r="W65" s="2"/>
      <c r="X65" s="6">
        <f t="shared" si="38"/>
        <v>980.94000000000051</v>
      </c>
      <c r="Y65" s="2"/>
      <c r="Z65" s="7">
        <f t="shared" si="39"/>
        <v>8.4929870129870175E-2</v>
      </c>
    </row>
    <row r="66" spans="1:26" s="24" customFormat="1" hidden="1" outlineLevel="2" x14ac:dyDescent="0.25">
      <c r="A66" s="25"/>
      <c r="B66" s="11" t="str">
        <f>CONCATENATE("          ", "6244", " - ", "SAFETY SUPPLY EXPENSE")</f>
        <v xml:space="preserve">          6244 - SAFETY SUPPLY EXPENSE</v>
      </c>
      <c r="C66" s="11"/>
      <c r="D66" s="6">
        <v>103.08</v>
      </c>
      <c r="E66" s="2"/>
      <c r="F66" s="7">
        <f t="shared" si="32"/>
        <v>0</v>
      </c>
      <c r="G66" s="2"/>
      <c r="H66" s="6">
        <v>417</v>
      </c>
      <c r="I66" s="2"/>
      <c r="J66" s="7">
        <f t="shared" si="33"/>
        <v>0</v>
      </c>
      <c r="K66" s="2"/>
      <c r="L66" s="6">
        <f t="shared" si="34"/>
        <v>-313.92</v>
      </c>
      <c r="M66" s="2"/>
      <c r="N66" s="7">
        <f t="shared" si="35"/>
        <v>-0.75280575539568351</v>
      </c>
      <c r="O66" s="11"/>
      <c r="P66" s="6">
        <v>2110.41</v>
      </c>
      <c r="Q66" s="2"/>
      <c r="R66" s="7">
        <f t="shared" si="36"/>
        <v>0</v>
      </c>
      <c r="S66" s="2"/>
      <c r="T66" s="6">
        <v>3753</v>
      </c>
      <c r="U66" s="2"/>
      <c r="V66" s="7">
        <f t="shared" si="37"/>
        <v>0</v>
      </c>
      <c r="W66" s="2"/>
      <c r="X66" s="6">
        <f t="shared" si="38"/>
        <v>-1642.5900000000001</v>
      </c>
      <c r="Y66" s="2"/>
      <c r="Z66" s="7">
        <f t="shared" si="39"/>
        <v>-0.43767386091127103</v>
      </c>
    </row>
    <row r="67" spans="1:26" s="24" customFormat="1" hidden="1" outlineLevel="2" x14ac:dyDescent="0.25">
      <c r="A67" s="25"/>
      <c r="B67" s="11" t="str">
        <f>CONCATENATE("          ", "6245", " - ", "PRINTING")</f>
        <v xml:space="preserve">          6245 - PRINTING</v>
      </c>
      <c r="C67" s="11"/>
      <c r="D67" s="6"/>
      <c r="E67" s="2"/>
      <c r="F67" s="7">
        <f t="shared" si="32"/>
        <v>0</v>
      </c>
      <c r="G67" s="2"/>
      <c r="H67" s="6"/>
      <c r="I67" s="2"/>
      <c r="J67" s="7">
        <f t="shared" si="33"/>
        <v>0</v>
      </c>
      <c r="K67" s="2"/>
      <c r="L67" s="6">
        <f t="shared" si="34"/>
        <v>0</v>
      </c>
      <c r="M67" s="2"/>
      <c r="N67" s="7">
        <f t="shared" si="35"/>
        <v>0</v>
      </c>
      <c r="O67" s="11"/>
      <c r="P67" s="6">
        <v>2203.66</v>
      </c>
      <c r="Q67" s="2"/>
      <c r="R67" s="7">
        <f t="shared" si="36"/>
        <v>0</v>
      </c>
      <c r="S67" s="2"/>
      <c r="T67" s="6"/>
      <c r="U67" s="2"/>
      <c r="V67" s="7">
        <f t="shared" si="37"/>
        <v>0</v>
      </c>
      <c r="W67" s="2"/>
      <c r="X67" s="6">
        <f t="shared" si="38"/>
        <v>2203.66</v>
      </c>
      <c r="Y67" s="2"/>
      <c r="Z67" s="7">
        <f t="shared" si="39"/>
        <v>0</v>
      </c>
    </row>
    <row r="68" spans="1:26" s="27" customFormat="1" outlineLevel="1" collapsed="1" x14ac:dyDescent="0.25">
      <c r="A68" s="26"/>
      <c r="B68" s="13" t="str">
        <f>CONCATENATE("     ","Telephone/Data Lines                              ")</f>
        <v xml:space="preserve">     Telephone/Data Lines                              </v>
      </c>
      <c r="C68" s="13"/>
      <c r="D68" s="1">
        <f>SUM(OSRRefD22_13x_0)</f>
        <v>354.82</v>
      </c>
      <c r="E68" s="1"/>
      <c r="F68" s="5">
        <f t="shared" ref="F68:F73" si="40">IF(D$12=0,0,D68/D$12)</f>
        <v>0</v>
      </c>
      <c r="G68" s="1"/>
      <c r="H68" s="1">
        <f>SUM(OSRRefH22_13x_0)</f>
        <v>290</v>
      </c>
      <c r="I68" s="1"/>
      <c r="J68" s="5">
        <f t="shared" ref="J68:J73" si="41">IF(H$12=0,0,H68/H$12)</f>
        <v>0</v>
      </c>
      <c r="K68" s="1"/>
      <c r="L68" s="1">
        <f t="shared" ref="L68:L73" si="42">+D68-H68</f>
        <v>64.819999999999993</v>
      </c>
      <c r="M68" s="1"/>
      <c r="N68" s="5">
        <f t="shared" ref="N68:N73" si="43">IF(H68=0,0,L68/H68)</f>
        <v>0.22351724137931031</v>
      </c>
      <c r="O68" s="13"/>
      <c r="P68" s="1">
        <f>SUM(OSRRefP22_13x_0)</f>
        <v>2967.72</v>
      </c>
      <c r="Q68" s="1"/>
      <c r="R68" s="5">
        <f t="shared" ref="R68:R73" si="44">IF(P$12=0,0,P68/P$12)</f>
        <v>0</v>
      </c>
      <c r="S68" s="1"/>
      <c r="T68" s="1">
        <f>SUM(OSRRefT22_13x_0)</f>
        <v>2610</v>
      </c>
      <c r="U68" s="1"/>
      <c r="V68" s="5">
        <f t="shared" ref="V68:V73" si="45">IF(T$12=0,0,T68/T$12)</f>
        <v>0</v>
      </c>
      <c r="W68" s="1"/>
      <c r="X68" s="1">
        <f t="shared" ref="X68:X73" si="46">+P68-T68</f>
        <v>357.7199999999998</v>
      </c>
      <c r="Y68" s="1"/>
      <c r="Z68" s="5">
        <f t="shared" ref="Z68:Z73" si="47">IF(T68=0,0,X68/T68)</f>
        <v>0.13705747126436774</v>
      </c>
    </row>
    <row r="69" spans="1:26" s="24" customFormat="1" hidden="1" outlineLevel="2" x14ac:dyDescent="0.25">
      <c r="A69" s="25"/>
      <c r="B69" s="11" t="str">
        <f>CONCATENATE("          ", "6309", " - ", "TELEPHONE")</f>
        <v xml:space="preserve">          6309 - TELEPHONE</v>
      </c>
      <c r="C69" s="11"/>
      <c r="D69" s="6">
        <v>354.82</v>
      </c>
      <c r="E69" s="2"/>
      <c r="F69" s="7">
        <f t="shared" si="40"/>
        <v>0</v>
      </c>
      <c r="G69" s="2"/>
      <c r="H69" s="6">
        <v>290</v>
      </c>
      <c r="I69" s="2"/>
      <c r="J69" s="7">
        <f t="shared" si="41"/>
        <v>0</v>
      </c>
      <c r="K69" s="2"/>
      <c r="L69" s="6">
        <f t="shared" si="42"/>
        <v>64.819999999999993</v>
      </c>
      <c r="M69" s="2"/>
      <c r="N69" s="7">
        <f t="shared" si="43"/>
        <v>0.22351724137931031</v>
      </c>
      <c r="O69" s="11"/>
      <c r="P69" s="6">
        <v>2967.72</v>
      </c>
      <c r="Q69" s="2"/>
      <c r="R69" s="7">
        <f t="shared" si="44"/>
        <v>0</v>
      </c>
      <c r="S69" s="2"/>
      <c r="T69" s="6">
        <v>2610</v>
      </c>
      <c r="U69" s="2"/>
      <c r="V69" s="7">
        <f t="shared" si="45"/>
        <v>0</v>
      </c>
      <c r="W69" s="2"/>
      <c r="X69" s="6">
        <f t="shared" si="46"/>
        <v>357.7199999999998</v>
      </c>
      <c r="Y69" s="2"/>
      <c r="Z69" s="7">
        <f t="shared" si="47"/>
        <v>0.13705747126436774</v>
      </c>
    </row>
    <row r="70" spans="1:26" s="27" customFormat="1" outlineLevel="1" collapsed="1" x14ac:dyDescent="0.25">
      <c r="A70" s="26"/>
      <c r="B70" s="13" t="str">
        <f>CONCATENATE("     ","Training                                          ")</f>
        <v xml:space="preserve">     Training                                          </v>
      </c>
      <c r="C70" s="13"/>
      <c r="D70" s="1">
        <f>SUM(OSRRefD22_14x_0)</f>
        <v>1495</v>
      </c>
      <c r="E70" s="1"/>
      <c r="F70" s="5">
        <f t="shared" si="40"/>
        <v>0</v>
      </c>
      <c r="G70" s="1"/>
      <c r="H70" s="1">
        <f>SUM(OSRRefH22_14x_0)</f>
        <v>0</v>
      </c>
      <c r="I70" s="1"/>
      <c r="J70" s="5">
        <f t="shared" si="41"/>
        <v>0</v>
      </c>
      <c r="K70" s="1"/>
      <c r="L70" s="1">
        <f t="shared" si="42"/>
        <v>1495</v>
      </c>
      <c r="M70" s="1"/>
      <c r="N70" s="5">
        <f t="shared" si="43"/>
        <v>0</v>
      </c>
      <c r="O70" s="13"/>
      <c r="P70" s="1">
        <f>SUM(OSRRefP22_14x_0)</f>
        <v>10527.8</v>
      </c>
      <c r="Q70" s="1"/>
      <c r="R70" s="5">
        <f t="shared" si="44"/>
        <v>0</v>
      </c>
      <c r="S70" s="1"/>
      <c r="T70" s="1">
        <f>SUM(OSRRefT22_14x_0)</f>
        <v>8000</v>
      </c>
      <c r="U70" s="1"/>
      <c r="V70" s="5">
        <f t="shared" si="45"/>
        <v>0</v>
      </c>
      <c r="W70" s="1"/>
      <c r="X70" s="1">
        <f t="shared" si="46"/>
        <v>2527.7999999999993</v>
      </c>
      <c r="Y70" s="1"/>
      <c r="Z70" s="5">
        <f t="shared" si="47"/>
        <v>0.31597499999999989</v>
      </c>
    </row>
    <row r="71" spans="1:26" s="24" customFormat="1" hidden="1" outlineLevel="2" x14ac:dyDescent="0.25">
      <c r="A71" s="25"/>
      <c r="B71" s="11" t="str">
        <f>CONCATENATE("          ", "6376", " - ", "TRAINING")</f>
        <v xml:space="preserve">          6376 - TRAINING</v>
      </c>
      <c r="C71" s="11"/>
      <c r="D71" s="6">
        <v>1495</v>
      </c>
      <c r="E71" s="2"/>
      <c r="F71" s="7">
        <f t="shared" si="40"/>
        <v>0</v>
      </c>
      <c r="G71" s="2"/>
      <c r="H71" s="6"/>
      <c r="I71" s="2"/>
      <c r="J71" s="7">
        <f t="shared" si="41"/>
        <v>0</v>
      </c>
      <c r="K71" s="2"/>
      <c r="L71" s="6">
        <f t="shared" si="42"/>
        <v>1495</v>
      </c>
      <c r="M71" s="2"/>
      <c r="N71" s="7">
        <f t="shared" si="43"/>
        <v>0</v>
      </c>
      <c r="O71" s="11"/>
      <c r="P71" s="6">
        <v>10527.8</v>
      </c>
      <c r="Q71" s="2"/>
      <c r="R71" s="7">
        <f t="shared" si="44"/>
        <v>0</v>
      </c>
      <c r="S71" s="2"/>
      <c r="T71" s="6">
        <v>8000</v>
      </c>
      <c r="U71" s="2"/>
      <c r="V71" s="7">
        <f t="shared" si="45"/>
        <v>0</v>
      </c>
      <c r="W71" s="2"/>
      <c r="X71" s="6">
        <f t="shared" si="46"/>
        <v>2527.7999999999993</v>
      </c>
      <c r="Y71" s="2"/>
      <c r="Z71" s="7">
        <f t="shared" si="47"/>
        <v>0.31597499999999989</v>
      </c>
    </row>
    <row r="72" spans="1:26" s="27" customFormat="1" outlineLevel="1" collapsed="1" x14ac:dyDescent="0.25">
      <c r="A72" s="26"/>
      <c r="B72" s="13" t="str">
        <f>CONCATENATE("     ","Travel                                            ")</f>
        <v xml:space="preserve">     Travel                                            </v>
      </c>
      <c r="C72" s="13"/>
      <c r="D72" s="1">
        <f>SUM(OSRRefD22_15x_0)</f>
        <v>0</v>
      </c>
      <c r="E72" s="1"/>
      <c r="F72" s="5">
        <f t="shared" si="40"/>
        <v>0</v>
      </c>
      <c r="G72" s="1"/>
      <c r="H72" s="1">
        <f>SUM(OSRRefH22_15x_0)</f>
        <v>0</v>
      </c>
      <c r="I72" s="1"/>
      <c r="J72" s="5">
        <f t="shared" si="41"/>
        <v>0</v>
      </c>
      <c r="K72" s="1"/>
      <c r="L72" s="1">
        <f t="shared" si="42"/>
        <v>0</v>
      </c>
      <c r="M72" s="1"/>
      <c r="N72" s="5">
        <f t="shared" si="43"/>
        <v>0</v>
      </c>
      <c r="O72" s="13"/>
      <c r="P72" s="1">
        <f>SUM(OSRRefP22_15x_0)</f>
        <v>3487.01</v>
      </c>
      <c r="Q72" s="1"/>
      <c r="R72" s="5">
        <f t="shared" si="44"/>
        <v>0</v>
      </c>
      <c r="S72" s="1"/>
      <c r="T72" s="1">
        <f>SUM(OSRRefT22_15x_0)</f>
        <v>4879</v>
      </c>
      <c r="U72" s="1"/>
      <c r="V72" s="5">
        <f t="shared" si="45"/>
        <v>0</v>
      </c>
      <c r="W72" s="1"/>
      <c r="X72" s="1">
        <f t="shared" si="46"/>
        <v>-1391.9899999999998</v>
      </c>
      <c r="Y72" s="1"/>
      <c r="Z72" s="5">
        <f t="shared" si="47"/>
        <v>-0.28530231604837053</v>
      </c>
    </row>
    <row r="73" spans="1:26" s="24" customFormat="1" hidden="1" outlineLevel="2" x14ac:dyDescent="0.25">
      <c r="A73" s="25"/>
      <c r="B73" s="11" t="str">
        <f>CONCATENATE("          ", "6292", " - ", "TRAVEL/CONFERENCE")</f>
        <v xml:space="preserve">          6292 - TRAVEL/CONFERENCE</v>
      </c>
      <c r="C73" s="11"/>
      <c r="D73" s="6"/>
      <c r="E73" s="2"/>
      <c r="F73" s="7">
        <f t="shared" si="40"/>
        <v>0</v>
      </c>
      <c r="G73" s="2"/>
      <c r="H73" s="6"/>
      <c r="I73" s="2"/>
      <c r="J73" s="7">
        <f t="shared" si="41"/>
        <v>0</v>
      </c>
      <c r="K73" s="2"/>
      <c r="L73" s="6">
        <f t="shared" si="42"/>
        <v>0</v>
      </c>
      <c r="M73" s="2"/>
      <c r="N73" s="7">
        <f t="shared" si="43"/>
        <v>0</v>
      </c>
      <c r="O73" s="11"/>
      <c r="P73" s="6">
        <v>3487.01</v>
      </c>
      <c r="Q73" s="2"/>
      <c r="R73" s="7">
        <f t="shared" si="44"/>
        <v>0</v>
      </c>
      <c r="S73" s="2"/>
      <c r="T73" s="6">
        <v>4879</v>
      </c>
      <c r="U73" s="2"/>
      <c r="V73" s="7">
        <f t="shared" si="45"/>
        <v>0</v>
      </c>
      <c r="W73" s="2"/>
      <c r="X73" s="6">
        <f t="shared" si="46"/>
        <v>-1391.9899999999998</v>
      </c>
      <c r="Y73" s="2"/>
      <c r="Z73" s="7">
        <f t="shared" si="47"/>
        <v>-0.28530231604837053</v>
      </c>
    </row>
    <row r="74" spans="1:26" s="56" customFormat="1" x14ac:dyDescent="0.25">
      <c r="A74" s="36"/>
      <c r="B74" s="36"/>
      <c r="C74" s="36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6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25">
      <c r="A75" s="10"/>
      <c r="B75" s="29" t="s">
        <v>0</v>
      </c>
      <c r="C75" s="10"/>
      <c r="D75" s="4">
        <f>SUM(0)</f>
        <v>0</v>
      </c>
      <c r="E75" s="4"/>
      <c r="F75" s="12">
        <f>IF(D$12=0,0,D75/D$12)</f>
        <v>0</v>
      </c>
      <c r="G75" s="4"/>
      <c r="H75" s="4">
        <f>SUM(0)</f>
        <v>0</v>
      </c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>
        <f>SUM(0)</f>
        <v>0</v>
      </c>
      <c r="Q75" s="4"/>
      <c r="R75" s="12">
        <f>IF(P$12=0,0,P75/P$12)</f>
        <v>0</v>
      </c>
      <c r="S75" s="4"/>
      <c r="T75" s="4">
        <f>SUM(0)</f>
        <v>0</v>
      </c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8" t="s">
        <v>3</v>
      </c>
      <c r="C77" s="28"/>
      <c r="D77" s="20">
        <f>+D16-D18+D75</f>
        <v>-101936.90000000001</v>
      </c>
      <c r="E77" s="14"/>
      <c r="F77" s="22">
        <f>IF(D$12=0,0,D77/D$12)</f>
        <v>0</v>
      </c>
      <c r="G77" s="14"/>
      <c r="H77" s="20">
        <f>+H16-H18+H75</f>
        <v>-62111.270203673834</v>
      </c>
      <c r="I77" s="14"/>
      <c r="J77" s="22">
        <f>IF(H$12=0,0,H77/H$12)</f>
        <v>0</v>
      </c>
      <c r="K77" s="16"/>
      <c r="L77" s="20">
        <f>+D77-H77</f>
        <v>-39825.629796326175</v>
      </c>
      <c r="M77" s="16"/>
      <c r="N77" s="22">
        <f>IF(H77=0,0,L77/H77)</f>
        <v>0.64119812178580304</v>
      </c>
      <c r="O77" s="29"/>
      <c r="P77" s="20">
        <f>+P16-P18+P75</f>
        <v>-645933.95000000007</v>
      </c>
      <c r="Q77" s="14"/>
      <c r="R77" s="22">
        <f>IF(P$12=0,0,P77/P$12)</f>
        <v>0</v>
      </c>
      <c r="S77" s="14"/>
      <c r="T77" s="20">
        <f>+T16-T18+T75</f>
        <v>-550753.54082616151</v>
      </c>
      <c r="U77" s="14"/>
      <c r="V77" s="22">
        <f>IF(T$12=0,0,T77/T$12)</f>
        <v>0</v>
      </c>
      <c r="W77" s="16"/>
      <c r="X77" s="20">
        <f>+P77-T77</f>
        <v>-95180.409173838561</v>
      </c>
      <c r="Y77" s="16"/>
      <c r="Z77" s="22">
        <f>IF(T77=0,0,X77/T77)</f>
        <v>0.17281851521292546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2"/>
      <c r="B79" s="10" t="s">
        <v>14</v>
      </c>
      <c r="C79" s="10"/>
      <c r="D79" s="4"/>
      <c r="E79" s="4"/>
      <c r="F79" s="12">
        <f>IF(D$12=0,0,D79/D$12)</f>
        <v>0</v>
      </c>
      <c r="G79" s="4"/>
      <c r="H79" s="4"/>
      <c r="I79" s="4"/>
      <c r="J79" s="12">
        <f>IF(H$12=0,0,H79/H$12)</f>
        <v>0</v>
      </c>
      <c r="K79" s="4"/>
      <c r="L79" s="4">
        <f>+D79-H79</f>
        <v>0</v>
      </c>
      <c r="M79" s="4"/>
      <c r="N79" s="12">
        <f>IF(H79=0,0,L79/H79)</f>
        <v>0</v>
      </c>
      <c r="O79" s="10"/>
      <c r="P79" s="4"/>
      <c r="Q79" s="4"/>
      <c r="R79" s="12">
        <f>IF(P$12=0,0,P79/P$12)</f>
        <v>0</v>
      </c>
      <c r="S79" s="4"/>
      <c r="T79" s="4"/>
      <c r="U79" s="4"/>
      <c r="V79" s="12">
        <f>IF(T$12=0,0,T79/T$12)</f>
        <v>0</v>
      </c>
      <c r="W79" s="4"/>
      <c r="X79" s="4">
        <f>+P79-T79</f>
        <v>0</v>
      </c>
      <c r="Y79" s="4"/>
      <c r="Z79" s="12">
        <f>IF(T79=0,0,X79/T79)</f>
        <v>0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8" t="s">
        <v>4</v>
      </c>
      <c r="C81" s="28"/>
      <c r="D81" s="31">
        <f>+D77-D79</f>
        <v>-101936.90000000001</v>
      </c>
      <c r="E81" s="14"/>
      <c r="F81" s="34">
        <f>IF(D$12=0,0,D81/D$12)</f>
        <v>0</v>
      </c>
      <c r="G81" s="14"/>
      <c r="H81" s="31">
        <f>+H77-H79</f>
        <v>-62111.270203673834</v>
      </c>
      <c r="I81" s="14"/>
      <c r="J81" s="34">
        <f>IF(H$12=0,0,H81/H$12)</f>
        <v>0</v>
      </c>
      <c r="K81" s="16"/>
      <c r="L81" s="31">
        <f>D81-H81</f>
        <v>-39825.629796326175</v>
      </c>
      <c r="M81" s="16"/>
      <c r="N81" s="34">
        <f>IF(H81=0,0,L81/H81)</f>
        <v>0.64119812178580304</v>
      </c>
      <c r="O81" s="29"/>
      <c r="P81" s="31">
        <f>+P77-P79</f>
        <v>-645933.95000000007</v>
      </c>
      <c r="Q81" s="14"/>
      <c r="R81" s="34">
        <f>IF(P$12=0,0,P81/P$12)</f>
        <v>0</v>
      </c>
      <c r="S81" s="14"/>
      <c r="T81" s="31">
        <f>+T77-T79</f>
        <v>-550753.54082616151</v>
      </c>
      <c r="U81" s="14"/>
      <c r="V81" s="34">
        <f>IF(T$12=0,0,T81/T$12)</f>
        <v>0</v>
      </c>
      <c r="W81" s="16"/>
      <c r="X81" s="31">
        <f>P81-T81</f>
        <v>-95180.409173838561</v>
      </c>
      <c r="Y81" s="16"/>
      <c r="Z81" s="34">
        <f>IF(T81=0,0,X81/T81)</f>
        <v>0.17281851521292546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8" t="s">
        <v>5</v>
      </c>
      <c r="C84" s="28"/>
      <c r="D84" s="32">
        <f>SUM(D81:D83)</f>
        <v>-101936.90000000001</v>
      </c>
      <c r="E84" s="14"/>
      <c r="F84" s="35">
        <f>IF(D$12=0,0,D84/D$12)</f>
        <v>0</v>
      </c>
      <c r="G84" s="14"/>
      <c r="H84" s="32">
        <f>SUM(H81:H83)</f>
        <v>-62111.270203673834</v>
      </c>
      <c r="I84" s="14"/>
      <c r="J84" s="35">
        <f>IF(H$12=0,0,H84/H$12)</f>
        <v>0</v>
      </c>
      <c r="K84" s="16"/>
      <c r="L84" s="32">
        <f>+D84-H84</f>
        <v>-39825.629796326175</v>
      </c>
      <c r="M84" s="16"/>
      <c r="N84" s="35">
        <f>IF(H84=0,0,L84/H84)</f>
        <v>0.64119812178580304</v>
      </c>
      <c r="O84" s="29"/>
      <c r="P84" s="32">
        <f>SUM(P81:P83)</f>
        <v>-645933.95000000007</v>
      </c>
      <c r="Q84" s="14"/>
      <c r="R84" s="35">
        <f>IF(P$12=0,0,P84/P$12)</f>
        <v>0</v>
      </c>
      <c r="S84" s="14"/>
      <c r="T84" s="32">
        <f>SUM(T81:T83)</f>
        <v>-550753.54082616151</v>
      </c>
      <c r="U84" s="14"/>
      <c r="V84" s="35">
        <f>IF(T$12=0,0,T84/T$12)</f>
        <v>0</v>
      </c>
      <c r="W84" s="16"/>
      <c r="X84" s="32">
        <f>+P84-T84</f>
        <v>-95180.409173838561</v>
      </c>
      <c r="Y84" s="16"/>
      <c r="Z84" s="35">
        <f>IF(T84=0,0,X84/T84)</f>
        <v>0.17281851521292546</v>
      </c>
    </row>
    <row r="85" spans="1:26" ht="15.75" thickTop="1" x14ac:dyDescent="0.25">
      <c r="A85" s="9"/>
      <c r="C85" s="9"/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A86" s="9"/>
      <c r="B86" s="57">
        <v>43934.466199849536</v>
      </c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A87" s="9"/>
      <c r="B87" s="62" t="s">
        <v>314</v>
      </c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A88" s="9"/>
      <c r="B88" s="60"/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","204", " - ", "Information Technology")</f>
        <v>Department 204 - Information Technology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200</v>
      </c>
      <c r="U12" s="4"/>
      <c r="V12" s="12"/>
      <c r="W12" s="4"/>
      <c r="X12" s="4">
        <f t="shared" ref="X12:X13" si="2">+P12-T12</f>
        <v>-200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200</v>
      </c>
      <c r="U13" s="2"/>
      <c r="V13" s="19"/>
      <c r="W13" s="2"/>
      <c r="X13" s="2">
        <f t="shared" si="2"/>
        <v>-200</v>
      </c>
      <c r="Y13" s="2"/>
      <c r="Z13" s="19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0">
        <f>D12-D15</f>
        <v>0</v>
      </c>
      <c r="E17" s="14"/>
      <c r="F17" s="22">
        <f>IF(D$12=0,0,D17/D$12)</f>
        <v>0</v>
      </c>
      <c r="G17" s="14"/>
      <c r="H17" s="20">
        <f>H12-H15</f>
        <v>0</v>
      </c>
      <c r="I17" s="14"/>
      <c r="J17" s="22">
        <f>IF(H$12=0,0,H17/H$12)</f>
        <v>0</v>
      </c>
      <c r="K17" s="16"/>
      <c r="L17" s="20">
        <f>+D17-H17</f>
        <v>0</v>
      </c>
      <c r="M17" s="16"/>
      <c r="N17" s="22">
        <f>IF(H17=0,0,L17/H17)</f>
        <v>0</v>
      </c>
      <c r="O17" s="29"/>
      <c r="P17" s="20">
        <f>P12-P15</f>
        <v>0</v>
      </c>
      <c r="Q17" s="14"/>
      <c r="R17" s="22">
        <f>IF(P$12=0,0,P17/P$12)</f>
        <v>0</v>
      </c>
      <c r="S17" s="14"/>
      <c r="T17" s="20">
        <f>T12-T15</f>
        <v>200</v>
      </c>
      <c r="U17" s="14"/>
      <c r="V17" s="22">
        <f>IF(T$12=0,0,T17/T$12)</f>
        <v>1</v>
      </c>
      <c r="W17" s="16"/>
      <c r="X17" s="20">
        <f>+P17-T17</f>
        <v>-200</v>
      </c>
      <c r="Y17" s="16"/>
      <c r="Z17" s="22">
        <f>IF(T17=0,0,X17/T17)</f>
        <v>-1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1">
        <f>SUM(OSRRefD22x_0)</f>
        <v>57380.739999999991</v>
      </c>
      <c r="E19" s="21"/>
      <c r="F19" s="30">
        <f t="shared" ref="F19:F30" si="4">IF(D$12=0,0,D19/D$12)</f>
        <v>0</v>
      </c>
      <c r="G19" s="21"/>
      <c r="H19" s="21">
        <f>SUM(OSRRefH22x_0)</f>
        <v>80026.185232076881</v>
      </c>
      <c r="I19" s="21"/>
      <c r="J19" s="30">
        <f t="shared" ref="J19:J30" si="5">IF(H$12=0,0,H19/H$12)</f>
        <v>0</v>
      </c>
      <c r="K19" s="4"/>
      <c r="L19" s="21">
        <f t="shared" ref="L19:L30" si="6">+D19-H19</f>
        <v>-22645.445232076891</v>
      </c>
      <c r="M19" s="4"/>
      <c r="N19" s="30">
        <f t="shared" ref="N19:N30" si="7">IF(H19=0,0,L19/H19)</f>
        <v>-0.28297544318031442</v>
      </c>
      <c r="O19" s="10"/>
      <c r="P19" s="21">
        <f>SUM(OSRRefP22x_0)</f>
        <v>538942.51000000013</v>
      </c>
      <c r="Q19" s="21"/>
      <c r="R19" s="30">
        <f t="shared" ref="R19:R30" si="8">IF(P$12=0,0,P19/P$12)</f>
        <v>0</v>
      </c>
      <c r="S19" s="21"/>
      <c r="T19" s="21">
        <f>SUM(OSRRefT22x_0)</f>
        <v>617238.18486692291</v>
      </c>
      <c r="U19" s="21"/>
      <c r="V19" s="30">
        <f t="shared" ref="V19:V30" si="9">IF(T$12=0,0,T19/T$12)</f>
        <v>3086.1909243346145</v>
      </c>
      <c r="W19" s="4"/>
      <c r="X19" s="21">
        <f t="shared" ref="X19:X30" si="10">+P19-T19</f>
        <v>-78295.674866922782</v>
      </c>
      <c r="Y19" s="4"/>
      <c r="Z19" s="30">
        <f t="shared" ref="Z19:Z30" si="11">IF(T19=0,0,X19/T19)</f>
        <v>-0.1268483978900356</v>
      </c>
    </row>
    <row r="20" spans="1:26" s="27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12113.939999999999</v>
      </c>
      <c r="E20" s="1"/>
      <c r="F20" s="5">
        <f t="shared" si="4"/>
        <v>0</v>
      </c>
      <c r="G20" s="1"/>
      <c r="H20" s="1">
        <f>SUM(OSRRefH22_0x_0)</f>
        <v>15424.960693615389</v>
      </c>
      <c r="I20" s="1"/>
      <c r="J20" s="5">
        <f t="shared" si="5"/>
        <v>0</v>
      </c>
      <c r="K20" s="1"/>
      <c r="L20" s="1">
        <f t="shared" si="6"/>
        <v>-3311.02069361539</v>
      </c>
      <c r="M20" s="1"/>
      <c r="N20" s="5">
        <f t="shared" si="7"/>
        <v>-0.21465342825708908</v>
      </c>
      <c r="O20" s="13"/>
      <c r="P20" s="1">
        <f>SUM(OSRRefP22_0x_0)</f>
        <v>116042.74</v>
      </c>
      <c r="Q20" s="1"/>
      <c r="R20" s="5">
        <f t="shared" si="8"/>
        <v>0</v>
      </c>
      <c r="S20" s="1"/>
      <c r="T20" s="1">
        <f>SUM(OSRRefT22_0x_0)</f>
        <v>133898.55486692316</v>
      </c>
      <c r="U20" s="1"/>
      <c r="V20" s="5">
        <f t="shared" si="9"/>
        <v>669.49277433461577</v>
      </c>
      <c r="W20" s="1"/>
      <c r="X20" s="1">
        <f t="shared" si="10"/>
        <v>-17855.81486692316</v>
      </c>
      <c r="Y20" s="1"/>
      <c r="Z20" s="5">
        <f t="shared" si="11"/>
        <v>-0.13335330530392503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6">
        <v>1967.67</v>
      </c>
      <c r="E21" s="2"/>
      <c r="F21" s="7">
        <f t="shared" si="4"/>
        <v>0</v>
      </c>
      <c r="G21" s="2"/>
      <c r="H21" s="6">
        <v>3380.6179705384598</v>
      </c>
      <c r="I21" s="2"/>
      <c r="J21" s="7">
        <f t="shared" si="5"/>
        <v>0</v>
      </c>
      <c r="K21" s="2"/>
      <c r="L21" s="6">
        <f t="shared" si="6"/>
        <v>-1412.9479705384597</v>
      </c>
      <c r="M21" s="2"/>
      <c r="N21" s="7">
        <f t="shared" si="7"/>
        <v>-0.41795552850161516</v>
      </c>
      <c r="O21" s="11"/>
      <c r="P21" s="6">
        <v>18922.009999999998</v>
      </c>
      <c r="Q21" s="2"/>
      <c r="R21" s="7">
        <f t="shared" si="8"/>
        <v>0</v>
      </c>
      <c r="S21" s="2"/>
      <c r="T21" s="6">
        <v>23505.65379</v>
      </c>
      <c r="U21" s="2"/>
      <c r="V21" s="7">
        <f t="shared" si="9"/>
        <v>117.52826895</v>
      </c>
      <c r="W21" s="2"/>
      <c r="X21" s="6">
        <f t="shared" si="10"/>
        <v>-4583.6437900000019</v>
      </c>
      <c r="Y21" s="2"/>
      <c r="Z21" s="7">
        <f t="shared" si="11"/>
        <v>-0.19500175706450759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6">
        <v>98.88</v>
      </c>
      <c r="E22" s="2"/>
      <c r="F22" s="7">
        <f t="shared" si="4"/>
        <v>0</v>
      </c>
      <c r="G22" s="2"/>
      <c r="H22" s="6">
        <v>150.19078923076898</v>
      </c>
      <c r="I22" s="2"/>
      <c r="J22" s="7">
        <f t="shared" si="5"/>
        <v>0</v>
      </c>
      <c r="K22" s="2"/>
      <c r="L22" s="6">
        <f t="shared" si="6"/>
        <v>-51.310789230768989</v>
      </c>
      <c r="M22" s="2"/>
      <c r="N22" s="7">
        <f t="shared" si="7"/>
        <v>-0.34163738997289422</v>
      </c>
      <c r="O22" s="11"/>
      <c r="P22" s="6">
        <v>744.35</v>
      </c>
      <c r="Q22" s="2"/>
      <c r="R22" s="7">
        <f t="shared" si="8"/>
        <v>0</v>
      </c>
      <c r="S22" s="2"/>
      <c r="T22" s="6">
        <v>1057.6142</v>
      </c>
      <c r="U22" s="2"/>
      <c r="V22" s="7">
        <f t="shared" si="9"/>
        <v>5.2880709999999995</v>
      </c>
      <c r="W22" s="2"/>
      <c r="X22" s="6">
        <f t="shared" si="10"/>
        <v>-313.26419999999996</v>
      </c>
      <c r="Y22" s="2"/>
      <c r="Z22" s="7">
        <f t="shared" si="11"/>
        <v>-0.29619893530173852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6">
        <v>5567.87</v>
      </c>
      <c r="E23" s="2"/>
      <c r="F23" s="7">
        <f t="shared" si="4"/>
        <v>0</v>
      </c>
      <c r="G23" s="2"/>
      <c r="H23" s="6">
        <v>7007.1923076923094</v>
      </c>
      <c r="I23" s="2"/>
      <c r="J23" s="7">
        <f t="shared" si="5"/>
        <v>0</v>
      </c>
      <c r="K23" s="2"/>
      <c r="L23" s="6">
        <f t="shared" si="6"/>
        <v>-1439.3223076923096</v>
      </c>
      <c r="M23" s="2"/>
      <c r="N23" s="7">
        <f t="shared" si="7"/>
        <v>-0.20540642307080109</v>
      </c>
      <c r="O23" s="11"/>
      <c r="P23" s="6">
        <v>47679.39</v>
      </c>
      <c r="Q23" s="2"/>
      <c r="R23" s="7">
        <f t="shared" si="8"/>
        <v>0</v>
      </c>
      <c r="S23" s="2"/>
      <c r="T23" s="6">
        <v>65454.9230769231</v>
      </c>
      <c r="U23" s="2"/>
      <c r="V23" s="7">
        <f t="shared" si="9"/>
        <v>327.27461538461552</v>
      </c>
      <c r="W23" s="2"/>
      <c r="X23" s="6">
        <f t="shared" si="10"/>
        <v>-17775.5330769231</v>
      </c>
      <c r="Y23" s="2"/>
      <c r="Z23" s="7">
        <f t="shared" si="11"/>
        <v>-0.27156907748609171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6">
        <v>75.61</v>
      </c>
      <c r="E24" s="2"/>
      <c r="F24" s="7">
        <f t="shared" si="4"/>
        <v>0</v>
      </c>
      <c r="G24" s="2"/>
      <c r="H24" s="6">
        <v>114.85178000000001</v>
      </c>
      <c r="I24" s="2"/>
      <c r="J24" s="7">
        <f t="shared" si="5"/>
        <v>0</v>
      </c>
      <c r="K24" s="2"/>
      <c r="L24" s="6">
        <f t="shared" si="6"/>
        <v>-39.241780000000006</v>
      </c>
      <c r="M24" s="2"/>
      <c r="N24" s="7">
        <f t="shared" si="7"/>
        <v>-0.34167324180783271</v>
      </c>
      <c r="O24" s="11"/>
      <c r="P24" s="6">
        <v>695.09</v>
      </c>
      <c r="Q24" s="2"/>
      <c r="R24" s="7">
        <f t="shared" si="8"/>
        <v>0</v>
      </c>
      <c r="S24" s="2"/>
      <c r="T24" s="6">
        <v>808.76379999999995</v>
      </c>
      <c r="U24" s="2"/>
      <c r="V24" s="7">
        <f t="shared" si="9"/>
        <v>4.0438190000000001</v>
      </c>
      <c r="W24" s="2"/>
      <c r="X24" s="6">
        <f t="shared" si="10"/>
        <v>-113.67379999999991</v>
      </c>
      <c r="Y24" s="2"/>
      <c r="Z24" s="7">
        <f t="shared" si="11"/>
        <v>-0.14055253214844671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6">
        <v>1382.95</v>
      </c>
      <c r="E25" s="2"/>
      <c r="F25" s="7">
        <f t="shared" si="4"/>
        <v>0</v>
      </c>
      <c r="G25" s="2"/>
      <c r="H25" s="6">
        <v>1608.0676923076899</v>
      </c>
      <c r="I25" s="2"/>
      <c r="J25" s="7">
        <f t="shared" si="5"/>
        <v>0</v>
      </c>
      <c r="K25" s="2"/>
      <c r="L25" s="6">
        <f t="shared" si="6"/>
        <v>-225.11769230768982</v>
      </c>
      <c r="M25" s="2"/>
      <c r="N25" s="7">
        <f t="shared" si="7"/>
        <v>-0.13999267156759437</v>
      </c>
      <c r="O25" s="11"/>
      <c r="P25" s="6">
        <v>14571.48</v>
      </c>
      <c r="Q25" s="2"/>
      <c r="R25" s="7">
        <f t="shared" si="8"/>
        <v>0</v>
      </c>
      <c r="S25" s="2"/>
      <c r="T25" s="6">
        <v>15678.66</v>
      </c>
      <c r="U25" s="2"/>
      <c r="V25" s="7">
        <f t="shared" si="9"/>
        <v>78.393299999999996</v>
      </c>
      <c r="W25" s="2"/>
      <c r="X25" s="6">
        <f t="shared" si="10"/>
        <v>-1107.1800000000003</v>
      </c>
      <c r="Y25" s="2"/>
      <c r="Z25" s="7">
        <f t="shared" si="11"/>
        <v>-7.0617004259292585E-2</v>
      </c>
    </row>
    <row r="26" spans="1:26" s="24" customFormat="1" hidden="1" outlineLevel="2" x14ac:dyDescent="0.25">
      <c r="A26" s="25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>
        <v>134</v>
      </c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134</v>
      </c>
      <c r="Y26" s="2"/>
      <c r="Z26" s="7">
        <f t="shared" si="11"/>
        <v>0</v>
      </c>
    </row>
    <row r="27" spans="1:26" s="24" customFormat="1" hidden="1" outlineLevel="2" x14ac:dyDescent="0.25">
      <c r="A27" s="25"/>
      <c r="B27" s="11" t="str">
        <f>CONCATENATE("          ", "6117", " - ", "RETIREMENT STAFF HOURLY")</f>
        <v xml:space="preserve">          6117 - RETIREMENT STAFF HOURLY</v>
      </c>
      <c r="C27" s="11"/>
      <c r="D27" s="6">
        <v>226.39</v>
      </c>
      <c r="E27" s="2"/>
      <c r="F27" s="7">
        <f t="shared" si="4"/>
        <v>0</v>
      </c>
      <c r="G27" s="2"/>
      <c r="H27" s="6"/>
      <c r="I27" s="2"/>
      <c r="J27" s="7">
        <f t="shared" si="5"/>
        <v>0</v>
      </c>
      <c r="K27" s="2"/>
      <c r="L27" s="6">
        <f t="shared" si="6"/>
        <v>226.39</v>
      </c>
      <c r="M27" s="2"/>
      <c r="N27" s="7">
        <f t="shared" si="7"/>
        <v>0</v>
      </c>
      <c r="O27" s="11"/>
      <c r="P27" s="6">
        <v>3550.76</v>
      </c>
      <c r="Q27" s="2"/>
      <c r="R27" s="7">
        <f t="shared" si="8"/>
        <v>0</v>
      </c>
      <c r="S27" s="2"/>
      <c r="T27" s="6"/>
      <c r="U27" s="2"/>
      <c r="V27" s="7">
        <f t="shared" si="9"/>
        <v>0</v>
      </c>
      <c r="W27" s="2"/>
      <c r="X27" s="6">
        <f t="shared" si="10"/>
        <v>3550.76</v>
      </c>
      <c r="Y27" s="2"/>
      <c r="Z27" s="7">
        <f t="shared" si="11"/>
        <v>0</v>
      </c>
    </row>
    <row r="28" spans="1:26" s="24" customFormat="1" hidden="1" outlineLevel="2" x14ac:dyDescent="0.25">
      <c r="A28" s="25"/>
      <c r="B28" s="11" t="str">
        <f>CONCATENATE("          ", "6118", " - ", "VACATION")</f>
        <v xml:space="preserve">          6118 - VACATION</v>
      </c>
      <c r="C28" s="11"/>
      <c r="D28" s="6">
        <v>1455.62</v>
      </c>
      <c r="E28" s="2"/>
      <c r="F28" s="7">
        <f t="shared" si="4"/>
        <v>0</v>
      </c>
      <c r="G28" s="2"/>
      <c r="H28" s="6">
        <v>1313.44807692308</v>
      </c>
      <c r="I28" s="2"/>
      <c r="J28" s="7">
        <f t="shared" si="5"/>
        <v>0</v>
      </c>
      <c r="K28" s="2"/>
      <c r="L28" s="6">
        <f t="shared" si="6"/>
        <v>142.17192307691994</v>
      </c>
      <c r="M28" s="2"/>
      <c r="N28" s="7">
        <f t="shared" si="7"/>
        <v>0.10824327628540585</v>
      </c>
      <c r="O28" s="11"/>
      <c r="P28" s="6">
        <v>14520.32</v>
      </c>
      <c r="Q28" s="2"/>
      <c r="R28" s="7">
        <f t="shared" si="8"/>
        <v>0</v>
      </c>
      <c r="S28" s="2"/>
      <c r="T28" s="6">
        <v>12900.750000000029</v>
      </c>
      <c r="U28" s="2"/>
      <c r="V28" s="7">
        <f t="shared" si="9"/>
        <v>64.503750000000139</v>
      </c>
      <c r="W28" s="2"/>
      <c r="X28" s="6">
        <f t="shared" si="10"/>
        <v>1619.5699999999706</v>
      </c>
      <c r="Y28" s="2"/>
      <c r="Z28" s="7">
        <f t="shared" si="11"/>
        <v>0.12554076313392376</v>
      </c>
    </row>
    <row r="29" spans="1:26" s="24" customFormat="1" hidden="1" outlineLevel="2" x14ac:dyDescent="0.25">
      <c r="A29" s="25"/>
      <c r="B29" s="11" t="str">
        <f>CONCATENATE("          ", "6119", " - ", "SICK LEAVE")</f>
        <v xml:space="preserve">          6119 - SICK LEAVE</v>
      </c>
      <c r="C29" s="11"/>
      <c r="D29" s="6">
        <v>976.26</v>
      </c>
      <c r="E29" s="2"/>
      <c r="F29" s="7">
        <f t="shared" si="4"/>
        <v>0</v>
      </c>
      <c r="G29" s="2"/>
      <c r="H29" s="6">
        <v>1850.59207692308</v>
      </c>
      <c r="I29" s="2"/>
      <c r="J29" s="7">
        <f t="shared" si="5"/>
        <v>0</v>
      </c>
      <c r="K29" s="2"/>
      <c r="L29" s="6">
        <f t="shared" si="6"/>
        <v>-874.33207692307997</v>
      </c>
      <c r="M29" s="2"/>
      <c r="N29" s="7">
        <f t="shared" si="7"/>
        <v>-0.47246072639455144</v>
      </c>
      <c r="O29" s="11"/>
      <c r="P29" s="6">
        <v>9725.5400000000009</v>
      </c>
      <c r="Q29" s="2"/>
      <c r="R29" s="7">
        <f t="shared" si="8"/>
        <v>0</v>
      </c>
      <c r="S29" s="2"/>
      <c r="T29" s="6">
        <v>14492.19000000003</v>
      </c>
      <c r="U29" s="2"/>
      <c r="V29" s="7">
        <f t="shared" si="9"/>
        <v>72.460950000000153</v>
      </c>
      <c r="W29" s="2"/>
      <c r="X29" s="6">
        <f t="shared" si="10"/>
        <v>-4766.6500000000287</v>
      </c>
      <c r="Y29" s="2"/>
      <c r="Z29" s="7">
        <f t="shared" si="11"/>
        <v>-0.32891164137373435</v>
      </c>
    </row>
    <row r="30" spans="1:26" s="24" customFormat="1" hidden="1" outlineLevel="2" x14ac:dyDescent="0.25">
      <c r="A30" s="25"/>
      <c r="B30" s="11" t="str">
        <f>CONCATENATE("          ", "6156", " - ", "EMPLOYEE MEALS")</f>
        <v xml:space="preserve">          6156 - EMPLOYEE MEALS</v>
      </c>
      <c r="C30" s="11"/>
      <c r="D30" s="6">
        <v>362.69</v>
      </c>
      <c r="E30" s="2"/>
      <c r="F30" s="7">
        <f t="shared" si="4"/>
        <v>0</v>
      </c>
      <c r="G30" s="2"/>
      <c r="H30" s="6"/>
      <c r="I30" s="2"/>
      <c r="J30" s="7">
        <f t="shared" si="5"/>
        <v>0</v>
      </c>
      <c r="K30" s="2"/>
      <c r="L30" s="6">
        <f t="shared" si="6"/>
        <v>362.69</v>
      </c>
      <c r="M30" s="2"/>
      <c r="N30" s="7">
        <f t="shared" si="7"/>
        <v>0</v>
      </c>
      <c r="O30" s="11"/>
      <c r="P30" s="6">
        <v>5499.8</v>
      </c>
      <c r="Q30" s="2"/>
      <c r="R30" s="7">
        <f t="shared" si="8"/>
        <v>0</v>
      </c>
      <c r="S30" s="2"/>
      <c r="T30" s="6"/>
      <c r="U30" s="2"/>
      <c r="V30" s="7">
        <f t="shared" si="9"/>
        <v>0</v>
      </c>
      <c r="W30" s="2"/>
      <c r="X30" s="6">
        <f t="shared" si="10"/>
        <v>5499.8</v>
      </c>
      <c r="Y30" s="2"/>
      <c r="Z30" s="7">
        <f t="shared" si="11"/>
        <v>0</v>
      </c>
    </row>
    <row r="31" spans="1:26" s="27" customFormat="1" outlineLevel="1" collapsed="1" x14ac:dyDescent="0.25">
      <c r="A31" s="26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25873.019999999997</v>
      </c>
      <c r="E31" s="1"/>
      <c r="F31" s="5">
        <f t="shared" ref="F31:F41" si="12">IF(D$12=0,0,D31/D$12)</f>
        <v>0</v>
      </c>
      <c r="G31" s="1"/>
      <c r="H31" s="1">
        <f>SUM(OSRRefH22_1x_0)</f>
        <v>41920.224538461502</v>
      </c>
      <c r="I31" s="1"/>
      <c r="J31" s="5">
        <f t="shared" ref="J31:J41" si="13">IF(H$12=0,0,H31/H$12)</f>
        <v>0</v>
      </c>
      <c r="K31" s="1"/>
      <c r="L31" s="1">
        <f t="shared" ref="L31:L41" si="14">+D31-H31</f>
        <v>-16047.204538461505</v>
      </c>
      <c r="M31" s="1"/>
      <c r="N31" s="5">
        <f t="shared" ref="N31:N41" si="15">IF(H31=0,0,L31/H31)</f>
        <v>-0.38280340134481655</v>
      </c>
      <c r="O31" s="13"/>
      <c r="P31" s="1">
        <f>SUM(OSRRefP22_1x_0)</f>
        <v>237984.25</v>
      </c>
      <c r="Q31" s="1"/>
      <c r="R31" s="5">
        <f t="shared" ref="R31:R41" si="16">IF(P$12=0,0,P31/P$12)</f>
        <v>0</v>
      </c>
      <c r="S31" s="1"/>
      <c r="T31" s="1">
        <f>SUM(OSRRefT22_1x_0)</f>
        <v>288527.62999999971</v>
      </c>
      <c r="U31" s="1"/>
      <c r="V31" s="5">
        <f t="shared" ref="V31:V41" si="17">IF(T$12=0,0,T31/T$12)</f>
        <v>1442.6381499999986</v>
      </c>
      <c r="W31" s="1"/>
      <c r="X31" s="1">
        <f t="shared" ref="X31:X41" si="18">+P31-T31</f>
        <v>-50543.379999999714</v>
      </c>
      <c r="Y31" s="1"/>
      <c r="Z31" s="5">
        <f t="shared" ref="Z31:Z41" si="19">IF(T31=0,0,X31/T31)</f>
        <v>-0.17517691459913134</v>
      </c>
    </row>
    <row r="32" spans="1:26" s="24" customFormat="1" hidden="1" outlineLevel="2" x14ac:dyDescent="0.25">
      <c r="A32" s="25"/>
      <c r="B32" s="11" t="str">
        <f>CONCATENATE("          ", "6001", " - ", "ADMINISTRATIVE SALARIES")</f>
        <v xml:space="preserve">          6001 - ADMINISTRATIVE SALARIES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>
        <v>12556.83</v>
      </c>
      <c r="E33" s="2"/>
      <c r="F33" s="7">
        <f t="shared" si="12"/>
        <v>0</v>
      </c>
      <c r="G33" s="2"/>
      <c r="H33" s="6">
        <v>18698.461538461499</v>
      </c>
      <c r="I33" s="2"/>
      <c r="J33" s="7">
        <f t="shared" si="13"/>
        <v>0</v>
      </c>
      <c r="K33" s="2"/>
      <c r="L33" s="6">
        <f t="shared" si="14"/>
        <v>-6141.6315384614991</v>
      </c>
      <c r="M33" s="2"/>
      <c r="N33" s="7">
        <f t="shared" si="15"/>
        <v>-0.32845651637320905</v>
      </c>
      <c r="O33" s="11"/>
      <c r="P33" s="6">
        <v>112003.91</v>
      </c>
      <c r="Q33" s="2"/>
      <c r="R33" s="7">
        <f t="shared" si="16"/>
        <v>0</v>
      </c>
      <c r="S33" s="2"/>
      <c r="T33" s="6">
        <v>182309.99999999971</v>
      </c>
      <c r="U33" s="2"/>
      <c r="V33" s="7">
        <f t="shared" si="17"/>
        <v>911.54999999999859</v>
      </c>
      <c r="W33" s="2"/>
      <c r="X33" s="6">
        <f t="shared" si="18"/>
        <v>-70306.089999999705</v>
      </c>
      <c r="Y33" s="2"/>
      <c r="Z33" s="7">
        <f t="shared" si="19"/>
        <v>-0.38564033788601731</v>
      </c>
    </row>
    <row r="34" spans="1:26" s="24" customFormat="1" hidden="1" outlineLevel="2" x14ac:dyDescent="0.25">
      <c r="A34" s="25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25">
      <c r="A35" s="25"/>
      <c r="B35" s="11" t="str">
        <f>CONCATENATE("          ", "6004", " - ", "STAFF HOURLY")</f>
        <v xml:space="preserve">          6004 - STAFF HOURLY</v>
      </c>
      <c r="C35" s="11"/>
      <c r="D35" s="6">
        <v>8822.16</v>
      </c>
      <c r="E35" s="2"/>
      <c r="F35" s="7">
        <f t="shared" si="12"/>
        <v>0</v>
      </c>
      <c r="G35" s="2"/>
      <c r="H35" s="6">
        <v>7541.7630000000008</v>
      </c>
      <c r="I35" s="2"/>
      <c r="J35" s="7">
        <f t="shared" si="13"/>
        <v>0</v>
      </c>
      <c r="K35" s="2"/>
      <c r="L35" s="6">
        <f t="shared" si="14"/>
        <v>1280.396999999999</v>
      </c>
      <c r="M35" s="2"/>
      <c r="N35" s="7">
        <f t="shared" si="15"/>
        <v>0.16977422918222157</v>
      </c>
      <c r="O35" s="11"/>
      <c r="P35" s="6">
        <v>73080.600000000006</v>
      </c>
      <c r="Q35" s="2"/>
      <c r="R35" s="7">
        <f t="shared" si="16"/>
        <v>0</v>
      </c>
      <c r="S35" s="2"/>
      <c r="T35" s="6">
        <v>75417.62999999999</v>
      </c>
      <c r="U35" s="2"/>
      <c r="V35" s="7">
        <f t="shared" si="17"/>
        <v>377.08814999999993</v>
      </c>
      <c r="W35" s="2"/>
      <c r="X35" s="6">
        <f t="shared" si="18"/>
        <v>-2337.0299999999843</v>
      </c>
      <c r="Y35" s="2"/>
      <c r="Z35" s="7">
        <f t="shared" si="19"/>
        <v>-3.0987847271254542E-2</v>
      </c>
    </row>
    <row r="36" spans="1:26" s="24" customFormat="1" hidden="1" outlineLevel="2" x14ac:dyDescent="0.25">
      <c r="A36" s="25"/>
      <c r="B36" s="11" t="str">
        <f>CONCATENATE("          ", "6005", " - ", "TEMPORARY WAGES-HOURLY")</f>
        <v xml:space="preserve">          6005 - TEMPORARY WAGES-HOURLY</v>
      </c>
      <c r="C36" s="11"/>
      <c r="D36" s="6">
        <v>3210.35</v>
      </c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3210.35</v>
      </c>
      <c r="M36" s="2"/>
      <c r="N36" s="7">
        <f t="shared" si="15"/>
        <v>0</v>
      </c>
      <c r="O36" s="11"/>
      <c r="P36" s="6">
        <v>23545.86</v>
      </c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23545.86</v>
      </c>
      <c r="Y36" s="2"/>
      <c r="Z36" s="7">
        <f t="shared" si="19"/>
        <v>0</v>
      </c>
    </row>
    <row r="37" spans="1:26" s="24" customFormat="1" hidden="1" outlineLevel="2" x14ac:dyDescent="0.25">
      <c r="A37" s="25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12"/>
        <v>0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0</v>
      </c>
      <c r="M37" s="2"/>
      <c r="N37" s="7">
        <f t="shared" si="15"/>
        <v>0</v>
      </c>
      <c r="O37" s="11"/>
      <c r="P37" s="6"/>
      <c r="Q37" s="2"/>
      <c r="R37" s="7">
        <f t="shared" si="16"/>
        <v>0</v>
      </c>
      <c r="S37" s="2"/>
      <c r="T37" s="6">
        <v>0</v>
      </c>
      <c r="U37" s="2"/>
      <c r="V37" s="7">
        <f t="shared" si="17"/>
        <v>0</v>
      </c>
      <c r="W37" s="2"/>
      <c r="X37" s="6">
        <f t="shared" si="18"/>
        <v>0</v>
      </c>
      <c r="Y37" s="2"/>
      <c r="Z37" s="7">
        <f t="shared" si="19"/>
        <v>0</v>
      </c>
    </row>
    <row r="38" spans="1:26" s="24" customFormat="1" hidden="1" outlineLevel="2" x14ac:dyDescent="0.25">
      <c r="A38" s="25"/>
      <c r="B38" s="11" t="str">
        <f>CONCATENATE("          ", "6007", " - ", "STUDENT HOURLY")</f>
        <v xml:space="preserve">          6007 - STUDENT HOURLY</v>
      </c>
      <c r="C38" s="11"/>
      <c r="D38" s="6">
        <v>1283.68</v>
      </c>
      <c r="E38" s="2"/>
      <c r="F38" s="7">
        <f t="shared" si="12"/>
        <v>0</v>
      </c>
      <c r="G38" s="2"/>
      <c r="H38" s="6">
        <v>15680</v>
      </c>
      <c r="I38" s="2"/>
      <c r="J38" s="7">
        <f t="shared" si="13"/>
        <v>0</v>
      </c>
      <c r="K38" s="2"/>
      <c r="L38" s="6">
        <f t="shared" si="14"/>
        <v>-14396.32</v>
      </c>
      <c r="M38" s="2"/>
      <c r="N38" s="7">
        <f t="shared" si="15"/>
        <v>-0.91813265306122449</v>
      </c>
      <c r="O38" s="11"/>
      <c r="P38" s="6">
        <v>26833.88</v>
      </c>
      <c r="Q38" s="2"/>
      <c r="R38" s="7">
        <f t="shared" si="16"/>
        <v>0</v>
      </c>
      <c r="S38" s="2"/>
      <c r="T38" s="6">
        <v>26880</v>
      </c>
      <c r="U38" s="2"/>
      <c r="V38" s="7">
        <f t="shared" si="17"/>
        <v>134.4</v>
      </c>
      <c r="W38" s="2"/>
      <c r="X38" s="6">
        <f t="shared" si="18"/>
        <v>-46.119999999998981</v>
      </c>
      <c r="Y38" s="2"/>
      <c r="Z38" s="7">
        <f t="shared" si="19"/>
        <v>-1.7157738095237717E-3</v>
      </c>
    </row>
    <row r="39" spans="1:26" s="24" customFormat="1" hidden="1" outlineLevel="2" x14ac:dyDescent="0.25">
      <c r="A39" s="25"/>
      <c r="B39" s="11" t="str">
        <f>CONCATENATE("          ", "6008", " - ", "STUDENT HOURLY-FICA EXEMPT")</f>
        <v xml:space="preserve">          6008 - STUDENT HOURLY-FICA EXEMPT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>
        <v>2520</v>
      </c>
      <c r="Q39" s="2"/>
      <c r="R39" s="7">
        <f t="shared" si="16"/>
        <v>0</v>
      </c>
      <c r="S39" s="2"/>
      <c r="T39" s="6">
        <v>3920</v>
      </c>
      <c r="U39" s="2"/>
      <c r="V39" s="7">
        <f t="shared" si="17"/>
        <v>19.600000000000001</v>
      </c>
      <c r="W39" s="2"/>
      <c r="X39" s="6">
        <f t="shared" si="18"/>
        <v>-1400</v>
      </c>
      <c r="Y39" s="2"/>
      <c r="Z39" s="7">
        <f t="shared" si="19"/>
        <v>-0.35714285714285715</v>
      </c>
    </row>
    <row r="40" spans="1:26" s="24" customFormat="1" hidden="1" outlineLevel="2" x14ac:dyDescent="0.25">
      <c r="A40" s="25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4" customFormat="1" hidden="1" outlineLevel="2" x14ac:dyDescent="0.25">
      <c r="A41" s="25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12"/>
        <v>0</v>
      </c>
      <c r="G41" s="2"/>
      <c r="H41" s="6">
        <v>0</v>
      </c>
      <c r="I41" s="2"/>
      <c r="J41" s="7">
        <f t="shared" si="13"/>
        <v>0</v>
      </c>
      <c r="K41" s="2"/>
      <c r="L41" s="6">
        <f t="shared" si="14"/>
        <v>0</v>
      </c>
      <c r="M41" s="2"/>
      <c r="N41" s="7">
        <f t="shared" si="15"/>
        <v>0</v>
      </c>
      <c r="O41" s="11"/>
      <c r="P41" s="6"/>
      <c r="Q41" s="2"/>
      <c r="R41" s="7">
        <f t="shared" si="16"/>
        <v>0</v>
      </c>
      <c r="S41" s="2"/>
      <c r="T41" s="6">
        <v>0</v>
      </c>
      <c r="U41" s="2"/>
      <c r="V41" s="7">
        <f t="shared" si="17"/>
        <v>0</v>
      </c>
      <c r="W41" s="2"/>
      <c r="X41" s="6">
        <f t="shared" si="18"/>
        <v>0</v>
      </c>
      <c r="Y41" s="2"/>
      <c r="Z41" s="7">
        <f t="shared" si="19"/>
        <v>0</v>
      </c>
    </row>
    <row r="42" spans="1:26" s="27" customFormat="1" outlineLevel="1" collapsed="1" x14ac:dyDescent="0.25">
      <c r="A42" s="26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0</v>
      </c>
      <c r="E42" s="1"/>
      <c r="F42" s="5">
        <f t="shared" ref="F42:F46" si="20">IF(D$12=0,0,D42/D$12)</f>
        <v>0</v>
      </c>
      <c r="G42" s="1"/>
      <c r="H42" s="1">
        <f>SUM(OSRRefH22_2x_0)</f>
        <v>0</v>
      </c>
      <c r="I42" s="1"/>
      <c r="J42" s="5">
        <f t="shared" ref="J42:J46" si="21">IF(H$12=0,0,H42/H$12)</f>
        <v>0</v>
      </c>
      <c r="K42" s="1"/>
      <c r="L42" s="1">
        <f t="shared" ref="L42:L46" si="22">+D42-H42</f>
        <v>0</v>
      </c>
      <c r="M42" s="1"/>
      <c r="N42" s="5">
        <f t="shared" ref="N42:N46" si="23">IF(H42=0,0,L42/H42)</f>
        <v>0</v>
      </c>
      <c r="O42" s="13"/>
      <c r="P42" s="1">
        <f>SUM(OSRRefP22_2x_0)</f>
        <v>9.99</v>
      </c>
      <c r="Q42" s="1"/>
      <c r="R42" s="5">
        <f t="shared" ref="R42:R46" si="24">IF(P$12=0,0,P42/P$12)</f>
        <v>0</v>
      </c>
      <c r="S42" s="1"/>
      <c r="T42" s="1">
        <f>SUM(OSRRefT22_2x_0)</f>
        <v>0</v>
      </c>
      <c r="U42" s="1"/>
      <c r="V42" s="5">
        <f t="shared" ref="V42:V46" si="25">IF(T$12=0,0,T42/T$12)</f>
        <v>0</v>
      </c>
      <c r="W42" s="1"/>
      <c r="X42" s="1">
        <f t="shared" ref="X42:X46" si="26">+P42-T42</f>
        <v>9.99</v>
      </c>
      <c r="Y42" s="1"/>
      <c r="Z42" s="5">
        <f t="shared" ref="Z42:Z46" si="27">IF(T42=0,0,X42/T42)</f>
        <v>0</v>
      </c>
    </row>
    <row r="43" spans="1:26" s="24" customFormat="1" hidden="1" outlineLevel="2" x14ac:dyDescent="0.25">
      <c r="A43" s="25"/>
      <c r="B43" s="11" t="str">
        <f>CONCATENATE("          ", "6362", " - ", "ADVERTISING EXPENSE")</f>
        <v xml:space="preserve">          6362 - ADVERTISING EXPENSE</v>
      </c>
      <c r="C43" s="11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>
        <v>9.99</v>
      </c>
      <c r="Q43" s="2"/>
      <c r="R43" s="7">
        <f t="shared" si="24"/>
        <v>0</v>
      </c>
      <c r="S43" s="2"/>
      <c r="T43" s="6"/>
      <c r="U43" s="2"/>
      <c r="V43" s="7">
        <f t="shared" si="25"/>
        <v>0</v>
      </c>
      <c r="W43" s="2"/>
      <c r="X43" s="6">
        <f t="shared" si="26"/>
        <v>9.99</v>
      </c>
      <c r="Y43" s="2"/>
      <c r="Z43" s="7">
        <f t="shared" si="27"/>
        <v>0</v>
      </c>
    </row>
    <row r="44" spans="1:26" s="27" customFormat="1" outlineLevel="1" collapsed="1" x14ac:dyDescent="0.25">
      <c r="A44" s="26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SUM(OSRRefD22_3x_0)</f>
        <v>6175.94</v>
      </c>
      <c r="E44" s="1"/>
      <c r="F44" s="5">
        <f t="shared" si="20"/>
        <v>0</v>
      </c>
      <c r="G44" s="1"/>
      <c r="H44" s="1">
        <f>SUM(OSRRefH22_3x_0)</f>
        <v>6476</v>
      </c>
      <c r="I44" s="1"/>
      <c r="J44" s="5">
        <f t="shared" si="21"/>
        <v>0</v>
      </c>
      <c r="K44" s="1"/>
      <c r="L44" s="1">
        <f t="shared" si="22"/>
        <v>-300.0600000000004</v>
      </c>
      <c r="M44" s="1"/>
      <c r="N44" s="5">
        <f t="shared" si="23"/>
        <v>-4.6334156886967327E-2</v>
      </c>
      <c r="O44" s="13"/>
      <c r="P44" s="1">
        <f>SUM(OSRRefP22_3x_0)</f>
        <v>55583.7</v>
      </c>
      <c r="Q44" s="1"/>
      <c r="R44" s="5">
        <f t="shared" si="24"/>
        <v>0</v>
      </c>
      <c r="S44" s="1"/>
      <c r="T44" s="1">
        <f>SUM(OSRRefT22_3x_0)</f>
        <v>56667</v>
      </c>
      <c r="U44" s="1"/>
      <c r="V44" s="5">
        <f t="shared" si="25"/>
        <v>283.33499999999998</v>
      </c>
      <c r="W44" s="1"/>
      <c r="X44" s="1">
        <f t="shared" si="26"/>
        <v>-1083.3000000000029</v>
      </c>
      <c r="Y44" s="1"/>
      <c r="Z44" s="5">
        <f t="shared" si="27"/>
        <v>-1.9116946370903751E-2</v>
      </c>
    </row>
    <row r="45" spans="1:26" s="24" customFormat="1" hidden="1" outlineLevel="2" x14ac:dyDescent="0.25">
      <c r="A45" s="25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6175.94</v>
      </c>
      <c r="E45" s="2"/>
      <c r="F45" s="7">
        <f t="shared" si="20"/>
        <v>0</v>
      </c>
      <c r="G45" s="2"/>
      <c r="H45" s="6">
        <v>6176</v>
      </c>
      <c r="I45" s="2"/>
      <c r="J45" s="7">
        <f t="shared" si="21"/>
        <v>0</v>
      </c>
      <c r="K45" s="2"/>
      <c r="L45" s="6">
        <f t="shared" si="22"/>
        <v>-6.0000000000400178E-2</v>
      </c>
      <c r="M45" s="2"/>
      <c r="N45" s="7">
        <f t="shared" si="23"/>
        <v>-9.7150259068005468E-6</v>
      </c>
      <c r="O45" s="11"/>
      <c r="P45" s="6">
        <v>55583.7</v>
      </c>
      <c r="Q45" s="2"/>
      <c r="R45" s="7">
        <f t="shared" si="24"/>
        <v>0</v>
      </c>
      <c r="S45" s="2"/>
      <c r="T45" s="6">
        <v>55584</v>
      </c>
      <c r="U45" s="2"/>
      <c r="V45" s="7">
        <f t="shared" si="25"/>
        <v>277.92</v>
      </c>
      <c r="W45" s="2"/>
      <c r="X45" s="6">
        <f t="shared" si="26"/>
        <v>-0.30000000000291038</v>
      </c>
      <c r="Y45" s="2"/>
      <c r="Z45" s="7">
        <f t="shared" si="27"/>
        <v>-5.3972366149055551E-6</v>
      </c>
    </row>
    <row r="46" spans="1:26" s="24" customFormat="1" hidden="1" outlineLevel="2" x14ac:dyDescent="0.25">
      <c r="A46" s="25"/>
      <c r="B46" s="11" t="str">
        <f>CONCATENATE("          ", "6324", " - ", "FURNITURE + FIXT DEPRECIATION")</f>
        <v xml:space="preserve">          6324 - FURNITURE + FIXT DEPRECIATION</v>
      </c>
      <c r="C46" s="11"/>
      <c r="D46" s="6"/>
      <c r="E46" s="2"/>
      <c r="F46" s="7">
        <f t="shared" si="20"/>
        <v>0</v>
      </c>
      <c r="G46" s="2"/>
      <c r="H46" s="6">
        <v>300</v>
      </c>
      <c r="I46" s="2"/>
      <c r="J46" s="7">
        <f t="shared" si="21"/>
        <v>0</v>
      </c>
      <c r="K46" s="2"/>
      <c r="L46" s="6">
        <f t="shared" si="22"/>
        <v>-300</v>
      </c>
      <c r="M46" s="2"/>
      <c r="N46" s="7">
        <f t="shared" si="23"/>
        <v>-1</v>
      </c>
      <c r="O46" s="11"/>
      <c r="P46" s="6"/>
      <c r="Q46" s="2"/>
      <c r="R46" s="7">
        <f t="shared" si="24"/>
        <v>0</v>
      </c>
      <c r="S46" s="2"/>
      <c r="T46" s="6">
        <v>1083</v>
      </c>
      <c r="U46" s="2"/>
      <c r="V46" s="7">
        <f t="shared" si="25"/>
        <v>5.415</v>
      </c>
      <c r="W46" s="2"/>
      <c r="X46" s="6">
        <f t="shared" si="26"/>
        <v>-1083</v>
      </c>
      <c r="Y46" s="2"/>
      <c r="Z46" s="7">
        <f t="shared" si="27"/>
        <v>-1</v>
      </c>
    </row>
    <row r="47" spans="1:26" s="27" customFormat="1" outlineLevel="1" collapsed="1" x14ac:dyDescent="0.25">
      <c r="A47" s="26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SUM(OSRRefD22_4x_0)</f>
        <v>0</v>
      </c>
      <c r="E47" s="1"/>
      <c r="F47" s="5">
        <f t="shared" ref="F47:F57" si="28">IF(D$12=0,0,D47/D$12)</f>
        <v>0</v>
      </c>
      <c r="G47" s="1"/>
      <c r="H47" s="1">
        <f>SUM(OSRRefH22_4x_0)</f>
        <v>100</v>
      </c>
      <c r="I47" s="1"/>
      <c r="J47" s="5">
        <f t="shared" ref="J47:J57" si="29">IF(H$12=0,0,H47/H$12)</f>
        <v>0</v>
      </c>
      <c r="K47" s="1"/>
      <c r="L47" s="1">
        <f t="shared" ref="L47:L57" si="30">+D47-H47</f>
        <v>-100</v>
      </c>
      <c r="M47" s="1"/>
      <c r="N47" s="5">
        <f t="shared" ref="N47:N57" si="31">IF(H47=0,0,L47/H47)</f>
        <v>-1</v>
      </c>
      <c r="O47" s="13"/>
      <c r="P47" s="1">
        <f>SUM(OSRRefP22_4x_0)</f>
        <v>0</v>
      </c>
      <c r="Q47" s="1"/>
      <c r="R47" s="5">
        <f t="shared" ref="R47:R57" si="32">IF(P$12=0,0,P47/P$12)</f>
        <v>0</v>
      </c>
      <c r="S47" s="1"/>
      <c r="T47" s="1">
        <f>SUM(OSRRefT22_4x_0)</f>
        <v>900</v>
      </c>
      <c r="U47" s="1"/>
      <c r="V47" s="5">
        <f t="shared" ref="V47:V57" si="33">IF(T$12=0,0,T47/T$12)</f>
        <v>4.5</v>
      </c>
      <c r="W47" s="1"/>
      <c r="X47" s="1">
        <f t="shared" ref="X47:X57" si="34">+P47-T47</f>
        <v>-900</v>
      </c>
      <c r="Y47" s="1"/>
      <c r="Z47" s="5">
        <f t="shared" ref="Z47:Z57" si="35">IF(T47=0,0,X47/T47)</f>
        <v>-1</v>
      </c>
    </row>
    <row r="48" spans="1:26" s="24" customFormat="1" hidden="1" outlineLevel="2" x14ac:dyDescent="0.25">
      <c r="A48" s="25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28"/>
        <v>0</v>
      </c>
      <c r="G48" s="2"/>
      <c r="H48" s="6">
        <v>100</v>
      </c>
      <c r="I48" s="2"/>
      <c r="J48" s="7">
        <f t="shared" si="29"/>
        <v>0</v>
      </c>
      <c r="K48" s="2"/>
      <c r="L48" s="6">
        <f t="shared" si="30"/>
        <v>-100</v>
      </c>
      <c r="M48" s="2"/>
      <c r="N48" s="7">
        <f t="shared" si="31"/>
        <v>-1</v>
      </c>
      <c r="O48" s="11"/>
      <c r="P48" s="6"/>
      <c r="Q48" s="2"/>
      <c r="R48" s="7">
        <f t="shared" si="32"/>
        <v>0</v>
      </c>
      <c r="S48" s="2"/>
      <c r="T48" s="6">
        <v>900</v>
      </c>
      <c r="U48" s="2"/>
      <c r="V48" s="7">
        <f t="shared" si="33"/>
        <v>4.5</v>
      </c>
      <c r="W48" s="2"/>
      <c r="X48" s="6">
        <f t="shared" si="34"/>
        <v>-900</v>
      </c>
      <c r="Y48" s="2"/>
      <c r="Z48" s="7">
        <f t="shared" si="35"/>
        <v>-1</v>
      </c>
    </row>
    <row r="49" spans="1:26" s="27" customFormat="1" outlineLevel="1" collapsed="1" x14ac:dyDescent="0.25">
      <c r="A49" s="26"/>
      <c r="B49" s="13" t="str">
        <f>CONCATENATE("     ","Insurance                                         ")</f>
        <v xml:space="preserve">     Insurance                                         </v>
      </c>
      <c r="C49" s="13"/>
      <c r="D49" s="1">
        <f>SUM(OSRRefD22_5x_0)</f>
        <v>56.34</v>
      </c>
      <c r="E49" s="1"/>
      <c r="F49" s="5">
        <f t="shared" si="28"/>
        <v>0</v>
      </c>
      <c r="G49" s="1"/>
      <c r="H49" s="1">
        <f>SUM(OSRRefH22_5x_0)</f>
        <v>55</v>
      </c>
      <c r="I49" s="1"/>
      <c r="J49" s="5">
        <f t="shared" si="29"/>
        <v>0</v>
      </c>
      <c r="K49" s="1"/>
      <c r="L49" s="1">
        <f t="shared" si="30"/>
        <v>1.3400000000000034</v>
      </c>
      <c r="M49" s="1"/>
      <c r="N49" s="5">
        <f t="shared" si="31"/>
        <v>2.4363636363636424E-2</v>
      </c>
      <c r="O49" s="13"/>
      <c r="P49" s="1">
        <f>SUM(OSRRefP22_5x_0)</f>
        <v>507.06</v>
      </c>
      <c r="Q49" s="1"/>
      <c r="R49" s="5">
        <f t="shared" si="32"/>
        <v>0</v>
      </c>
      <c r="S49" s="1"/>
      <c r="T49" s="1">
        <f>SUM(OSRRefT22_5x_0)</f>
        <v>495</v>
      </c>
      <c r="U49" s="1"/>
      <c r="V49" s="5">
        <f t="shared" si="33"/>
        <v>2.4750000000000001</v>
      </c>
      <c r="W49" s="1"/>
      <c r="X49" s="1">
        <f t="shared" si="34"/>
        <v>12.060000000000002</v>
      </c>
      <c r="Y49" s="1"/>
      <c r="Z49" s="5">
        <f t="shared" si="35"/>
        <v>2.4363636363636369E-2</v>
      </c>
    </row>
    <row r="50" spans="1:26" s="24" customFormat="1" hidden="1" outlineLevel="2" x14ac:dyDescent="0.25">
      <c r="A50" s="25"/>
      <c r="B50" s="11" t="str">
        <f>CONCATENATE("          ", "6314", " - ", "LIABILITY INSURANCE")</f>
        <v xml:space="preserve">          6314 - LIABILITY INSURANCE</v>
      </c>
      <c r="C50" s="11"/>
      <c r="D50" s="6">
        <v>56.34</v>
      </c>
      <c r="E50" s="2"/>
      <c r="F50" s="7">
        <f t="shared" si="28"/>
        <v>0</v>
      </c>
      <c r="G50" s="2"/>
      <c r="H50" s="6">
        <v>55</v>
      </c>
      <c r="I50" s="2"/>
      <c r="J50" s="7">
        <f t="shared" si="29"/>
        <v>0</v>
      </c>
      <c r="K50" s="2"/>
      <c r="L50" s="6">
        <f t="shared" si="30"/>
        <v>1.3400000000000034</v>
      </c>
      <c r="M50" s="2"/>
      <c r="N50" s="7">
        <f t="shared" si="31"/>
        <v>2.4363636363636424E-2</v>
      </c>
      <c r="O50" s="11"/>
      <c r="P50" s="6">
        <v>507.06</v>
      </c>
      <c r="Q50" s="2"/>
      <c r="R50" s="7">
        <f t="shared" si="32"/>
        <v>0</v>
      </c>
      <c r="S50" s="2"/>
      <c r="T50" s="6">
        <v>495</v>
      </c>
      <c r="U50" s="2"/>
      <c r="V50" s="7">
        <f t="shared" si="33"/>
        <v>2.4750000000000001</v>
      </c>
      <c r="W50" s="2"/>
      <c r="X50" s="6">
        <f t="shared" si="34"/>
        <v>12.060000000000002</v>
      </c>
      <c r="Y50" s="2"/>
      <c r="Z50" s="7">
        <f t="shared" si="35"/>
        <v>2.4363636363636369E-2</v>
      </c>
    </row>
    <row r="51" spans="1:26" s="27" customFormat="1" outlineLevel="1" collapsed="1" x14ac:dyDescent="0.25">
      <c r="A51" s="26"/>
      <c r="B51" s="13" t="str">
        <f>CONCATENATE("     ","Professional Services                             ")</f>
        <v xml:space="preserve">     Professional Services                             </v>
      </c>
      <c r="C51" s="13"/>
      <c r="D51" s="1">
        <f>SUM(OSRRefD22_6x_0)</f>
        <v>0</v>
      </c>
      <c r="E51" s="1"/>
      <c r="F51" s="5">
        <f t="shared" si="28"/>
        <v>0</v>
      </c>
      <c r="G51" s="1"/>
      <c r="H51" s="1">
        <f>SUM(OSRRefH22_6x_0)</f>
        <v>500</v>
      </c>
      <c r="I51" s="1"/>
      <c r="J51" s="5">
        <f t="shared" si="29"/>
        <v>0</v>
      </c>
      <c r="K51" s="1"/>
      <c r="L51" s="1">
        <f t="shared" si="30"/>
        <v>-500</v>
      </c>
      <c r="M51" s="1"/>
      <c r="N51" s="5">
        <f t="shared" si="31"/>
        <v>-1</v>
      </c>
      <c r="O51" s="13"/>
      <c r="P51" s="1">
        <f>SUM(OSRRefP22_6x_0)</f>
        <v>0</v>
      </c>
      <c r="Q51" s="1"/>
      <c r="R51" s="5">
        <f t="shared" si="32"/>
        <v>0</v>
      </c>
      <c r="S51" s="1"/>
      <c r="T51" s="1">
        <f>SUM(OSRRefT22_6x_0)</f>
        <v>4500</v>
      </c>
      <c r="U51" s="1"/>
      <c r="V51" s="5">
        <f t="shared" si="33"/>
        <v>22.5</v>
      </c>
      <c r="W51" s="1"/>
      <c r="X51" s="1">
        <f t="shared" si="34"/>
        <v>-4500</v>
      </c>
      <c r="Y51" s="1"/>
      <c r="Z51" s="5">
        <f t="shared" si="35"/>
        <v>-1</v>
      </c>
    </row>
    <row r="52" spans="1:26" s="24" customFormat="1" hidden="1" outlineLevel="2" x14ac:dyDescent="0.25">
      <c r="A52" s="25"/>
      <c r="B52" s="11" t="str">
        <f>CONCATENATE("          ", "6332", " - ", "CONSULTANT FEES")</f>
        <v xml:space="preserve">          6332 - CONSULTANT FEES</v>
      </c>
      <c r="C52" s="11"/>
      <c r="D52" s="6"/>
      <c r="E52" s="2"/>
      <c r="F52" s="7">
        <f t="shared" si="28"/>
        <v>0</v>
      </c>
      <c r="G52" s="2"/>
      <c r="H52" s="6">
        <v>500</v>
      </c>
      <c r="I52" s="2"/>
      <c r="J52" s="7">
        <f t="shared" si="29"/>
        <v>0</v>
      </c>
      <c r="K52" s="2"/>
      <c r="L52" s="6">
        <f t="shared" si="30"/>
        <v>-500</v>
      </c>
      <c r="M52" s="2"/>
      <c r="N52" s="7">
        <f t="shared" si="31"/>
        <v>-1</v>
      </c>
      <c r="O52" s="11"/>
      <c r="P52" s="6"/>
      <c r="Q52" s="2"/>
      <c r="R52" s="7">
        <f t="shared" si="32"/>
        <v>0</v>
      </c>
      <c r="S52" s="2"/>
      <c r="T52" s="6">
        <v>4500</v>
      </c>
      <c r="U52" s="2"/>
      <c r="V52" s="7">
        <f t="shared" si="33"/>
        <v>22.5</v>
      </c>
      <c r="W52" s="2"/>
      <c r="X52" s="6">
        <f t="shared" si="34"/>
        <v>-4500</v>
      </c>
      <c r="Y52" s="2"/>
      <c r="Z52" s="7">
        <f t="shared" si="35"/>
        <v>-1</v>
      </c>
    </row>
    <row r="53" spans="1:26" s="27" customFormat="1" outlineLevel="1" collapsed="1" x14ac:dyDescent="0.25">
      <c r="A53" s="26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SUM(OSRRefD22_7x_0)</f>
        <v>9648.35</v>
      </c>
      <c r="E53" s="1"/>
      <c r="F53" s="5">
        <f t="shared" si="28"/>
        <v>0</v>
      </c>
      <c r="G53" s="1"/>
      <c r="H53" s="1">
        <f>SUM(OSRRefH22_7x_0)</f>
        <v>13600</v>
      </c>
      <c r="I53" s="1"/>
      <c r="J53" s="5">
        <f t="shared" si="29"/>
        <v>0</v>
      </c>
      <c r="K53" s="1"/>
      <c r="L53" s="1">
        <f t="shared" si="30"/>
        <v>-3951.6499999999996</v>
      </c>
      <c r="M53" s="1"/>
      <c r="N53" s="5">
        <f t="shared" si="31"/>
        <v>-0.29056249999999995</v>
      </c>
      <c r="O53" s="13"/>
      <c r="P53" s="1">
        <f>SUM(OSRRefP22_7x_0)</f>
        <v>86563.77</v>
      </c>
      <c r="Q53" s="1"/>
      <c r="R53" s="5">
        <f t="shared" si="32"/>
        <v>0</v>
      </c>
      <c r="S53" s="1"/>
      <c r="T53" s="1">
        <f>SUM(OSRRefT22_7x_0)</f>
        <v>106300</v>
      </c>
      <c r="U53" s="1"/>
      <c r="V53" s="5">
        <f t="shared" si="33"/>
        <v>531.5</v>
      </c>
      <c r="W53" s="1"/>
      <c r="X53" s="1">
        <f t="shared" si="34"/>
        <v>-19736.229999999996</v>
      </c>
      <c r="Y53" s="1"/>
      <c r="Z53" s="5">
        <f t="shared" si="35"/>
        <v>-0.18566538099717775</v>
      </c>
    </row>
    <row r="54" spans="1:26" s="24" customFormat="1" hidden="1" outlineLevel="2" x14ac:dyDescent="0.25">
      <c r="A54" s="25"/>
      <c r="B54" s="11" t="str">
        <f>CONCATENATE("          ", "6371", " - ", "COMPUTER SOFTWARE MAINTENANCE")</f>
        <v xml:space="preserve">          6371 - COMPUTER SOFTWARE MAINTENANCE</v>
      </c>
      <c r="C54" s="11"/>
      <c r="D54" s="6">
        <v>135.94999999999999</v>
      </c>
      <c r="E54" s="2"/>
      <c r="F54" s="7">
        <f t="shared" si="28"/>
        <v>0</v>
      </c>
      <c r="G54" s="2"/>
      <c r="H54" s="6">
        <v>1000</v>
      </c>
      <c r="I54" s="2"/>
      <c r="J54" s="7">
        <f t="shared" si="29"/>
        <v>0</v>
      </c>
      <c r="K54" s="2"/>
      <c r="L54" s="6">
        <f t="shared" si="30"/>
        <v>-864.05</v>
      </c>
      <c r="M54" s="2"/>
      <c r="N54" s="7">
        <f t="shared" si="31"/>
        <v>-0.86404999999999998</v>
      </c>
      <c r="O54" s="11"/>
      <c r="P54" s="6">
        <v>1155.3</v>
      </c>
      <c r="Q54" s="2"/>
      <c r="R54" s="7">
        <f t="shared" si="32"/>
        <v>0</v>
      </c>
      <c r="S54" s="2"/>
      <c r="T54" s="6">
        <v>6000</v>
      </c>
      <c r="U54" s="2"/>
      <c r="V54" s="7">
        <f t="shared" si="33"/>
        <v>30</v>
      </c>
      <c r="W54" s="2"/>
      <c r="X54" s="6">
        <f t="shared" si="34"/>
        <v>-4844.7</v>
      </c>
      <c r="Y54" s="2"/>
      <c r="Z54" s="7">
        <f t="shared" si="35"/>
        <v>-0.80745</v>
      </c>
    </row>
    <row r="55" spans="1:26" s="24" customFormat="1" hidden="1" outlineLevel="2" x14ac:dyDescent="0.25">
      <c r="A55" s="25"/>
      <c r="B55" s="11" t="str">
        <f>CONCATENATE("          ", "6372", " - ", "COMPUTER HARDWARE MAINTENANCE")</f>
        <v xml:space="preserve">          6372 - COMPUTER HARDWARE MAINTENANCE</v>
      </c>
      <c r="C55" s="11"/>
      <c r="D55" s="6"/>
      <c r="E55" s="2"/>
      <c r="F55" s="7">
        <f t="shared" si="28"/>
        <v>0</v>
      </c>
      <c r="G55" s="2"/>
      <c r="H55" s="6">
        <v>1000</v>
      </c>
      <c r="I55" s="2"/>
      <c r="J55" s="7">
        <f t="shared" si="29"/>
        <v>0</v>
      </c>
      <c r="K55" s="2"/>
      <c r="L55" s="6">
        <f t="shared" si="30"/>
        <v>-1000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7500</v>
      </c>
      <c r="U55" s="2"/>
      <c r="V55" s="7">
        <f t="shared" si="33"/>
        <v>37.5</v>
      </c>
      <c r="W55" s="2"/>
      <c r="X55" s="6">
        <f t="shared" si="34"/>
        <v>-7500</v>
      </c>
      <c r="Y55" s="2"/>
      <c r="Z55" s="7">
        <f t="shared" si="35"/>
        <v>-1</v>
      </c>
    </row>
    <row r="56" spans="1:26" s="24" customFormat="1" hidden="1" outlineLevel="2" x14ac:dyDescent="0.25">
      <c r="A56" s="25"/>
      <c r="B56" s="11" t="str">
        <f>CONCATENATE("          ", "6373", " - ", "MAINTENANCE CONTRACTS")</f>
        <v xml:space="preserve">          6373 - MAINTENANCE CONTRACTS</v>
      </c>
      <c r="C56" s="11"/>
      <c r="D56" s="6">
        <v>9512.4</v>
      </c>
      <c r="E56" s="2"/>
      <c r="F56" s="7">
        <f t="shared" si="28"/>
        <v>0</v>
      </c>
      <c r="G56" s="2"/>
      <c r="H56" s="6">
        <v>11600</v>
      </c>
      <c r="I56" s="2"/>
      <c r="J56" s="7">
        <f t="shared" si="29"/>
        <v>0</v>
      </c>
      <c r="K56" s="2"/>
      <c r="L56" s="6">
        <f t="shared" si="30"/>
        <v>-2087.6000000000004</v>
      </c>
      <c r="M56" s="2"/>
      <c r="N56" s="7">
        <f t="shared" si="31"/>
        <v>-0.17996551724137935</v>
      </c>
      <c r="O56" s="11"/>
      <c r="P56" s="6">
        <v>85250.07</v>
      </c>
      <c r="Q56" s="2"/>
      <c r="R56" s="7">
        <f t="shared" si="32"/>
        <v>0</v>
      </c>
      <c r="S56" s="2"/>
      <c r="T56" s="6">
        <v>92800</v>
      </c>
      <c r="U56" s="2"/>
      <c r="V56" s="7">
        <f t="shared" si="33"/>
        <v>464</v>
      </c>
      <c r="W56" s="2"/>
      <c r="X56" s="6">
        <f t="shared" si="34"/>
        <v>-7549.929999999993</v>
      </c>
      <c r="Y56" s="2"/>
      <c r="Z56" s="7">
        <f t="shared" si="35"/>
        <v>-8.1357004310344747E-2</v>
      </c>
    </row>
    <row r="57" spans="1:26" s="24" customFormat="1" hidden="1" outlineLevel="2" x14ac:dyDescent="0.25">
      <c r="A57" s="25"/>
      <c r="B57" s="11" t="str">
        <f>CONCATENATE("          ", "6375", " - ", "OUTSIDE REPAIRS &amp; MAINTENANCE")</f>
        <v xml:space="preserve">          6375 - OUTSIDE REPAIRS &amp; MAINTENANCE</v>
      </c>
      <c r="C57" s="11"/>
      <c r="D57" s="6"/>
      <c r="E57" s="2"/>
      <c r="F57" s="7">
        <f t="shared" si="28"/>
        <v>0</v>
      </c>
      <c r="G57" s="2"/>
      <c r="H57" s="6"/>
      <c r="I57" s="2"/>
      <c r="J57" s="7">
        <f t="shared" si="29"/>
        <v>0</v>
      </c>
      <c r="K57" s="2"/>
      <c r="L57" s="6">
        <f t="shared" si="30"/>
        <v>0</v>
      </c>
      <c r="M57" s="2"/>
      <c r="N57" s="7">
        <f t="shared" si="31"/>
        <v>0</v>
      </c>
      <c r="O57" s="11"/>
      <c r="P57" s="6">
        <v>158.4</v>
      </c>
      <c r="Q57" s="2"/>
      <c r="R57" s="7">
        <f t="shared" si="32"/>
        <v>0</v>
      </c>
      <c r="S57" s="2"/>
      <c r="T57" s="6"/>
      <c r="U57" s="2"/>
      <c r="V57" s="7">
        <f t="shared" si="33"/>
        <v>0</v>
      </c>
      <c r="W57" s="2"/>
      <c r="X57" s="6">
        <f t="shared" si="34"/>
        <v>158.4</v>
      </c>
      <c r="Y57" s="2"/>
      <c r="Z57" s="7">
        <f t="shared" si="35"/>
        <v>0</v>
      </c>
    </row>
    <row r="58" spans="1:26" s="27" customFormat="1" outlineLevel="1" collapsed="1" x14ac:dyDescent="0.25">
      <c r="A58" s="26"/>
      <c r="B58" s="13" t="str">
        <f>CONCATENATE("     ","Subscriptions &amp; Dues                              ")</f>
        <v xml:space="preserve">     Subscriptions &amp; Dues                              </v>
      </c>
      <c r="C58" s="13"/>
      <c r="D58" s="1">
        <f>SUM(OSRRefD22_8x_0)</f>
        <v>0</v>
      </c>
      <c r="E58" s="1"/>
      <c r="F58" s="5">
        <f t="shared" ref="F58:F62" si="36">IF(D$12=0,0,D58/D$12)</f>
        <v>0</v>
      </c>
      <c r="G58" s="1"/>
      <c r="H58" s="1">
        <f>SUM(OSRRefH22_8x_0)</f>
        <v>100</v>
      </c>
      <c r="I58" s="1"/>
      <c r="J58" s="5">
        <f t="shared" ref="J58:J62" si="37">IF(H$12=0,0,H58/H$12)</f>
        <v>0</v>
      </c>
      <c r="K58" s="1"/>
      <c r="L58" s="1">
        <f t="shared" ref="L58:L62" si="38">+D58-H58</f>
        <v>-100</v>
      </c>
      <c r="M58" s="1"/>
      <c r="N58" s="5">
        <f t="shared" ref="N58:N62" si="39">IF(H58=0,0,L58/H58)</f>
        <v>-1</v>
      </c>
      <c r="O58" s="13"/>
      <c r="P58" s="1">
        <f>SUM(OSRRefP22_8x_0)</f>
        <v>0</v>
      </c>
      <c r="Q58" s="1"/>
      <c r="R58" s="5">
        <f t="shared" ref="R58:R62" si="40">IF(P$12=0,0,P58/P$12)</f>
        <v>0</v>
      </c>
      <c r="S58" s="1"/>
      <c r="T58" s="1">
        <f>SUM(OSRRefT22_8x_0)</f>
        <v>1000</v>
      </c>
      <c r="U58" s="1"/>
      <c r="V58" s="5">
        <f t="shared" ref="V58:V62" si="41">IF(T$12=0,0,T58/T$12)</f>
        <v>5</v>
      </c>
      <c r="W58" s="1"/>
      <c r="X58" s="1">
        <f t="shared" ref="X58:X62" si="42">+P58-T58</f>
        <v>-1000</v>
      </c>
      <c r="Y58" s="1"/>
      <c r="Z58" s="5">
        <f t="shared" ref="Z58:Z62" si="43">IF(T58=0,0,X58/T58)</f>
        <v>-1</v>
      </c>
    </row>
    <row r="59" spans="1:26" s="24" customFormat="1" hidden="1" outlineLevel="2" x14ac:dyDescent="0.25">
      <c r="A59" s="25"/>
      <c r="B59" s="11" t="str">
        <f>CONCATENATE("          ", "6275", " - ", "SUBSCRIPTIONS")</f>
        <v xml:space="preserve">          6275 - SUBSCRIPTIONS</v>
      </c>
      <c r="C59" s="11"/>
      <c r="D59" s="6"/>
      <c r="E59" s="2"/>
      <c r="F59" s="7">
        <f t="shared" si="36"/>
        <v>0</v>
      </c>
      <c r="G59" s="2"/>
      <c r="H59" s="6">
        <v>100</v>
      </c>
      <c r="I59" s="2"/>
      <c r="J59" s="7">
        <f t="shared" si="37"/>
        <v>0</v>
      </c>
      <c r="K59" s="2"/>
      <c r="L59" s="6">
        <f t="shared" si="38"/>
        <v>-100</v>
      </c>
      <c r="M59" s="2"/>
      <c r="N59" s="7">
        <f t="shared" si="39"/>
        <v>-1</v>
      </c>
      <c r="O59" s="11"/>
      <c r="P59" s="6"/>
      <c r="Q59" s="2"/>
      <c r="R59" s="7">
        <f t="shared" si="40"/>
        <v>0</v>
      </c>
      <c r="S59" s="2"/>
      <c r="T59" s="6">
        <v>1000</v>
      </c>
      <c r="U59" s="2"/>
      <c r="V59" s="7">
        <f t="shared" si="41"/>
        <v>5</v>
      </c>
      <c r="W59" s="2"/>
      <c r="X59" s="6">
        <f t="shared" si="42"/>
        <v>-1000</v>
      </c>
      <c r="Y59" s="2"/>
      <c r="Z59" s="7">
        <f t="shared" si="43"/>
        <v>-1</v>
      </c>
    </row>
    <row r="60" spans="1:26" s="27" customFormat="1" outlineLevel="1" collapsed="1" x14ac:dyDescent="0.25">
      <c r="A60" s="26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SUM(OSRRefD22_9x_0)</f>
        <v>2268.29</v>
      </c>
      <c r="E60" s="1"/>
      <c r="F60" s="5">
        <f t="shared" si="36"/>
        <v>0</v>
      </c>
      <c r="G60" s="1"/>
      <c r="H60" s="1">
        <f>SUM(OSRRefH22_9x_0)</f>
        <v>400</v>
      </c>
      <c r="I60" s="1"/>
      <c r="J60" s="5">
        <f t="shared" si="37"/>
        <v>0</v>
      </c>
      <c r="K60" s="1"/>
      <c r="L60" s="1">
        <f t="shared" si="38"/>
        <v>1868.29</v>
      </c>
      <c r="M60" s="1"/>
      <c r="N60" s="5">
        <f t="shared" si="39"/>
        <v>4.670725</v>
      </c>
      <c r="O60" s="13"/>
      <c r="P60" s="1">
        <f>SUM(OSRRefP22_9x_0)</f>
        <v>25291.350000000002</v>
      </c>
      <c r="Q60" s="1"/>
      <c r="R60" s="5">
        <f t="shared" si="40"/>
        <v>0</v>
      </c>
      <c r="S60" s="1"/>
      <c r="T60" s="1">
        <f>SUM(OSRRefT22_9x_0)</f>
        <v>4200</v>
      </c>
      <c r="U60" s="1"/>
      <c r="V60" s="5">
        <f t="shared" si="41"/>
        <v>21</v>
      </c>
      <c r="W60" s="1"/>
      <c r="X60" s="1">
        <f t="shared" si="42"/>
        <v>21091.350000000002</v>
      </c>
      <c r="Y60" s="1"/>
      <c r="Z60" s="5">
        <f t="shared" si="43"/>
        <v>5.0217500000000008</v>
      </c>
    </row>
    <row r="61" spans="1:26" s="24" customFormat="1" hidden="1" outlineLevel="2" x14ac:dyDescent="0.25">
      <c r="A61" s="25"/>
      <c r="B61" s="11" t="str">
        <f>CONCATENATE("          ", "6241", " - ", "OFFICE EXPENSE")</f>
        <v xml:space="preserve">          6241 - OFFICE EXPENSE</v>
      </c>
      <c r="C61" s="11"/>
      <c r="D61" s="6">
        <v>2268.29</v>
      </c>
      <c r="E61" s="2"/>
      <c r="F61" s="7">
        <f t="shared" si="36"/>
        <v>0</v>
      </c>
      <c r="G61" s="2"/>
      <c r="H61" s="6">
        <v>400</v>
      </c>
      <c r="I61" s="2"/>
      <c r="J61" s="7">
        <f t="shared" si="37"/>
        <v>0</v>
      </c>
      <c r="K61" s="2"/>
      <c r="L61" s="6">
        <f t="shared" si="38"/>
        <v>1868.29</v>
      </c>
      <c r="M61" s="2"/>
      <c r="N61" s="7">
        <f t="shared" si="39"/>
        <v>4.670725</v>
      </c>
      <c r="O61" s="11"/>
      <c r="P61" s="6">
        <v>25291.350000000002</v>
      </c>
      <c r="Q61" s="2"/>
      <c r="R61" s="7">
        <f t="shared" si="40"/>
        <v>0</v>
      </c>
      <c r="S61" s="2"/>
      <c r="T61" s="6">
        <v>3500</v>
      </c>
      <c r="U61" s="2"/>
      <c r="V61" s="7">
        <f t="shared" si="41"/>
        <v>17.5</v>
      </c>
      <c r="W61" s="2"/>
      <c r="X61" s="6">
        <f t="shared" si="42"/>
        <v>21791.350000000002</v>
      </c>
      <c r="Y61" s="2"/>
      <c r="Z61" s="7">
        <f t="shared" si="43"/>
        <v>6.2261000000000006</v>
      </c>
    </row>
    <row r="62" spans="1:26" s="24" customFormat="1" hidden="1" outlineLevel="2" x14ac:dyDescent="0.25">
      <c r="A62" s="25"/>
      <c r="B62" s="11" t="str">
        <f>CONCATENATE("          ", "6248", " - ", "UNIFORMS")</f>
        <v xml:space="preserve">          6248 - UNIFORMS</v>
      </c>
      <c r="C62" s="11"/>
      <c r="D62" s="6"/>
      <c r="E62" s="2"/>
      <c r="F62" s="7">
        <f t="shared" si="36"/>
        <v>0</v>
      </c>
      <c r="G62" s="2"/>
      <c r="H62" s="6"/>
      <c r="I62" s="2"/>
      <c r="J62" s="7">
        <f t="shared" si="37"/>
        <v>0</v>
      </c>
      <c r="K62" s="2"/>
      <c r="L62" s="6">
        <f t="shared" si="38"/>
        <v>0</v>
      </c>
      <c r="M62" s="2"/>
      <c r="N62" s="7">
        <f t="shared" si="39"/>
        <v>0</v>
      </c>
      <c r="O62" s="11"/>
      <c r="P62" s="6"/>
      <c r="Q62" s="2"/>
      <c r="R62" s="7">
        <f t="shared" si="40"/>
        <v>0</v>
      </c>
      <c r="S62" s="2"/>
      <c r="T62" s="6">
        <v>700</v>
      </c>
      <c r="U62" s="2"/>
      <c r="V62" s="7">
        <f t="shared" si="41"/>
        <v>3.5</v>
      </c>
      <c r="W62" s="2"/>
      <c r="X62" s="6">
        <f t="shared" si="42"/>
        <v>-700</v>
      </c>
      <c r="Y62" s="2"/>
      <c r="Z62" s="7">
        <f t="shared" si="43"/>
        <v>-1</v>
      </c>
    </row>
    <row r="63" spans="1:26" s="27" customFormat="1" outlineLevel="1" collapsed="1" x14ac:dyDescent="0.25">
      <c r="A63" s="26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SUM(OSRRefD22_10x_0)</f>
        <v>616.99</v>
      </c>
      <c r="E63" s="1"/>
      <c r="F63" s="5">
        <f t="shared" ref="F63:F65" si="44">IF(D$12=0,0,D63/D$12)</f>
        <v>0</v>
      </c>
      <c r="G63" s="1"/>
      <c r="H63" s="1">
        <f>SUM(OSRRefH22_10x_0)</f>
        <v>450</v>
      </c>
      <c r="I63" s="1"/>
      <c r="J63" s="5">
        <f t="shared" ref="J63:J65" si="45">IF(H$12=0,0,H63/H$12)</f>
        <v>0</v>
      </c>
      <c r="K63" s="1"/>
      <c r="L63" s="1">
        <f t="shared" ref="L63:L65" si="46">+D63-H63</f>
        <v>166.99</v>
      </c>
      <c r="M63" s="1"/>
      <c r="N63" s="5">
        <f t="shared" ref="N63:N65" si="47">IF(H63=0,0,L63/H63)</f>
        <v>0.37108888888888891</v>
      </c>
      <c r="O63" s="13"/>
      <c r="P63" s="1">
        <f>SUM(OSRRefP22_10x_0)</f>
        <v>11256.710000000001</v>
      </c>
      <c r="Q63" s="1"/>
      <c r="R63" s="5">
        <f t="shared" ref="R63:R65" si="48">IF(P$12=0,0,P63/P$12)</f>
        <v>0</v>
      </c>
      <c r="S63" s="1"/>
      <c r="T63" s="1">
        <f>SUM(OSRRefT22_10x_0)</f>
        <v>4250</v>
      </c>
      <c r="U63" s="1"/>
      <c r="V63" s="5">
        <f t="shared" ref="V63:V65" si="49">IF(T$12=0,0,T63/T$12)</f>
        <v>21.25</v>
      </c>
      <c r="W63" s="1"/>
      <c r="X63" s="1">
        <f t="shared" ref="X63:X65" si="50">+P63-T63</f>
        <v>7006.7100000000009</v>
      </c>
      <c r="Y63" s="1"/>
      <c r="Z63" s="5">
        <f t="shared" ref="Z63:Z65" si="51">IF(T63=0,0,X63/T63)</f>
        <v>1.6486376470588238</v>
      </c>
    </row>
    <row r="64" spans="1:26" s="24" customFormat="1" hidden="1" outlineLevel="2" x14ac:dyDescent="0.25">
      <c r="A64" s="25"/>
      <c r="B64" s="11" t="str">
        <f>CONCATENATE("          ", "6303", " - ", "DATA PHONE LINES")</f>
        <v xml:space="preserve">          6303 - DATA PHONE LINES</v>
      </c>
      <c r="C64" s="11"/>
      <c r="D64" s="6">
        <v>78.989999999999995</v>
      </c>
      <c r="E64" s="2"/>
      <c r="F64" s="7">
        <f t="shared" si="44"/>
        <v>0</v>
      </c>
      <c r="G64" s="2"/>
      <c r="H64" s="6">
        <v>200</v>
      </c>
      <c r="I64" s="2"/>
      <c r="J64" s="7">
        <f t="shared" si="45"/>
        <v>0</v>
      </c>
      <c r="K64" s="2"/>
      <c r="L64" s="6">
        <f t="shared" si="46"/>
        <v>-121.01</v>
      </c>
      <c r="M64" s="2"/>
      <c r="N64" s="7">
        <f t="shared" si="47"/>
        <v>-0.60504999999999998</v>
      </c>
      <c r="O64" s="11"/>
      <c r="P64" s="6">
        <v>1328.03</v>
      </c>
      <c r="Q64" s="2"/>
      <c r="R64" s="7">
        <f t="shared" si="48"/>
        <v>0</v>
      </c>
      <c r="S64" s="2"/>
      <c r="T64" s="6">
        <v>2000</v>
      </c>
      <c r="U64" s="2"/>
      <c r="V64" s="7">
        <f t="shared" si="49"/>
        <v>10</v>
      </c>
      <c r="W64" s="2"/>
      <c r="X64" s="6">
        <f t="shared" si="50"/>
        <v>-671.97</v>
      </c>
      <c r="Y64" s="2"/>
      <c r="Z64" s="7">
        <f t="shared" si="51"/>
        <v>-0.33598500000000003</v>
      </c>
    </row>
    <row r="65" spans="1:26" s="24" customFormat="1" hidden="1" outlineLevel="2" x14ac:dyDescent="0.25">
      <c r="A65" s="25"/>
      <c r="B65" s="11" t="str">
        <f>CONCATENATE("          ", "6309", " - ", "TELEPHONE")</f>
        <v xml:space="preserve">          6309 - TELEPHONE</v>
      </c>
      <c r="C65" s="11"/>
      <c r="D65" s="6">
        <v>538</v>
      </c>
      <c r="E65" s="2"/>
      <c r="F65" s="7">
        <f t="shared" si="44"/>
        <v>0</v>
      </c>
      <c r="G65" s="2"/>
      <c r="H65" s="6">
        <v>250</v>
      </c>
      <c r="I65" s="2"/>
      <c r="J65" s="7">
        <f t="shared" si="45"/>
        <v>0</v>
      </c>
      <c r="K65" s="2"/>
      <c r="L65" s="6">
        <f t="shared" si="46"/>
        <v>288</v>
      </c>
      <c r="M65" s="2"/>
      <c r="N65" s="7">
        <f t="shared" si="47"/>
        <v>1.1519999999999999</v>
      </c>
      <c r="O65" s="11"/>
      <c r="P65" s="6">
        <v>9928.68</v>
      </c>
      <c r="Q65" s="2"/>
      <c r="R65" s="7">
        <f t="shared" si="48"/>
        <v>0</v>
      </c>
      <c r="S65" s="2"/>
      <c r="T65" s="6">
        <v>2250</v>
      </c>
      <c r="U65" s="2"/>
      <c r="V65" s="7">
        <f t="shared" si="49"/>
        <v>11.25</v>
      </c>
      <c r="W65" s="2"/>
      <c r="X65" s="6">
        <f t="shared" si="50"/>
        <v>7678.68</v>
      </c>
      <c r="Y65" s="2"/>
      <c r="Z65" s="7">
        <f t="shared" si="51"/>
        <v>3.4127466666666666</v>
      </c>
    </row>
    <row r="66" spans="1:26" s="27" customFormat="1" outlineLevel="1" collapsed="1" x14ac:dyDescent="0.25">
      <c r="A66" s="26"/>
      <c r="B66" s="13" t="str">
        <f>CONCATENATE("     ","Training                                          ")</f>
        <v xml:space="preserve">     Training                                          </v>
      </c>
      <c r="C66" s="13"/>
      <c r="D66" s="1">
        <f>SUM(OSRRefD22_11x_0)</f>
        <v>627.87</v>
      </c>
      <c r="E66" s="1"/>
      <c r="F66" s="5">
        <f t="shared" ref="F66:F70" si="52">IF(D$12=0,0,D66/D$12)</f>
        <v>0</v>
      </c>
      <c r="G66" s="1"/>
      <c r="H66" s="1">
        <f>SUM(OSRRefH22_11x_0)</f>
        <v>1000</v>
      </c>
      <c r="I66" s="1"/>
      <c r="J66" s="5">
        <f t="shared" ref="J66:J70" si="53">IF(H$12=0,0,H66/H$12)</f>
        <v>0</v>
      </c>
      <c r="K66" s="1"/>
      <c r="L66" s="1">
        <f t="shared" ref="L66:L70" si="54">+D66-H66</f>
        <v>-372.13</v>
      </c>
      <c r="M66" s="1"/>
      <c r="N66" s="5">
        <f t="shared" ref="N66:N70" si="55">IF(H66=0,0,L66/H66)</f>
        <v>-0.37213000000000002</v>
      </c>
      <c r="O66" s="13"/>
      <c r="P66" s="1">
        <f>SUM(OSRRefP22_11x_0)</f>
        <v>4319.7299999999996</v>
      </c>
      <c r="Q66" s="1"/>
      <c r="R66" s="5">
        <f t="shared" ref="R66:R70" si="56">IF(P$12=0,0,P66/P$12)</f>
        <v>0</v>
      </c>
      <c r="S66" s="1"/>
      <c r="T66" s="1">
        <f>SUM(OSRRefT22_11x_0)</f>
        <v>9000</v>
      </c>
      <c r="U66" s="1"/>
      <c r="V66" s="5">
        <f t="shared" ref="V66:V70" si="57">IF(T$12=0,0,T66/T$12)</f>
        <v>45</v>
      </c>
      <c r="W66" s="1"/>
      <c r="X66" s="1">
        <f t="shared" ref="X66:X70" si="58">+P66-T66</f>
        <v>-4680.2700000000004</v>
      </c>
      <c r="Y66" s="1"/>
      <c r="Z66" s="5">
        <f t="shared" ref="Z66:Z70" si="59">IF(T66=0,0,X66/T66)</f>
        <v>-0.5200300000000001</v>
      </c>
    </row>
    <row r="67" spans="1:26" s="24" customFormat="1" hidden="1" outlineLevel="2" x14ac:dyDescent="0.25">
      <c r="A67" s="25"/>
      <c r="B67" s="11" t="str">
        <f>CONCATENATE("          ", "6376", " - ", "TRAINING")</f>
        <v xml:space="preserve">          6376 - TRAINING</v>
      </c>
      <c r="C67" s="11"/>
      <c r="D67" s="6">
        <v>627.87</v>
      </c>
      <c r="E67" s="2"/>
      <c r="F67" s="7">
        <f t="shared" si="52"/>
        <v>0</v>
      </c>
      <c r="G67" s="2"/>
      <c r="H67" s="6">
        <v>1000</v>
      </c>
      <c r="I67" s="2"/>
      <c r="J67" s="7">
        <f t="shared" si="53"/>
        <v>0</v>
      </c>
      <c r="K67" s="2"/>
      <c r="L67" s="6">
        <f t="shared" si="54"/>
        <v>-372.13</v>
      </c>
      <c r="M67" s="2"/>
      <c r="N67" s="7">
        <f t="shared" si="55"/>
        <v>-0.37213000000000002</v>
      </c>
      <c r="O67" s="11"/>
      <c r="P67" s="6">
        <v>4319.7299999999996</v>
      </c>
      <c r="Q67" s="2"/>
      <c r="R67" s="7">
        <f t="shared" si="56"/>
        <v>0</v>
      </c>
      <c r="S67" s="2"/>
      <c r="T67" s="6">
        <v>9000</v>
      </c>
      <c r="U67" s="2"/>
      <c r="V67" s="7">
        <f t="shared" si="57"/>
        <v>45</v>
      </c>
      <c r="W67" s="2"/>
      <c r="X67" s="6">
        <f t="shared" si="58"/>
        <v>-4680.2700000000004</v>
      </c>
      <c r="Y67" s="2"/>
      <c r="Z67" s="7">
        <f t="shared" si="59"/>
        <v>-0.5200300000000001</v>
      </c>
    </row>
    <row r="68" spans="1:26" s="27" customFormat="1" outlineLevel="1" collapsed="1" x14ac:dyDescent="0.25">
      <c r="A68" s="26"/>
      <c r="B68" s="13" t="str">
        <f>CONCATENATE("     ","Travel                                            ")</f>
        <v xml:space="preserve">     Travel                                            </v>
      </c>
      <c r="C68" s="13"/>
      <c r="D68" s="1">
        <f>SUM(OSRRefD22_12x_0)</f>
        <v>0</v>
      </c>
      <c r="E68" s="1"/>
      <c r="F68" s="5">
        <f t="shared" si="52"/>
        <v>0</v>
      </c>
      <c r="G68" s="1"/>
      <c r="H68" s="1">
        <f>SUM(OSRRefH22_12x_0)</f>
        <v>0</v>
      </c>
      <c r="I68" s="1"/>
      <c r="J68" s="5">
        <f t="shared" si="53"/>
        <v>0</v>
      </c>
      <c r="K68" s="1"/>
      <c r="L68" s="1">
        <f t="shared" si="54"/>
        <v>0</v>
      </c>
      <c r="M68" s="1"/>
      <c r="N68" s="5">
        <f t="shared" si="55"/>
        <v>0</v>
      </c>
      <c r="O68" s="13"/>
      <c r="P68" s="1">
        <f>SUM(OSRRefP22_12x_0)</f>
        <v>1383.21</v>
      </c>
      <c r="Q68" s="1"/>
      <c r="R68" s="5">
        <f t="shared" si="56"/>
        <v>0</v>
      </c>
      <c r="S68" s="1"/>
      <c r="T68" s="1">
        <f>SUM(OSRRefT22_12x_0)</f>
        <v>7500</v>
      </c>
      <c r="U68" s="1"/>
      <c r="V68" s="5">
        <f t="shared" si="57"/>
        <v>37.5</v>
      </c>
      <c r="W68" s="1"/>
      <c r="X68" s="1">
        <f t="shared" si="58"/>
        <v>-6116.79</v>
      </c>
      <c r="Y68" s="1"/>
      <c r="Z68" s="5">
        <f t="shared" si="59"/>
        <v>-0.81557199999999996</v>
      </c>
    </row>
    <row r="69" spans="1:26" s="24" customFormat="1" hidden="1" outlineLevel="2" x14ac:dyDescent="0.25">
      <c r="A69" s="25"/>
      <c r="B69" s="11" t="str">
        <f>CONCATENATE("          ", "6292", " - ", "TRAVEL/CONFERENCE")</f>
        <v xml:space="preserve">          6292 - TRAVEL/CONFERENCE</v>
      </c>
      <c r="C69" s="11"/>
      <c r="D69" s="6"/>
      <c r="E69" s="2"/>
      <c r="F69" s="7">
        <f t="shared" si="52"/>
        <v>0</v>
      </c>
      <c r="G69" s="2"/>
      <c r="H69" s="6"/>
      <c r="I69" s="2"/>
      <c r="J69" s="7">
        <f t="shared" si="53"/>
        <v>0</v>
      </c>
      <c r="K69" s="2"/>
      <c r="L69" s="6">
        <f t="shared" si="54"/>
        <v>0</v>
      </c>
      <c r="M69" s="2"/>
      <c r="N69" s="7">
        <f t="shared" si="55"/>
        <v>0</v>
      </c>
      <c r="O69" s="11"/>
      <c r="P69" s="6">
        <v>1359.31</v>
      </c>
      <c r="Q69" s="2"/>
      <c r="R69" s="7">
        <f t="shared" si="56"/>
        <v>0</v>
      </c>
      <c r="S69" s="2"/>
      <c r="T69" s="6">
        <v>7500</v>
      </c>
      <c r="U69" s="2"/>
      <c r="V69" s="7">
        <f t="shared" si="57"/>
        <v>37.5</v>
      </c>
      <c r="W69" s="2"/>
      <c r="X69" s="6">
        <f t="shared" si="58"/>
        <v>-6140.6900000000005</v>
      </c>
      <c r="Y69" s="2"/>
      <c r="Z69" s="7">
        <f t="shared" si="59"/>
        <v>-0.81875866666666675</v>
      </c>
    </row>
    <row r="70" spans="1:26" s="24" customFormat="1" hidden="1" outlineLevel="2" x14ac:dyDescent="0.25">
      <c r="A70" s="25"/>
      <c r="B70" s="11" t="str">
        <f>CONCATENATE("          ", "6294", " - ", "TRAVEL OPERATIONAL")</f>
        <v xml:space="preserve">          6294 - TRAVEL OPERATIONAL</v>
      </c>
      <c r="C70" s="11"/>
      <c r="D70" s="6"/>
      <c r="E70" s="2"/>
      <c r="F70" s="7">
        <f t="shared" si="52"/>
        <v>0</v>
      </c>
      <c r="G70" s="2"/>
      <c r="H70" s="6"/>
      <c r="I70" s="2"/>
      <c r="J70" s="7">
        <f t="shared" si="53"/>
        <v>0</v>
      </c>
      <c r="K70" s="2"/>
      <c r="L70" s="6">
        <f t="shared" si="54"/>
        <v>0</v>
      </c>
      <c r="M70" s="2"/>
      <c r="N70" s="7">
        <f t="shared" si="55"/>
        <v>0</v>
      </c>
      <c r="O70" s="11"/>
      <c r="P70" s="6">
        <v>23.9</v>
      </c>
      <c r="Q70" s="2"/>
      <c r="R70" s="7">
        <f t="shared" si="56"/>
        <v>0</v>
      </c>
      <c r="S70" s="2"/>
      <c r="T70" s="6"/>
      <c r="U70" s="2"/>
      <c r="V70" s="7">
        <f t="shared" si="57"/>
        <v>0</v>
      </c>
      <c r="W70" s="2"/>
      <c r="X70" s="6">
        <f t="shared" si="58"/>
        <v>23.9</v>
      </c>
      <c r="Y70" s="2"/>
      <c r="Z70" s="7">
        <f t="shared" si="59"/>
        <v>0</v>
      </c>
    </row>
    <row r="71" spans="1:26" s="56" customFormat="1" x14ac:dyDescent="0.25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9" t="s">
        <v>0</v>
      </c>
      <c r="C72" s="10"/>
      <c r="D72" s="4">
        <f>SUM(0)</f>
        <v>0</v>
      </c>
      <c r="E72" s="4"/>
      <c r="F72" s="12">
        <f>IF(D$12=0,0,D72/D$12)</f>
        <v>0</v>
      </c>
      <c r="G72" s="4"/>
      <c r="H72" s="4">
        <f>SUM(0)</f>
        <v>0</v>
      </c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>
        <f>SUM(0)</f>
        <v>0</v>
      </c>
      <c r="Q72" s="4"/>
      <c r="R72" s="12">
        <f>IF(P$12=0,0,P72/P$12)</f>
        <v>0</v>
      </c>
      <c r="S72" s="4"/>
      <c r="T72" s="4">
        <f>SUM(0)</f>
        <v>0</v>
      </c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8" t="s">
        <v>3</v>
      </c>
      <c r="C74" s="28"/>
      <c r="D74" s="20">
        <f>+D17-D19+D72</f>
        <v>-57380.739999999991</v>
      </c>
      <c r="E74" s="14"/>
      <c r="F74" s="22">
        <f>IF(D$12=0,0,D74/D$12)</f>
        <v>0</v>
      </c>
      <c r="G74" s="14"/>
      <c r="H74" s="20">
        <f>+H17-H19+H72</f>
        <v>-80026.185232076881</v>
      </c>
      <c r="I74" s="14"/>
      <c r="J74" s="22">
        <f>IF(H$12=0,0,H74/H$12)</f>
        <v>0</v>
      </c>
      <c r="K74" s="16"/>
      <c r="L74" s="20">
        <f>+D74-H74</f>
        <v>22645.445232076891</v>
      </c>
      <c r="M74" s="16"/>
      <c r="N74" s="22">
        <f>IF(H74=0,0,L74/H74)</f>
        <v>-0.28297544318031442</v>
      </c>
      <c r="O74" s="29"/>
      <c r="P74" s="20">
        <f>+P17-P19+P72</f>
        <v>-538942.51000000013</v>
      </c>
      <c r="Q74" s="14"/>
      <c r="R74" s="22">
        <f>IF(P$12=0,0,P74/P$12)</f>
        <v>0</v>
      </c>
      <c r="S74" s="14"/>
      <c r="T74" s="20">
        <f>+T17-T19+T72</f>
        <v>-617038.18486692291</v>
      </c>
      <c r="U74" s="14"/>
      <c r="V74" s="22">
        <f>IF(T$12=0,0,T74/T$12)</f>
        <v>-3085.1909243346145</v>
      </c>
      <c r="W74" s="16"/>
      <c r="X74" s="20">
        <f>+P74-T74</f>
        <v>78095.674866922782</v>
      </c>
      <c r="Y74" s="16"/>
      <c r="Z74" s="22">
        <f>IF(T74=0,0,X74/T74)</f>
        <v>-0.12656538409169238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2"/>
      <c r="B76" s="10" t="s">
        <v>14</v>
      </c>
      <c r="C76" s="10"/>
      <c r="D76" s="4"/>
      <c r="E76" s="4"/>
      <c r="F76" s="12">
        <f>IF(D$12=0,0,D76/D$12)</f>
        <v>0</v>
      </c>
      <c r="G76" s="4"/>
      <c r="H76" s="4"/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/>
      <c r="Q76" s="4"/>
      <c r="R76" s="12">
        <f>IF(P$12=0,0,P76/P$12)</f>
        <v>0</v>
      </c>
      <c r="S76" s="4"/>
      <c r="T76" s="4"/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8" t="s">
        <v>4</v>
      </c>
      <c r="C78" s="28"/>
      <c r="D78" s="31">
        <f>+D74-D76</f>
        <v>-57380.739999999991</v>
      </c>
      <c r="E78" s="14"/>
      <c r="F78" s="34">
        <f>IF(D$12=0,0,D78/D$12)</f>
        <v>0</v>
      </c>
      <c r="G78" s="14"/>
      <c r="H78" s="31">
        <f>+H74-H76</f>
        <v>-80026.185232076881</v>
      </c>
      <c r="I78" s="14"/>
      <c r="J78" s="34">
        <f>IF(H$12=0,0,H78/H$12)</f>
        <v>0</v>
      </c>
      <c r="K78" s="16"/>
      <c r="L78" s="31">
        <f>D78-H78</f>
        <v>22645.445232076891</v>
      </c>
      <c r="M78" s="16"/>
      <c r="N78" s="34">
        <f>IF(H78=0,0,L78/H78)</f>
        <v>-0.28297544318031442</v>
      </c>
      <c r="O78" s="29"/>
      <c r="P78" s="31">
        <f>+P74-P76</f>
        <v>-538942.51000000013</v>
      </c>
      <c r="Q78" s="14"/>
      <c r="R78" s="34">
        <f>IF(P$12=0,0,P78/P$12)</f>
        <v>0</v>
      </c>
      <c r="S78" s="14"/>
      <c r="T78" s="31">
        <f>+T74-T76</f>
        <v>-617038.18486692291</v>
      </c>
      <c r="U78" s="14"/>
      <c r="V78" s="34">
        <f>IF(T$12=0,0,T78/T$12)</f>
        <v>-3085.1909243346145</v>
      </c>
      <c r="W78" s="16"/>
      <c r="X78" s="31">
        <f>P78-T78</f>
        <v>78095.674866922782</v>
      </c>
      <c r="Y78" s="16"/>
      <c r="Z78" s="34">
        <f>IF(T78=0,0,X78/T78)</f>
        <v>-0.12656538409169238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8" t="s">
        <v>5</v>
      </c>
      <c r="C81" s="28"/>
      <c r="D81" s="32">
        <f>SUM(D78:D80)</f>
        <v>-57380.739999999991</v>
      </c>
      <c r="E81" s="14"/>
      <c r="F81" s="35">
        <f>IF(D$12=0,0,D81/D$12)</f>
        <v>0</v>
      </c>
      <c r="G81" s="14"/>
      <c r="H81" s="32">
        <f>SUM(H78:H80)</f>
        <v>-80026.185232076881</v>
      </c>
      <c r="I81" s="14"/>
      <c r="J81" s="35">
        <f>IF(H$12=0,0,H81/H$12)</f>
        <v>0</v>
      </c>
      <c r="K81" s="16"/>
      <c r="L81" s="32">
        <f>+D81-H81</f>
        <v>22645.445232076891</v>
      </c>
      <c r="M81" s="16"/>
      <c r="N81" s="35">
        <f>IF(H81=0,0,L81/H81)</f>
        <v>-0.28297544318031442</v>
      </c>
      <c r="O81" s="29"/>
      <c r="P81" s="32">
        <f>SUM(P78:P80)</f>
        <v>-538942.51000000013</v>
      </c>
      <c r="Q81" s="14"/>
      <c r="R81" s="35">
        <f>IF(P$12=0,0,P81/P$12)</f>
        <v>0</v>
      </c>
      <c r="S81" s="14"/>
      <c r="T81" s="32">
        <f>SUM(T78:T80)</f>
        <v>-617038.18486692291</v>
      </c>
      <c r="U81" s="14"/>
      <c r="V81" s="35">
        <f>IF(T$12=0,0,T81/T$12)</f>
        <v>-3085.1909243346145</v>
      </c>
      <c r="W81" s="16"/>
      <c r="X81" s="32">
        <f>+P81-T81</f>
        <v>78095.674866922782</v>
      </c>
      <c r="Y81" s="16"/>
      <c r="Z81" s="35">
        <f>IF(T81=0,0,X81/T81)</f>
        <v>-0.12656538409169238</v>
      </c>
    </row>
    <row r="82" spans="1:26" ht="15.75" thickTop="1" x14ac:dyDescent="0.25">
      <c r="A82" s="9"/>
      <c r="C82" s="9"/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6" x14ac:dyDescent="0.25">
      <c r="A83" s="9"/>
      <c r="B83" s="57">
        <v>43934.466214664353</v>
      </c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6" x14ac:dyDescent="0.25">
      <c r="A84" s="9"/>
      <c r="B84" s="62" t="s">
        <v>314</v>
      </c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60"/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","205", " - ", "Maintenance")</f>
        <v>Department 205 - Maintenance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5062.2699999999995</v>
      </c>
      <c r="E18" s="21"/>
      <c r="F18" s="30">
        <f t="shared" ref="F18:F28" si="0">IF(D$12=0,0,D18/D$12)</f>
        <v>0</v>
      </c>
      <c r="G18" s="21"/>
      <c r="H18" s="21">
        <f>SUM(OSRRefH22x_0)</f>
        <v>7260.5090453384582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-2198.2390453384587</v>
      </c>
      <c r="M18" s="4"/>
      <c r="N18" s="30">
        <f t="shared" ref="N18:N28" si="3">IF(H18=0,0,L18/H18)</f>
        <v>-0.30276651838204338</v>
      </c>
      <c r="O18" s="10"/>
      <c r="P18" s="21">
        <f>SUM(OSRRefP22x_0)</f>
        <v>71795.89</v>
      </c>
      <c r="Q18" s="21"/>
      <c r="R18" s="30">
        <f t="shared" ref="R18:R28" si="4">IF(P$12=0,0,P18/P$12)</f>
        <v>0</v>
      </c>
      <c r="S18" s="21"/>
      <c r="T18" s="21">
        <f>SUM(OSRRefT22x_0)</f>
        <v>74935.213192049996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-3139.3231920499966</v>
      </c>
      <c r="Y18" s="4"/>
      <c r="Z18" s="30">
        <f t="shared" ref="Z18:Z28" si="7">IF(T18=0,0,X18/T18)</f>
        <v>-4.1893831462176352E-2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2313.1999999999998</v>
      </c>
      <c r="E19" s="1"/>
      <c r="F19" s="5">
        <f t="shared" si="0"/>
        <v>0</v>
      </c>
      <c r="G19" s="1"/>
      <c r="H19" s="1">
        <f>SUM(OSRRefH22_0x_0)</f>
        <v>2294.782322261538</v>
      </c>
      <c r="I19" s="1"/>
      <c r="J19" s="5">
        <f t="shared" si="1"/>
        <v>0</v>
      </c>
      <c r="K19" s="1"/>
      <c r="L19" s="1">
        <f t="shared" si="2"/>
        <v>18.417677738461862</v>
      </c>
      <c r="M19" s="1"/>
      <c r="N19" s="5">
        <f t="shared" si="3"/>
        <v>8.0258931576181053E-3</v>
      </c>
      <c r="O19" s="13"/>
      <c r="P19" s="1">
        <f>SUM(OSRRefP22_0x_0)</f>
        <v>23772.51</v>
      </c>
      <c r="Q19" s="1"/>
      <c r="R19" s="5">
        <f t="shared" si="4"/>
        <v>0</v>
      </c>
      <c r="S19" s="1"/>
      <c r="T19" s="1">
        <f>SUM(OSRRefT22_0x_0)</f>
        <v>21764.37764205</v>
      </c>
      <c r="U19" s="1"/>
      <c r="V19" s="5">
        <f t="shared" si="5"/>
        <v>0</v>
      </c>
      <c r="W19" s="1"/>
      <c r="X19" s="1">
        <f t="shared" si="6"/>
        <v>2008.1323579499985</v>
      </c>
      <c r="Y19" s="1"/>
      <c r="Z19" s="5">
        <f t="shared" si="7"/>
        <v>9.2266932276996241E-2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315.83999999999997</v>
      </c>
      <c r="E20" s="2"/>
      <c r="F20" s="7">
        <f t="shared" si="0"/>
        <v>0</v>
      </c>
      <c r="G20" s="2"/>
      <c r="H20" s="6">
        <v>321.40351195384602</v>
      </c>
      <c r="I20" s="2"/>
      <c r="J20" s="7">
        <f t="shared" si="1"/>
        <v>0</v>
      </c>
      <c r="K20" s="2"/>
      <c r="L20" s="6">
        <f t="shared" si="2"/>
        <v>-5.5635119538460458</v>
      </c>
      <c r="M20" s="2"/>
      <c r="N20" s="7">
        <f t="shared" si="3"/>
        <v>-1.7310053396818431E-2</v>
      </c>
      <c r="O20" s="11"/>
      <c r="P20" s="6">
        <v>3092.12</v>
      </c>
      <c r="Q20" s="2"/>
      <c r="R20" s="7">
        <f t="shared" si="4"/>
        <v>0</v>
      </c>
      <c r="S20" s="2"/>
      <c r="T20" s="6">
        <v>3133.68424155</v>
      </c>
      <c r="U20" s="2"/>
      <c r="V20" s="7">
        <f t="shared" si="5"/>
        <v>0</v>
      </c>
      <c r="W20" s="2"/>
      <c r="X20" s="6">
        <f t="shared" si="6"/>
        <v>-41.564241550000133</v>
      </c>
      <c r="Y20" s="2"/>
      <c r="Z20" s="7">
        <f t="shared" si="7"/>
        <v>-1.3263698045544435E-2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279.52</v>
      </c>
      <c r="E21" s="2"/>
      <c r="F21" s="7">
        <f t="shared" si="0"/>
        <v>0</v>
      </c>
      <c r="G21" s="2"/>
      <c r="H21" s="6">
        <v>284.32010661538499</v>
      </c>
      <c r="I21" s="2"/>
      <c r="J21" s="7">
        <f t="shared" si="1"/>
        <v>0</v>
      </c>
      <c r="K21" s="2"/>
      <c r="L21" s="6">
        <f t="shared" si="2"/>
        <v>-4.8001066153850047</v>
      </c>
      <c r="M21" s="2"/>
      <c r="N21" s="7">
        <f t="shared" si="3"/>
        <v>-1.6882754696903535E-2</v>
      </c>
      <c r="O21" s="11"/>
      <c r="P21" s="6">
        <v>2372.4499999999998</v>
      </c>
      <c r="Q21" s="2"/>
      <c r="R21" s="7">
        <f t="shared" si="4"/>
        <v>0</v>
      </c>
      <c r="S21" s="2"/>
      <c r="T21" s="6">
        <v>2772.121039500003</v>
      </c>
      <c r="U21" s="2"/>
      <c r="V21" s="7">
        <f t="shared" si="5"/>
        <v>0</v>
      </c>
      <c r="W21" s="2"/>
      <c r="X21" s="6">
        <f t="shared" si="6"/>
        <v>-399.67103950000319</v>
      </c>
      <c r="Y21" s="2"/>
      <c r="Z21" s="7">
        <f t="shared" si="7"/>
        <v>-0.14417517626578469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696.16</v>
      </c>
      <c r="E22" s="2"/>
      <c r="F22" s="7">
        <f t="shared" si="0"/>
        <v>0</v>
      </c>
      <c r="G22" s="2"/>
      <c r="H22" s="6">
        <v>663</v>
      </c>
      <c r="I22" s="2"/>
      <c r="J22" s="7">
        <f t="shared" si="1"/>
        <v>0</v>
      </c>
      <c r="K22" s="2"/>
      <c r="L22" s="6">
        <f t="shared" si="2"/>
        <v>33.159999999999968</v>
      </c>
      <c r="M22" s="2"/>
      <c r="N22" s="7">
        <f t="shared" si="3"/>
        <v>5.001508295625938E-2</v>
      </c>
      <c r="O22" s="11"/>
      <c r="P22" s="6">
        <v>6259.32</v>
      </c>
      <c r="Q22" s="2"/>
      <c r="R22" s="7">
        <f t="shared" si="4"/>
        <v>0</v>
      </c>
      <c r="S22" s="2"/>
      <c r="T22" s="6">
        <v>5967</v>
      </c>
      <c r="U22" s="2"/>
      <c r="V22" s="7">
        <f t="shared" si="5"/>
        <v>0</v>
      </c>
      <c r="W22" s="2"/>
      <c r="X22" s="6">
        <f t="shared" si="6"/>
        <v>292.31999999999971</v>
      </c>
      <c r="Y22" s="2"/>
      <c r="Z22" s="7">
        <f t="shared" si="7"/>
        <v>4.8989441930618355E-2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10.74</v>
      </c>
      <c r="E23" s="2"/>
      <c r="F23" s="7">
        <f t="shared" si="0"/>
        <v>0</v>
      </c>
      <c r="G23" s="2"/>
      <c r="H23" s="6">
        <v>10.919236</v>
      </c>
      <c r="I23" s="2"/>
      <c r="J23" s="7">
        <f t="shared" si="1"/>
        <v>0</v>
      </c>
      <c r="K23" s="2"/>
      <c r="L23" s="6">
        <f t="shared" si="2"/>
        <v>-0.17923599999999951</v>
      </c>
      <c r="M23" s="2"/>
      <c r="N23" s="7">
        <f t="shared" si="3"/>
        <v>-1.6414701541389846E-2</v>
      </c>
      <c r="O23" s="11"/>
      <c r="P23" s="6">
        <v>104.16</v>
      </c>
      <c r="Q23" s="2"/>
      <c r="R23" s="7">
        <f t="shared" si="4"/>
        <v>0</v>
      </c>
      <c r="S23" s="2"/>
      <c r="T23" s="6">
        <v>106.462551</v>
      </c>
      <c r="U23" s="2"/>
      <c r="V23" s="7">
        <f t="shared" si="5"/>
        <v>0</v>
      </c>
      <c r="W23" s="2"/>
      <c r="X23" s="6">
        <f t="shared" si="6"/>
        <v>-2.3025510000000082</v>
      </c>
      <c r="Y23" s="2"/>
      <c r="Z23" s="7">
        <f t="shared" si="7"/>
        <v>-2.1627802249450215E-2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429.26</v>
      </c>
      <c r="E24" s="2"/>
      <c r="F24" s="7">
        <f t="shared" si="0"/>
        <v>0</v>
      </c>
      <c r="G24" s="2"/>
      <c r="H24" s="6">
        <v>361.174729230769</v>
      </c>
      <c r="I24" s="2"/>
      <c r="J24" s="7">
        <f t="shared" si="1"/>
        <v>0</v>
      </c>
      <c r="K24" s="2"/>
      <c r="L24" s="6">
        <f t="shared" si="2"/>
        <v>68.085270769230988</v>
      </c>
      <c r="M24" s="2"/>
      <c r="N24" s="7">
        <f t="shared" si="3"/>
        <v>0.18851061621680784</v>
      </c>
      <c r="O24" s="11"/>
      <c r="P24" s="6">
        <v>4077.96</v>
      </c>
      <c r="Q24" s="2"/>
      <c r="R24" s="7">
        <f t="shared" si="4"/>
        <v>0</v>
      </c>
      <c r="S24" s="2"/>
      <c r="T24" s="6">
        <v>3521.4536099999996</v>
      </c>
      <c r="U24" s="2"/>
      <c r="V24" s="7">
        <f t="shared" si="5"/>
        <v>0</v>
      </c>
      <c r="W24" s="2"/>
      <c r="X24" s="6">
        <f t="shared" si="6"/>
        <v>556.50639000000047</v>
      </c>
      <c r="Y24" s="2"/>
      <c r="Z24" s="7">
        <f t="shared" si="7"/>
        <v>0.15803314529536017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387.96</v>
      </c>
      <c r="E26" s="2"/>
      <c r="F26" s="7">
        <f t="shared" si="0"/>
        <v>0</v>
      </c>
      <c r="G26" s="2"/>
      <c r="H26" s="6">
        <v>419.97061538461503</v>
      </c>
      <c r="I26" s="2"/>
      <c r="J26" s="7">
        <f t="shared" si="1"/>
        <v>0</v>
      </c>
      <c r="K26" s="2"/>
      <c r="L26" s="6">
        <f t="shared" si="2"/>
        <v>-32.010615384615051</v>
      </c>
      <c r="M26" s="2"/>
      <c r="N26" s="7">
        <f t="shared" si="3"/>
        <v>-7.622108359962107E-2</v>
      </c>
      <c r="O26" s="11"/>
      <c r="P26" s="6">
        <v>4000.85</v>
      </c>
      <c r="Q26" s="2"/>
      <c r="R26" s="7">
        <f t="shared" si="4"/>
        <v>0</v>
      </c>
      <c r="S26" s="2"/>
      <c r="T26" s="6">
        <v>4094.7134999999971</v>
      </c>
      <c r="U26" s="2"/>
      <c r="V26" s="7">
        <f t="shared" si="5"/>
        <v>0</v>
      </c>
      <c r="W26" s="2"/>
      <c r="X26" s="6">
        <f t="shared" si="6"/>
        <v>-93.863499999997202</v>
      </c>
      <c r="Y26" s="2"/>
      <c r="Z26" s="7">
        <f t="shared" si="7"/>
        <v>-2.2923093398353089E-2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193.72</v>
      </c>
      <c r="E27" s="2"/>
      <c r="F27" s="7">
        <f t="shared" si="0"/>
        <v>0</v>
      </c>
      <c r="G27" s="2"/>
      <c r="H27" s="6">
        <v>83.994123076923103</v>
      </c>
      <c r="I27" s="2"/>
      <c r="J27" s="7">
        <f t="shared" si="1"/>
        <v>0</v>
      </c>
      <c r="K27" s="2"/>
      <c r="L27" s="6">
        <f t="shared" si="2"/>
        <v>109.7258769230769</v>
      </c>
      <c r="M27" s="2"/>
      <c r="N27" s="7">
        <f t="shared" si="3"/>
        <v>1.3063518363372668</v>
      </c>
      <c r="O27" s="11"/>
      <c r="P27" s="6">
        <v>2685.38</v>
      </c>
      <c r="Q27" s="2"/>
      <c r="R27" s="7">
        <f t="shared" si="4"/>
        <v>0</v>
      </c>
      <c r="S27" s="2"/>
      <c r="T27" s="6">
        <v>818.94270000000063</v>
      </c>
      <c r="U27" s="2"/>
      <c r="V27" s="7">
        <f t="shared" si="5"/>
        <v>0</v>
      </c>
      <c r="W27" s="2"/>
      <c r="X27" s="6">
        <f t="shared" si="6"/>
        <v>1866.4372999999996</v>
      </c>
      <c r="Y27" s="2"/>
      <c r="Z27" s="7">
        <f t="shared" si="7"/>
        <v>2.2790816744565867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/>
      <c r="E28" s="2"/>
      <c r="F28" s="7">
        <f t="shared" si="0"/>
        <v>0</v>
      </c>
      <c r="G28" s="2"/>
      <c r="H28" s="6">
        <v>150</v>
      </c>
      <c r="I28" s="2"/>
      <c r="J28" s="7">
        <f t="shared" si="1"/>
        <v>0</v>
      </c>
      <c r="K28" s="2"/>
      <c r="L28" s="6">
        <f t="shared" si="2"/>
        <v>-150</v>
      </c>
      <c r="M28" s="2"/>
      <c r="N28" s="7">
        <f t="shared" si="3"/>
        <v>-1</v>
      </c>
      <c r="O28" s="11"/>
      <c r="P28" s="6">
        <v>1180.27</v>
      </c>
      <c r="Q28" s="2"/>
      <c r="R28" s="7">
        <f t="shared" si="4"/>
        <v>0</v>
      </c>
      <c r="S28" s="2"/>
      <c r="T28" s="6">
        <v>1350</v>
      </c>
      <c r="U28" s="2"/>
      <c r="V28" s="7">
        <f t="shared" si="5"/>
        <v>0</v>
      </c>
      <c r="W28" s="2"/>
      <c r="X28" s="6">
        <f t="shared" si="6"/>
        <v>-169.73000000000002</v>
      </c>
      <c r="Y28" s="2"/>
      <c r="Z28" s="7">
        <f t="shared" si="7"/>
        <v>-0.12572592592592594</v>
      </c>
    </row>
    <row r="29" spans="1:26" s="27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0</v>
      </c>
      <c r="E29" s="1"/>
      <c r="F29" s="5">
        <f t="shared" ref="F29:F39" si="8">IF(D$12=0,0,D29/D$12)</f>
        <v>0</v>
      </c>
      <c r="G29" s="1"/>
      <c r="H29" s="1">
        <f>SUM(OSRRefH22_1x_0)</f>
        <v>3905.7267230769203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-3905.7267230769203</v>
      </c>
      <c r="M29" s="1"/>
      <c r="N29" s="5">
        <f t="shared" ref="N29:N39" si="11">IF(H29=0,0,L29/H29)</f>
        <v>-1</v>
      </c>
      <c r="O29" s="13"/>
      <c r="P29" s="1">
        <f>SUM(OSRRefP22_1x_0)</f>
        <v>33348.700000000004</v>
      </c>
      <c r="Q29" s="1"/>
      <c r="R29" s="5">
        <f t="shared" ref="R29:R39" si="12">IF(P$12=0,0,P29/P$12)</f>
        <v>0</v>
      </c>
      <c r="S29" s="1"/>
      <c r="T29" s="1">
        <f>SUM(OSRRefT22_1x_0)</f>
        <v>38080.835550000003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-4732.1355499999991</v>
      </c>
      <c r="Y29" s="1"/>
      <c r="Z29" s="5">
        <f t="shared" ref="Z29:Z39" si="15">IF(T29=0,0,X29/T29)</f>
        <v>-0.12426553886368175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3905.7267230769203</v>
      </c>
      <c r="I31" s="2"/>
      <c r="J31" s="7">
        <f t="shared" si="9"/>
        <v>0</v>
      </c>
      <c r="K31" s="2"/>
      <c r="L31" s="6">
        <f t="shared" si="10"/>
        <v>-3905.7267230769203</v>
      </c>
      <c r="M31" s="2"/>
      <c r="N31" s="7">
        <f t="shared" si="11"/>
        <v>-1</v>
      </c>
      <c r="O31" s="11"/>
      <c r="P31" s="6">
        <v>33348.700000000004</v>
      </c>
      <c r="Q31" s="2"/>
      <c r="R31" s="7">
        <f t="shared" si="12"/>
        <v>0</v>
      </c>
      <c r="S31" s="2"/>
      <c r="T31" s="6">
        <v>38080.835550000003</v>
      </c>
      <c r="U31" s="2"/>
      <c r="V31" s="7">
        <f t="shared" si="13"/>
        <v>0</v>
      </c>
      <c r="W31" s="2"/>
      <c r="X31" s="6">
        <f t="shared" si="14"/>
        <v>-4732.1355499999991</v>
      </c>
      <c r="Y31" s="2"/>
      <c r="Z31" s="7">
        <f t="shared" si="15"/>
        <v>-0.12426553886368175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7" customFormat="1" outlineLevel="1" collapsed="1" x14ac:dyDescent="0.25">
      <c r="A40" s="26"/>
      <c r="B40" s="13" t="str">
        <f>CONCATENATE("     ","General                                           ")</f>
        <v xml:space="preserve">     General                                           </v>
      </c>
      <c r="C40" s="13"/>
      <c r="D40" s="1">
        <f>SUM(OSRRefD22_2x_0)</f>
        <v>-199.33</v>
      </c>
      <c r="E40" s="1"/>
      <c r="F40" s="5">
        <f t="shared" ref="F40:F48" si="16">IF(D$12=0,0,D40/D$12)</f>
        <v>0</v>
      </c>
      <c r="G40" s="1"/>
      <c r="H40" s="1">
        <f>SUM(OSRRefH22_2x_0)</f>
        <v>-500</v>
      </c>
      <c r="I40" s="1"/>
      <c r="J40" s="5">
        <f t="shared" ref="J40:J48" si="17">IF(H$12=0,0,H40/H$12)</f>
        <v>0</v>
      </c>
      <c r="K40" s="1"/>
      <c r="L40" s="1">
        <f t="shared" ref="L40:L48" si="18">+D40-H40</f>
        <v>300.66999999999996</v>
      </c>
      <c r="M40" s="1"/>
      <c r="N40" s="5">
        <f t="shared" ref="N40:N48" si="19">IF(H40=0,0,L40/H40)</f>
        <v>-0.60133999999999987</v>
      </c>
      <c r="O40" s="13"/>
      <c r="P40" s="1">
        <f>SUM(OSRRefP22_2x_0)</f>
        <v>-908.94</v>
      </c>
      <c r="Q40" s="1"/>
      <c r="R40" s="5">
        <f t="shared" ref="R40:R48" si="20">IF(P$12=0,0,P40/P$12)</f>
        <v>0</v>
      </c>
      <c r="S40" s="1"/>
      <c r="T40" s="1">
        <f>SUM(OSRRefT22_2x_0)</f>
        <v>-4500</v>
      </c>
      <c r="U40" s="1"/>
      <c r="V40" s="5">
        <f t="shared" ref="V40:V48" si="21">IF(T$12=0,0,T40/T$12)</f>
        <v>0</v>
      </c>
      <c r="W40" s="1"/>
      <c r="X40" s="1">
        <f t="shared" ref="X40:X48" si="22">+P40-T40</f>
        <v>3591.06</v>
      </c>
      <c r="Y40" s="1"/>
      <c r="Z40" s="5">
        <f t="shared" ref="Z40:Z48" si="23">IF(T40=0,0,X40/T40)</f>
        <v>-0.79801333333333335</v>
      </c>
    </row>
    <row r="41" spans="1:26" s="24" customFormat="1" hidden="1" outlineLevel="2" x14ac:dyDescent="0.25">
      <c r="A41" s="25"/>
      <c r="B41" s="11" t="str">
        <f>CONCATENATE("          ", "6279", " - ", "GENERAL EXPENSE")</f>
        <v xml:space="preserve">          6279 - GENERAL EXPENSE</v>
      </c>
      <c r="C41" s="11"/>
      <c r="D41" s="6">
        <v>-199.33</v>
      </c>
      <c r="E41" s="2"/>
      <c r="F41" s="7">
        <f t="shared" si="16"/>
        <v>0</v>
      </c>
      <c r="G41" s="2"/>
      <c r="H41" s="6">
        <v>-500</v>
      </c>
      <c r="I41" s="2"/>
      <c r="J41" s="7">
        <f t="shared" si="17"/>
        <v>0</v>
      </c>
      <c r="K41" s="2"/>
      <c r="L41" s="6">
        <f t="shared" si="18"/>
        <v>300.66999999999996</v>
      </c>
      <c r="M41" s="2"/>
      <c r="N41" s="7">
        <f t="shared" si="19"/>
        <v>-0.60133999999999987</v>
      </c>
      <c r="O41" s="11"/>
      <c r="P41" s="6">
        <v>-908.94</v>
      </c>
      <c r="Q41" s="2"/>
      <c r="R41" s="7">
        <f t="shared" si="20"/>
        <v>0</v>
      </c>
      <c r="S41" s="2"/>
      <c r="T41" s="6">
        <v>-4500</v>
      </c>
      <c r="U41" s="2"/>
      <c r="V41" s="7">
        <f t="shared" si="21"/>
        <v>0</v>
      </c>
      <c r="W41" s="2"/>
      <c r="X41" s="6">
        <f t="shared" si="22"/>
        <v>3591.06</v>
      </c>
      <c r="Y41" s="2"/>
      <c r="Z41" s="7">
        <f t="shared" si="23"/>
        <v>-0.79801333333333335</v>
      </c>
    </row>
    <row r="42" spans="1:26" s="27" customFormat="1" outlineLevel="1" collapsed="1" x14ac:dyDescent="0.25">
      <c r="A42" s="26"/>
      <c r="B42" s="13" t="str">
        <f>CONCATENATE("     ","Insurance                                         ")</f>
        <v xml:space="preserve">     Insurance                                         </v>
      </c>
      <c r="C42" s="13"/>
      <c r="D42" s="1">
        <f>SUM(OSRRefD22_3x_0)</f>
        <v>24.56</v>
      </c>
      <c r="E42" s="1"/>
      <c r="F42" s="5">
        <f t="shared" si="16"/>
        <v>0</v>
      </c>
      <c r="G42" s="1"/>
      <c r="H42" s="1">
        <f>SUM(OSRRefH22_3x_0)</f>
        <v>25</v>
      </c>
      <c r="I42" s="1"/>
      <c r="J42" s="5">
        <f t="shared" si="17"/>
        <v>0</v>
      </c>
      <c r="K42" s="1"/>
      <c r="L42" s="1">
        <f t="shared" si="18"/>
        <v>-0.44000000000000128</v>
      </c>
      <c r="M42" s="1"/>
      <c r="N42" s="5">
        <f t="shared" si="19"/>
        <v>-1.760000000000005E-2</v>
      </c>
      <c r="O42" s="13"/>
      <c r="P42" s="1">
        <f>SUM(OSRRefP22_3x_0)</f>
        <v>221.04</v>
      </c>
      <c r="Q42" s="1"/>
      <c r="R42" s="5">
        <f t="shared" si="20"/>
        <v>0</v>
      </c>
      <c r="S42" s="1"/>
      <c r="T42" s="1">
        <f>SUM(OSRRefT22_3x_0)</f>
        <v>225</v>
      </c>
      <c r="U42" s="1"/>
      <c r="V42" s="5">
        <f t="shared" si="21"/>
        <v>0</v>
      </c>
      <c r="W42" s="1"/>
      <c r="X42" s="1">
        <f t="shared" si="22"/>
        <v>-3.960000000000008</v>
      </c>
      <c r="Y42" s="1"/>
      <c r="Z42" s="5">
        <f t="shared" si="23"/>
        <v>-1.7600000000000036E-2</v>
      </c>
    </row>
    <row r="43" spans="1:26" s="24" customFormat="1" hidden="1" outlineLevel="2" x14ac:dyDescent="0.25">
      <c r="A43" s="25"/>
      <c r="B43" s="11" t="str">
        <f>CONCATENATE("          ", "6314", " - ", "LIABILITY INSURANCE")</f>
        <v xml:space="preserve">          6314 - LIABILITY INSURANCE</v>
      </c>
      <c r="C43" s="11"/>
      <c r="D43" s="6">
        <v>24.56</v>
      </c>
      <c r="E43" s="2"/>
      <c r="F43" s="7">
        <f t="shared" si="16"/>
        <v>0</v>
      </c>
      <c r="G43" s="2"/>
      <c r="H43" s="6">
        <v>25</v>
      </c>
      <c r="I43" s="2"/>
      <c r="J43" s="7">
        <f t="shared" si="17"/>
        <v>0</v>
      </c>
      <c r="K43" s="2"/>
      <c r="L43" s="6">
        <f t="shared" si="18"/>
        <v>-0.44000000000000128</v>
      </c>
      <c r="M43" s="2"/>
      <c r="N43" s="7">
        <f t="shared" si="19"/>
        <v>-1.760000000000005E-2</v>
      </c>
      <c r="O43" s="11"/>
      <c r="P43" s="6">
        <v>221.04</v>
      </c>
      <c r="Q43" s="2"/>
      <c r="R43" s="7">
        <f t="shared" si="20"/>
        <v>0</v>
      </c>
      <c r="S43" s="2"/>
      <c r="T43" s="6">
        <v>225</v>
      </c>
      <c r="U43" s="2"/>
      <c r="V43" s="7">
        <f t="shared" si="21"/>
        <v>0</v>
      </c>
      <c r="W43" s="2"/>
      <c r="X43" s="6">
        <f t="shared" si="22"/>
        <v>-3.960000000000008</v>
      </c>
      <c r="Y43" s="2"/>
      <c r="Z43" s="7">
        <f t="shared" si="23"/>
        <v>-1.7600000000000036E-2</v>
      </c>
    </row>
    <row r="44" spans="1:26" s="27" customFormat="1" outlineLevel="1" collapsed="1" x14ac:dyDescent="0.25">
      <c r="A44" s="26"/>
      <c r="B44" s="13" t="str">
        <f>CONCATENATE("     ","Professional Services                             ")</f>
        <v xml:space="preserve">     Professional Services  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4500</v>
      </c>
      <c r="U44" s="1"/>
      <c r="V44" s="5">
        <f t="shared" si="21"/>
        <v>0</v>
      </c>
      <c r="W44" s="1"/>
      <c r="X44" s="1">
        <f t="shared" si="22"/>
        <v>-4500</v>
      </c>
      <c r="Y44" s="1"/>
      <c r="Z44" s="5">
        <f t="shared" si="23"/>
        <v>-1</v>
      </c>
    </row>
    <row r="45" spans="1:26" s="24" customFormat="1" hidden="1" outlineLevel="2" x14ac:dyDescent="0.25">
      <c r="A45" s="25"/>
      <c r="B45" s="11" t="str">
        <f>CONCATENATE("          ", "6336", " - ", "PROFESSIONAL SERVICES")</f>
        <v xml:space="preserve">          6336 - PROFESSIONAL SERVICES</v>
      </c>
      <c r="C45" s="11"/>
      <c r="D45" s="6"/>
      <c r="E45" s="2"/>
      <c r="F45" s="7">
        <f t="shared" si="16"/>
        <v>0</v>
      </c>
      <c r="G45" s="2"/>
      <c r="H45" s="6"/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/>
      <c r="Q45" s="2"/>
      <c r="R45" s="7">
        <f t="shared" si="20"/>
        <v>0</v>
      </c>
      <c r="S45" s="2"/>
      <c r="T45" s="6">
        <v>4500</v>
      </c>
      <c r="U45" s="2"/>
      <c r="V45" s="7">
        <f t="shared" si="21"/>
        <v>0</v>
      </c>
      <c r="W45" s="2"/>
      <c r="X45" s="6">
        <f t="shared" si="22"/>
        <v>-4500</v>
      </c>
      <c r="Y45" s="2"/>
      <c r="Z45" s="7">
        <f t="shared" si="23"/>
        <v>-1</v>
      </c>
    </row>
    <row r="46" spans="1:26" s="27" customFormat="1" outlineLevel="1" collapsed="1" x14ac:dyDescent="0.25">
      <c r="A46" s="26"/>
      <c r="B46" s="13" t="str">
        <f>CONCATENATE("     ","Repair and Maintenance                            ")</f>
        <v xml:space="preserve">     Repair and Maintenance                            </v>
      </c>
      <c r="C46" s="13"/>
      <c r="D46" s="1">
        <f>SUM(OSRRefD22_5x_0)</f>
        <v>2835.88</v>
      </c>
      <c r="E46" s="1"/>
      <c r="F46" s="5">
        <f t="shared" si="16"/>
        <v>0</v>
      </c>
      <c r="G46" s="1"/>
      <c r="H46" s="1">
        <f>SUM(OSRRefH22_5x_0)</f>
        <v>1500</v>
      </c>
      <c r="I46" s="1"/>
      <c r="J46" s="5">
        <f t="shared" si="17"/>
        <v>0</v>
      </c>
      <c r="K46" s="1"/>
      <c r="L46" s="1">
        <f t="shared" si="18"/>
        <v>1335.88</v>
      </c>
      <c r="M46" s="1"/>
      <c r="N46" s="5">
        <f t="shared" si="19"/>
        <v>0.89058666666666675</v>
      </c>
      <c r="O46" s="13"/>
      <c r="P46" s="1">
        <f>SUM(OSRRefP22_5x_0)</f>
        <v>13288.640000000001</v>
      </c>
      <c r="Q46" s="1"/>
      <c r="R46" s="5">
        <f t="shared" si="20"/>
        <v>0</v>
      </c>
      <c r="S46" s="1"/>
      <c r="T46" s="1">
        <f>SUM(OSRRefT22_5x_0)</f>
        <v>13500</v>
      </c>
      <c r="U46" s="1"/>
      <c r="V46" s="5">
        <f t="shared" si="21"/>
        <v>0</v>
      </c>
      <c r="W46" s="1"/>
      <c r="X46" s="1">
        <f t="shared" si="22"/>
        <v>-211.35999999999876</v>
      </c>
      <c r="Y46" s="1"/>
      <c r="Z46" s="5">
        <f t="shared" si="23"/>
        <v>-1.5656296296296203E-2</v>
      </c>
    </row>
    <row r="47" spans="1:26" s="24" customFormat="1" hidden="1" outlineLevel="2" x14ac:dyDescent="0.25">
      <c r="A47" s="25"/>
      <c r="B47" s="11" t="str">
        <f>CONCATENATE("          ", "6373", " - ", "MAINTENANCE CONTRACTS")</f>
        <v xml:space="preserve">          6373 - MAINTENANCE CONTRACTS</v>
      </c>
      <c r="C47" s="11"/>
      <c r="D47" s="6">
        <v>1448.13</v>
      </c>
      <c r="E47" s="2"/>
      <c r="F47" s="7">
        <f t="shared" si="16"/>
        <v>0</v>
      </c>
      <c r="G47" s="2"/>
      <c r="H47" s="6">
        <v>1500</v>
      </c>
      <c r="I47" s="2"/>
      <c r="J47" s="7">
        <f t="shared" si="17"/>
        <v>0</v>
      </c>
      <c r="K47" s="2"/>
      <c r="L47" s="6">
        <f t="shared" si="18"/>
        <v>-51.869999999999891</v>
      </c>
      <c r="M47" s="2"/>
      <c r="N47" s="7">
        <f t="shared" si="19"/>
        <v>-3.457999999999993E-2</v>
      </c>
      <c r="O47" s="11"/>
      <c r="P47" s="6">
        <v>11339.78</v>
      </c>
      <c r="Q47" s="2"/>
      <c r="R47" s="7">
        <f t="shared" si="20"/>
        <v>0</v>
      </c>
      <c r="S47" s="2"/>
      <c r="T47" s="6">
        <v>13500</v>
      </c>
      <c r="U47" s="2"/>
      <c r="V47" s="7">
        <f t="shared" si="21"/>
        <v>0</v>
      </c>
      <c r="W47" s="2"/>
      <c r="X47" s="6">
        <f t="shared" si="22"/>
        <v>-2160.2199999999993</v>
      </c>
      <c r="Y47" s="2"/>
      <c r="Z47" s="7">
        <f t="shared" si="23"/>
        <v>-0.16001629629629624</v>
      </c>
    </row>
    <row r="48" spans="1:26" s="24" customFormat="1" hidden="1" outlineLevel="2" x14ac:dyDescent="0.25">
      <c r="A48" s="25"/>
      <c r="B48" s="11" t="str">
        <f>CONCATENATE("          ", "6375", " - ", "OUTSIDE REPAIRS &amp; MAINTENANCE")</f>
        <v xml:space="preserve">          6375 - OUTSIDE REPAIRS &amp; MAINTENANCE</v>
      </c>
      <c r="C48" s="11"/>
      <c r="D48" s="6">
        <v>1387.75</v>
      </c>
      <c r="E48" s="2"/>
      <c r="F48" s="7">
        <f t="shared" si="16"/>
        <v>0</v>
      </c>
      <c r="G48" s="2"/>
      <c r="H48" s="6"/>
      <c r="I48" s="2"/>
      <c r="J48" s="7">
        <f t="shared" si="17"/>
        <v>0</v>
      </c>
      <c r="K48" s="2"/>
      <c r="L48" s="6">
        <f t="shared" si="18"/>
        <v>1387.75</v>
      </c>
      <c r="M48" s="2"/>
      <c r="N48" s="7">
        <f t="shared" si="19"/>
        <v>0</v>
      </c>
      <c r="O48" s="11"/>
      <c r="P48" s="6">
        <v>1948.86</v>
      </c>
      <c r="Q48" s="2"/>
      <c r="R48" s="7">
        <f t="shared" si="20"/>
        <v>0</v>
      </c>
      <c r="S48" s="2"/>
      <c r="T48" s="6"/>
      <c r="U48" s="2"/>
      <c r="V48" s="7">
        <f t="shared" si="21"/>
        <v>0</v>
      </c>
      <c r="W48" s="2"/>
      <c r="X48" s="6">
        <f t="shared" si="22"/>
        <v>1948.86</v>
      </c>
      <c r="Y48" s="2"/>
      <c r="Z48" s="7">
        <f t="shared" si="23"/>
        <v>0</v>
      </c>
    </row>
    <row r="49" spans="1:26" s="27" customFormat="1" outlineLevel="1" collapsed="1" x14ac:dyDescent="0.25">
      <c r="A49" s="26"/>
      <c r="B49" s="13" t="str">
        <f>CONCATENATE("     ","Services                                          ")</f>
        <v xml:space="preserve">     Services                                          </v>
      </c>
      <c r="C49" s="13"/>
      <c r="D49" s="1">
        <f>SUM(OSRRefD22_6x_0)</f>
        <v>13.26</v>
      </c>
      <c r="E49" s="1"/>
      <c r="F49" s="5">
        <f t="shared" ref="F49:F53" si="24">IF(D$12=0,0,D49/D$12)</f>
        <v>0</v>
      </c>
      <c r="G49" s="1"/>
      <c r="H49" s="1">
        <f>SUM(OSRRefH22_6x_0)</f>
        <v>10</v>
      </c>
      <c r="I49" s="1"/>
      <c r="J49" s="5">
        <f t="shared" ref="J49:J53" si="25">IF(H$12=0,0,H49/H$12)</f>
        <v>0</v>
      </c>
      <c r="K49" s="1"/>
      <c r="L49" s="1">
        <f t="shared" ref="L49:L53" si="26">+D49-H49</f>
        <v>3.26</v>
      </c>
      <c r="M49" s="1"/>
      <c r="N49" s="5">
        <f t="shared" ref="N49:N53" si="27">IF(H49=0,0,L49/H49)</f>
        <v>0.32599999999999996</v>
      </c>
      <c r="O49" s="13"/>
      <c r="P49" s="1">
        <f>SUM(OSRRefP22_6x_0)</f>
        <v>83.98</v>
      </c>
      <c r="Q49" s="1"/>
      <c r="R49" s="5">
        <f t="shared" ref="R49:R53" si="28">IF(P$12=0,0,P49/P$12)</f>
        <v>0</v>
      </c>
      <c r="S49" s="1"/>
      <c r="T49" s="1">
        <f>SUM(OSRRefT22_6x_0)</f>
        <v>90</v>
      </c>
      <c r="U49" s="1"/>
      <c r="V49" s="5">
        <f t="shared" ref="V49:V53" si="29">IF(T$12=0,0,T49/T$12)</f>
        <v>0</v>
      </c>
      <c r="W49" s="1"/>
      <c r="X49" s="1">
        <f t="shared" ref="X49:X53" si="30">+P49-T49</f>
        <v>-6.019999999999996</v>
      </c>
      <c r="Y49" s="1"/>
      <c r="Z49" s="5">
        <f t="shared" ref="Z49:Z53" si="31">IF(T49=0,0,X49/T49)</f>
        <v>-6.6888888888888845E-2</v>
      </c>
    </row>
    <row r="50" spans="1:26" s="24" customFormat="1" hidden="1" outlineLevel="2" x14ac:dyDescent="0.25">
      <c r="A50" s="25"/>
      <c r="B50" s="11" t="str">
        <f>CONCATENATE("          ", "6286", " - ", "LAUNDRY EXPENSE")</f>
        <v xml:space="preserve">          6286 - LAUNDRY EXPENSE</v>
      </c>
      <c r="C50" s="11"/>
      <c r="D50" s="6">
        <v>13.26</v>
      </c>
      <c r="E50" s="2"/>
      <c r="F50" s="7">
        <f t="shared" si="24"/>
        <v>0</v>
      </c>
      <c r="G50" s="2"/>
      <c r="H50" s="6">
        <v>10</v>
      </c>
      <c r="I50" s="2"/>
      <c r="J50" s="7">
        <f t="shared" si="25"/>
        <v>0</v>
      </c>
      <c r="K50" s="2"/>
      <c r="L50" s="6">
        <f t="shared" si="26"/>
        <v>3.26</v>
      </c>
      <c r="M50" s="2"/>
      <c r="N50" s="7">
        <f t="shared" si="27"/>
        <v>0.32599999999999996</v>
      </c>
      <c r="O50" s="11"/>
      <c r="P50" s="6">
        <v>83.98</v>
      </c>
      <c r="Q50" s="2"/>
      <c r="R50" s="7">
        <f t="shared" si="28"/>
        <v>0</v>
      </c>
      <c r="S50" s="2"/>
      <c r="T50" s="6">
        <v>90</v>
      </c>
      <c r="U50" s="2"/>
      <c r="V50" s="7">
        <f t="shared" si="29"/>
        <v>0</v>
      </c>
      <c r="W50" s="2"/>
      <c r="X50" s="6">
        <f t="shared" si="30"/>
        <v>-6.019999999999996</v>
      </c>
      <c r="Y50" s="2"/>
      <c r="Z50" s="7">
        <f t="shared" si="31"/>
        <v>-6.6888888888888845E-2</v>
      </c>
    </row>
    <row r="51" spans="1:26" s="27" customFormat="1" outlineLevel="1" collapsed="1" x14ac:dyDescent="0.25">
      <c r="A51" s="26"/>
      <c r="B51" s="13" t="str">
        <f>CONCATENATE("     ","Supplies                                          ")</f>
        <v xml:space="preserve">     Supplies                                          </v>
      </c>
      <c r="C51" s="13"/>
      <c r="D51" s="1">
        <f>SUM(OSRRefD22_7x_0)</f>
        <v>0</v>
      </c>
      <c r="E51" s="1"/>
      <c r="F51" s="5">
        <f t="shared" si="24"/>
        <v>0</v>
      </c>
      <c r="G51" s="1"/>
      <c r="H51" s="1">
        <f>SUM(OSRRefH22_7x_0)</f>
        <v>10</v>
      </c>
      <c r="I51" s="1"/>
      <c r="J51" s="5">
        <f t="shared" si="25"/>
        <v>0</v>
      </c>
      <c r="K51" s="1"/>
      <c r="L51" s="1">
        <f t="shared" si="26"/>
        <v>-10</v>
      </c>
      <c r="M51" s="1"/>
      <c r="N51" s="5">
        <f t="shared" si="27"/>
        <v>-1</v>
      </c>
      <c r="O51" s="13"/>
      <c r="P51" s="1">
        <f>SUM(OSRRefP22_7x_0)</f>
        <v>1123.9000000000001</v>
      </c>
      <c r="Q51" s="1"/>
      <c r="R51" s="5">
        <f t="shared" si="28"/>
        <v>0</v>
      </c>
      <c r="S51" s="1"/>
      <c r="T51" s="1">
        <f>SUM(OSRRefT22_7x_0)</f>
        <v>690</v>
      </c>
      <c r="U51" s="1"/>
      <c r="V51" s="5">
        <f t="shared" si="29"/>
        <v>0</v>
      </c>
      <c r="W51" s="1"/>
      <c r="X51" s="1">
        <f t="shared" si="30"/>
        <v>433.90000000000009</v>
      </c>
      <c r="Y51" s="1"/>
      <c r="Z51" s="5">
        <f t="shared" si="31"/>
        <v>0.62884057971014506</v>
      </c>
    </row>
    <row r="52" spans="1:26" s="24" customFormat="1" hidden="1" outlineLevel="2" x14ac:dyDescent="0.25">
      <c r="A52" s="25"/>
      <c r="B52" s="11" t="str">
        <f>CONCATENATE("          ", "6234", " - ", "EXPENDABLE SUPPLIES &amp; EQUIPMEN")</f>
        <v xml:space="preserve">          6234 - EXPENDABLE SUPPLIES &amp; EQUIPMEN</v>
      </c>
      <c r="C52" s="11"/>
      <c r="D52" s="6"/>
      <c r="E52" s="2"/>
      <c r="F52" s="7">
        <f t="shared" si="24"/>
        <v>0</v>
      </c>
      <c r="G52" s="2"/>
      <c r="H52" s="6">
        <v>0</v>
      </c>
      <c r="I52" s="2"/>
      <c r="J52" s="7">
        <f t="shared" si="25"/>
        <v>0</v>
      </c>
      <c r="K52" s="2"/>
      <c r="L52" s="6">
        <f t="shared" si="26"/>
        <v>0</v>
      </c>
      <c r="M52" s="2"/>
      <c r="N52" s="7">
        <f t="shared" si="27"/>
        <v>0</v>
      </c>
      <c r="O52" s="11"/>
      <c r="P52" s="6">
        <v>1006.59</v>
      </c>
      <c r="Q52" s="2"/>
      <c r="R52" s="7">
        <f t="shared" si="28"/>
        <v>0</v>
      </c>
      <c r="S52" s="2"/>
      <c r="T52" s="6">
        <v>600</v>
      </c>
      <c r="U52" s="2"/>
      <c r="V52" s="7">
        <f t="shared" si="29"/>
        <v>0</v>
      </c>
      <c r="W52" s="2"/>
      <c r="X52" s="6">
        <f t="shared" si="30"/>
        <v>406.59000000000003</v>
      </c>
      <c r="Y52" s="2"/>
      <c r="Z52" s="7">
        <f t="shared" si="31"/>
        <v>0.67765000000000009</v>
      </c>
    </row>
    <row r="53" spans="1:26" s="24" customFormat="1" hidden="1" outlineLevel="2" x14ac:dyDescent="0.25">
      <c r="A53" s="25"/>
      <c r="B53" s="11" t="str">
        <f>CONCATENATE("          ", "6241", " - ", "OFFICE EXPENSE")</f>
        <v xml:space="preserve">          6241 - OFFICE EXPENSE</v>
      </c>
      <c r="C53" s="11"/>
      <c r="D53" s="6"/>
      <c r="E53" s="2"/>
      <c r="F53" s="7">
        <f t="shared" si="24"/>
        <v>0</v>
      </c>
      <c r="G53" s="2"/>
      <c r="H53" s="6">
        <v>10</v>
      </c>
      <c r="I53" s="2"/>
      <c r="J53" s="7">
        <f t="shared" si="25"/>
        <v>0</v>
      </c>
      <c r="K53" s="2"/>
      <c r="L53" s="6">
        <f t="shared" si="26"/>
        <v>-10</v>
      </c>
      <c r="M53" s="2"/>
      <c r="N53" s="7">
        <f t="shared" si="27"/>
        <v>-1</v>
      </c>
      <c r="O53" s="11"/>
      <c r="P53" s="6">
        <v>117.31</v>
      </c>
      <c r="Q53" s="2"/>
      <c r="R53" s="7">
        <f t="shared" si="28"/>
        <v>0</v>
      </c>
      <c r="S53" s="2"/>
      <c r="T53" s="6">
        <v>90</v>
      </c>
      <c r="U53" s="2"/>
      <c r="V53" s="7">
        <f t="shared" si="29"/>
        <v>0</v>
      </c>
      <c r="W53" s="2"/>
      <c r="X53" s="6">
        <f t="shared" si="30"/>
        <v>27.310000000000002</v>
      </c>
      <c r="Y53" s="2"/>
      <c r="Z53" s="7">
        <f t="shared" si="31"/>
        <v>0.30344444444444446</v>
      </c>
    </row>
    <row r="54" spans="1:26" s="27" customFormat="1" outlineLevel="1" collapsed="1" x14ac:dyDescent="0.25">
      <c r="A54" s="26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SUM(OSRRefD22_8x_0)</f>
        <v>74.7</v>
      </c>
      <c r="E54" s="1"/>
      <c r="F54" s="5">
        <f t="shared" ref="F54:F57" si="32">IF(D$12=0,0,D54/D$12)</f>
        <v>0</v>
      </c>
      <c r="G54" s="1"/>
      <c r="H54" s="1">
        <f>SUM(OSRRefH22_8x_0)</f>
        <v>15</v>
      </c>
      <c r="I54" s="1"/>
      <c r="J54" s="5">
        <f t="shared" ref="J54:J57" si="33">IF(H$12=0,0,H54/H$12)</f>
        <v>0</v>
      </c>
      <c r="K54" s="1"/>
      <c r="L54" s="1">
        <f t="shared" ref="L54:L57" si="34">+D54-H54</f>
        <v>59.7</v>
      </c>
      <c r="M54" s="1"/>
      <c r="N54" s="5">
        <f t="shared" ref="N54:N57" si="35">IF(H54=0,0,L54/H54)</f>
        <v>3.98</v>
      </c>
      <c r="O54" s="13"/>
      <c r="P54" s="1">
        <f>SUM(OSRRefP22_8x_0)</f>
        <v>609.20000000000005</v>
      </c>
      <c r="Q54" s="1"/>
      <c r="R54" s="5">
        <f t="shared" ref="R54:R57" si="36">IF(P$12=0,0,P54/P$12)</f>
        <v>0</v>
      </c>
      <c r="S54" s="1"/>
      <c r="T54" s="1">
        <f>SUM(OSRRefT22_8x_0)</f>
        <v>585</v>
      </c>
      <c r="U54" s="1"/>
      <c r="V54" s="5">
        <f t="shared" ref="V54:V57" si="37">IF(T$12=0,0,T54/T$12)</f>
        <v>0</v>
      </c>
      <c r="W54" s="1"/>
      <c r="X54" s="1">
        <f t="shared" ref="X54:X57" si="38">+P54-T54</f>
        <v>24.200000000000045</v>
      </c>
      <c r="Y54" s="1"/>
      <c r="Z54" s="5">
        <f t="shared" ref="Z54:Z57" si="39">IF(T54=0,0,X54/T54)</f>
        <v>4.1367521367521448E-2</v>
      </c>
    </row>
    <row r="55" spans="1:26" s="24" customFormat="1" hidden="1" outlineLevel="2" x14ac:dyDescent="0.25">
      <c r="A55" s="25"/>
      <c r="B55" s="11" t="str">
        <f>CONCATENATE("          ", "6309", " - ", "TELEPHONE")</f>
        <v xml:space="preserve">          6309 - TELEPHONE</v>
      </c>
      <c r="C55" s="11"/>
      <c r="D55" s="6">
        <v>74.7</v>
      </c>
      <c r="E55" s="2"/>
      <c r="F55" s="7">
        <f t="shared" si="32"/>
        <v>0</v>
      </c>
      <c r="G55" s="2"/>
      <c r="H55" s="6">
        <v>15</v>
      </c>
      <c r="I55" s="2"/>
      <c r="J55" s="7">
        <f t="shared" si="33"/>
        <v>0</v>
      </c>
      <c r="K55" s="2"/>
      <c r="L55" s="6">
        <f t="shared" si="34"/>
        <v>59.7</v>
      </c>
      <c r="M55" s="2"/>
      <c r="N55" s="7">
        <f t="shared" si="35"/>
        <v>3.98</v>
      </c>
      <c r="O55" s="11"/>
      <c r="P55" s="6">
        <v>609.20000000000005</v>
      </c>
      <c r="Q55" s="2"/>
      <c r="R55" s="7">
        <f t="shared" si="36"/>
        <v>0</v>
      </c>
      <c r="S55" s="2"/>
      <c r="T55" s="6">
        <v>585</v>
      </c>
      <c r="U55" s="2"/>
      <c r="V55" s="7">
        <f t="shared" si="37"/>
        <v>0</v>
      </c>
      <c r="W55" s="2"/>
      <c r="X55" s="6">
        <f t="shared" si="38"/>
        <v>24.200000000000045</v>
      </c>
      <c r="Y55" s="2"/>
      <c r="Z55" s="7">
        <f t="shared" si="39"/>
        <v>4.1367521367521448E-2</v>
      </c>
    </row>
    <row r="56" spans="1:26" s="27" customFormat="1" outlineLevel="1" collapsed="1" x14ac:dyDescent="0.25">
      <c r="A56" s="26"/>
      <c r="B56" s="13" t="str">
        <f>CONCATENATE("     ","Travel                                            ")</f>
        <v xml:space="preserve">     Travel                                            </v>
      </c>
      <c r="C56" s="13"/>
      <c r="D56" s="1">
        <f>SUM(OSRRefD22_9x_0)</f>
        <v>0</v>
      </c>
      <c r="E56" s="1"/>
      <c r="F56" s="5">
        <f t="shared" si="32"/>
        <v>0</v>
      </c>
      <c r="G56" s="1"/>
      <c r="H56" s="1">
        <f>SUM(OSRRefH22_9x_0)</f>
        <v>0</v>
      </c>
      <c r="I56" s="1"/>
      <c r="J56" s="5">
        <f t="shared" si="33"/>
        <v>0</v>
      </c>
      <c r="K56" s="1"/>
      <c r="L56" s="1">
        <f t="shared" si="34"/>
        <v>0</v>
      </c>
      <c r="M56" s="1"/>
      <c r="N56" s="5">
        <f t="shared" si="35"/>
        <v>0</v>
      </c>
      <c r="O56" s="13"/>
      <c r="P56" s="1">
        <f>SUM(OSRRefP22_9x_0)</f>
        <v>256.86</v>
      </c>
      <c r="Q56" s="1"/>
      <c r="R56" s="5">
        <f t="shared" si="36"/>
        <v>0</v>
      </c>
      <c r="S56" s="1"/>
      <c r="T56" s="1">
        <f>SUM(OSRRefT22_9x_0)</f>
        <v>0</v>
      </c>
      <c r="U56" s="1"/>
      <c r="V56" s="5">
        <f t="shared" si="37"/>
        <v>0</v>
      </c>
      <c r="W56" s="1"/>
      <c r="X56" s="1">
        <f t="shared" si="38"/>
        <v>256.86</v>
      </c>
      <c r="Y56" s="1"/>
      <c r="Z56" s="5">
        <f t="shared" si="39"/>
        <v>0</v>
      </c>
    </row>
    <row r="57" spans="1:26" s="24" customFormat="1" hidden="1" outlineLevel="2" x14ac:dyDescent="0.25">
      <c r="A57" s="25"/>
      <c r="B57" s="11" t="str">
        <f>CONCATENATE("          ", "6292", " - ", "TRAVEL/CONFERENCE")</f>
        <v xml:space="preserve">          6292 - TRAVEL/CONFERENCE</v>
      </c>
      <c r="C57" s="11"/>
      <c r="D57" s="6"/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1"/>
      <c r="P57" s="6">
        <v>256.86</v>
      </c>
      <c r="Q57" s="2"/>
      <c r="R57" s="7">
        <f t="shared" si="36"/>
        <v>0</v>
      </c>
      <c r="S57" s="2"/>
      <c r="T57" s="6"/>
      <c r="U57" s="2"/>
      <c r="V57" s="7">
        <f t="shared" si="37"/>
        <v>0</v>
      </c>
      <c r="W57" s="2"/>
      <c r="X57" s="6">
        <f t="shared" si="38"/>
        <v>256.86</v>
      </c>
      <c r="Y57" s="2"/>
      <c r="Z57" s="7">
        <f t="shared" si="39"/>
        <v>0</v>
      </c>
    </row>
    <row r="58" spans="1:26" s="56" customFormat="1" x14ac:dyDescent="0.25">
      <c r="A58" s="36"/>
      <c r="B58" s="36"/>
      <c r="C58" s="36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6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25">
      <c r="A59" s="10"/>
      <c r="B59" s="29" t="s">
        <v>0</v>
      </c>
      <c r="C59" s="10"/>
      <c r="D59" s="4">
        <f>SUM(0)</f>
        <v>0</v>
      </c>
      <c r="E59" s="4"/>
      <c r="F59" s="12">
        <f>IF(D$12=0,0,D59/D$12)</f>
        <v>0</v>
      </c>
      <c r="G59" s="4"/>
      <c r="H59" s="4">
        <f>SUM(0)</f>
        <v>0</v>
      </c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>
        <f>SUM(0)</f>
        <v>0</v>
      </c>
      <c r="Q59" s="4"/>
      <c r="R59" s="12">
        <f>IF(P$12=0,0,P59/P$12)</f>
        <v>0</v>
      </c>
      <c r="S59" s="4"/>
      <c r="T59" s="4">
        <f>SUM(0)</f>
        <v>0</v>
      </c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8" t="s">
        <v>3</v>
      </c>
      <c r="C61" s="28"/>
      <c r="D61" s="20">
        <f>+D16-D18+D59</f>
        <v>-5062.2699999999995</v>
      </c>
      <c r="E61" s="14"/>
      <c r="F61" s="22">
        <f>IF(D$12=0,0,D61/D$12)</f>
        <v>0</v>
      </c>
      <c r="G61" s="14"/>
      <c r="H61" s="20">
        <f>+H16-H18+H59</f>
        <v>-7260.5090453384582</v>
      </c>
      <c r="I61" s="14"/>
      <c r="J61" s="22">
        <f>IF(H$12=0,0,H61/H$12)</f>
        <v>0</v>
      </c>
      <c r="K61" s="16"/>
      <c r="L61" s="20">
        <f>+D61-H61</f>
        <v>2198.2390453384587</v>
      </c>
      <c r="M61" s="16"/>
      <c r="N61" s="22">
        <f>IF(H61=0,0,L61/H61)</f>
        <v>-0.30276651838204338</v>
      </c>
      <c r="O61" s="29"/>
      <c r="P61" s="20">
        <f>+P16-P18+P59</f>
        <v>-71795.89</v>
      </c>
      <c r="Q61" s="14"/>
      <c r="R61" s="22">
        <f>IF(P$12=0,0,P61/P$12)</f>
        <v>0</v>
      </c>
      <c r="S61" s="14"/>
      <c r="T61" s="20">
        <f>+T16-T18+T59</f>
        <v>-74935.213192049996</v>
      </c>
      <c r="U61" s="14"/>
      <c r="V61" s="22">
        <f>IF(T$12=0,0,T61/T$12)</f>
        <v>0</v>
      </c>
      <c r="W61" s="16"/>
      <c r="X61" s="20">
        <f>+P61-T61</f>
        <v>3139.3231920499966</v>
      </c>
      <c r="Y61" s="16"/>
      <c r="Z61" s="22">
        <f>IF(T61=0,0,X61/T61)</f>
        <v>-4.1893831462176352E-2</v>
      </c>
    </row>
    <row r="62" spans="1:26" x14ac:dyDescent="0.25">
      <c r="A62" s="9"/>
      <c r="B62" s="10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52"/>
      <c r="B63" s="10" t="s">
        <v>14</v>
      </c>
      <c r="C63" s="10"/>
      <c r="D63" s="4"/>
      <c r="E63" s="4"/>
      <c r="F63" s="12">
        <f>IF(D$12=0,0,D63/D$12)</f>
        <v>0</v>
      </c>
      <c r="G63" s="4"/>
      <c r="H63" s="4"/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/>
      <c r="Q63" s="4"/>
      <c r="R63" s="12">
        <f>IF(P$12=0,0,P63/P$12)</f>
        <v>0</v>
      </c>
      <c r="S63" s="4"/>
      <c r="T63" s="4"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8" t="s">
        <v>4</v>
      </c>
      <c r="C65" s="28"/>
      <c r="D65" s="31">
        <f>+D61-D63</f>
        <v>-5062.2699999999995</v>
      </c>
      <c r="E65" s="14"/>
      <c r="F65" s="34">
        <f>IF(D$12=0,0,D65/D$12)</f>
        <v>0</v>
      </c>
      <c r="G65" s="14"/>
      <c r="H65" s="31">
        <f>+H61-H63</f>
        <v>-7260.5090453384582</v>
      </c>
      <c r="I65" s="14"/>
      <c r="J65" s="34">
        <f>IF(H$12=0,0,H65/H$12)</f>
        <v>0</v>
      </c>
      <c r="K65" s="16"/>
      <c r="L65" s="31">
        <f>D65-H65</f>
        <v>2198.2390453384587</v>
      </c>
      <c r="M65" s="16"/>
      <c r="N65" s="34">
        <f>IF(H65=0,0,L65/H65)</f>
        <v>-0.30276651838204338</v>
      </c>
      <c r="O65" s="29"/>
      <c r="P65" s="31">
        <f>+P61-P63</f>
        <v>-71795.89</v>
      </c>
      <c r="Q65" s="14"/>
      <c r="R65" s="34">
        <f>IF(P$12=0,0,P65/P$12)</f>
        <v>0</v>
      </c>
      <c r="S65" s="14"/>
      <c r="T65" s="31">
        <f>+T61-T63</f>
        <v>-74935.213192049996</v>
      </c>
      <c r="U65" s="14"/>
      <c r="V65" s="34">
        <f>IF(T$12=0,0,T65/T$12)</f>
        <v>0</v>
      </c>
      <c r="W65" s="16"/>
      <c r="X65" s="31">
        <f>P65-T65</f>
        <v>3139.3231920499966</v>
      </c>
      <c r="Y65" s="16"/>
      <c r="Z65" s="34">
        <f>IF(T65=0,0,X65/T65)</f>
        <v>-4.1893831462176352E-2</v>
      </c>
    </row>
    <row r="66" spans="1:26" ht="15.75" thickTop="1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8" t="s">
        <v>5</v>
      </c>
      <c r="C68" s="28"/>
      <c r="D68" s="32">
        <f>SUM(D65:D67)</f>
        <v>-5062.2699999999995</v>
      </c>
      <c r="E68" s="14"/>
      <c r="F68" s="35">
        <f>IF(D$12=0,0,D68/D$12)</f>
        <v>0</v>
      </c>
      <c r="G68" s="14"/>
      <c r="H68" s="32">
        <f>SUM(H65:H67)</f>
        <v>-7260.5090453384582</v>
      </c>
      <c r="I68" s="14"/>
      <c r="J68" s="35">
        <f>IF(H$12=0,0,H68/H$12)</f>
        <v>0</v>
      </c>
      <c r="K68" s="16"/>
      <c r="L68" s="32">
        <f>+D68-H68</f>
        <v>2198.2390453384587</v>
      </c>
      <c r="M68" s="16"/>
      <c r="N68" s="35">
        <f>IF(H68=0,0,L68/H68)</f>
        <v>-0.30276651838204338</v>
      </c>
      <c r="O68" s="29"/>
      <c r="P68" s="32">
        <f>SUM(P65:P67)</f>
        <v>-71795.89</v>
      </c>
      <c r="Q68" s="14"/>
      <c r="R68" s="35">
        <f>IF(P$12=0,0,P68/P$12)</f>
        <v>0</v>
      </c>
      <c r="S68" s="14"/>
      <c r="T68" s="32">
        <f>SUM(T65:T67)</f>
        <v>-74935.213192049996</v>
      </c>
      <c r="U68" s="14"/>
      <c r="V68" s="35">
        <f>IF(T$12=0,0,T68/T$12)</f>
        <v>0</v>
      </c>
      <c r="W68" s="16"/>
      <c r="X68" s="32">
        <f>+P68-T68</f>
        <v>3139.3231920499966</v>
      </c>
      <c r="Y68" s="16"/>
      <c r="Z68" s="35">
        <f>IF(T68=0,0,X68/T68)</f>
        <v>-4.1893831462176352E-2</v>
      </c>
    </row>
    <row r="69" spans="1:26" ht="15.75" thickTop="1" x14ac:dyDescent="0.25">
      <c r="A69" s="9"/>
      <c r="C69" s="9"/>
      <c r="D69" s="18"/>
      <c r="E69" s="18"/>
      <c r="G69" s="18"/>
      <c r="H69" s="18"/>
      <c r="I69" s="18"/>
      <c r="J69" s="42"/>
      <c r="K69" s="18"/>
      <c r="L69" s="18"/>
      <c r="M69" s="18"/>
      <c r="P69" s="18"/>
      <c r="Q69" s="18"/>
      <c r="R69" s="42"/>
      <c r="S69" s="18"/>
      <c r="T69" s="18"/>
      <c r="U69" s="18"/>
      <c r="V69" s="42"/>
      <c r="W69" s="18"/>
      <c r="X69" s="18"/>
    </row>
    <row r="70" spans="1:26" x14ac:dyDescent="0.25">
      <c r="A70" s="9"/>
      <c r="B70" s="57">
        <v>43934.466229861115</v>
      </c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  <row r="71" spans="1:26" x14ac:dyDescent="0.25">
      <c r="A71" s="9"/>
      <c r="B71" s="62" t="s">
        <v>314</v>
      </c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  <row r="72" spans="1:26" x14ac:dyDescent="0.25">
      <c r="A72" s="9"/>
      <c r="B72" s="60"/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  <row r="73" spans="1:26" x14ac:dyDescent="0.25"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4"/>
  <sheetViews>
    <sheetView zoomScale="80" workbookViewId="0">
      <pane xSplit="3" ySplit="10" topLeftCell="D19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","206", " - ", "Graphics")</f>
        <v>Department 206 - Graphics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13934.57</v>
      </c>
      <c r="E18" s="21"/>
      <c r="F18" s="30">
        <f t="shared" ref="F18:F28" si="0">IF(D$12=0,0,D18/D$12)</f>
        <v>0</v>
      </c>
      <c r="G18" s="21"/>
      <c r="H18" s="21">
        <f>SUM(OSRRefH22x_0)</f>
        <v>14746.581221016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-812.01122101600049</v>
      </c>
      <c r="M18" s="4"/>
      <c r="N18" s="30">
        <f t="shared" ref="N18:N28" si="3">IF(H18=0,0,L18/H18)</f>
        <v>-5.5064371113947935E-2</v>
      </c>
      <c r="O18" s="10"/>
      <c r="P18" s="21">
        <f>SUM(OSRRefP22x_0)</f>
        <v>77787.350000000006</v>
      </c>
      <c r="Q18" s="21"/>
      <c r="R18" s="30">
        <f t="shared" ref="R18:R28" si="4">IF(P$12=0,0,P18/P$12)</f>
        <v>0</v>
      </c>
      <c r="S18" s="21"/>
      <c r="T18" s="21">
        <f>SUM(OSRRefT22x_0)</f>
        <v>140776.87340015601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-62989.523400156002</v>
      </c>
      <c r="Y18" s="4"/>
      <c r="Z18" s="30">
        <f t="shared" ref="Z18:Z28" si="7">IF(T18=0,0,X18/T18)</f>
        <v>-0.44744226717629459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1640.81</v>
      </c>
      <c r="E19" s="1"/>
      <c r="F19" s="5">
        <f t="shared" si="0"/>
        <v>0</v>
      </c>
      <c r="G19" s="1"/>
      <c r="H19" s="1">
        <f>SUM(OSRRefH22_0x_0)</f>
        <v>5700.6917410160004</v>
      </c>
      <c r="I19" s="1"/>
      <c r="J19" s="5">
        <f t="shared" si="1"/>
        <v>0</v>
      </c>
      <c r="K19" s="1"/>
      <c r="L19" s="1">
        <f t="shared" si="2"/>
        <v>-4059.8817410160004</v>
      </c>
      <c r="M19" s="1"/>
      <c r="N19" s="5">
        <f t="shared" si="3"/>
        <v>-0.71217352655739841</v>
      </c>
      <c r="O19" s="13"/>
      <c r="P19" s="1">
        <f>SUM(OSRRefP22_0x_0)</f>
        <v>16236.73</v>
      </c>
      <c r="Q19" s="1"/>
      <c r="R19" s="5">
        <f t="shared" si="4"/>
        <v>0</v>
      </c>
      <c r="S19" s="1"/>
      <c r="T19" s="1">
        <f>SUM(OSRRefT22_0x_0)</f>
        <v>52888.025970156006</v>
      </c>
      <c r="U19" s="1"/>
      <c r="V19" s="5">
        <f t="shared" si="5"/>
        <v>0</v>
      </c>
      <c r="W19" s="1"/>
      <c r="X19" s="1">
        <f t="shared" si="6"/>
        <v>-36651.295970156003</v>
      </c>
      <c r="Y19" s="1"/>
      <c r="Z19" s="5">
        <f t="shared" si="7"/>
        <v>-0.6929979952520412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363.28</v>
      </c>
      <c r="E20" s="2"/>
      <c r="F20" s="7">
        <f t="shared" si="0"/>
        <v>0</v>
      </c>
      <c r="G20" s="2"/>
      <c r="H20" s="6">
        <v>1236.1835186160001</v>
      </c>
      <c r="I20" s="2"/>
      <c r="J20" s="7">
        <f t="shared" si="1"/>
        <v>0</v>
      </c>
      <c r="K20" s="2"/>
      <c r="L20" s="6">
        <f t="shared" si="2"/>
        <v>-872.90351861600016</v>
      </c>
      <c r="M20" s="2"/>
      <c r="N20" s="7">
        <f t="shared" si="3"/>
        <v>-0.70612777590926057</v>
      </c>
      <c r="O20" s="11"/>
      <c r="P20" s="6">
        <v>4197.46</v>
      </c>
      <c r="Q20" s="2"/>
      <c r="R20" s="7">
        <f t="shared" si="4"/>
        <v>0</v>
      </c>
      <c r="S20" s="2"/>
      <c r="T20" s="6">
        <v>11022.651501756</v>
      </c>
      <c r="U20" s="2"/>
      <c r="V20" s="7">
        <f t="shared" si="5"/>
        <v>0</v>
      </c>
      <c r="W20" s="2"/>
      <c r="X20" s="6">
        <f t="shared" si="6"/>
        <v>-6825.1915017559995</v>
      </c>
      <c r="Y20" s="2"/>
      <c r="Z20" s="7">
        <f t="shared" si="7"/>
        <v>-0.61919688748834067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41.26</v>
      </c>
      <c r="E21" s="2"/>
      <c r="F21" s="7">
        <f t="shared" si="0"/>
        <v>0</v>
      </c>
      <c r="G21" s="2"/>
      <c r="H21" s="6">
        <v>54.919952479999999</v>
      </c>
      <c r="I21" s="2"/>
      <c r="J21" s="7">
        <f t="shared" si="1"/>
        <v>0</v>
      </c>
      <c r="K21" s="2"/>
      <c r="L21" s="6">
        <f t="shared" si="2"/>
        <v>-13.659952480000001</v>
      </c>
      <c r="M21" s="2"/>
      <c r="N21" s="7">
        <f t="shared" si="3"/>
        <v>-0.24872476874364552</v>
      </c>
      <c r="O21" s="11"/>
      <c r="P21" s="6">
        <v>225.98</v>
      </c>
      <c r="Q21" s="2"/>
      <c r="R21" s="7">
        <f t="shared" si="4"/>
        <v>0</v>
      </c>
      <c r="S21" s="2"/>
      <c r="T21" s="6">
        <v>518.39108167999996</v>
      </c>
      <c r="U21" s="2"/>
      <c r="V21" s="7">
        <f t="shared" si="5"/>
        <v>0</v>
      </c>
      <c r="W21" s="2"/>
      <c r="X21" s="6">
        <f t="shared" si="6"/>
        <v>-292.41108167999994</v>
      </c>
      <c r="Y21" s="2"/>
      <c r="Z21" s="7">
        <f t="shared" si="7"/>
        <v>-0.56407429065398884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700.87</v>
      </c>
      <c r="E22" s="2"/>
      <c r="F22" s="7">
        <f t="shared" si="0"/>
        <v>0</v>
      </c>
      <c r="G22" s="2"/>
      <c r="H22" s="6">
        <v>2589</v>
      </c>
      <c r="I22" s="2"/>
      <c r="J22" s="7">
        <f t="shared" si="1"/>
        <v>0</v>
      </c>
      <c r="K22" s="2"/>
      <c r="L22" s="6">
        <f t="shared" si="2"/>
        <v>-1888.13</v>
      </c>
      <c r="M22" s="2"/>
      <c r="N22" s="7">
        <f t="shared" si="3"/>
        <v>-0.72928930088837396</v>
      </c>
      <c r="O22" s="11"/>
      <c r="P22" s="6">
        <v>6308.07</v>
      </c>
      <c r="Q22" s="2"/>
      <c r="R22" s="7">
        <f t="shared" si="4"/>
        <v>0</v>
      </c>
      <c r="S22" s="2"/>
      <c r="T22" s="6">
        <v>23760</v>
      </c>
      <c r="U22" s="2"/>
      <c r="V22" s="7">
        <f t="shared" si="5"/>
        <v>0</v>
      </c>
      <c r="W22" s="2"/>
      <c r="X22" s="6">
        <f t="shared" si="6"/>
        <v>-17451.93</v>
      </c>
      <c r="Y22" s="2"/>
      <c r="Z22" s="7">
        <f t="shared" si="7"/>
        <v>-0.7345088383838384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31.55</v>
      </c>
      <c r="E23" s="2"/>
      <c r="F23" s="7">
        <f t="shared" si="0"/>
        <v>0</v>
      </c>
      <c r="G23" s="2"/>
      <c r="H23" s="6">
        <v>41.997610719999997</v>
      </c>
      <c r="I23" s="2"/>
      <c r="J23" s="7">
        <f t="shared" si="1"/>
        <v>0</v>
      </c>
      <c r="K23" s="2"/>
      <c r="L23" s="6">
        <f t="shared" si="2"/>
        <v>-10.447610719999997</v>
      </c>
      <c r="M23" s="2"/>
      <c r="N23" s="7">
        <f t="shared" si="3"/>
        <v>-0.2487667879407402</v>
      </c>
      <c r="O23" s="11"/>
      <c r="P23" s="6">
        <v>248.98</v>
      </c>
      <c r="Q23" s="2"/>
      <c r="R23" s="7">
        <f t="shared" si="4"/>
        <v>0</v>
      </c>
      <c r="S23" s="2"/>
      <c r="T23" s="6">
        <v>396.41670951999998</v>
      </c>
      <c r="U23" s="2"/>
      <c r="V23" s="7">
        <f t="shared" si="5"/>
        <v>0</v>
      </c>
      <c r="W23" s="2"/>
      <c r="X23" s="6">
        <f t="shared" si="6"/>
        <v>-147.43670951999999</v>
      </c>
      <c r="Y23" s="2"/>
      <c r="Z23" s="7">
        <f t="shared" si="7"/>
        <v>-0.37192354908178138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599.79643920000001</v>
      </c>
      <c r="I24" s="2"/>
      <c r="J24" s="7">
        <f t="shared" si="1"/>
        <v>0</v>
      </c>
      <c r="K24" s="2"/>
      <c r="L24" s="6">
        <f t="shared" si="2"/>
        <v>-599.79643920000001</v>
      </c>
      <c r="M24" s="2"/>
      <c r="N24" s="7">
        <f t="shared" si="3"/>
        <v>-1</v>
      </c>
      <c r="O24" s="11"/>
      <c r="P24" s="6"/>
      <c r="Q24" s="2"/>
      <c r="R24" s="7">
        <f t="shared" si="4"/>
        <v>0</v>
      </c>
      <c r="S24" s="2"/>
      <c r="T24" s="6">
        <v>5848.0152822</v>
      </c>
      <c r="U24" s="2"/>
      <c r="V24" s="7">
        <f t="shared" si="5"/>
        <v>0</v>
      </c>
      <c r="W24" s="2"/>
      <c r="X24" s="6">
        <f t="shared" si="6"/>
        <v>-5848.0152822</v>
      </c>
      <c r="Y24" s="2"/>
      <c r="Z24" s="7">
        <f t="shared" si="7"/>
        <v>-1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184.8</v>
      </c>
      <c r="E26" s="2"/>
      <c r="F26" s="7">
        <f t="shared" si="0"/>
        <v>0</v>
      </c>
      <c r="G26" s="2"/>
      <c r="H26" s="6">
        <v>554.71885999999995</v>
      </c>
      <c r="I26" s="2"/>
      <c r="J26" s="7">
        <f t="shared" si="1"/>
        <v>0</v>
      </c>
      <c r="K26" s="2"/>
      <c r="L26" s="6">
        <f t="shared" si="2"/>
        <v>-369.91885999999994</v>
      </c>
      <c r="M26" s="2"/>
      <c r="N26" s="7">
        <f t="shared" si="3"/>
        <v>-0.66685827123310715</v>
      </c>
      <c r="O26" s="11"/>
      <c r="P26" s="6">
        <v>1755.6</v>
      </c>
      <c r="Q26" s="2"/>
      <c r="R26" s="7">
        <f t="shared" si="4"/>
        <v>0</v>
      </c>
      <c r="S26" s="2"/>
      <c r="T26" s="6">
        <v>5408.5088850000002</v>
      </c>
      <c r="U26" s="2"/>
      <c r="V26" s="7">
        <f t="shared" si="5"/>
        <v>0</v>
      </c>
      <c r="W26" s="2"/>
      <c r="X26" s="6">
        <f t="shared" si="6"/>
        <v>-3652.9088850000003</v>
      </c>
      <c r="Y26" s="2"/>
      <c r="Z26" s="7">
        <f t="shared" si="7"/>
        <v>-0.6754003668425147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221.4</v>
      </c>
      <c r="E27" s="2"/>
      <c r="F27" s="7">
        <f t="shared" si="0"/>
        <v>0</v>
      </c>
      <c r="G27" s="2"/>
      <c r="H27" s="6">
        <v>624.07536000000005</v>
      </c>
      <c r="I27" s="2"/>
      <c r="J27" s="7">
        <f t="shared" si="1"/>
        <v>0</v>
      </c>
      <c r="K27" s="2"/>
      <c r="L27" s="6">
        <f t="shared" si="2"/>
        <v>-402.67536000000007</v>
      </c>
      <c r="M27" s="2"/>
      <c r="N27" s="7">
        <f t="shared" si="3"/>
        <v>-0.64523515237006002</v>
      </c>
      <c r="O27" s="11"/>
      <c r="P27" s="6">
        <v>2103.3000000000002</v>
      </c>
      <c r="Q27" s="2"/>
      <c r="R27" s="7">
        <f t="shared" si="4"/>
        <v>0</v>
      </c>
      <c r="S27" s="2"/>
      <c r="T27" s="6">
        <v>5934.0425100000002</v>
      </c>
      <c r="U27" s="2"/>
      <c r="V27" s="7">
        <f t="shared" si="5"/>
        <v>0</v>
      </c>
      <c r="W27" s="2"/>
      <c r="X27" s="6">
        <f t="shared" si="6"/>
        <v>-3830.74251</v>
      </c>
      <c r="Y27" s="2"/>
      <c r="Z27" s="7">
        <f t="shared" si="7"/>
        <v>-0.64555360086222235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>
        <v>97.65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97.65</v>
      </c>
      <c r="M28" s="2"/>
      <c r="N28" s="7">
        <f t="shared" si="3"/>
        <v>0</v>
      </c>
      <c r="O28" s="11"/>
      <c r="P28" s="6">
        <v>1397.34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1397.34</v>
      </c>
      <c r="Y28" s="2"/>
      <c r="Z28" s="7">
        <f t="shared" si="7"/>
        <v>0</v>
      </c>
    </row>
    <row r="29" spans="1:26" s="27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11541.38</v>
      </c>
      <c r="E29" s="1"/>
      <c r="F29" s="5">
        <f t="shared" ref="F29:F39" si="8">IF(D$12=0,0,D29/D$12)</f>
        <v>0</v>
      </c>
      <c r="G29" s="1"/>
      <c r="H29" s="1">
        <f>SUM(OSRRefH22_1x_0)</f>
        <v>15331.889480000002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-3790.5094800000024</v>
      </c>
      <c r="M29" s="1"/>
      <c r="N29" s="5">
        <f t="shared" ref="N29:N39" si="11">IF(H29=0,0,L29/H29)</f>
        <v>-0.24723042029128964</v>
      </c>
      <c r="O29" s="13"/>
      <c r="P29" s="1">
        <f>SUM(OSRRefP22_1x_0)</f>
        <v>99123.459999999992</v>
      </c>
      <c r="Q29" s="1"/>
      <c r="R29" s="5">
        <f t="shared" ref="R29:R39" si="12">IF(P$12=0,0,P29/P$12)</f>
        <v>0</v>
      </c>
      <c r="S29" s="1"/>
      <c r="T29" s="1">
        <f>SUM(OSRRefT22_1x_0)</f>
        <v>144462.84742999999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-45339.387430000002</v>
      </c>
      <c r="Y29" s="1"/>
      <c r="Z29" s="5">
        <f t="shared" ref="Z29:Z39" si="15">IF(T29=0,0,X29/T29)</f>
        <v>-0.31384808091900146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6276.93948</v>
      </c>
      <c r="I30" s="2"/>
      <c r="J30" s="7">
        <f t="shared" si="9"/>
        <v>0</v>
      </c>
      <c r="K30" s="2"/>
      <c r="L30" s="6">
        <f t="shared" si="10"/>
        <v>-6276.93948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61200.159930000002</v>
      </c>
      <c r="U30" s="2"/>
      <c r="V30" s="7">
        <f t="shared" si="13"/>
        <v>0</v>
      </c>
      <c r="W30" s="2"/>
      <c r="X30" s="6">
        <f t="shared" si="14"/>
        <v>-61200.159930000002</v>
      </c>
      <c r="Y30" s="2"/>
      <c r="Z30" s="7">
        <f t="shared" si="15"/>
        <v>-1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6">
        <v>4720.3500000000004</v>
      </c>
      <c r="E33" s="2"/>
      <c r="F33" s="7">
        <f t="shared" si="8"/>
        <v>0</v>
      </c>
      <c r="G33" s="2"/>
      <c r="H33" s="6">
        <v>3996.4</v>
      </c>
      <c r="I33" s="2"/>
      <c r="J33" s="7">
        <f t="shared" si="9"/>
        <v>0</v>
      </c>
      <c r="K33" s="2"/>
      <c r="L33" s="6">
        <f t="shared" si="10"/>
        <v>723.95000000000027</v>
      </c>
      <c r="M33" s="2"/>
      <c r="N33" s="7">
        <f t="shared" si="11"/>
        <v>0.1811505354819338</v>
      </c>
      <c r="O33" s="11"/>
      <c r="P33" s="6">
        <v>45529.5</v>
      </c>
      <c r="Q33" s="2"/>
      <c r="R33" s="7">
        <f t="shared" si="12"/>
        <v>0</v>
      </c>
      <c r="S33" s="2"/>
      <c r="T33" s="6">
        <v>38964.899999999994</v>
      </c>
      <c r="U33" s="2"/>
      <c r="V33" s="7">
        <f t="shared" si="13"/>
        <v>0</v>
      </c>
      <c r="W33" s="2"/>
      <c r="X33" s="6">
        <f t="shared" si="14"/>
        <v>6564.6000000000058</v>
      </c>
      <c r="Y33" s="2"/>
      <c r="Z33" s="7">
        <f t="shared" si="15"/>
        <v>0.16847470415681823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>
        <v>2361.4299999999998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2361.4299999999998</v>
      </c>
      <c r="Y35" s="2"/>
      <c r="Z35" s="7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>
        <v>5666.86</v>
      </c>
      <c r="E36" s="2"/>
      <c r="F36" s="7">
        <f t="shared" si="8"/>
        <v>0</v>
      </c>
      <c r="G36" s="2"/>
      <c r="H36" s="6">
        <v>5058.55</v>
      </c>
      <c r="I36" s="2"/>
      <c r="J36" s="7">
        <f t="shared" si="9"/>
        <v>0</v>
      </c>
      <c r="K36" s="2"/>
      <c r="L36" s="6">
        <f t="shared" si="10"/>
        <v>608.30999999999949</v>
      </c>
      <c r="M36" s="2"/>
      <c r="N36" s="7">
        <f t="shared" si="11"/>
        <v>0.12025382767789178</v>
      </c>
      <c r="O36" s="11"/>
      <c r="P36" s="6">
        <v>43076.5</v>
      </c>
      <c r="Q36" s="2"/>
      <c r="R36" s="7">
        <f t="shared" si="12"/>
        <v>0</v>
      </c>
      <c r="S36" s="2"/>
      <c r="T36" s="6">
        <v>35860.287499999999</v>
      </c>
      <c r="U36" s="2"/>
      <c r="V36" s="7">
        <f t="shared" si="13"/>
        <v>0</v>
      </c>
      <c r="W36" s="2"/>
      <c r="X36" s="6">
        <f t="shared" si="14"/>
        <v>7216.2125000000015</v>
      </c>
      <c r="Y36" s="2"/>
      <c r="Z36" s="7">
        <f t="shared" si="15"/>
        <v>0.20123130635804304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>
        <v>1154.17</v>
      </c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1154.17</v>
      </c>
      <c r="M37" s="2"/>
      <c r="N37" s="7">
        <f t="shared" si="11"/>
        <v>0</v>
      </c>
      <c r="O37" s="11"/>
      <c r="P37" s="6">
        <v>8156.03</v>
      </c>
      <c r="Q37" s="2"/>
      <c r="R37" s="7">
        <f t="shared" si="12"/>
        <v>0</v>
      </c>
      <c r="S37" s="2"/>
      <c r="T37" s="6">
        <v>8437.5</v>
      </c>
      <c r="U37" s="2"/>
      <c r="V37" s="7">
        <f t="shared" si="13"/>
        <v>0</v>
      </c>
      <c r="W37" s="2"/>
      <c r="X37" s="6">
        <f t="shared" si="14"/>
        <v>-281.47000000000025</v>
      </c>
      <c r="Y37" s="2"/>
      <c r="Z37" s="7">
        <f t="shared" si="15"/>
        <v>-3.3359407407407435E-2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7" customFormat="1" outlineLevel="1" collapsed="1" x14ac:dyDescent="0.25">
      <c r="A40" s="26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0.39</v>
      </c>
      <c r="E40" s="1"/>
      <c r="F40" s="5">
        <f t="shared" ref="F40:F52" si="16">IF(D$12=0,0,D40/D$12)</f>
        <v>0</v>
      </c>
      <c r="G40" s="1"/>
      <c r="H40" s="1">
        <f>SUM(OSRRefH22_2x_0)</f>
        <v>-9000</v>
      </c>
      <c r="I40" s="1"/>
      <c r="J40" s="5">
        <f t="shared" ref="J40:J52" si="17">IF(H$12=0,0,H40/H$12)</f>
        <v>0</v>
      </c>
      <c r="K40" s="1"/>
      <c r="L40" s="1">
        <f t="shared" ref="L40:L52" si="18">+D40-H40</f>
        <v>9000.39</v>
      </c>
      <c r="M40" s="1"/>
      <c r="N40" s="5">
        <f t="shared" ref="N40:N52" si="19">IF(H40=0,0,L40/H40)</f>
        <v>-1.0000433333333332</v>
      </c>
      <c r="O40" s="13"/>
      <c r="P40" s="1">
        <f>SUM(OSRRefP22_2x_0)</f>
        <v>-48025.409999999996</v>
      </c>
      <c r="Q40" s="1"/>
      <c r="R40" s="5">
        <f t="shared" ref="R40:R52" si="20">IF(P$12=0,0,P40/P$12)</f>
        <v>0</v>
      </c>
      <c r="S40" s="1"/>
      <c r="T40" s="1">
        <f>SUM(OSRRefT22_2x_0)</f>
        <v>-81000</v>
      </c>
      <c r="U40" s="1"/>
      <c r="V40" s="5">
        <f t="shared" ref="V40:V52" si="21">IF(T$12=0,0,T40/T$12)</f>
        <v>0</v>
      </c>
      <c r="W40" s="1"/>
      <c r="X40" s="1">
        <f t="shared" ref="X40:X52" si="22">+P40-T40</f>
        <v>32974.590000000004</v>
      </c>
      <c r="Y40" s="1"/>
      <c r="Z40" s="5">
        <f t="shared" ref="Z40:Z52" si="23">IF(T40=0,0,X40/T40)</f>
        <v>-0.40709370370370374</v>
      </c>
    </row>
    <row r="41" spans="1:26" s="24" customFormat="1" hidden="1" outlineLevel="2" x14ac:dyDescent="0.25">
      <c r="A41" s="25"/>
      <c r="B41" s="11" t="str">
        <f>CONCATENATE("          ", "6362", " - ", "ADVERTISING EXPENSE")</f>
        <v xml:space="preserve">          6362 - ADVERTISING EXPENSE</v>
      </c>
      <c r="C41" s="11"/>
      <c r="D41" s="6">
        <v>0.39</v>
      </c>
      <c r="E41" s="2"/>
      <c r="F41" s="7">
        <f t="shared" si="16"/>
        <v>0</v>
      </c>
      <c r="G41" s="2"/>
      <c r="H41" s="6">
        <v>-9000</v>
      </c>
      <c r="I41" s="2"/>
      <c r="J41" s="7">
        <f t="shared" si="17"/>
        <v>0</v>
      </c>
      <c r="K41" s="2"/>
      <c r="L41" s="6">
        <f t="shared" si="18"/>
        <v>9000.39</v>
      </c>
      <c r="M41" s="2"/>
      <c r="N41" s="7">
        <f t="shared" si="19"/>
        <v>-1.0000433333333332</v>
      </c>
      <c r="O41" s="11"/>
      <c r="P41" s="6">
        <v>-48025.409999999996</v>
      </c>
      <c r="Q41" s="2"/>
      <c r="R41" s="7">
        <f t="shared" si="20"/>
        <v>0</v>
      </c>
      <c r="S41" s="2"/>
      <c r="T41" s="6">
        <v>-81000</v>
      </c>
      <c r="U41" s="2"/>
      <c r="V41" s="7">
        <f t="shared" si="21"/>
        <v>0</v>
      </c>
      <c r="W41" s="2"/>
      <c r="X41" s="6">
        <f t="shared" si="22"/>
        <v>32974.590000000004</v>
      </c>
      <c r="Y41" s="2"/>
      <c r="Z41" s="7">
        <f t="shared" si="23"/>
        <v>-0.40709370370370374</v>
      </c>
    </row>
    <row r="42" spans="1:26" s="27" customFormat="1" outlineLevel="1" collapsed="1" x14ac:dyDescent="0.25">
      <c r="A42" s="26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SUM(OSRRefD22_3x_0)</f>
        <v>295.67</v>
      </c>
      <c r="E42" s="1"/>
      <c r="F42" s="5">
        <f t="shared" si="16"/>
        <v>0</v>
      </c>
      <c r="G42" s="1"/>
      <c r="H42" s="1">
        <f>SUM(OSRRefH22_3x_0)</f>
        <v>289</v>
      </c>
      <c r="I42" s="1"/>
      <c r="J42" s="5">
        <f t="shared" si="17"/>
        <v>0</v>
      </c>
      <c r="K42" s="1"/>
      <c r="L42" s="1">
        <f t="shared" si="18"/>
        <v>6.6700000000000159</v>
      </c>
      <c r="M42" s="1"/>
      <c r="N42" s="5">
        <f t="shared" si="19"/>
        <v>2.3079584775086561E-2</v>
      </c>
      <c r="O42" s="13"/>
      <c r="P42" s="1">
        <f>SUM(OSRRefP22_3x_0)</f>
        <v>2661.03</v>
      </c>
      <c r="Q42" s="1"/>
      <c r="R42" s="5">
        <f t="shared" si="20"/>
        <v>0</v>
      </c>
      <c r="S42" s="1"/>
      <c r="T42" s="1">
        <f>SUM(OSRRefT22_3x_0)</f>
        <v>2601</v>
      </c>
      <c r="U42" s="1"/>
      <c r="V42" s="5">
        <f t="shared" si="21"/>
        <v>0</v>
      </c>
      <c r="W42" s="1"/>
      <c r="X42" s="1">
        <f t="shared" si="22"/>
        <v>60.0300000000002</v>
      </c>
      <c r="Y42" s="1"/>
      <c r="Z42" s="5">
        <f t="shared" si="23"/>
        <v>2.3079584775086582E-2</v>
      </c>
    </row>
    <row r="43" spans="1:26" s="24" customFormat="1" hidden="1" outlineLevel="2" x14ac:dyDescent="0.25">
      <c r="A43" s="25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295.67</v>
      </c>
      <c r="E43" s="2"/>
      <c r="F43" s="7">
        <f t="shared" si="16"/>
        <v>0</v>
      </c>
      <c r="G43" s="2"/>
      <c r="H43" s="6">
        <v>289</v>
      </c>
      <c r="I43" s="2"/>
      <c r="J43" s="7">
        <f t="shared" si="17"/>
        <v>0</v>
      </c>
      <c r="K43" s="2"/>
      <c r="L43" s="6">
        <f t="shared" si="18"/>
        <v>6.6700000000000159</v>
      </c>
      <c r="M43" s="2"/>
      <c r="N43" s="7">
        <f t="shared" si="19"/>
        <v>2.3079584775086561E-2</v>
      </c>
      <c r="O43" s="11"/>
      <c r="P43" s="6">
        <v>2661.03</v>
      </c>
      <c r="Q43" s="2"/>
      <c r="R43" s="7">
        <f t="shared" si="20"/>
        <v>0</v>
      </c>
      <c r="S43" s="2"/>
      <c r="T43" s="6">
        <v>2601</v>
      </c>
      <c r="U43" s="2"/>
      <c r="V43" s="7">
        <f t="shared" si="21"/>
        <v>0</v>
      </c>
      <c r="W43" s="2"/>
      <c r="X43" s="6">
        <f t="shared" si="22"/>
        <v>60.0300000000002</v>
      </c>
      <c r="Y43" s="2"/>
      <c r="Z43" s="7">
        <f t="shared" si="23"/>
        <v>2.3079584775086582E-2</v>
      </c>
    </row>
    <row r="44" spans="1:26" s="27" customFormat="1" outlineLevel="1" collapsed="1" x14ac:dyDescent="0.25">
      <c r="A44" s="26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SUM(OSRRefD22_4x_0)</f>
        <v>66.52</v>
      </c>
      <c r="E44" s="1"/>
      <c r="F44" s="5">
        <f t="shared" si="16"/>
        <v>0</v>
      </c>
      <c r="G44" s="1"/>
      <c r="H44" s="1">
        <f>SUM(OSRRefH22_4x_0)</f>
        <v>200</v>
      </c>
      <c r="I44" s="1"/>
      <c r="J44" s="5">
        <f t="shared" si="17"/>
        <v>0</v>
      </c>
      <c r="K44" s="1"/>
      <c r="L44" s="1">
        <f t="shared" si="18"/>
        <v>-133.48000000000002</v>
      </c>
      <c r="M44" s="1"/>
      <c r="N44" s="5">
        <f t="shared" si="19"/>
        <v>-0.6674000000000001</v>
      </c>
      <c r="O44" s="13"/>
      <c r="P44" s="1">
        <f>SUM(OSRRefP22_4x_0)</f>
        <v>66.52</v>
      </c>
      <c r="Q44" s="1"/>
      <c r="R44" s="5">
        <f t="shared" si="20"/>
        <v>0</v>
      </c>
      <c r="S44" s="1"/>
      <c r="T44" s="1">
        <f>SUM(OSRRefT22_4x_0)</f>
        <v>1800</v>
      </c>
      <c r="U44" s="1"/>
      <c r="V44" s="5">
        <f t="shared" si="21"/>
        <v>0</v>
      </c>
      <c r="W44" s="1"/>
      <c r="X44" s="1">
        <f t="shared" si="22"/>
        <v>-1733.48</v>
      </c>
      <c r="Y44" s="1"/>
      <c r="Z44" s="5">
        <f t="shared" si="23"/>
        <v>-0.96304444444444448</v>
      </c>
    </row>
    <row r="45" spans="1:26" s="24" customFormat="1" hidden="1" outlineLevel="2" x14ac:dyDescent="0.25">
      <c r="A45" s="25"/>
      <c r="B45" s="11" t="str">
        <f>CONCATENATE("          ", "6277", " - ", "EMPLOYEE APPRECIATION")</f>
        <v xml:space="preserve">          6277 - EMPLOYEE APPRECIATION</v>
      </c>
      <c r="C45" s="11"/>
      <c r="D45" s="6">
        <v>66.52</v>
      </c>
      <c r="E45" s="2"/>
      <c r="F45" s="7">
        <f t="shared" si="16"/>
        <v>0</v>
      </c>
      <c r="G45" s="2"/>
      <c r="H45" s="6">
        <v>200</v>
      </c>
      <c r="I45" s="2"/>
      <c r="J45" s="7">
        <f t="shared" si="17"/>
        <v>0</v>
      </c>
      <c r="K45" s="2"/>
      <c r="L45" s="6">
        <f t="shared" si="18"/>
        <v>-133.48000000000002</v>
      </c>
      <c r="M45" s="2"/>
      <c r="N45" s="7">
        <f t="shared" si="19"/>
        <v>-0.6674000000000001</v>
      </c>
      <c r="O45" s="11"/>
      <c r="P45" s="6">
        <v>66.52</v>
      </c>
      <c r="Q45" s="2"/>
      <c r="R45" s="7">
        <f t="shared" si="20"/>
        <v>0</v>
      </c>
      <c r="S45" s="2"/>
      <c r="T45" s="6">
        <v>1800</v>
      </c>
      <c r="U45" s="2"/>
      <c r="V45" s="7">
        <f t="shared" si="21"/>
        <v>0</v>
      </c>
      <c r="W45" s="2"/>
      <c r="X45" s="6">
        <f t="shared" si="22"/>
        <v>-1733.48</v>
      </c>
      <c r="Y45" s="2"/>
      <c r="Z45" s="7">
        <f t="shared" si="23"/>
        <v>-0.96304444444444448</v>
      </c>
    </row>
    <row r="46" spans="1:26" s="27" customFormat="1" outlineLevel="1" collapsed="1" x14ac:dyDescent="0.25">
      <c r="A46" s="26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SUM(OSRRefD22_5x_0)</f>
        <v>173.21</v>
      </c>
      <c r="E46" s="1"/>
      <c r="F46" s="5">
        <f t="shared" si="16"/>
        <v>0</v>
      </c>
      <c r="G46" s="1"/>
      <c r="H46" s="1">
        <f>SUM(OSRRefH22_5x_0)</f>
        <v>0</v>
      </c>
      <c r="I46" s="1"/>
      <c r="J46" s="5">
        <f t="shared" si="17"/>
        <v>0</v>
      </c>
      <c r="K46" s="1"/>
      <c r="L46" s="1">
        <f t="shared" si="18"/>
        <v>173.21</v>
      </c>
      <c r="M46" s="1"/>
      <c r="N46" s="5">
        <f t="shared" si="19"/>
        <v>0</v>
      </c>
      <c r="O46" s="13"/>
      <c r="P46" s="1">
        <f>SUM(OSRRefP22_5x_0)</f>
        <v>1373.22</v>
      </c>
      <c r="Q46" s="1"/>
      <c r="R46" s="5">
        <f t="shared" si="20"/>
        <v>0</v>
      </c>
      <c r="S46" s="1"/>
      <c r="T46" s="1">
        <f>SUM(OSRRefT22_5x_0)</f>
        <v>0</v>
      </c>
      <c r="U46" s="1"/>
      <c r="V46" s="5">
        <f t="shared" si="21"/>
        <v>0</v>
      </c>
      <c r="W46" s="1"/>
      <c r="X46" s="1">
        <f t="shared" si="22"/>
        <v>1373.22</v>
      </c>
      <c r="Y46" s="1"/>
      <c r="Z46" s="5">
        <f t="shared" si="23"/>
        <v>0</v>
      </c>
    </row>
    <row r="47" spans="1:26" s="24" customFormat="1" hidden="1" outlineLevel="2" x14ac:dyDescent="0.25">
      <c r="A47" s="25"/>
      <c r="B47" s="11" t="str">
        <f>CONCATENATE("          ", "6279", " - ", "GENERAL EXPENSE")</f>
        <v xml:space="preserve">          6279 - GENERAL EXPENSE</v>
      </c>
      <c r="C47" s="11"/>
      <c r="D47" s="6">
        <v>173.21</v>
      </c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173.21</v>
      </c>
      <c r="M47" s="2"/>
      <c r="N47" s="7">
        <f t="shared" si="19"/>
        <v>0</v>
      </c>
      <c r="O47" s="11"/>
      <c r="P47" s="6">
        <v>1373.22</v>
      </c>
      <c r="Q47" s="2"/>
      <c r="R47" s="7">
        <f t="shared" si="20"/>
        <v>0</v>
      </c>
      <c r="S47" s="2"/>
      <c r="T47" s="6"/>
      <c r="U47" s="2"/>
      <c r="V47" s="7">
        <f t="shared" si="21"/>
        <v>0</v>
      </c>
      <c r="W47" s="2"/>
      <c r="X47" s="6">
        <f t="shared" si="22"/>
        <v>1373.22</v>
      </c>
      <c r="Y47" s="2"/>
      <c r="Z47" s="7">
        <f t="shared" si="23"/>
        <v>0</v>
      </c>
    </row>
    <row r="48" spans="1:26" s="27" customFormat="1" outlineLevel="1" collapsed="1" x14ac:dyDescent="0.25">
      <c r="A48" s="26"/>
      <c r="B48" s="13" t="str">
        <f>CONCATENATE("     ","Repair and Maintenance                            ")</f>
        <v xml:space="preserve">     Repair and Maintenance                            </v>
      </c>
      <c r="C48" s="13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400</v>
      </c>
      <c r="I48" s="1"/>
      <c r="J48" s="5">
        <f t="shared" si="17"/>
        <v>0</v>
      </c>
      <c r="K48" s="1"/>
      <c r="L48" s="1">
        <f t="shared" si="18"/>
        <v>-400</v>
      </c>
      <c r="M48" s="1"/>
      <c r="N48" s="5">
        <f t="shared" si="19"/>
        <v>-1</v>
      </c>
      <c r="O48" s="13"/>
      <c r="P48" s="1">
        <f>SUM(OSRRefP22_6x_0)</f>
        <v>0</v>
      </c>
      <c r="Q48" s="1"/>
      <c r="R48" s="5">
        <f t="shared" si="20"/>
        <v>0</v>
      </c>
      <c r="S48" s="1"/>
      <c r="T48" s="1">
        <f>SUM(OSRRefT22_6x_0)</f>
        <v>3600</v>
      </c>
      <c r="U48" s="1"/>
      <c r="V48" s="5">
        <f t="shared" si="21"/>
        <v>0</v>
      </c>
      <c r="W48" s="1"/>
      <c r="X48" s="1">
        <f t="shared" si="22"/>
        <v>-3600</v>
      </c>
      <c r="Y48" s="1"/>
      <c r="Z48" s="5">
        <f t="shared" si="23"/>
        <v>-1</v>
      </c>
    </row>
    <row r="49" spans="1:26" s="24" customFormat="1" hidden="1" outlineLevel="2" x14ac:dyDescent="0.25">
      <c r="A49" s="25"/>
      <c r="B49" s="11" t="str">
        <f>CONCATENATE("          ", "6371", " - ", "COMPUTER SOFTWARE MAINTENANCE")</f>
        <v xml:space="preserve">          6371 - COMPUTER SOFTWARE MAINTENANCE</v>
      </c>
      <c r="C49" s="11"/>
      <c r="D49" s="6"/>
      <c r="E49" s="2"/>
      <c r="F49" s="7">
        <f t="shared" si="16"/>
        <v>0</v>
      </c>
      <c r="G49" s="2"/>
      <c r="H49" s="6">
        <v>400</v>
      </c>
      <c r="I49" s="2"/>
      <c r="J49" s="7">
        <f t="shared" si="17"/>
        <v>0</v>
      </c>
      <c r="K49" s="2"/>
      <c r="L49" s="6">
        <f t="shared" si="18"/>
        <v>-400</v>
      </c>
      <c r="M49" s="2"/>
      <c r="N49" s="7">
        <f t="shared" si="19"/>
        <v>-1</v>
      </c>
      <c r="O49" s="11"/>
      <c r="P49" s="6"/>
      <c r="Q49" s="2"/>
      <c r="R49" s="7">
        <f t="shared" si="20"/>
        <v>0</v>
      </c>
      <c r="S49" s="2"/>
      <c r="T49" s="6">
        <v>3600</v>
      </c>
      <c r="U49" s="2"/>
      <c r="V49" s="7">
        <f t="shared" si="21"/>
        <v>0</v>
      </c>
      <c r="W49" s="2"/>
      <c r="X49" s="6">
        <f t="shared" si="22"/>
        <v>-3600</v>
      </c>
      <c r="Y49" s="2"/>
      <c r="Z49" s="7">
        <f t="shared" si="23"/>
        <v>-1</v>
      </c>
    </row>
    <row r="50" spans="1:26" s="27" customFormat="1" outlineLevel="1" collapsed="1" x14ac:dyDescent="0.25">
      <c r="A50" s="26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SUM(OSRRefD22_7x_0)</f>
        <v>178.11</v>
      </c>
      <c r="E50" s="1"/>
      <c r="F50" s="5">
        <f t="shared" si="16"/>
        <v>0</v>
      </c>
      <c r="G50" s="1"/>
      <c r="H50" s="1">
        <f>SUM(OSRRefH22_7x_0)</f>
        <v>975</v>
      </c>
      <c r="I50" s="1"/>
      <c r="J50" s="5">
        <f t="shared" si="17"/>
        <v>0</v>
      </c>
      <c r="K50" s="1"/>
      <c r="L50" s="1">
        <f t="shared" si="18"/>
        <v>-796.89</v>
      </c>
      <c r="M50" s="1"/>
      <c r="N50" s="5">
        <f t="shared" si="19"/>
        <v>-0.81732307692307693</v>
      </c>
      <c r="O50" s="13"/>
      <c r="P50" s="1">
        <f>SUM(OSRRefP22_7x_0)</f>
        <v>1806.04</v>
      </c>
      <c r="Q50" s="1"/>
      <c r="R50" s="5">
        <f t="shared" si="20"/>
        <v>0</v>
      </c>
      <c r="S50" s="1"/>
      <c r="T50" s="1">
        <f>SUM(OSRRefT22_7x_0)</f>
        <v>8775</v>
      </c>
      <c r="U50" s="1"/>
      <c r="V50" s="5">
        <f t="shared" si="21"/>
        <v>0</v>
      </c>
      <c r="W50" s="1"/>
      <c r="X50" s="1">
        <f t="shared" si="22"/>
        <v>-6968.96</v>
      </c>
      <c r="Y50" s="1"/>
      <c r="Z50" s="5">
        <f t="shared" si="23"/>
        <v>-0.79418347578347581</v>
      </c>
    </row>
    <row r="51" spans="1:26" s="24" customFormat="1" hidden="1" outlineLevel="2" x14ac:dyDescent="0.25">
      <c r="A51" s="25"/>
      <c r="B51" s="11" t="str">
        <f>CONCATENATE("          ", "6241", " - ", "OFFICE EXPENSE")</f>
        <v xml:space="preserve">          6241 - OFFICE EXPENSE</v>
      </c>
      <c r="C51" s="11"/>
      <c r="D51" s="6">
        <v>178.11</v>
      </c>
      <c r="E51" s="2"/>
      <c r="F51" s="7">
        <f t="shared" si="16"/>
        <v>0</v>
      </c>
      <c r="G51" s="2"/>
      <c r="H51" s="6">
        <v>975</v>
      </c>
      <c r="I51" s="2"/>
      <c r="J51" s="7">
        <f t="shared" si="17"/>
        <v>0</v>
      </c>
      <c r="K51" s="2"/>
      <c r="L51" s="6">
        <f t="shared" si="18"/>
        <v>-796.89</v>
      </c>
      <c r="M51" s="2"/>
      <c r="N51" s="7">
        <f t="shared" si="19"/>
        <v>-0.81732307692307693</v>
      </c>
      <c r="O51" s="11"/>
      <c r="P51" s="6">
        <v>1459.62</v>
      </c>
      <c r="Q51" s="2"/>
      <c r="R51" s="7">
        <f t="shared" si="20"/>
        <v>0</v>
      </c>
      <c r="S51" s="2"/>
      <c r="T51" s="6">
        <v>8775</v>
      </c>
      <c r="U51" s="2"/>
      <c r="V51" s="7">
        <f t="shared" si="21"/>
        <v>0</v>
      </c>
      <c r="W51" s="2"/>
      <c r="X51" s="6">
        <f t="shared" si="22"/>
        <v>-7315.38</v>
      </c>
      <c r="Y51" s="2"/>
      <c r="Z51" s="7">
        <f t="shared" si="23"/>
        <v>-0.83366153846153845</v>
      </c>
    </row>
    <row r="52" spans="1:26" s="24" customFormat="1" hidden="1" outlineLevel="2" x14ac:dyDescent="0.25">
      <c r="A52" s="25"/>
      <c r="B52" s="11" t="str">
        <f>CONCATENATE("          ", "6245", " - ", "PRINTING")</f>
        <v xml:space="preserve">          6245 - PRINTING</v>
      </c>
      <c r="C52" s="11"/>
      <c r="D52" s="6"/>
      <c r="E52" s="2"/>
      <c r="F52" s="7">
        <f t="shared" si="16"/>
        <v>0</v>
      </c>
      <c r="G52" s="2"/>
      <c r="H52" s="6"/>
      <c r="I52" s="2"/>
      <c r="J52" s="7">
        <f t="shared" si="17"/>
        <v>0</v>
      </c>
      <c r="K52" s="2"/>
      <c r="L52" s="6">
        <f t="shared" si="18"/>
        <v>0</v>
      </c>
      <c r="M52" s="2"/>
      <c r="N52" s="7">
        <f t="shared" si="19"/>
        <v>0</v>
      </c>
      <c r="O52" s="11"/>
      <c r="P52" s="6">
        <v>346.42</v>
      </c>
      <c r="Q52" s="2"/>
      <c r="R52" s="7">
        <f t="shared" si="20"/>
        <v>0</v>
      </c>
      <c r="S52" s="2"/>
      <c r="T52" s="6"/>
      <c r="U52" s="2"/>
      <c r="V52" s="7">
        <f t="shared" si="21"/>
        <v>0</v>
      </c>
      <c r="W52" s="2"/>
      <c r="X52" s="6">
        <f t="shared" si="22"/>
        <v>346.42</v>
      </c>
      <c r="Y52" s="2"/>
      <c r="Z52" s="7">
        <f t="shared" si="23"/>
        <v>0</v>
      </c>
    </row>
    <row r="53" spans="1:26" s="27" customFormat="1" outlineLevel="1" collapsed="1" x14ac:dyDescent="0.25">
      <c r="A53" s="26"/>
      <c r="B53" s="13" t="str">
        <f>CONCATENATE("     ","Telephone/Data Lines                              ")</f>
        <v xml:space="preserve">     Telephone/Data Lines                              </v>
      </c>
      <c r="C53" s="13"/>
      <c r="D53" s="1">
        <f>SUM(OSRRefD22_8x_0)</f>
        <v>38.479999999999997</v>
      </c>
      <c r="E53" s="1"/>
      <c r="F53" s="5">
        <f t="shared" ref="F53:F58" si="24">IF(D$12=0,0,D53/D$12)</f>
        <v>0</v>
      </c>
      <c r="G53" s="1"/>
      <c r="H53" s="1">
        <f>SUM(OSRRefH22_8x_0)</f>
        <v>150</v>
      </c>
      <c r="I53" s="1"/>
      <c r="J53" s="5">
        <f t="shared" ref="J53:J58" si="25">IF(H$12=0,0,H53/H$12)</f>
        <v>0</v>
      </c>
      <c r="K53" s="1"/>
      <c r="L53" s="1">
        <f t="shared" ref="L53:L58" si="26">+D53-H53</f>
        <v>-111.52000000000001</v>
      </c>
      <c r="M53" s="1"/>
      <c r="N53" s="5">
        <f t="shared" ref="N53:N58" si="27">IF(H53=0,0,L53/H53)</f>
        <v>-0.74346666666666672</v>
      </c>
      <c r="O53" s="13"/>
      <c r="P53" s="1">
        <f>SUM(OSRRefP22_8x_0)</f>
        <v>624.38</v>
      </c>
      <c r="Q53" s="1"/>
      <c r="R53" s="5">
        <f t="shared" ref="R53:R58" si="28">IF(P$12=0,0,P53/P$12)</f>
        <v>0</v>
      </c>
      <c r="S53" s="1"/>
      <c r="T53" s="1">
        <f>SUM(OSRRefT22_8x_0)</f>
        <v>1350</v>
      </c>
      <c r="U53" s="1"/>
      <c r="V53" s="5">
        <f t="shared" ref="V53:V58" si="29">IF(T$12=0,0,T53/T$12)</f>
        <v>0</v>
      </c>
      <c r="W53" s="1"/>
      <c r="X53" s="1">
        <f t="shared" ref="X53:X58" si="30">+P53-T53</f>
        <v>-725.62</v>
      </c>
      <c r="Y53" s="1"/>
      <c r="Z53" s="5">
        <f t="shared" ref="Z53:Z58" si="31">IF(T53=0,0,X53/T53)</f>
        <v>-0.53749629629629625</v>
      </c>
    </row>
    <row r="54" spans="1:26" s="24" customFormat="1" hidden="1" outlineLevel="2" x14ac:dyDescent="0.25">
      <c r="A54" s="25"/>
      <c r="B54" s="11" t="str">
        <f>CONCATENATE("          ", "6309", " - ", "TELEPHONE")</f>
        <v xml:space="preserve">          6309 - TELEPHONE</v>
      </c>
      <c r="C54" s="11"/>
      <c r="D54" s="6">
        <v>38.479999999999997</v>
      </c>
      <c r="E54" s="2"/>
      <c r="F54" s="7">
        <f t="shared" si="24"/>
        <v>0</v>
      </c>
      <c r="G54" s="2"/>
      <c r="H54" s="6">
        <v>150</v>
      </c>
      <c r="I54" s="2"/>
      <c r="J54" s="7">
        <f t="shared" si="25"/>
        <v>0</v>
      </c>
      <c r="K54" s="2"/>
      <c r="L54" s="6">
        <f t="shared" si="26"/>
        <v>-111.52000000000001</v>
      </c>
      <c r="M54" s="2"/>
      <c r="N54" s="7">
        <f t="shared" si="27"/>
        <v>-0.74346666666666672</v>
      </c>
      <c r="O54" s="11"/>
      <c r="P54" s="6">
        <v>624.38</v>
      </c>
      <c r="Q54" s="2"/>
      <c r="R54" s="7">
        <f t="shared" si="28"/>
        <v>0</v>
      </c>
      <c r="S54" s="2"/>
      <c r="T54" s="6">
        <v>1350</v>
      </c>
      <c r="U54" s="2"/>
      <c r="V54" s="7">
        <f t="shared" si="29"/>
        <v>0</v>
      </c>
      <c r="W54" s="2"/>
      <c r="X54" s="6">
        <f t="shared" si="30"/>
        <v>-725.62</v>
      </c>
      <c r="Y54" s="2"/>
      <c r="Z54" s="7">
        <f t="shared" si="31"/>
        <v>-0.53749629629629625</v>
      </c>
    </row>
    <row r="55" spans="1:26" s="27" customFormat="1" outlineLevel="1" collapsed="1" x14ac:dyDescent="0.25">
      <c r="A55" s="26"/>
      <c r="B55" s="13" t="str">
        <f>CONCATENATE("     ","Training                                          ")</f>
        <v xml:space="preserve">     Training                                          </v>
      </c>
      <c r="C55" s="13"/>
      <c r="D55" s="1">
        <f>SUM(OSRRefD22_9x_0)</f>
        <v>0</v>
      </c>
      <c r="E55" s="1"/>
      <c r="F55" s="5">
        <f t="shared" si="24"/>
        <v>0</v>
      </c>
      <c r="G55" s="1"/>
      <c r="H55" s="1">
        <f>SUM(OSRRefH22_9x_0)</f>
        <v>200</v>
      </c>
      <c r="I55" s="1"/>
      <c r="J55" s="5">
        <f t="shared" si="25"/>
        <v>0</v>
      </c>
      <c r="K55" s="1"/>
      <c r="L55" s="1">
        <f t="shared" si="26"/>
        <v>-200</v>
      </c>
      <c r="M55" s="1"/>
      <c r="N55" s="5">
        <f t="shared" si="27"/>
        <v>-1</v>
      </c>
      <c r="O55" s="13"/>
      <c r="P55" s="1">
        <f>SUM(OSRRefP22_9x_0)</f>
        <v>0</v>
      </c>
      <c r="Q55" s="1"/>
      <c r="R55" s="5">
        <f t="shared" si="28"/>
        <v>0</v>
      </c>
      <c r="S55" s="1"/>
      <c r="T55" s="1">
        <f>SUM(OSRRefT22_9x_0)</f>
        <v>1800</v>
      </c>
      <c r="U55" s="1"/>
      <c r="V55" s="5">
        <f t="shared" si="29"/>
        <v>0</v>
      </c>
      <c r="W55" s="1"/>
      <c r="X55" s="1">
        <f t="shared" si="30"/>
        <v>-1800</v>
      </c>
      <c r="Y55" s="1"/>
      <c r="Z55" s="5">
        <f t="shared" si="31"/>
        <v>-1</v>
      </c>
    </row>
    <row r="56" spans="1:26" s="24" customFormat="1" hidden="1" outlineLevel="2" x14ac:dyDescent="0.25">
      <c r="A56" s="25"/>
      <c r="B56" s="11" t="str">
        <f>CONCATENATE("          ", "6376", " - ", "TRAINING")</f>
        <v xml:space="preserve">          6376 - TRAINING</v>
      </c>
      <c r="C56" s="11"/>
      <c r="D56" s="6"/>
      <c r="E56" s="2"/>
      <c r="F56" s="7">
        <f t="shared" si="24"/>
        <v>0</v>
      </c>
      <c r="G56" s="2"/>
      <c r="H56" s="6">
        <v>200</v>
      </c>
      <c r="I56" s="2"/>
      <c r="J56" s="7">
        <f t="shared" si="25"/>
        <v>0</v>
      </c>
      <c r="K56" s="2"/>
      <c r="L56" s="6">
        <f t="shared" si="26"/>
        <v>-200</v>
      </c>
      <c r="M56" s="2"/>
      <c r="N56" s="7">
        <f t="shared" si="27"/>
        <v>-1</v>
      </c>
      <c r="O56" s="11"/>
      <c r="P56" s="6"/>
      <c r="Q56" s="2"/>
      <c r="R56" s="7">
        <f t="shared" si="28"/>
        <v>0</v>
      </c>
      <c r="S56" s="2"/>
      <c r="T56" s="6">
        <v>1800</v>
      </c>
      <c r="U56" s="2"/>
      <c r="V56" s="7">
        <f t="shared" si="29"/>
        <v>0</v>
      </c>
      <c r="W56" s="2"/>
      <c r="X56" s="6">
        <f t="shared" si="30"/>
        <v>-1800</v>
      </c>
      <c r="Y56" s="2"/>
      <c r="Z56" s="7">
        <f t="shared" si="31"/>
        <v>-1</v>
      </c>
    </row>
    <row r="57" spans="1:26" s="27" customFormat="1" outlineLevel="1" collapsed="1" x14ac:dyDescent="0.25">
      <c r="A57" s="26"/>
      <c r="B57" s="13" t="str">
        <f>CONCATENATE("     ","Travel                                            ")</f>
        <v xml:space="preserve">     Travel                                            </v>
      </c>
      <c r="C57" s="13"/>
      <c r="D57" s="1">
        <f>SUM(OSRRefD22_10x_0)</f>
        <v>0</v>
      </c>
      <c r="E57" s="1"/>
      <c r="F57" s="5">
        <f t="shared" si="24"/>
        <v>0</v>
      </c>
      <c r="G57" s="1"/>
      <c r="H57" s="1">
        <f>SUM(OSRRefH22_10x_0)</f>
        <v>500</v>
      </c>
      <c r="I57" s="1"/>
      <c r="J57" s="5">
        <f t="shared" si="25"/>
        <v>0</v>
      </c>
      <c r="K57" s="1"/>
      <c r="L57" s="1">
        <f t="shared" si="26"/>
        <v>-500</v>
      </c>
      <c r="M57" s="1"/>
      <c r="N57" s="5">
        <f t="shared" si="27"/>
        <v>-1</v>
      </c>
      <c r="O57" s="13"/>
      <c r="P57" s="1">
        <f>SUM(OSRRefP22_10x_0)</f>
        <v>3921.38</v>
      </c>
      <c r="Q57" s="1"/>
      <c r="R57" s="5">
        <f t="shared" si="28"/>
        <v>0</v>
      </c>
      <c r="S57" s="1"/>
      <c r="T57" s="1">
        <f>SUM(OSRRefT22_10x_0)</f>
        <v>4500</v>
      </c>
      <c r="U57" s="1"/>
      <c r="V57" s="5">
        <f t="shared" si="29"/>
        <v>0</v>
      </c>
      <c r="W57" s="1"/>
      <c r="X57" s="1">
        <f t="shared" si="30"/>
        <v>-578.61999999999989</v>
      </c>
      <c r="Y57" s="1"/>
      <c r="Z57" s="5">
        <f t="shared" si="31"/>
        <v>-0.12858222222222221</v>
      </c>
    </row>
    <row r="58" spans="1:26" s="24" customFormat="1" hidden="1" outlineLevel="2" x14ac:dyDescent="0.25">
      <c r="A58" s="25"/>
      <c r="B58" s="11" t="str">
        <f>CONCATENATE("          ", "6292", " - ", "TRAVEL/CONFERENCE")</f>
        <v xml:space="preserve">          6292 - TRAVEL/CONFERENCE</v>
      </c>
      <c r="C58" s="11"/>
      <c r="D58" s="6"/>
      <c r="E58" s="2"/>
      <c r="F58" s="7">
        <f t="shared" si="24"/>
        <v>0</v>
      </c>
      <c r="G58" s="2"/>
      <c r="H58" s="6">
        <v>500</v>
      </c>
      <c r="I58" s="2"/>
      <c r="J58" s="7">
        <f t="shared" si="25"/>
        <v>0</v>
      </c>
      <c r="K58" s="2"/>
      <c r="L58" s="6">
        <f t="shared" si="26"/>
        <v>-500</v>
      </c>
      <c r="M58" s="2"/>
      <c r="N58" s="7">
        <f t="shared" si="27"/>
        <v>-1</v>
      </c>
      <c r="O58" s="11"/>
      <c r="P58" s="6">
        <v>3921.38</v>
      </c>
      <c r="Q58" s="2"/>
      <c r="R58" s="7">
        <f t="shared" si="28"/>
        <v>0</v>
      </c>
      <c r="S58" s="2"/>
      <c r="T58" s="6">
        <v>4500</v>
      </c>
      <c r="U58" s="2"/>
      <c r="V58" s="7">
        <f t="shared" si="29"/>
        <v>0</v>
      </c>
      <c r="W58" s="2"/>
      <c r="X58" s="6">
        <f t="shared" si="30"/>
        <v>-578.61999999999989</v>
      </c>
      <c r="Y58" s="2"/>
      <c r="Z58" s="7">
        <f t="shared" si="31"/>
        <v>-0.12858222222222221</v>
      </c>
    </row>
    <row r="59" spans="1:26" s="56" customFormat="1" x14ac:dyDescent="0.25">
      <c r="A59" s="36"/>
      <c r="B59" s="36"/>
      <c r="C59" s="36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6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25">
      <c r="A60" s="10"/>
      <c r="B60" s="29" t="s">
        <v>0</v>
      </c>
      <c r="C60" s="10"/>
      <c r="D60" s="4">
        <f>SUM(0)</f>
        <v>0</v>
      </c>
      <c r="E60" s="4"/>
      <c r="F60" s="12">
        <f>IF(D$12=0,0,D60/D$12)</f>
        <v>0</v>
      </c>
      <c r="G60" s="4"/>
      <c r="H60" s="4">
        <f>SUM(0)</f>
        <v>0</v>
      </c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>
        <f>SUM(0)</f>
        <v>0</v>
      </c>
      <c r="Q60" s="4"/>
      <c r="R60" s="12">
        <f>IF(P$12=0,0,P60/P$12)</f>
        <v>0</v>
      </c>
      <c r="S60" s="4"/>
      <c r="T60" s="4">
        <f>SUM(0)</f>
        <v>0</v>
      </c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8" t="s">
        <v>3</v>
      </c>
      <c r="C62" s="28"/>
      <c r="D62" s="20">
        <f>+D16-D18+D60</f>
        <v>-13934.57</v>
      </c>
      <c r="E62" s="14"/>
      <c r="F62" s="22">
        <f>IF(D$12=0,0,D62/D$12)</f>
        <v>0</v>
      </c>
      <c r="G62" s="14"/>
      <c r="H62" s="20">
        <f>+H16-H18+H60</f>
        <v>-14746.581221016</v>
      </c>
      <c r="I62" s="14"/>
      <c r="J62" s="22">
        <f>IF(H$12=0,0,H62/H$12)</f>
        <v>0</v>
      </c>
      <c r="K62" s="16"/>
      <c r="L62" s="20">
        <f>+D62-H62</f>
        <v>812.01122101600049</v>
      </c>
      <c r="M62" s="16"/>
      <c r="N62" s="22">
        <f>IF(H62=0,0,L62/H62)</f>
        <v>-5.5064371113947935E-2</v>
      </c>
      <c r="O62" s="29"/>
      <c r="P62" s="20">
        <f>+P16-P18+P60</f>
        <v>-77787.350000000006</v>
      </c>
      <c r="Q62" s="14"/>
      <c r="R62" s="22">
        <f>IF(P$12=0,0,P62/P$12)</f>
        <v>0</v>
      </c>
      <c r="S62" s="14"/>
      <c r="T62" s="20">
        <f>+T16-T18+T60</f>
        <v>-140776.87340015601</v>
      </c>
      <c r="U62" s="14"/>
      <c r="V62" s="22">
        <f>IF(T$12=0,0,T62/T$12)</f>
        <v>0</v>
      </c>
      <c r="W62" s="16"/>
      <c r="X62" s="20">
        <f>+P62-T62</f>
        <v>62989.523400156002</v>
      </c>
      <c r="Y62" s="16"/>
      <c r="Z62" s="22">
        <f>IF(T62=0,0,X62/T62)</f>
        <v>-0.44744226717629459</v>
      </c>
    </row>
    <row r="63" spans="1:26" x14ac:dyDescent="0.25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52"/>
      <c r="B64" s="10" t="s">
        <v>14</v>
      </c>
      <c r="C64" s="10"/>
      <c r="D64" s="4"/>
      <c r="E64" s="4"/>
      <c r="F64" s="12">
        <f>IF(D$12=0,0,D64/D$12)</f>
        <v>0</v>
      </c>
      <c r="G64" s="4"/>
      <c r="H64" s="4"/>
      <c r="I64" s="4"/>
      <c r="J64" s="12">
        <f>IF(H$12=0,0,H64/H$12)</f>
        <v>0</v>
      </c>
      <c r="K64" s="4"/>
      <c r="L64" s="4">
        <f>+D64-H64</f>
        <v>0</v>
      </c>
      <c r="M64" s="4"/>
      <c r="N64" s="12">
        <f>IF(H64=0,0,L64/H64)</f>
        <v>0</v>
      </c>
      <c r="O64" s="10"/>
      <c r="P64" s="4"/>
      <c r="Q64" s="4"/>
      <c r="R64" s="12">
        <f>IF(P$12=0,0,P64/P$12)</f>
        <v>0</v>
      </c>
      <c r="S64" s="4"/>
      <c r="T64" s="4">
        <v>0</v>
      </c>
      <c r="U64" s="4"/>
      <c r="V64" s="12">
        <f>IF(T$12=0,0,T64/T$12)</f>
        <v>0</v>
      </c>
      <c r="W64" s="4"/>
      <c r="X64" s="4">
        <f>+P64-T64</f>
        <v>0</v>
      </c>
      <c r="Y64" s="4"/>
      <c r="Z64" s="12">
        <f>IF(T64=0,0,X64/T64)</f>
        <v>0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8" t="s">
        <v>4</v>
      </c>
      <c r="C66" s="28"/>
      <c r="D66" s="31">
        <f>+D62-D64</f>
        <v>-13934.57</v>
      </c>
      <c r="E66" s="14"/>
      <c r="F66" s="34">
        <f>IF(D$12=0,0,D66/D$12)</f>
        <v>0</v>
      </c>
      <c r="G66" s="14"/>
      <c r="H66" s="31">
        <f>+H62-H64</f>
        <v>-14746.581221016</v>
      </c>
      <c r="I66" s="14"/>
      <c r="J66" s="34">
        <f>IF(H$12=0,0,H66/H$12)</f>
        <v>0</v>
      </c>
      <c r="K66" s="16"/>
      <c r="L66" s="31">
        <f>D66-H66</f>
        <v>812.01122101600049</v>
      </c>
      <c r="M66" s="16"/>
      <c r="N66" s="34">
        <f>IF(H66=0,0,L66/H66)</f>
        <v>-5.5064371113947935E-2</v>
      </c>
      <c r="O66" s="29"/>
      <c r="P66" s="31">
        <f>+P62-P64</f>
        <v>-77787.350000000006</v>
      </c>
      <c r="Q66" s="14"/>
      <c r="R66" s="34">
        <f>IF(P$12=0,0,P66/P$12)</f>
        <v>0</v>
      </c>
      <c r="S66" s="14"/>
      <c r="T66" s="31">
        <f>+T62-T64</f>
        <v>-140776.87340015601</v>
      </c>
      <c r="U66" s="14"/>
      <c r="V66" s="34">
        <f>IF(T$12=0,0,T66/T$12)</f>
        <v>0</v>
      </c>
      <c r="W66" s="16"/>
      <c r="X66" s="31">
        <f>P66-T66</f>
        <v>62989.523400156002</v>
      </c>
      <c r="Y66" s="16"/>
      <c r="Z66" s="34">
        <f>IF(T66=0,0,X66/T66)</f>
        <v>-0.44744226717629459</v>
      </c>
    </row>
    <row r="67" spans="1:26" ht="15.75" thickTop="1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8" t="s">
        <v>5</v>
      </c>
      <c r="C69" s="28"/>
      <c r="D69" s="32">
        <f>SUM(D66:D68)</f>
        <v>-13934.57</v>
      </c>
      <c r="E69" s="14"/>
      <c r="F69" s="35">
        <f>IF(D$12=0,0,D69/D$12)</f>
        <v>0</v>
      </c>
      <c r="G69" s="14"/>
      <c r="H69" s="32">
        <f>SUM(H66:H68)</f>
        <v>-14746.581221016</v>
      </c>
      <c r="I69" s="14"/>
      <c r="J69" s="35">
        <f>IF(H$12=0,0,H69/H$12)</f>
        <v>0</v>
      </c>
      <c r="K69" s="16"/>
      <c r="L69" s="32">
        <f>+D69-H69</f>
        <v>812.01122101600049</v>
      </c>
      <c r="M69" s="16"/>
      <c r="N69" s="35">
        <f>IF(H69=0,0,L69/H69)</f>
        <v>-5.5064371113947935E-2</v>
      </c>
      <c r="O69" s="29"/>
      <c r="P69" s="32">
        <f>SUM(P66:P68)</f>
        <v>-77787.350000000006</v>
      </c>
      <c r="Q69" s="14"/>
      <c r="R69" s="35">
        <f>IF(P$12=0,0,P69/P$12)</f>
        <v>0</v>
      </c>
      <c r="S69" s="14"/>
      <c r="T69" s="32">
        <f>SUM(T66:T68)</f>
        <v>-140776.87340015601</v>
      </c>
      <c r="U69" s="14"/>
      <c r="V69" s="35">
        <f>IF(T$12=0,0,T69/T$12)</f>
        <v>0</v>
      </c>
      <c r="W69" s="16"/>
      <c r="X69" s="32">
        <f>+P69-T69</f>
        <v>62989.523400156002</v>
      </c>
      <c r="Y69" s="16"/>
      <c r="Z69" s="35">
        <f>IF(T69=0,0,X69/T69)</f>
        <v>-0.44744226717629459</v>
      </c>
    </row>
    <row r="70" spans="1:26" ht="15.75" thickTop="1" x14ac:dyDescent="0.25">
      <c r="A70" s="9"/>
      <c r="C70" s="9"/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  <row r="71" spans="1:26" x14ac:dyDescent="0.25">
      <c r="A71" s="9"/>
      <c r="B71" s="57">
        <v>43934.466248379627</v>
      </c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  <row r="72" spans="1:26" x14ac:dyDescent="0.25">
      <c r="A72" s="9"/>
      <c r="B72" s="62" t="s">
        <v>314</v>
      </c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  <row r="73" spans="1:26" x14ac:dyDescent="0.25">
      <c r="A73" s="9"/>
      <c r="B73" s="60"/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  <row r="74" spans="1:26" x14ac:dyDescent="0.25"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9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308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394517.29999999993</v>
      </c>
      <c r="E12" s="4"/>
      <c r="F12" s="12"/>
      <c r="G12" s="4"/>
      <c r="H12" s="4">
        <f>SUM(OSRRefH13x_0)</f>
        <v>1298622.3910400001</v>
      </c>
      <c r="I12" s="4"/>
      <c r="J12" s="12"/>
      <c r="K12" s="4"/>
      <c r="L12" s="4">
        <f t="shared" ref="L12:L111" si="0">+D12-H12</f>
        <v>-904105.0910400002</v>
      </c>
      <c r="M12" s="4"/>
      <c r="N12" s="12">
        <f t="shared" ref="N12:N111" si="1">IF(H12=0,0,L12/H12)</f>
        <v>-0.69620322064210582</v>
      </c>
      <c r="O12" s="10"/>
      <c r="P12" s="4">
        <f>SUM(OSRRefP13x_0)</f>
        <v>10962823.610000001</v>
      </c>
      <c r="Q12" s="4"/>
      <c r="R12" s="12"/>
      <c r="S12" s="4"/>
      <c r="T12" s="4">
        <f>SUM(OSRRefT13x_0)</f>
        <v>12469531.698180001</v>
      </c>
      <c r="U12" s="4"/>
      <c r="V12" s="12"/>
      <c r="W12" s="4"/>
      <c r="X12" s="4">
        <f t="shared" ref="X12:X111" si="2">+P12-T12</f>
        <v>-1506708.08818</v>
      </c>
      <c r="Y12" s="4"/>
      <c r="Z12" s="12">
        <f t="shared" ref="Z12:Z111" si="3">IF(T12=0,0,X12/T12)</f>
        <v>-0.12083116869576686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720179.39104000002</v>
      </c>
      <c r="I13" s="2"/>
      <c r="J13" s="19"/>
      <c r="K13" s="2"/>
      <c r="L13" s="2">
        <f t="shared" si="0"/>
        <v>-720179.39104000002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4711190.6981800003</v>
      </c>
      <c r="U13" s="2"/>
      <c r="V13" s="19"/>
      <c r="W13" s="2"/>
      <c r="X13" s="2">
        <f t="shared" si="2"/>
        <v>-4711190.6981800003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--6131.56</f>
        <v>6131.56</v>
      </c>
      <c r="E14" s="2"/>
      <c r="F14" s="19"/>
      <c r="G14" s="2"/>
      <c r="H14" s="2"/>
      <c r="I14" s="2"/>
      <c r="J14" s="19"/>
      <c r="K14" s="2"/>
      <c r="L14" s="2">
        <f t="shared" si="0"/>
        <v>6131.56</v>
      </c>
      <c r="M14" s="2"/>
      <c r="N14" s="19">
        <f t="shared" si="1"/>
        <v>0</v>
      </c>
      <c r="O14" s="11"/>
      <c r="P14" s="2">
        <f>--2396893.28</f>
        <v>2396893.2799999998</v>
      </c>
      <c r="Q14" s="2"/>
      <c r="R14" s="19"/>
      <c r="S14" s="2"/>
      <c r="T14" s="2"/>
      <c r="U14" s="2"/>
      <c r="V14" s="19"/>
      <c r="W14" s="2"/>
      <c r="X14" s="2">
        <f t="shared" si="2"/>
        <v>2396893.2799999998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--4341.5</f>
        <v>4341.5</v>
      </c>
      <c r="E15" s="2"/>
      <c r="F15" s="19"/>
      <c r="G15" s="2"/>
      <c r="H15" s="2"/>
      <c r="I15" s="2"/>
      <c r="J15" s="19"/>
      <c r="K15" s="2"/>
      <c r="L15" s="2">
        <f t="shared" si="0"/>
        <v>4341.5</v>
      </c>
      <c r="M15" s="2"/>
      <c r="N15" s="19">
        <f t="shared" si="1"/>
        <v>0</v>
      </c>
      <c r="O15" s="11"/>
      <c r="P15" s="2">
        <f>--1244314.69</f>
        <v>1244314.69</v>
      </c>
      <c r="Q15" s="2"/>
      <c r="R15" s="19"/>
      <c r="S15" s="2"/>
      <c r="T15" s="2"/>
      <c r="U15" s="2"/>
      <c r="V15" s="19"/>
      <c r="W15" s="2"/>
      <c r="X15" s="2">
        <f t="shared" si="2"/>
        <v>1244314.69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--78</f>
        <v>78</v>
      </c>
      <c r="E16" s="2"/>
      <c r="F16" s="19"/>
      <c r="G16" s="2"/>
      <c r="H16" s="2"/>
      <c r="I16" s="2"/>
      <c r="J16" s="19"/>
      <c r="K16" s="2"/>
      <c r="L16" s="2">
        <f t="shared" si="0"/>
        <v>78</v>
      </c>
      <c r="M16" s="2"/>
      <c r="N16" s="19">
        <f t="shared" si="1"/>
        <v>0</v>
      </c>
      <c r="O16" s="11"/>
      <c r="P16" s="2">
        <f>--33694.89</f>
        <v>33694.89</v>
      </c>
      <c r="Q16" s="2"/>
      <c r="R16" s="19"/>
      <c r="S16" s="2"/>
      <c r="T16" s="2"/>
      <c r="U16" s="2"/>
      <c r="V16" s="19"/>
      <c r="W16" s="2"/>
      <c r="X16" s="2">
        <f t="shared" si="2"/>
        <v>33694.89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/>
      <c r="U17" s="2"/>
      <c r="V17" s="19"/>
      <c r="W17" s="2"/>
      <c r="X17" s="2">
        <f t="shared" si="2"/>
        <v>42195.3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--253.6</f>
        <v>253.6</v>
      </c>
      <c r="E18" s="2"/>
      <c r="F18" s="19"/>
      <c r="G18" s="2"/>
      <c r="H18" s="2"/>
      <c r="I18" s="2"/>
      <c r="J18" s="19"/>
      <c r="K18" s="2"/>
      <c r="L18" s="2">
        <f t="shared" si="0"/>
        <v>253.6</v>
      </c>
      <c r="M18" s="2"/>
      <c r="N18" s="19">
        <f t="shared" si="1"/>
        <v>0</v>
      </c>
      <c r="O18" s="11"/>
      <c r="P18" s="2">
        <f>--1052.48</f>
        <v>1052.48</v>
      </c>
      <c r="Q18" s="2"/>
      <c r="R18" s="19"/>
      <c r="S18" s="2"/>
      <c r="T18" s="2"/>
      <c r="U18" s="2"/>
      <c r="V18" s="19"/>
      <c r="W18" s="2"/>
      <c r="X18" s="2">
        <f t="shared" si="2"/>
        <v>1052.48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--412.75</f>
        <v>412.75</v>
      </c>
      <c r="E19" s="2"/>
      <c r="F19" s="19"/>
      <c r="G19" s="2"/>
      <c r="H19" s="2"/>
      <c r="I19" s="2"/>
      <c r="J19" s="19"/>
      <c r="K19" s="2"/>
      <c r="L19" s="2">
        <f t="shared" si="0"/>
        <v>412.75</v>
      </c>
      <c r="M19" s="2"/>
      <c r="N19" s="19">
        <f t="shared" si="1"/>
        <v>0</v>
      </c>
      <c r="O19" s="11"/>
      <c r="P19" s="2">
        <f>--2695</f>
        <v>2695</v>
      </c>
      <c r="Q19" s="2"/>
      <c r="R19" s="19"/>
      <c r="S19" s="2"/>
      <c r="T19" s="2"/>
      <c r="U19" s="2"/>
      <c r="V19" s="19"/>
      <c r="W19" s="2"/>
      <c r="X19" s="2">
        <f t="shared" si="2"/>
        <v>2695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--67.24</f>
        <v>67.239999999999995</v>
      </c>
      <c r="E20" s="2"/>
      <c r="F20" s="19"/>
      <c r="G20" s="2"/>
      <c r="H20" s="2"/>
      <c r="I20" s="2"/>
      <c r="J20" s="19"/>
      <c r="K20" s="2"/>
      <c r="L20" s="2">
        <f t="shared" si="0"/>
        <v>67.239999999999995</v>
      </c>
      <c r="M20" s="2"/>
      <c r="N20" s="19">
        <f t="shared" si="1"/>
        <v>0</v>
      </c>
      <c r="O20" s="11"/>
      <c r="P20" s="2">
        <f>--1219.18</f>
        <v>1219.18</v>
      </c>
      <c r="Q20" s="2"/>
      <c r="R20" s="19"/>
      <c r="S20" s="2"/>
      <c r="T20" s="2"/>
      <c r="U20" s="2"/>
      <c r="V20" s="19"/>
      <c r="W20" s="2"/>
      <c r="X20" s="2">
        <f t="shared" si="2"/>
        <v>1219.18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--10.98</f>
        <v>10.98</v>
      </c>
      <c r="E21" s="2"/>
      <c r="F21" s="19"/>
      <c r="G21" s="2"/>
      <c r="H21" s="2"/>
      <c r="I21" s="2"/>
      <c r="J21" s="19"/>
      <c r="K21" s="2"/>
      <c r="L21" s="2">
        <f t="shared" si="0"/>
        <v>10.98</v>
      </c>
      <c r="M21" s="2"/>
      <c r="N21" s="19">
        <f t="shared" si="1"/>
        <v>0</v>
      </c>
      <c r="O21" s="11"/>
      <c r="P21" s="2">
        <f>--282.57</f>
        <v>282.57</v>
      </c>
      <c r="Q21" s="2"/>
      <c r="R21" s="19"/>
      <c r="S21" s="2"/>
      <c r="T21" s="2"/>
      <c r="U21" s="2"/>
      <c r="V21" s="19"/>
      <c r="W21" s="2"/>
      <c r="X21" s="2">
        <f t="shared" si="2"/>
        <v>282.57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--56.6</f>
        <v>56.6</v>
      </c>
      <c r="E22" s="2"/>
      <c r="F22" s="19"/>
      <c r="G22" s="2"/>
      <c r="H22" s="2"/>
      <c r="I22" s="2"/>
      <c r="J22" s="19"/>
      <c r="K22" s="2"/>
      <c r="L22" s="2">
        <f t="shared" si="0"/>
        <v>56.6</v>
      </c>
      <c r="M22" s="2"/>
      <c r="N22" s="19">
        <f t="shared" si="1"/>
        <v>0</v>
      </c>
      <c r="O22" s="11"/>
      <c r="P22" s="2">
        <f>--4154.31</f>
        <v>4154.3100000000004</v>
      </c>
      <c r="Q22" s="2"/>
      <c r="R22" s="19"/>
      <c r="S22" s="2"/>
      <c r="T22" s="2"/>
      <c r="U22" s="2"/>
      <c r="V22" s="19"/>
      <c r="W22" s="2"/>
      <c r="X22" s="2">
        <f t="shared" si="2"/>
        <v>4154.3100000000004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/>
      <c r="U23" s="2"/>
      <c r="V23" s="19"/>
      <c r="W23" s="2"/>
      <c r="X23" s="2">
        <f t="shared" si="2"/>
        <v>42.85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--2919.17</f>
        <v>2919.17</v>
      </c>
      <c r="E24" s="2"/>
      <c r="F24" s="19"/>
      <c r="G24" s="2"/>
      <c r="H24" s="2"/>
      <c r="I24" s="2"/>
      <c r="J24" s="19"/>
      <c r="K24" s="2"/>
      <c r="L24" s="2">
        <f t="shared" si="0"/>
        <v>2919.17</v>
      </c>
      <c r="M24" s="2"/>
      <c r="N24" s="19">
        <f t="shared" si="1"/>
        <v>0</v>
      </c>
      <c r="O24" s="11"/>
      <c r="P24" s="2">
        <f>--54702.86</f>
        <v>54702.86</v>
      </c>
      <c r="Q24" s="2"/>
      <c r="R24" s="19"/>
      <c r="S24" s="2"/>
      <c r="T24" s="2"/>
      <c r="U24" s="2"/>
      <c r="V24" s="19"/>
      <c r="W24" s="2"/>
      <c r="X24" s="2">
        <f t="shared" si="2"/>
        <v>54702.86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--4393.86</f>
        <v>4393.8599999999997</v>
      </c>
      <c r="E25" s="2"/>
      <c r="F25" s="19"/>
      <c r="G25" s="2"/>
      <c r="H25" s="2"/>
      <c r="I25" s="2"/>
      <c r="J25" s="19"/>
      <c r="K25" s="2"/>
      <c r="L25" s="2">
        <f t="shared" si="0"/>
        <v>4393.8599999999997</v>
      </c>
      <c r="M25" s="2"/>
      <c r="N25" s="19">
        <f t="shared" si="1"/>
        <v>0</v>
      </c>
      <c r="O25" s="11"/>
      <c r="P25" s="2">
        <f>--79868.06</f>
        <v>79868.06</v>
      </c>
      <c r="Q25" s="2"/>
      <c r="R25" s="19"/>
      <c r="S25" s="2"/>
      <c r="T25" s="2"/>
      <c r="U25" s="2"/>
      <c r="V25" s="19"/>
      <c r="W25" s="2"/>
      <c r="X25" s="2">
        <f t="shared" si="2"/>
        <v>79868.06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--8153.25</f>
        <v>8153.25</v>
      </c>
      <c r="E26" s="2"/>
      <c r="F26" s="19"/>
      <c r="G26" s="2"/>
      <c r="H26" s="2"/>
      <c r="I26" s="2"/>
      <c r="J26" s="19"/>
      <c r="K26" s="2"/>
      <c r="L26" s="2">
        <f t="shared" si="0"/>
        <v>8153.25</v>
      </c>
      <c r="M26" s="2"/>
      <c r="N26" s="19">
        <f t="shared" si="1"/>
        <v>0</v>
      </c>
      <c r="O26" s="11"/>
      <c r="P26" s="2">
        <f>--269846.58</f>
        <v>269846.58</v>
      </c>
      <c r="Q26" s="2"/>
      <c r="R26" s="19"/>
      <c r="S26" s="2"/>
      <c r="T26" s="2"/>
      <c r="U26" s="2"/>
      <c r="V26" s="19"/>
      <c r="W26" s="2"/>
      <c r="X26" s="2">
        <f t="shared" si="2"/>
        <v>269846.58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--17260.82</f>
        <v>17260.82</v>
      </c>
      <c r="E27" s="2"/>
      <c r="F27" s="19"/>
      <c r="G27" s="2"/>
      <c r="H27" s="2"/>
      <c r="I27" s="2"/>
      <c r="J27" s="19"/>
      <c r="K27" s="2"/>
      <c r="L27" s="2">
        <f t="shared" si="0"/>
        <v>17260.82</v>
      </c>
      <c r="M27" s="2"/>
      <c r="N27" s="19">
        <f t="shared" si="1"/>
        <v>0</v>
      </c>
      <c r="O27" s="11"/>
      <c r="P27" s="2">
        <f>--292597.05</f>
        <v>292597.05</v>
      </c>
      <c r="Q27" s="2"/>
      <c r="R27" s="19"/>
      <c r="S27" s="2"/>
      <c r="T27" s="2"/>
      <c r="U27" s="2"/>
      <c r="V27" s="19"/>
      <c r="W27" s="2"/>
      <c r="X27" s="2">
        <f t="shared" si="2"/>
        <v>292597.05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--44.3</f>
        <v>44.3</v>
      </c>
      <c r="E28" s="2"/>
      <c r="F28" s="19"/>
      <c r="G28" s="2"/>
      <c r="H28" s="2"/>
      <c r="I28" s="2"/>
      <c r="J28" s="19"/>
      <c r="K28" s="2"/>
      <c r="L28" s="2">
        <f t="shared" si="0"/>
        <v>44.3</v>
      </c>
      <c r="M28" s="2"/>
      <c r="N28" s="19">
        <f t="shared" si="1"/>
        <v>0</v>
      </c>
      <c r="O28" s="11"/>
      <c r="P28" s="2">
        <f>--486.34</f>
        <v>486.34</v>
      </c>
      <c r="Q28" s="2"/>
      <c r="R28" s="19"/>
      <c r="S28" s="2"/>
      <c r="T28" s="2"/>
      <c r="U28" s="2"/>
      <c r="V28" s="19"/>
      <c r="W28" s="2"/>
      <c r="X28" s="2">
        <f t="shared" si="2"/>
        <v>486.34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--19182.55</f>
        <v>19182.55</v>
      </c>
      <c r="E29" s="2"/>
      <c r="F29" s="19"/>
      <c r="G29" s="2"/>
      <c r="H29" s="2"/>
      <c r="I29" s="2"/>
      <c r="J29" s="19"/>
      <c r="K29" s="2"/>
      <c r="L29" s="2">
        <f t="shared" si="0"/>
        <v>19182.55</v>
      </c>
      <c r="M29" s="2"/>
      <c r="N29" s="19">
        <f t="shared" si="1"/>
        <v>0</v>
      </c>
      <c r="O29" s="11"/>
      <c r="P29" s="2">
        <f>--277653.17</f>
        <v>277653.17</v>
      </c>
      <c r="Q29" s="2"/>
      <c r="R29" s="19"/>
      <c r="S29" s="2"/>
      <c r="T29" s="2"/>
      <c r="U29" s="2"/>
      <c r="V29" s="19"/>
      <c r="W29" s="2"/>
      <c r="X29" s="2">
        <f t="shared" si="2"/>
        <v>277653.17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--25.55</f>
        <v>25.55</v>
      </c>
      <c r="E30" s="2"/>
      <c r="F30" s="19"/>
      <c r="G30" s="2"/>
      <c r="H30" s="2"/>
      <c r="I30" s="2"/>
      <c r="J30" s="19"/>
      <c r="K30" s="2"/>
      <c r="L30" s="2">
        <f t="shared" si="0"/>
        <v>25.55</v>
      </c>
      <c r="M30" s="2"/>
      <c r="N30" s="19">
        <f t="shared" si="1"/>
        <v>0</v>
      </c>
      <c r="O30" s="11"/>
      <c r="P30" s="2">
        <f>--205.53</f>
        <v>205.53</v>
      </c>
      <c r="Q30" s="2"/>
      <c r="R30" s="19"/>
      <c r="S30" s="2"/>
      <c r="T30" s="2"/>
      <c r="U30" s="2"/>
      <c r="V30" s="19"/>
      <c r="W30" s="2"/>
      <c r="X30" s="2">
        <f t="shared" si="2"/>
        <v>205.53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--758.61</f>
        <v>758.61</v>
      </c>
      <c r="E31" s="2"/>
      <c r="F31" s="19"/>
      <c r="G31" s="2"/>
      <c r="H31" s="2"/>
      <c r="I31" s="2"/>
      <c r="J31" s="19"/>
      <c r="K31" s="2"/>
      <c r="L31" s="2">
        <f t="shared" si="0"/>
        <v>758.61</v>
      </c>
      <c r="M31" s="2"/>
      <c r="N31" s="19">
        <f t="shared" si="1"/>
        <v>0</v>
      </c>
      <c r="O31" s="11"/>
      <c r="P31" s="2">
        <f>--10922.06</f>
        <v>10922.06</v>
      </c>
      <c r="Q31" s="2"/>
      <c r="R31" s="19"/>
      <c r="S31" s="2"/>
      <c r="T31" s="2"/>
      <c r="U31" s="2"/>
      <c r="V31" s="19"/>
      <c r="W31" s="2"/>
      <c r="X31" s="2">
        <f t="shared" si="2"/>
        <v>10922.06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--101.32</f>
        <v>101.32</v>
      </c>
      <c r="E32" s="2"/>
      <c r="F32" s="19"/>
      <c r="G32" s="2"/>
      <c r="H32" s="2"/>
      <c r="I32" s="2"/>
      <c r="J32" s="19"/>
      <c r="K32" s="2"/>
      <c r="L32" s="2">
        <f t="shared" si="0"/>
        <v>101.32</v>
      </c>
      <c r="M32" s="2"/>
      <c r="N32" s="19">
        <f t="shared" si="1"/>
        <v>0</v>
      </c>
      <c r="O32" s="11"/>
      <c r="P32" s="2">
        <f>--1981.84</f>
        <v>1981.84</v>
      </c>
      <c r="Q32" s="2"/>
      <c r="R32" s="19"/>
      <c r="S32" s="2"/>
      <c r="T32" s="2"/>
      <c r="U32" s="2"/>
      <c r="V32" s="19"/>
      <c r="W32" s="2"/>
      <c r="X32" s="2">
        <f t="shared" si="2"/>
        <v>1981.84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--24.8</f>
        <v>24.8</v>
      </c>
      <c r="E33" s="2"/>
      <c r="F33" s="19"/>
      <c r="G33" s="2"/>
      <c r="H33" s="2"/>
      <c r="I33" s="2"/>
      <c r="J33" s="19"/>
      <c r="K33" s="2"/>
      <c r="L33" s="2">
        <f t="shared" si="0"/>
        <v>24.8</v>
      </c>
      <c r="M33" s="2"/>
      <c r="N33" s="19">
        <f t="shared" si="1"/>
        <v>0</v>
      </c>
      <c r="O33" s="11"/>
      <c r="P33" s="2">
        <f>--513.51</f>
        <v>513.51</v>
      </c>
      <c r="Q33" s="2"/>
      <c r="R33" s="19"/>
      <c r="S33" s="2"/>
      <c r="T33" s="2"/>
      <c r="U33" s="2"/>
      <c r="V33" s="19"/>
      <c r="W33" s="2"/>
      <c r="X33" s="2">
        <f t="shared" si="2"/>
        <v>513.51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--93833.27</f>
        <v>93833.27</v>
      </c>
      <c r="E34" s="2"/>
      <c r="F34" s="19"/>
      <c r="G34" s="2"/>
      <c r="H34" s="2"/>
      <c r="I34" s="2"/>
      <c r="J34" s="19"/>
      <c r="K34" s="2"/>
      <c r="L34" s="2">
        <f t="shared" si="0"/>
        <v>93833.27</v>
      </c>
      <c r="M34" s="2"/>
      <c r="N34" s="19">
        <f t="shared" si="1"/>
        <v>0</v>
      </c>
      <c r="O34" s="11"/>
      <c r="P34" s="2">
        <f>--1776128.49</f>
        <v>1776128.49</v>
      </c>
      <c r="Q34" s="2"/>
      <c r="R34" s="19"/>
      <c r="S34" s="2"/>
      <c r="T34" s="2"/>
      <c r="U34" s="2"/>
      <c r="V34" s="19"/>
      <c r="W34" s="2"/>
      <c r="X34" s="2">
        <f t="shared" si="2"/>
        <v>1776128.49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--25196.53</f>
        <v>25196.53</v>
      </c>
      <c r="E35" s="2"/>
      <c r="F35" s="19"/>
      <c r="G35" s="2"/>
      <c r="H35" s="2"/>
      <c r="I35" s="2"/>
      <c r="J35" s="19"/>
      <c r="K35" s="2"/>
      <c r="L35" s="2">
        <f t="shared" si="0"/>
        <v>25196.53</v>
      </c>
      <c r="M35" s="2"/>
      <c r="N35" s="19">
        <f t="shared" si="1"/>
        <v>0</v>
      </c>
      <c r="O35" s="11"/>
      <c r="P35" s="2">
        <f>--467017.72</f>
        <v>467017.72</v>
      </c>
      <c r="Q35" s="2"/>
      <c r="R35" s="19"/>
      <c r="S35" s="2"/>
      <c r="T35" s="2"/>
      <c r="U35" s="2"/>
      <c r="V35" s="19"/>
      <c r="W35" s="2"/>
      <c r="X35" s="2">
        <f t="shared" si="2"/>
        <v>467017.72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--18014.27</f>
        <v>18014.27</v>
      </c>
      <c r="E36" s="2"/>
      <c r="F36" s="19"/>
      <c r="G36" s="2"/>
      <c r="H36" s="2"/>
      <c r="I36" s="2"/>
      <c r="J36" s="19"/>
      <c r="K36" s="2"/>
      <c r="L36" s="2">
        <f t="shared" si="0"/>
        <v>18014.27</v>
      </c>
      <c r="M36" s="2"/>
      <c r="N36" s="19">
        <f t="shared" si="1"/>
        <v>0</v>
      </c>
      <c r="O36" s="11"/>
      <c r="P36" s="2">
        <f>--277580.41</f>
        <v>277580.40999999997</v>
      </c>
      <c r="Q36" s="2"/>
      <c r="R36" s="19"/>
      <c r="S36" s="2"/>
      <c r="T36" s="2"/>
      <c r="U36" s="2"/>
      <c r="V36" s="19"/>
      <c r="W36" s="2"/>
      <c r="X36" s="2">
        <f t="shared" si="2"/>
        <v>277580.40999999997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--666.52</f>
        <v>666.52</v>
      </c>
      <c r="E37" s="2"/>
      <c r="F37" s="19"/>
      <c r="G37" s="2"/>
      <c r="H37" s="2"/>
      <c r="I37" s="2"/>
      <c r="J37" s="19"/>
      <c r="K37" s="2"/>
      <c r="L37" s="2">
        <f t="shared" si="0"/>
        <v>666.52</v>
      </c>
      <c r="M37" s="2"/>
      <c r="N37" s="19">
        <f t="shared" si="1"/>
        <v>0</v>
      </c>
      <c r="O37" s="11"/>
      <c r="P37" s="2">
        <f>--76568.23</f>
        <v>76568.23</v>
      </c>
      <c r="Q37" s="2"/>
      <c r="R37" s="19"/>
      <c r="S37" s="2"/>
      <c r="T37" s="2"/>
      <c r="U37" s="2"/>
      <c r="V37" s="19"/>
      <c r="W37" s="2"/>
      <c r="X37" s="2">
        <f t="shared" si="2"/>
        <v>76568.23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--3732.24</f>
        <v>3732.24</v>
      </c>
      <c r="E38" s="2"/>
      <c r="F38" s="19"/>
      <c r="G38" s="2"/>
      <c r="H38" s="2"/>
      <c r="I38" s="2"/>
      <c r="J38" s="19"/>
      <c r="K38" s="2"/>
      <c r="L38" s="2">
        <f t="shared" si="0"/>
        <v>3732.24</v>
      </c>
      <c r="M38" s="2"/>
      <c r="N38" s="19">
        <f t="shared" si="1"/>
        <v>0</v>
      </c>
      <c r="O38" s="11"/>
      <c r="P38" s="2">
        <f>--66666.73</f>
        <v>66666.73</v>
      </c>
      <c r="Q38" s="2"/>
      <c r="R38" s="19"/>
      <c r="S38" s="2"/>
      <c r="T38" s="2"/>
      <c r="U38" s="2"/>
      <c r="V38" s="19"/>
      <c r="W38" s="2"/>
      <c r="X38" s="2">
        <f t="shared" si="2"/>
        <v>66666.73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--3847.78</f>
        <v>3847.78</v>
      </c>
      <c r="E39" s="2"/>
      <c r="F39" s="19"/>
      <c r="G39" s="2"/>
      <c r="H39" s="2"/>
      <c r="I39" s="2"/>
      <c r="J39" s="19"/>
      <c r="K39" s="2"/>
      <c r="L39" s="2">
        <f t="shared" si="0"/>
        <v>3847.78</v>
      </c>
      <c r="M39" s="2"/>
      <c r="N39" s="19">
        <f t="shared" si="1"/>
        <v>0</v>
      </c>
      <c r="O39" s="11"/>
      <c r="P39" s="2">
        <f>--74400.82</f>
        <v>74400.820000000007</v>
      </c>
      <c r="Q39" s="2"/>
      <c r="R39" s="19"/>
      <c r="S39" s="2"/>
      <c r="T39" s="2"/>
      <c r="U39" s="2"/>
      <c r="V39" s="19"/>
      <c r="W39" s="2"/>
      <c r="X39" s="2">
        <f t="shared" si="2"/>
        <v>74400.820000000007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--490.15</f>
        <v>490.15</v>
      </c>
      <c r="E40" s="2"/>
      <c r="F40" s="19"/>
      <c r="G40" s="2"/>
      <c r="H40" s="2"/>
      <c r="I40" s="2"/>
      <c r="J40" s="19"/>
      <c r="K40" s="2"/>
      <c r="L40" s="2">
        <f t="shared" si="0"/>
        <v>490.15</v>
      </c>
      <c r="M40" s="2"/>
      <c r="N40" s="19">
        <f t="shared" si="1"/>
        <v>0</v>
      </c>
      <c r="O40" s="11"/>
      <c r="P40" s="2">
        <f>--2676.14</f>
        <v>2676.14</v>
      </c>
      <c r="Q40" s="2"/>
      <c r="R40" s="19"/>
      <c r="S40" s="2"/>
      <c r="T40" s="2"/>
      <c r="U40" s="2"/>
      <c r="V40" s="19"/>
      <c r="W40" s="2"/>
      <c r="X40" s="2">
        <f t="shared" si="2"/>
        <v>2676.14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>--8490.18</f>
        <v>8490.18</v>
      </c>
      <c r="E41" s="2"/>
      <c r="F41" s="19"/>
      <c r="G41" s="2"/>
      <c r="H41" s="2"/>
      <c r="I41" s="2"/>
      <c r="J41" s="19"/>
      <c r="K41" s="2"/>
      <c r="L41" s="2">
        <f t="shared" si="0"/>
        <v>8490.18</v>
      </c>
      <c r="M41" s="2"/>
      <c r="N41" s="19">
        <f t="shared" si="1"/>
        <v>0</v>
      </c>
      <c r="O41" s="11"/>
      <c r="P41" s="2">
        <f>--149404.53</f>
        <v>149404.53</v>
      </c>
      <c r="Q41" s="2"/>
      <c r="R41" s="19"/>
      <c r="S41" s="2"/>
      <c r="T41" s="2"/>
      <c r="U41" s="2"/>
      <c r="V41" s="19"/>
      <c r="W41" s="2"/>
      <c r="X41" s="2">
        <f t="shared" si="2"/>
        <v>149404.53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"4081", " - ", "TAXABLE SALES-ELECTRONICS")</f>
        <v xml:space="preserve">          4081 - TAXABLE SALES-ELECTRONICS</v>
      </c>
      <c r="C42" s="11"/>
      <c r="D42" s="2">
        <f>--64.95</f>
        <v>64.95</v>
      </c>
      <c r="E42" s="2"/>
      <c r="F42" s="19"/>
      <c r="G42" s="2"/>
      <c r="H42" s="2"/>
      <c r="I42" s="2"/>
      <c r="J42" s="19"/>
      <c r="K42" s="2"/>
      <c r="L42" s="2">
        <f t="shared" si="0"/>
        <v>64.95</v>
      </c>
      <c r="M42" s="2"/>
      <c r="N42" s="19">
        <f t="shared" si="1"/>
        <v>0</v>
      </c>
      <c r="O42" s="11"/>
      <c r="P42" s="2">
        <f>--3174.93</f>
        <v>3174.93</v>
      </c>
      <c r="Q42" s="2"/>
      <c r="R42" s="19"/>
      <c r="S42" s="2"/>
      <c r="T42" s="2"/>
      <c r="U42" s="2"/>
      <c r="V42" s="19"/>
      <c r="W42" s="2"/>
      <c r="X42" s="2">
        <f t="shared" si="2"/>
        <v>3174.93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"4082", " - ", "TAXABLE SALES-COMPUTER HARDWAR")</f>
        <v xml:space="preserve">          4082 - TAXABLE SALES-COMPUTER HARDWAR</v>
      </c>
      <c r="C43" s="11"/>
      <c r="D43" s="2">
        <f>--67.96</f>
        <v>67.959999999999994</v>
      </c>
      <c r="E43" s="2"/>
      <c r="F43" s="19"/>
      <c r="G43" s="2"/>
      <c r="H43" s="2"/>
      <c r="I43" s="2"/>
      <c r="J43" s="19"/>
      <c r="K43" s="2"/>
      <c r="L43" s="2">
        <f t="shared" si="0"/>
        <v>67.959999999999994</v>
      </c>
      <c r="M43" s="2"/>
      <c r="N43" s="19">
        <f t="shared" si="1"/>
        <v>0</v>
      </c>
      <c r="O43" s="11"/>
      <c r="P43" s="2">
        <f>--363.94</f>
        <v>363.94</v>
      </c>
      <c r="Q43" s="2"/>
      <c r="R43" s="19"/>
      <c r="S43" s="2"/>
      <c r="T43" s="2"/>
      <c r="U43" s="2"/>
      <c r="V43" s="19"/>
      <c r="W43" s="2"/>
      <c r="X43" s="2">
        <f t="shared" si="2"/>
        <v>363.94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"4083", " - ", "TAXABLE SALES-COMPUTER EQUIPME")</f>
        <v xml:space="preserve">          4083 - TAXABLE SALES-COMPUTER EQUIPME</v>
      </c>
      <c r="C44" s="11"/>
      <c r="D44" s="2">
        <f>--29.97</f>
        <v>29.97</v>
      </c>
      <c r="E44" s="2"/>
      <c r="F44" s="19"/>
      <c r="G44" s="2"/>
      <c r="H44" s="2"/>
      <c r="I44" s="2"/>
      <c r="J44" s="19"/>
      <c r="K44" s="2"/>
      <c r="L44" s="2">
        <f t="shared" si="0"/>
        <v>29.97</v>
      </c>
      <c r="M44" s="2"/>
      <c r="N44" s="19">
        <f t="shared" si="1"/>
        <v>0</v>
      </c>
      <c r="O44" s="11"/>
      <c r="P44" s="2">
        <f>--914.33</f>
        <v>914.33</v>
      </c>
      <c r="Q44" s="2"/>
      <c r="R44" s="19"/>
      <c r="S44" s="2"/>
      <c r="T44" s="2"/>
      <c r="U44" s="2"/>
      <c r="V44" s="19"/>
      <c r="W44" s="2"/>
      <c r="X44" s="2">
        <f t="shared" si="2"/>
        <v>914.33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"4086", " - ", "TAXABLE SALES-COMPUTER SUPPLIE")</f>
        <v xml:space="preserve">          4086 - TAXABLE SALES-COMPUTER SUPPLIE</v>
      </c>
      <c r="C45" s="11"/>
      <c r="D45" s="2">
        <f>--9</f>
        <v>9</v>
      </c>
      <c r="E45" s="2"/>
      <c r="F45" s="19"/>
      <c r="G45" s="2"/>
      <c r="H45" s="2"/>
      <c r="I45" s="2"/>
      <c r="J45" s="19"/>
      <c r="K45" s="2"/>
      <c r="L45" s="2">
        <f t="shared" si="0"/>
        <v>9</v>
      </c>
      <c r="M45" s="2"/>
      <c r="N45" s="19">
        <f t="shared" si="1"/>
        <v>0</v>
      </c>
      <c r="O45" s="11"/>
      <c r="P45" s="2">
        <f>--813.74</f>
        <v>813.74</v>
      </c>
      <c r="Q45" s="2"/>
      <c r="R45" s="19"/>
      <c r="S45" s="2"/>
      <c r="T45" s="2"/>
      <c r="U45" s="2"/>
      <c r="V45" s="19"/>
      <c r="W45" s="2"/>
      <c r="X45" s="2">
        <f t="shared" si="2"/>
        <v>813.74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"4092", " - ", "TAXABLE SALES-GRAD MERCH")</f>
        <v xml:space="preserve">          4092 - TAXABLE SALES-GRAD MERCH</v>
      </c>
      <c r="C46" s="11"/>
      <c r="D46" s="2">
        <f>--10952.9</f>
        <v>10952.9</v>
      </c>
      <c r="E46" s="2"/>
      <c r="F46" s="19"/>
      <c r="G46" s="2"/>
      <c r="H46" s="2"/>
      <c r="I46" s="2"/>
      <c r="J46" s="19"/>
      <c r="K46" s="2"/>
      <c r="L46" s="2">
        <f t="shared" si="0"/>
        <v>10952.9</v>
      </c>
      <c r="M46" s="2"/>
      <c r="N46" s="19">
        <f t="shared" si="1"/>
        <v>0</v>
      </c>
      <c r="O46" s="11"/>
      <c r="P46" s="2">
        <f>--18612.27</f>
        <v>18612.27</v>
      </c>
      <c r="Q46" s="2"/>
      <c r="R46" s="19"/>
      <c r="S46" s="2"/>
      <c r="T46" s="2"/>
      <c r="U46" s="2"/>
      <c r="V46" s="19"/>
      <c r="W46" s="2"/>
      <c r="X46" s="2">
        <f t="shared" si="2"/>
        <v>18612.27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"4095", " - ", "TAXABLE SALES-CUSTOMER SERVICE")</f>
        <v xml:space="preserve">          4095 - TAXABLE SALES-CUSTOMER SERVICE</v>
      </c>
      <c r="C47" s="11"/>
      <c r="D47" s="2">
        <f>0</f>
        <v>0</v>
      </c>
      <c r="E47" s="2"/>
      <c r="F47" s="19"/>
      <c r="G47" s="2"/>
      <c r="H47" s="2"/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--309.26</f>
        <v>309.26</v>
      </c>
      <c r="Q47" s="2"/>
      <c r="R47" s="19"/>
      <c r="S47" s="2"/>
      <c r="T47" s="2"/>
      <c r="U47" s="2"/>
      <c r="V47" s="19"/>
      <c r="W47" s="2"/>
      <c r="X47" s="2">
        <f t="shared" si="2"/>
        <v>309.26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"4100", " - ", "NON-TAXABLE SALES")</f>
        <v xml:space="preserve">          4100 - NON-TAXABLE SALES</v>
      </c>
      <c r="C48" s="11"/>
      <c r="D48" s="2">
        <f>--1572.53</f>
        <v>1572.53</v>
      </c>
      <c r="E48" s="2"/>
      <c r="F48" s="19"/>
      <c r="G48" s="2"/>
      <c r="H48" s="2">
        <v>578443</v>
      </c>
      <c r="I48" s="2"/>
      <c r="J48" s="19"/>
      <c r="K48" s="2"/>
      <c r="L48" s="2">
        <f t="shared" si="0"/>
        <v>-576870.47</v>
      </c>
      <c r="M48" s="2"/>
      <c r="N48" s="19">
        <f t="shared" si="1"/>
        <v>-0.99728144346115344</v>
      </c>
      <c r="O48" s="11"/>
      <c r="P48" s="2">
        <f>--574312.65</f>
        <v>574312.65</v>
      </c>
      <c r="Q48" s="2"/>
      <c r="R48" s="19"/>
      <c r="S48" s="2"/>
      <c r="T48" s="2">
        <v>7758341</v>
      </c>
      <c r="U48" s="2"/>
      <c r="V48" s="19"/>
      <c r="W48" s="2"/>
      <c r="X48" s="2">
        <f t="shared" si="2"/>
        <v>-7184028.3499999996</v>
      </c>
      <c r="Y48" s="2"/>
      <c r="Z48" s="19">
        <f t="shared" si="3"/>
        <v>-0.9259748121408945</v>
      </c>
    </row>
    <row r="49" spans="1:26" s="24" customFormat="1" hidden="1" outlineLevel="1" x14ac:dyDescent="0.25">
      <c r="A49" s="44"/>
      <c r="B49" s="11" t="str">
        <f>CONCATENATE("          ", "4101", " - ", "NON-TAXABLE SALES-NEW TEXT")</f>
        <v xml:space="preserve">          4101 - NON-TAXABLE SALES-NEW TEXT</v>
      </c>
      <c r="C49" s="11"/>
      <c r="D49" s="2">
        <f>--2453.65</f>
        <v>2453.65</v>
      </c>
      <c r="E49" s="2"/>
      <c r="F49" s="19"/>
      <c r="G49" s="2"/>
      <c r="H49" s="2"/>
      <c r="I49" s="2"/>
      <c r="J49" s="19"/>
      <c r="K49" s="2"/>
      <c r="L49" s="2">
        <f t="shared" si="0"/>
        <v>2453.65</v>
      </c>
      <c r="M49" s="2"/>
      <c r="N49" s="19">
        <f t="shared" si="1"/>
        <v>0</v>
      </c>
      <c r="O49" s="11"/>
      <c r="P49" s="2">
        <f>--142191.42</f>
        <v>142191.42000000001</v>
      </c>
      <c r="Q49" s="2"/>
      <c r="R49" s="19"/>
      <c r="S49" s="2"/>
      <c r="T49" s="2"/>
      <c r="U49" s="2"/>
      <c r="V49" s="19"/>
      <c r="W49" s="2"/>
      <c r="X49" s="2">
        <f t="shared" si="2"/>
        <v>142191.42000000001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"4102", " - ", "NON-TAXABLE SALES-USED TEXT")</f>
        <v xml:space="preserve">          4102 - NON-TAXABLE SALES-USED TEXT</v>
      </c>
      <c r="C50" s="11"/>
      <c r="D50" s="2">
        <f>--388.84</f>
        <v>388.84</v>
      </c>
      <c r="E50" s="2"/>
      <c r="F50" s="19"/>
      <c r="G50" s="2"/>
      <c r="H50" s="2"/>
      <c r="I50" s="2"/>
      <c r="J50" s="19"/>
      <c r="K50" s="2"/>
      <c r="L50" s="2">
        <f t="shared" si="0"/>
        <v>388.84</v>
      </c>
      <c r="M50" s="2"/>
      <c r="N50" s="19">
        <f t="shared" si="1"/>
        <v>0</v>
      </c>
      <c r="O50" s="11"/>
      <c r="P50" s="2">
        <f>--68855.7</f>
        <v>68855.7</v>
      </c>
      <c r="Q50" s="2"/>
      <c r="R50" s="19"/>
      <c r="S50" s="2"/>
      <c r="T50" s="2"/>
      <c r="U50" s="2"/>
      <c r="V50" s="19"/>
      <c r="W50" s="2"/>
      <c r="X50" s="2">
        <f t="shared" si="2"/>
        <v>68855.7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"4103", " - ", "NON-TAXABLE SALES-RENTAL TEXT")</f>
        <v xml:space="preserve">          4103 - NON-TAXABLE SALES-RENTAL TEXT</v>
      </c>
      <c r="C51" s="11"/>
      <c r="D51" s="2">
        <f>0</f>
        <v>0</v>
      </c>
      <c r="E51" s="2"/>
      <c r="F51" s="19"/>
      <c r="G51" s="2"/>
      <c r="H51" s="2"/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--664.97</f>
        <v>664.97</v>
      </c>
      <c r="Q51" s="2"/>
      <c r="R51" s="19"/>
      <c r="S51" s="2"/>
      <c r="T51" s="2"/>
      <c r="U51" s="2"/>
      <c r="V51" s="19"/>
      <c r="W51" s="2"/>
      <c r="X51" s="2">
        <f t="shared" si="2"/>
        <v>664.97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"4104", " - ", "NON-TAXABLE SALES-DIGITAL TEXT")</f>
        <v xml:space="preserve">          4104 - NON-TAXABLE SALES-DIGITAL TEXT</v>
      </c>
      <c r="C52" s="11"/>
      <c r="D52" s="2">
        <f>--961.31</f>
        <v>961.31</v>
      </c>
      <c r="E52" s="2"/>
      <c r="F52" s="19"/>
      <c r="G52" s="2"/>
      <c r="H52" s="2"/>
      <c r="I52" s="2"/>
      <c r="J52" s="19"/>
      <c r="K52" s="2"/>
      <c r="L52" s="2">
        <f t="shared" si="0"/>
        <v>961.31</v>
      </c>
      <c r="M52" s="2"/>
      <c r="N52" s="19">
        <f t="shared" si="1"/>
        <v>0</v>
      </c>
      <c r="O52" s="11"/>
      <c r="P52" s="2">
        <f>--524351.65</f>
        <v>524351.65</v>
      </c>
      <c r="Q52" s="2"/>
      <c r="R52" s="19"/>
      <c r="S52" s="2"/>
      <c r="T52" s="2"/>
      <c r="U52" s="2"/>
      <c r="V52" s="19"/>
      <c r="W52" s="2"/>
      <c r="X52" s="2">
        <f t="shared" si="2"/>
        <v>524351.65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"4111", " - ", "NON-TAXABLE SALES-NO VALUE TEX")</f>
        <v xml:space="preserve">          4111 - NON-TAXABLE SALES-NO VALUE TEX</v>
      </c>
      <c r="C53" s="11"/>
      <c r="D53" s="2">
        <f>--369.34</f>
        <v>369.34</v>
      </c>
      <c r="E53" s="2"/>
      <c r="F53" s="19"/>
      <c r="G53" s="2"/>
      <c r="H53" s="2"/>
      <c r="I53" s="2"/>
      <c r="J53" s="19"/>
      <c r="K53" s="2"/>
      <c r="L53" s="2">
        <f t="shared" si="0"/>
        <v>369.34</v>
      </c>
      <c r="M53" s="2"/>
      <c r="N53" s="19">
        <f t="shared" si="1"/>
        <v>0</v>
      </c>
      <c r="O53" s="11"/>
      <c r="P53" s="2">
        <f>--14729.33</f>
        <v>14729.33</v>
      </c>
      <c r="Q53" s="2"/>
      <c r="R53" s="19"/>
      <c r="S53" s="2"/>
      <c r="T53" s="2"/>
      <c r="U53" s="2"/>
      <c r="V53" s="19"/>
      <c r="W53" s="2"/>
      <c r="X53" s="2">
        <f t="shared" si="2"/>
        <v>14729.33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"4113", " - ", "NON-TAXABLE SALES-TRADE BOOKS")</f>
        <v xml:space="preserve">          4113 - NON-TAXABLE SALES-TRADE BOOKS</v>
      </c>
      <c r="C54" s="11"/>
      <c r="D54" s="2">
        <f>--2440</f>
        <v>2440</v>
      </c>
      <c r="E54" s="2"/>
      <c r="F54" s="19"/>
      <c r="G54" s="2"/>
      <c r="H54" s="2"/>
      <c r="I54" s="2"/>
      <c r="J54" s="19"/>
      <c r="K54" s="2"/>
      <c r="L54" s="2">
        <f t="shared" si="0"/>
        <v>2440</v>
      </c>
      <c r="M54" s="2"/>
      <c r="N54" s="19">
        <f t="shared" si="1"/>
        <v>0</v>
      </c>
      <c r="O54" s="11"/>
      <c r="P54" s="2">
        <f>--5801.92</f>
        <v>5801.92</v>
      </c>
      <c r="Q54" s="2"/>
      <c r="R54" s="19"/>
      <c r="S54" s="2"/>
      <c r="T54" s="2"/>
      <c r="U54" s="2"/>
      <c r="V54" s="19"/>
      <c r="W54" s="2"/>
      <c r="X54" s="2">
        <f t="shared" si="2"/>
        <v>5801.92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"4118", " - ", "NON-TAXABLE SALES-STUDY GUIDES")</f>
        <v xml:space="preserve">          4118 - NON-TAXABLE SALES-STUDY GUIDES</v>
      </c>
      <c r="C55" s="11"/>
      <c r="D55" s="2">
        <f>--7.02</f>
        <v>7.02</v>
      </c>
      <c r="E55" s="2"/>
      <c r="F55" s="19"/>
      <c r="G55" s="2"/>
      <c r="H55" s="2"/>
      <c r="I55" s="2"/>
      <c r="J55" s="19"/>
      <c r="K55" s="2"/>
      <c r="L55" s="2">
        <f t="shared" si="0"/>
        <v>7.02</v>
      </c>
      <c r="M55" s="2"/>
      <c r="N55" s="19">
        <f t="shared" si="1"/>
        <v>0</v>
      </c>
      <c r="O55" s="11"/>
      <c r="P55" s="2">
        <f>--68.92</f>
        <v>68.92</v>
      </c>
      <c r="Q55" s="2"/>
      <c r="R55" s="19"/>
      <c r="S55" s="2"/>
      <c r="T55" s="2"/>
      <c r="U55" s="2"/>
      <c r="V55" s="19"/>
      <c r="W55" s="2"/>
      <c r="X55" s="2">
        <f t="shared" si="2"/>
        <v>68.92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"4125", " - ", "NON-TAXABLE SALES-TEST FORMS")</f>
        <v xml:space="preserve">          4125 - NON-TAXABLE SALES-TEST FORMS</v>
      </c>
      <c r="C56" s="11"/>
      <c r="D56" s="2">
        <f>--4.54</f>
        <v>4.54</v>
      </c>
      <c r="E56" s="2"/>
      <c r="F56" s="19"/>
      <c r="G56" s="2"/>
      <c r="H56" s="2"/>
      <c r="I56" s="2"/>
      <c r="J56" s="19"/>
      <c r="K56" s="2"/>
      <c r="L56" s="2">
        <f t="shared" si="0"/>
        <v>4.54</v>
      </c>
      <c r="M56" s="2"/>
      <c r="N56" s="19">
        <f t="shared" si="1"/>
        <v>0</v>
      </c>
      <c r="O56" s="11"/>
      <c r="P56" s="2">
        <f>--267.61</f>
        <v>267.61</v>
      </c>
      <c r="Q56" s="2"/>
      <c r="R56" s="19"/>
      <c r="S56" s="2"/>
      <c r="T56" s="2"/>
      <c r="U56" s="2"/>
      <c r="V56" s="19"/>
      <c r="W56" s="2"/>
      <c r="X56" s="2">
        <f t="shared" si="2"/>
        <v>267.61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"4126", " - ", "NON-TAXABLE SALES-WRITING INST")</f>
        <v xml:space="preserve">          4126 - NON-TAXABLE SALES-WRITING INST</v>
      </c>
      <c r="C57" s="11"/>
      <c r="D57" s="2">
        <f>--110.71</f>
        <v>110.71</v>
      </c>
      <c r="E57" s="2"/>
      <c r="F57" s="19"/>
      <c r="G57" s="2"/>
      <c r="H57" s="2"/>
      <c r="I57" s="2"/>
      <c r="J57" s="19"/>
      <c r="K57" s="2"/>
      <c r="L57" s="2">
        <f t="shared" si="0"/>
        <v>110.71</v>
      </c>
      <c r="M57" s="2"/>
      <c r="N57" s="19">
        <f t="shared" si="1"/>
        <v>0</v>
      </c>
      <c r="O57" s="11"/>
      <c r="P57" s="2">
        <f>--3017.29</f>
        <v>3017.29</v>
      </c>
      <c r="Q57" s="2"/>
      <c r="R57" s="19"/>
      <c r="S57" s="2"/>
      <c r="T57" s="2"/>
      <c r="U57" s="2"/>
      <c r="V57" s="19"/>
      <c r="W57" s="2"/>
      <c r="X57" s="2">
        <f t="shared" si="2"/>
        <v>3017.29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"4127", " - ", "NON-TAXABLE SALES-SCHOOL SUPPL")</f>
        <v xml:space="preserve">          4127 - NON-TAXABLE SALES-SCHOOL SUPPL</v>
      </c>
      <c r="C58" s="11"/>
      <c r="D58" s="2">
        <f>--53.81</f>
        <v>53.81</v>
      </c>
      <c r="E58" s="2"/>
      <c r="F58" s="19"/>
      <c r="G58" s="2"/>
      <c r="H58" s="2"/>
      <c r="I58" s="2"/>
      <c r="J58" s="19"/>
      <c r="K58" s="2"/>
      <c r="L58" s="2">
        <f t="shared" si="0"/>
        <v>53.81</v>
      </c>
      <c r="M58" s="2"/>
      <c r="N58" s="19">
        <f t="shared" si="1"/>
        <v>0</v>
      </c>
      <c r="O58" s="11"/>
      <c r="P58" s="2">
        <f>--4716.22</f>
        <v>4716.22</v>
      </c>
      <c r="Q58" s="2"/>
      <c r="R58" s="19"/>
      <c r="S58" s="2"/>
      <c r="T58" s="2"/>
      <c r="U58" s="2"/>
      <c r="V58" s="19"/>
      <c r="W58" s="2"/>
      <c r="X58" s="2">
        <f t="shared" si="2"/>
        <v>4716.22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"4128", " - ", "NON-TAXABLE SALES-ART/TECH")</f>
        <v xml:space="preserve">          4128 - NON-TAXABLE SALES-ART/TECH</v>
      </c>
      <c r="C59" s="11"/>
      <c r="D59" s="2">
        <f>--52.12</f>
        <v>52.12</v>
      </c>
      <c r="E59" s="2"/>
      <c r="F59" s="19"/>
      <c r="G59" s="2"/>
      <c r="H59" s="2"/>
      <c r="I59" s="2"/>
      <c r="J59" s="19"/>
      <c r="K59" s="2"/>
      <c r="L59" s="2">
        <f t="shared" si="0"/>
        <v>52.12</v>
      </c>
      <c r="M59" s="2"/>
      <c r="N59" s="19">
        <f t="shared" si="1"/>
        <v>0</v>
      </c>
      <c r="O59" s="11"/>
      <c r="P59" s="2">
        <f>--730.62</f>
        <v>730.62</v>
      </c>
      <c r="Q59" s="2"/>
      <c r="R59" s="19"/>
      <c r="S59" s="2"/>
      <c r="T59" s="2"/>
      <c r="U59" s="2"/>
      <c r="V59" s="19"/>
      <c r="W59" s="2"/>
      <c r="X59" s="2">
        <f t="shared" si="2"/>
        <v>730.62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"4131", " - ", "NON-TAXABLE SALES-FOOD")</f>
        <v xml:space="preserve">          4131 - NON-TAXABLE SALES-FOOD</v>
      </c>
      <c r="C60" s="11"/>
      <c r="D60" s="2">
        <f>--4482.02</f>
        <v>4482.0200000000004</v>
      </c>
      <c r="E60" s="2"/>
      <c r="F60" s="19"/>
      <c r="G60" s="2"/>
      <c r="H60" s="2"/>
      <c r="I60" s="2"/>
      <c r="J60" s="19"/>
      <c r="K60" s="2"/>
      <c r="L60" s="2">
        <f t="shared" si="0"/>
        <v>4482.0200000000004</v>
      </c>
      <c r="M60" s="2"/>
      <c r="N60" s="19">
        <f t="shared" si="1"/>
        <v>0</v>
      </c>
      <c r="O60" s="11"/>
      <c r="P60" s="2">
        <f>--57883.57</f>
        <v>57883.57</v>
      </c>
      <c r="Q60" s="2"/>
      <c r="R60" s="19"/>
      <c r="S60" s="2"/>
      <c r="T60" s="2"/>
      <c r="U60" s="2"/>
      <c r="V60" s="19"/>
      <c r="W60" s="2"/>
      <c r="X60" s="2">
        <f t="shared" si="2"/>
        <v>57883.57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"4132", " - ", "NON-TAXABLE SALES-JUICE")</f>
        <v xml:space="preserve">          4132 - NON-TAXABLE SALES-JUICE</v>
      </c>
      <c r="C61" s="11"/>
      <c r="D61" s="2">
        <f>--79319.9</f>
        <v>79319.899999999994</v>
      </c>
      <c r="E61" s="2"/>
      <c r="F61" s="19"/>
      <c r="G61" s="2"/>
      <c r="H61" s="2"/>
      <c r="I61" s="2"/>
      <c r="J61" s="19"/>
      <c r="K61" s="2"/>
      <c r="L61" s="2">
        <f t="shared" si="0"/>
        <v>79319.899999999994</v>
      </c>
      <c r="M61" s="2"/>
      <c r="N61" s="19">
        <f t="shared" si="1"/>
        <v>0</v>
      </c>
      <c r="O61" s="11"/>
      <c r="P61" s="2">
        <f>--1109977.73</f>
        <v>1109977.73</v>
      </c>
      <c r="Q61" s="2"/>
      <c r="R61" s="19"/>
      <c r="S61" s="2"/>
      <c r="T61" s="2"/>
      <c r="U61" s="2"/>
      <c r="V61" s="19"/>
      <c r="W61" s="2"/>
      <c r="X61" s="2">
        <f t="shared" si="2"/>
        <v>1109977.73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"4133", " - ", "NON-TAXABLE SALES-CANDY")</f>
        <v xml:space="preserve">          4133 - NON-TAXABLE SALES-CANDY</v>
      </c>
      <c r="C62" s="11"/>
      <c r="D62" s="2">
        <f>--1261.31</f>
        <v>1261.31</v>
      </c>
      <c r="E62" s="2"/>
      <c r="F62" s="19"/>
      <c r="G62" s="2"/>
      <c r="H62" s="2"/>
      <c r="I62" s="2"/>
      <c r="J62" s="19"/>
      <c r="K62" s="2"/>
      <c r="L62" s="2">
        <f t="shared" si="0"/>
        <v>1261.31</v>
      </c>
      <c r="M62" s="2"/>
      <c r="N62" s="19">
        <f t="shared" si="1"/>
        <v>0</v>
      </c>
      <c r="O62" s="11"/>
      <c r="P62" s="2">
        <f>--18085.88</f>
        <v>18085.88</v>
      </c>
      <c r="Q62" s="2"/>
      <c r="R62" s="19"/>
      <c r="S62" s="2"/>
      <c r="T62" s="2"/>
      <c r="U62" s="2"/>
      <c r="V62" s="19"/>
      <c r="W62" s="2"/>
      <c r="X62" s="2">
        <f t="shared" si="2"/>
        <v>18085.88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"4134", " - ", "NON-TAXABLE SALES-SODA")</f>
        <v xml:space="preserve">          4134 - NON-TAXABLE SALES-SODA</v>
      </c>
      <c r="C63" s="11"/>
      <c r="D63" s="2">
        <f>--26.93</f>
        <v>26.93</v>
      </c>
      <c r="E63" s="2"/>
      <c r="F63" s="19"/>
      <c r="G63" s="2"/>
      <c r="H63" s="2"/>
      <c r="I63" s="2"/>
      <c r="J63" s="19"/>
      <c r="K63" s="2"/>
      <c r="L63" s="2">
        <f t="shared" si="0"/>
        <v>26.93</v>
      </c>
      <c r="M63" s="2"/>
      <c r="N63" s="19">
        <f t="shared" si="1"/>
        <v>0</v>
      </c>
      <c r="O63" s="11"/>
      <c r="P63" s="2">
        <f>--37.23</f>
        <v>37.229999999999997</v>
      </c>
      <c r="Q63" s="2"/>
      <c r="R63" s="19"/>
      <c r="S63" s="2"/>
      <c r="T63" s="2"/>
      <c r="U63" s="2"/>
      <c r="V63" s="19"/>
      <c r="W63" s="2"/>
      <c r="X63" s="2">
        <f t="shared" si="2"/>
        <v>37.229999999999997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"4135", " - ", "NON-TAXABLE SALES")</f>
        <v xml:space="preserve">          4135 - NON-TAXABLE SALES</v>
      </c>
      <c r="C64" s="11"/>
      <c r="D64" s="2">
        <f>0</f>
        <v>0</v>
      </c>
      <c r="E64" s="2"/>
      <c r="F64" s="19"/>
      <c r="G64" s="2"/>
      <c r="H64" s="2"/>
      <c r="I64" s="2"/>
      <c r="J64" s="19"/>
      <c r="K64" s="2"/>
      <c r="L64" s="2">
        <f t="shared" si="0"/>
        <v>0</v>
      </c>
      <c r="M64" s="2"/>
      <c r="N64" s="19">
        <f t="shared" si="1"/>
        <v>0</v>
      </c>
      <c r="O64" s="11"/>
      <c r="P64" s="2">
        <f>--161.4</f>
        <v>161.4</v>
      </c>
      <c r="Q64" s="2"/>
      <c r="R64" s="19"/>
      <c r="S64" s="2"/>
      <c r="T64" s="2"/>
      <c r="U64" s="2"/>
      <c r="V64" s="19"/>
      <c r="W64" s="2"/>
      <c r="X64" s="2">
        <f t="shared" si="2"/>
        <v>161.4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"4137", " - ", "NON-TAXABLE SALES-WATER")</f>
        <v xml:space="preserve">          4137 - NON-TAXABLE SALES-WATER</v>
      </c>
      <c r="C65" s="11"/>
      <c r="D65" s="2">
        <f>--727.4</f>
        <v>727.4</v>
      </c>
      <c r="E65" s="2"/>
      <c r="F65" s="19"/>
      <c r="G65" s="2"/>
      <c r="H65" s="2"/>
      <c r="I65" s="2"/>
      <c r="J65" s="19"/>
      <c r="K65" s="2"/>
      <c r="L65" s="2">
        <f t="shared" si="0"/>
        <v>727.4</v>
      </c>
      <c r="M65" s="2"/>
      <c r="N65" s="19">
        <f t="shared" si="1"/>
        <v>0</v>
      </c>
      <c r="O65" s="11"/>
      <c r="P65" s="2">
        <f>--10087.85</f>
        <v>10087.85</v>
      </c>
      <c r="Q65" s="2"/>
      <c r="R65" s="19"/>
      <c r="S65" s="2"/>
      <c r="T65" s="2"/>
      <c r="U65" s="2"/>
      <c r="V65" s="19"/>
      <c r="W65" s="2"/>
      <c r="X65" s="2">
        <f t="shared" si="2"/>
        <v>10087.85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"4140", " - ", "NON-TAXABLE SALES-LOGO CLOTHIN")</f>
        <v xml:space="preserve">          4140 - NON-TAXABLE SALES-LOGO CLOTHIN</v>
      </c>
      <c r="C66" s="11"/>
      <c r="D66" s="2">
        <f>--5466.31</f>
        <v>5466.31</v>
      </c>
      <c r="E66" s="2"/>
      <c r="F66" s="19"/>
      <c r="G66" s="2"/>
      <c r="H66" s="2"/>
      <c r="I66" s="2"/>
      <c r="J66" s="19"/>
      <c r="K66" s="2"/>
      <c r="L66" s="2">
        <f t="shared" si="0"/>
        <v>5466.31</v>
      </c>
      <c r="M66" s="2"/>
      <c r="N66" s="19">
        <f t="shared" si="1"/>
        <v>0</v>
      </c>
      <c r="O66" s="11"/>
      <c r="P66" s="2">
        <f>--48048.98</f>
        <v>48048.98</v>
      </c>
      <c r="Q66" s="2"/>
      <c r="R66" s="19"/>
      <c r="S66" s="2"/>
      <c r="T66" s="2"/>
      <c r="U66" s="2"/>
      <c r="V66" s="19"/>
      <c r="W66" s="2"/>
      <c r="X66" s="2">
        <f t="shared" si="2"/>
        <v>48048.98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"4141", " - ", "NON-TAXABLE SALES-LOGO GIFTS")</f>
        <v xml:space="preserve">          4141 - NON-TAXABLE SALES-LOGO GIFTS</v>
      </c>
      <c r="C67" s="11"/>
      <c r="D67" s="2">
        <f>--242.39</f>
        <v>242.39</v>
      </c>
      <c r="E67" s="2"/>
      <c r="F67" s="19"/>
      <c r="G67" s="2"/>
      <c r="H67" s="2"/>
      <c r="I67" s="2"/>
      <c r="J67" s="19"/>
      <c r="K67" s="2"/>
      <c r="L67" s="2">
        <f t="shared" si="0"/>
        <v>242.39</v>
      </c>
      <c r="M67" s="2"/>
      <c r="N67" s="19">
        <f t="shared" si="1"/>
        <v>0</v>
      </c>
      <c r="O67" s="11"/>
      <c r="P67" s="2">
        <f>--10914.56</f>
        <v>10914.56</v>
      </c>
      <c r="Q67" s="2"/>
      <c r="R67" s="19"/>
      <c r="S67" s="2"/>
      <c r="T67" s="2"/>
      <c r="U67" s="2"/>
      <c r="V67" s="19"/>
      <c r="W67" s="2"/>
      <c r="X67" s="2">
        <f t="shared" si="2"/>
        <v>10914.56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"4142", " - ", "NON-TAXABLE SALES-EVERYDAY GIF")</f>
        <v xml:space="preserve">          4142 - NON-TAXABLE SALES-EVERYDAY GIF</v>
      </c>
      <c r="C68" s="11"/>
      <c r="D68" s="2">
        <f>--48.58</f>
        <v>48.58</v>
      </c>
      <c r="E68" s="2"/>
      <c r="F68" s="19"/>
      <c r="G68" s="2"/>
      <c r="H68" s="2"/>
      <c r="I68" s="2"/>
      <c r="J68" s="19"/>
      <c r="K68" s="2"/>
      <c r="L68" s="2">
        <f t="shared" si="0"/>
        <v>48.58</v>
      </c>
      <c r="M68" s="2"/>
      <c r="N68" s="19">
        <f t="shared" si="1"/>
        <v>0</v>
      </c>
      <c r="O68" s="11"/>
      <c r="P68" s="2">
        <f>--13741.43</f>
        <v>13741.43</v>
      </c>
      <c r="Q68" s="2"/>
      <c r="R68" s="19"/>
      <c r="S68" s="2"/>
      <c r="T68" s="2"/>
      <c r="U68" s="2"/>
      <c r="V68" s="19"/>
      <c r="W68" s="2"/>
      <c r="X68" s="2">
        <f t="shared" si="2"/>
        <v>13741.43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"4143", " - ", "NON-TAXABLE SALES-CARDS")</f>
        <v xml:space="preserve">          4143 - NON-TAXABLE SALES-CARDS</v>
      </c>
      <c r="C69" s="11"/>
      <c r="D69" s="2">
        <f>0</f>
        <v>0</v>
      </c>
      <c r="E69" s="2"/>
      <c r="F69" s="19"/>
      <c r="G69" s="2"/>
      <c r="H69" s="2"/>
      <c r="I69" s="2"/>
      <c r="J69" s="19"/>
      <c r="K69" s="2"/>
      <c r="L69" s="2">
        <f t="shared" si="0"/>
        <v>0</v>
      </c>
      <c r="M69" s="2"/>
      <c r="N69" s="19">
        <f t="shared" si="1"/>
        <v>0</v>
      </c>
      <c r="O69" s="11"/>
      <c r="P69" s="2">
        <f>--9.99</f>
        <v>9.99</v>
      </c>
      <c r="Q69" s="2"/>
      <c r="R69" s="19"/>
      <c r="S69" s="2"/>
      <c r="T69" s="2"/>
      <c r="U69" s="2"/>
      <c r="V69" s="19"/>
      <c r="W69" s="2"/>
      <c r="X69" s="2">
        <f t="shared" si="2"/>
        <v>9.99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"4144", " - ", "NON-TAXABLE SALES-ACCESSORIES")</f>
        <v xml:space="preserve">          4144 - NON-TAXABLE SALES-ACCESSORIES</v>
      </c>
      <c r="C70" s="11"/>
      <c r="D70" s="2">
        <f>--150</f>
        <v>150</v>
      </c>
      <c r="E70" s="2"/>
      <c r="F70" s="19"/>
      <c r="G70" s="2"/>
      <c r="H70" s="2"/>
      <c r="I70" s="2"/>
      <c r="J70" s="19"/>
      <c r="K70" s="2"/>
      <c r="L70" s="2">
        <f t="shared" si="0"/>
        <v>150</v>
      </c>
      <c r="M70" s="2"/>
      <c r="N70" s="19">
        <f t="shared" si="1"/>
        <v>0</v>
      </c>
      <c r="O70" s="11"/>
      <c r="P70" s="2">
        <f>--2040.27</f>
        <v>2040.27</v>
      </c>
      <c r="Q70" s="2"/>
      <c r="R70" s="19"/>
      <c r="S70" s="2"/>
      <c r="T70" s="2"/>
      <c r="U70" s="2"/>
      <c r="V70" s="19"/>
      <c r="W70" s="2"/>
      <c r="X70" s="2">
        <f t="shared" si="2"/>
        <v>2040.27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"4145", " - ", "NON-TAXABLE SALES-SPECIAL ORDE")</f>
        <v xml:space="preserve">          4145 - NON-TAXABLE SALES-SPECIAL ORDE</v>
      </c>
      <c r="C71" s="11"/>
      <c r="D71" s="2">
        <f>0</f>
        <v>0</v>
      </c>
      <c r="E71" s="2"/>
      <c r="F71" s="19"/>
      <c r="G71" s="2"/>
      <c r="H71" s="2"/>
      <c r="I71" s="2"/>
      <c r="J71" s="19"/>
      <c r="K71" s="2"/>
      <c r="L71" s="2">
        <f t="shared" si="0"/>
        <v>0</v>
      </c>
      <c r="M71" s="2"/>
      <c r="N71" s="19">
        <f t="shared" si="1"/>
        <v>0</v>
      </c>
      <c r="O71" s="11"/>
      <c r="P71" s="2">
        <f>--140</f>
        <v>140</v>
      </c>
      <c r="Q71" s="2"/>
      <c r="R71" s="19"/>
      <c r="S71" s="2"/>
      <c r="T71" s="2"/>
      <c r="U71" s="2"/>
      <c r="V71" s="19"/>
      <c r="W71" s="2"/>
      <c r="X71" s="2">
        <f t="shared" si="2"/>
        <v>140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"4146", " - ", "NON-TAXABLE SALES-COIN OP MACH")</f>
        <v xml:space="preserve">          4146 - NON-TAXABLE SALES-COIN OP MACH</v>
      </c>
      <c r="C72" s="11"/>
      <c r="D72" s="2">
        <f>--13383.2</f>
        <v>13383.2</v>
      </c>
      <c r="E72" s="2"/>
      <c r="F72" s="19"/>
      <c r="G72" s="2"/>
      <c r="H72" s="2"/>
      <c r="I72" s="2"/>
      <c r="J72" s="19"/>
      <c r="K72" s="2"/>
      <c r="L72" s="2">
        <f t="shared" si="0"/>
        <v>13383.2</v>
      </c>
      <c r="M72" s="2"/>
      <c r="N72" s="19">
        <f t="shared" si="1"/>
        <v>0</v>
      </c>
      <c r="O72" s="11"/>
      <c r="P72" s="2">
        <f>--205786.95</f>
        <v>205786.95</v>
      </c>
      <c r="Q72" s="2"/>
      <c r="R72" s="19"/>
      <c r="S72" s="2"/>
      <c r="T72" s="2"/>
      <c r="U72" s="2"/>
      <c r="V72" s="19"/>
      <c r="W72" s="2"/>
      <c r="X72" s="2">
        <f t="shared" si="2"/>
        <v>205786.95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"4147", " - ", "NON-TAXABLE SALES-MISC")</f>
        <v xml:space="preserve">          4147 - NON-TAXABLE SALES-MISC</v>
      </c>
      <c r="C73" s="11"/>
      <c r="D73" s="2">
        <f>--933.53</f>
        <v>933.53</v>
      </c>
      <c r="E73" s="2"/>
      <c r="F73" s="19"/>
      <c r="G73" s="2"/>
      <c r="H73" s="2"/>
      <c r="I73" s="2"/>
      <c r="J73" s="19"/>
      <c r="K73" s="2"/>
      <c r="L73" s="2">
        <f t="shared" si="0"/>
        <v>933.53</v>
      </c>
      <c r="M73" s="2"/>
      <c r="N73" s="19">
        <f t="shared" si="1"/>
        <v>0</v>
      </c>
      <c r="O73" s="11"/>
      <c r="P73" s="2">
        <f>--3436.37</f>
        <v>3436.37</v>
      </c>
      <c r="Q73" s="2"/>
      <c r="R73" s="19"/>
      <c r="S73" s="2"/>
      <c r="T73" s="2"/>
      <c r="U73" s="2"/>
      <c r="V73" s="19"/>
      <c r="W73" s="2"/>
      <c r="X73" s="2">
        <f t="shared" si="2"/>
        <v>3436.37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"4151", " - ", "NON-TAXABLE SALES-FOOD")</f>
        <v xml:space="preserve">          4151 - NON-TAXABLE SALES-FOOD</v>
      </c>
      <c r="C74" s="11"/>
      <c r="D74" s="2">
        <f>--56591.85</f>
        <v>56591.85</v>
      </c>
      <c r="E74" s="2"/>
      <c r="F74" s="19"/>
      <c r="G74" s="2"/>
      <c r="H74" s="2"/>
      <c r="I74" s="2"/>
      <c r="J74" s="19"/>
      <c r="K74" s="2"/>
      <c r="L74" s="2">
        <f t="shared" si="0"/>
        <v>56591.85</v>
      </c>
      <c r="M74" s="2"/>
      <c r="N74" s="19">
        <f t="shared" si="1"/>
        <v>0</v>
      </c>
      <c r="O74" s="11"/>
      <c r="P74" s="2">
        <f>--828068.07</f>
        <v>828068.07</v>
      </c>
      <c r="Q74" s="2"/>
      <c r="R74" s="19"/>
      <c r="S74" s="2"/>
      <c r="T74" s="2"/>
      <c r="U74" s="2"/>
      <c r="V74" s="19"/>
      <c r="W74" s="2"/>
      <c r="X74" s="2">
        <f t="shared" si="2"/>
        <v>828068.07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"4153", " - ", "NON-TAXABLE SALES-FOOD")</f>
        <v xml:space="preserve">          4153 - NON-TAXABLE SALES-FOOD</v>
      </c>
      <c r="C75" s="11"/>
      <c r="D75" s="2">
        <f t="shared" ref="D75:D76" si="4">0</f>
        <v>0</v>
      </c>
      <c r="E75" s="2"/>
      <c r="F75" s="19"/>
      <c r="G75" s="2"/>
      <c r="H75" s="2"/>
      <c r="I75" s="2"/>
      <c r="J75" s="19"/>
      <c r="K75" s="2"/>
      <c r="L75" s="2">
        <f t="shared" si="0"/>
        <v>0</v>
      </c>
      <c r="M75" s="2"/>
      <c r="N75" s="19">
        <f t="shared" si="1"/>
        <v>0</v>
      </c>
      <c r="O75" s="11"/>
      <c r="P75" s="2">
        <f>--12812.5</f>
        <v>12812.5</v>
      </c>
      <c r="Q75" s="2"/>
      <c r="R75" s="19"/>
      <c r="S75" s="2"/>
      <c r="T75" s="2"/>
      <c r="U75" s="2"/>
      <c r="V75" s="19"/>
      <c r="W75" s="2"/>
      <c r="X75" s="2">
        <f t="shared" si="2"/>
        <v>12812.5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"4186", " - ", "NON-TAXABLE SALES-COMPUTER SUP")</f>
        <v xml:space="preserve">          4186 - NON-TAXABLE SALES-COMPUTER SUP</v>
      </c>
      <c r="C76" s="11"/>
      <c r="D76" s="2">
        <f t="shared" si="4"/>
        <v>0</v>
      </c>
      <c r="E76" s="2"/>
      <c r="F76" s="19"/>
      <c r="G76" s="2"/>
      <c r="H76" s="2"/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>-30.97</f>
        <v>-30.97</v>
      </c>
      <c r="Q76" s="2"/>
      <c r="R76" s="19"/>
      <c r="S76" s="2"/>
      <c r="T76" s="2"/>
      <c r="U76" s="2"/>
      <c r="V76" s="19"/>
      <c r="W76" s="2"/>
      <c r="X76" s="2">
        <f t="shared" si="2"/>
        <v>-30.97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"4201", " - ", "SALES RETURN TAXABLE-NEW TEXT")</f>
        <v xml:space="preserve">          4201 - SALES RETURN TAXABLE-NEW TEXT</v>
      </c>
      <c r="C77" s="11"/>
      <c r="D77" s="2">
        <f>-420.3</f>
        <v>-420.3</v>
      </c>
      <c r="E77" s="2"/>
      <c r="F77" s="19"/>
      <c r="G77" s="2"/>
      <c r="H77" s="2"/>
      <c r="I77" s="2"/>
      <c r="J77" s="19"/>
      <c r="K77" s="2"/>
      <c r="L77" s="2">
        <f t="shared" si="0"/>
        <v>-420.3</v>
      </c>
      <c r="M77" s="2"/>
      <c r="N77" s="19">
        <f t="shared" si="1"/>
        <v>0</v>
      </c>
      <c r="O77" s="11"/>
      <c r="P77" s="2">
        <f>-121160.71</f>
        <v>-121160.71</v>
      </c>
      <c r="Q77" s="2"/>
      <c r="R77" s="19"/>
      <c r="S77" s="2"/>
      <c r="T77" s="2"/>
      <c r="U77" s="2"/>
      <c r="V77" s="19"/>
      <c r="W77" s="2"/>
      <c r="X77" s="2">
        <f t="shared" si="2"/>
        <v>-121160.71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"4202", " - ", "SALES RETURN TAXABLE-USED TEXT")</f>
        <v xml:space="preserve">          4202 - SALES RETURN TAXABLE-USED TEXT</v>
      </c>
      <c r="C78" s="11"/>
      <c r="D78" s="2">
        <f>-133.45</f>
        <v>-133.44999999999999</v>
      </c>
      <c r="E78" s="2"/>
      <c r="F78" s="19"/>
      <c r="G78" s="2"/>
      <c r="H78" s="2"/>
      <c r="I78" s="2"/>
      <c r="J78" s="19"/>
      <c r="K78" s="2"/>
      <c r="L78" s="2">
        <f t="shared" si="0"/>
        <v>-133.44999999999999</v>
      </c>
      <c r="M78" s="2"/>
      <c r="N78" s="19">
        <f t="shared" si="1"/>
        <v>0</v>
      </c>
      <c r="O78" s="11"/>
      <c r="P78" s="2">
        <f>-45520.76</f>
        <v>-45520.76</v>
      </c>
      <c r="Q78" s="2"/>
      <c r="R78" s="19"/>
      <c r="S78" s="2"/>
      <c r="T78" s="2"/>
      <c r="U78" s="2"/>
      <c r="V78" s="19"/>
      <c r="W78" s="2"/>
      <c r="X78" s="2">
        <f t="shared" si="2"/>
        <v>-45520.76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"4203", " - ", "SALES RETURN TAXABLE-RENTAL TE")</f>
        <v xml:space="preserve">          4203 - SALES RETURN TAXABLE-RENTAL TE</v>
      </c>
      <c r="C79" s="11"/>
      <c r="D79" s="2">
        <f t="shared" ref="D79:D80" si="5">0</f>
        <v>0</v>
      </c>
      <c r="E79" s="2"/>
      <c r="F79" s="19"/>
      <c r="G79" s="2"/>
      <c r="H79" s="2"/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-144.99</f>
        <v>-144.99</v>
      </c>
      <c r="Q79" s="2"/>
      <c r="R79" s="19"/>
      <c r="S79" s="2"/>
      <c r="T79" s="2"/>
      <c r="U79" s="2"/>
      <c r="V79" s="19"/>
      <c r="W79" s="2"/>
      <c r="X79" s="2">
        <f t="shared" si="2"/>
        <v>-144.99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"4204", " - ", "SALES RETURN TAXABLE-DIGITAL T")</f>
        <v xml:space="preserve">          4204 - SALES RETURN TAXABLE-DIGITAL T</v>
      </c>
      <c r="C80" s="11"/>
      <c r="D80" s="2">
        <f t="shared" si="5"/>
        <v>0</v>
      </c>
      <c r="E80" s="2"/>
      <c r="F80" s="19"/>
      <c r="G80" s="2"/>
      <c r="H80" s="2"/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>-17255.33</f>
        <v>-17255.330000000002</v>
      </c>
      <c r="Q80" s="2"/>
      <c r="R80" s="19"/>
      <c r="S80" s="2"/>
      <c r="T80" s="2"/>
      <c r="U80" s="2"/>
      <c r="V80" s="19"/>
      <c r="W80" s="2"/>
      <c r="X80" s="2">
        <f t="shared" si="2"/>
        <v>-17255.330000000002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"4213", " - ", "NON-TAXABLE SALES-TRADE BOOKS")</f>
        <v xml:space="preserve">          4213 - NON-TAXABLE SALES-TRADE BOOKS</v>
      </c>
      <c r="C81" s="11"/>
      <c r="D81" s="2">
        <f>-374.85</f>
        <v>-374.85</v>
      </c>
      <c r="E81" s="2"/>
      <c r="F81" s="19"/>
      <c r="G81" s="2"/>
      <c r="H81" s="2"/>
      <c r="I81" s="2"/>
      <c r="J81" s="19"/>
      <c r="K81" s="2"/>
      <c r="L81" s="2">
        <f t="shared" si="0"/>
        <v>-374.85</v>
      </c>
      <c r="M81" s="2"/>
      <c r="N81" s="19">
        <f t="shared" si="1"/>
        <v>0</v>
      </c>
      <c r="O81" s="11"/>
      <c r="P81" s="2">
        <f>-594.91</f>
        <v>-594.91</v>
      </c>
      <c r="Q81" s="2"/>
      <c r="R81" s="19"/>
      <c r="S81" s="2"/>
      <c r="T81" s="2"/>
      <c r="U81" s="2"/>
      <c r="V81" s="19"/>
      <c r="W81" s="2"/>
      <c r="X81" s="2">
        <f t="shared" si="2"/>
        <v>-594.91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"4214", " - ", "SALES RETURN TAXABLE-REMAINDER")</f>
        <v xml:space="preserve">          4214 - SALES RETURN TAXABLE-REMAINDER</v>
      </c>
      <c r="C82" s="11"/>
      <c r="D82" s="2">
        <f t="shared" ref="D82:D84" si="6">0</f>
        <v>0</v>
      </c>
      <c r="E82" s="2"/>
      <c r="F82" s="19"/>
      <c r="G82" s="2"/>
      <c r="H82" s="2"/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-11.94</f>
        <v>-11.94</v>
      </c>
      <c r="Q82" s="2"/>
      <c r="R82" s="19"/>
      <c r="S82" s="2"/>
      <c r="T82" s="2"/>
      <c r="U82" s="2"/>
      <c r="V82" s="19"/>
      <c r="W82" s="2"/>
      <c r="X82" s="2">
        <f t="shared" si="2"/>
        <v>-11.94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"4217", " - ", "NON-TAXABLE SALES-DORM/HOUSEWA")</f>
        <v xml:space="preserve">          4217 - NON-TAXABLE SALES-DORM/HOUSEWA</v>
      </c>
      <c r="C83" s="11"/>
      <c r="D83" s="2">
        <f t="shared" si="6"/>
        <v>0</v>
      </c>
      <c r="E83" s="2"/>
      <c r="F83" s="19"/>
      <c r="G83" s="2"/>
      <c r="H83" s="2"/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1"/>
      <c r="P83" s="2">
        <f>-2.98</f>
        <v>-2.98</v>
      </c>
      <c r="Q83" s="2"/>
      <c r="R83" s="19"/>
      <c r="S83" s="2"/>
      <c r="T83" s="2"/>
      <c r="U83" s="2"/>
      <c r="V83" s="19"/>
      <c r="W83" s="2"/>
      <c r="X83" s="2">
        <f t="shared" si="2"/>
        <v>-2.98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"4218", " - ", "SALES RETURN TAXABLE-STUDY GUI")</f>
        <v xml:space="preserve">          4218 - SALES RETURN TAXABLE-STUDY GUI</v>
      </c>
      <c r="C84" s="11"/>
      <c r="D84" s="2">
        <f t="shared" si="6"/>
        <v>0</v>
      </c>
      <c r="E84" s="2"/>
      <c r="F84" s="19"/>
      <c r="G84" s="2"/>
      <c r="H84" s="2"/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1"/>
      <c r="P84" s="2">
        <f>-39.25</f>
        <v>-39.25</v>
      </c>
      <c r="Q84" s="2"/>
      <c r="R84" s="19"/>
      <c r="S84" s="2"/>
      <c r="T84" s="2"/>
      <c r="U84" s="2"/>
      <c r="V84" s="19"/>
      <c r="W84" s="2"/>
      <c r="X84" s="2">
        <f t="shared" si="2"/>
        <v>-39.25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"4225", " - ", "SALES RETURN TAXABLE-TEST FORM")</f>
        <v xml:space="preserve">          4225 - SALES RETURN TAXABLE-TEST FORM</v>
      </c>
      <c r="C85" s="11"/>
      <c r="D85" s="2">
        <f>-8.16</f>
        <v>-8.16</v>
      </c>
      <c r="E85" s="2"/>
      <c r="F85" s="19"/>
      <c r="G85" s="2"/>
      <c r="H85" s="2"/>
      <c r="I85" s="2"/>
      <c r="J85" s="19"/>
      <c r="K85" s="2"/>
      <c r="L85" s="2">
        <f t="shared" si="0"/>
        <v>-8.16</v>
      </c>
      <c r="M85" s="2"/>
      <c r="N85" s="19">
        <f t="shared" si="1"/>
        <v>0</v>
      </c>
      <c r="O85" s="11"/>
      <c r="P85" s="2">
        <f>-176.41</f>
        <v>-176.41</v>
      </c>
      <c r="Q85" s="2"/>
      <c r="R85" s="19"/>
      <c r="S85" s="2"/>
      <c r="T85" s="2"/>
      <c r="U85" s="2"/>
      <c r="V85" s="19"/>
      <c r="W85" s="2"/>
      <c r="X85" s="2">
        <f t="shared" si="2"/>
        <v>-176.41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"4226", " - ", "SALES RETURN TAXABLE-WRITING I")</f>
        <v xml:space="preserve">          4226 - SALES RETURN TAXABLE-WRITING I</v>
      </c>
      <c r="C86" s="11"/>
      <c r="D86" s="2">
        <f>-11.25</f>
        <v>-11.25</v>
      </c>
      <c r="E86" s="2"/>
      <c r="F86" s="19"/>
      <c r="G86" s="2"/>
      <c r="H86" s="2"/>
      <c r="I86" s="2"/>
      <c r="J86" s="19"/>
      <c r="K86" s="2"/>
      <c r="L86" s="2">
        <f t="shared" si="0"/>
        <v>-11.25</v>
      </c>
      <c r="M86" s="2"/>
      <c r="N86" s="19">
        <f t="shared" si="1"/>
        <v>0</v>
      </c>
      <c r="O86" s="11"/>
      <c r="P86" s="2">
        <f>-765.04</f>
        <v>-765.04</v>
      </c>
      <c r="Q86" s="2"/>
      <c r="R86" s="19"/>
      <c r="S86" s="2"/>
      <c r="T86" s="2"/>
      <c r="U86" s="2"/>
      <c r="V86" s="19"/>
      <c r="W86" s="2"/>
      <c r="X86" s="2">
        <f t="shared" si="2"/>
        <v>-765.04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"4227", " - ", "SALES RETURN TAXABLE-SCHOOL SU")</f>
        <v xml:space="preserve">          4227 - SALES RETURN TAXABLE-SCHOOL SU</v>
      </c>
      <c r="C87" s="11"/>
      <c r="D87" s="2">
        <f>-979.19</f>
        <v>-979.19</v>
      </c>
      <c r="E87" s="2"/>
      <c r="F87" s="19"/>
      <c r="G87" s="2"/>
      <c r="H87" s="2"/>
      <c r="I87" s="2"/>
      <c r="J87" s="19"/>
      <c r="K87" s="2"/>
      <c r="L87" s="2">
        <f t="shared" si="0"/>
        <v>-979.19</v>
      </c>
      <c r="M87" s="2"/>
      <c r="N87" s="19">
        <f t="shared" si="1"/>
        <v>0</v>
      </c>
      <c r="O87" s="11"/>
      <c r="P87" s="2">
        <f>-8593.61</f>
        <v>-8593.61</v>
      </c>
      <c r="Q87" s="2"/>
      <c r="R87" s="19"/>
      <c r="S87" s="2"/>
      <c r="T87" s="2"/>
      <c r="U87" s="2"/>
      <c r="V87" s="19"/>
      <c r="W87" s="2"/>
      <c r="X87" s="2">
        <f t="shared" si="2"/>
        <v>-8593.61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"4228", " - ", "SALES RETURN TAXABLE-ART/TECH")</f>
        <v xml:space="preserve">          4228 - SALES RETURN TAXABLE-ART/TECH</v>
      </c>
      <c r="C88" s="11"/>
      <c r="D88" s="2">
        <f>-139.18</f>
        <v>-139.18</v>
      </c>
      <c r="E88" s="2"/>
      <c r="F88" s="19"/>
      <c r="G88" s="2"/>
      <c r="H88" s="2"/>
      <c r="I88" s="2"/>
      <c r="J88" s="19"/>
      <c r="K88" s="2"/>
      <c r="L88" s="2">
        <f t="shared" si="0"/>
        <v>-139.18</v>
      </c>
      <c r="M88" s="2"/>
      <c r="N88" s="19">
        <f t="shared" si="1"/>
        <v>0</v>
      </c>
      <c r="O88" s="11"/>
      <c r="P88" s="2">
        <f>-4739.1</f>
        <v>-4739.1000000000004</v>
      </c>
      <c r="Q88" s="2"/>
      <c r="R88" s="19"/>
      <c r="S88" s="2"/>
      <c r="T88" s="2"/>
      <c r="U88" s="2"/>
      <c r="V88" s="19"/>
      <c r="W88" s="2"/>
      <c r="X88" s="2">
        <f t="shared" si="2"/>
        <v>-4739.1000000000004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"4233", " - ", "SALES RETURN TAXABLE-CANDY")</f>
        <v xml:space="preserve">          4233 - SALES RETURN TAXABLE-CANDY</v>
      </c>
      <c r="C89" s="11"/>
      <c r="D89" s="2">
        <f>-6.96</f>
        <v>-6.96</v>
      </c>
      <c r="E89" s="2"/>
      <c r="F89" s="19"/>
      <c r="G89" s="2"/>
      <c r="H89" s="2"/>
      <c r="I89" s="2"/>
      <c r="J89" s="19"/>
      <c r="K89" s="2"/>
      <c r="L89" s="2">
        <f t="shared" si="0"/>
        <v>-6.96</v>
      </c>
      <c r="M89" s="2"/>
      <c r="N89" s="19">
        <f t="shared" si="1"/>
        <v>0</v>
      </c>
      <c r="O89" s="11"/>
      <c r="P89" s="2">
        <f>-8.25</f>
        <v>-8.25</v>
      </c>
      <c r="Q89" s="2"/>
      <c r="R89" s="19"/>
      <c r="S89" s="2"/>
      <c r="T89" s="2"/>
      <c r="U89" s="2"/>
      <c r="V89" s="19"/>
      <c r="W89" s="2"/>
      <c r="X89" s="2">
        <f t="shared" si="2"/>
        <v>-8.25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"4240", " - ", "SALES RETURN TAXABLE-LOGO CLOT")</f>
        <v xml:space="preserve">          4240 - SALES RETURN TAXABLE-LOGO CLOT</v>
      </c>
      <c r="C90" s="11"/>
      <c r="D90" s="2">
        <f>-3000.56</f>
        <v>-3000.56</v>
      </c>
      <c r="E90" s="2"/>
      <c r="F90" s="19"/>
      <c r="G90" s="2"/>
      <c r="H90" s="2"/>
      <c r="I90" s="2"/>
      <c r="J90" s="19"/>
      <c r="K90" s="2"/>
      <c r="L90" s="2">
        <f t="shared" si="0"/>
        <v>-3000.56</v>
      </c>
      <c r="M90" s="2"/>
      <c r="N90" s="19">
        <f t="shared" si="1"/>
        <v>0</v>
      </c>
      <c r="O90" s="11"/>
      <c r="P90" s="2">
        <f>-72812.23</f>
        <v>-72812.23</v>
      </c>
      <c r="Q90" s="2"/>
      <c r="R90" s="19"/>
      <c r="S90" s="2"/>
      <c r="T90" s="2"/>
      <c r="U90" s="2"/>
      <c r="V90" s="19"/>
      <c r="W90" s="2"/>
      <c r="X90" s="2">
        <f t="shared" si="2"/>
        <v>-72812.23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"4241", " - ", "SALES RETURN TAXABLE-LOGO GIFT")</f>
        <v xml:space="preserve">          4241 - SALES RETURN TAXABLE-LOGO GIFT</v>
      </c>
      <c r="C91" s="11"/>
      <c r="D91" s="2">
        <f>-214.4</f>
        <v>-214.4</v>
      </c>
      <c r="E91" s="2"/>
      <c r="F91" s="19"/>
      <c r="G91" s="2"/>
      <c r="H91" s="2"/>
      <c r="I91" s="2"/>
      <c r="J91" s="19"/>
      <c r="K91" s="2"/>
      <c r="L91" s="2">
        <f t="shared" si="0"/>
        <v>-214.4</v>
      </c>
      <c r="M91" s="2"/>
      <c r="N91" s="19">
        <f t="shared" si="1"/>
        <v>0</v>
      </c>
      <c r="O91" s="11"/>
      <c r="P91" s="2">
        <f>-6141.38</f>
        <v>-6141.38</v>
      </c>
      <c r="Q91" s="2"/>
      <c r="R91" s="19"/>
      <c r="S91" s="2"/>
      <c r="T91" s="2"/>
      <c r="U91" s="2"/>
      <c r="V91" s="19"/>
      <c r="W91" s="2"/>
      <c r="X91" s="2">
        <f t="shared" si="2"/>
        <v>-6141.38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"4242", " - ", "SALES RETURN TAXABLE-EVERYDAY")</f>
        <v xml:space="preserve">          4242 - SALES RETURN TAXABLE-EVERYDAY</v>
      </c>
      <c r="C92" s="11"/>
      <c r="D92" s="2">
        <f>-284.33</f>
        <v>-284.33</v>
      </c>
      <c r="E92" s="2"/>
      <c r="F92" s="19"/>
      <c r="G92" s="2"/>
      <c r="H92" s="2"/>
      <c r="I92" s="2"/>
      <c r="J92" s="19"/>
      <c r="K92" s="2"/>
      <c r="L92" s="2">
        <f t="shared" si="0"/>
        <v>-284.33</v>
      </c>
      <c r="M92" s="2"/>
      <c r="N92" s="19">
        <f t="shared" si="1"/>
        <v>0</v>
      </c>
      <c r="O92" s="11"/>
      <c r="P92" s="2">
        <f>-4178.41</f>
        <v>-4178.41</v>
      </c>
      <c r="Q92" s="2"/>
      <c r="R92" s="19"/>
      <c r="S92" s="2"/>
      <c r="T92" s="2"/>
      <c r="U92" s="2"/>
      <c r="V92" s="19"/>
      <c r="W92" s="2"/>
      <c r="X92" s="2">
        <f t="shared" si="2"/>
        <v>-4178.41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"4243", " - ", "SALES RETURN TAXABLE-CARDS")</f>
        <v xml:space="preserve">          4243 - SALES RETURN TAXABLE-CARDS</v>
      </c>
      <c r="C93" s="11"/>
      <c r="D93" s="2">
        <f>-159.92</f>
        <v>-159.91999999999999</v>
      </c>
      <c r="E93" s="2"/>
      <c r="F93" s="19"/>
      <c r="G93" s="2"/>
      <c r="H93" s="2"/>
      <c r="I93" s="2"/>
      <c r="J93" s="19"/>
      <c r="K93" s="2"/>
      <c r="L93" s="2">
        <f t="shared" si="0"/>
        <v>-159.91999999999999</v>
      </c>
      <c r="M93" s="2"/>
      <c r="N93" s="19">
        <f t="shared" si="1"/>
        <v>0</v>
      </c>
      <c r="O93" s="11"/>
      <c r="P93" s="2">
        <f>-2993.31</f>
        <v>-2993.31</v>
      </c>
      <c r="Q93" s="2"/>
      <c r="R93" s="19"/>
      <c r="S93" s="2"/>
      <c r="T93" s="2"/>
      <c r="U93" s="2"/>
      <c r="V93" s="19"/>
      <c r="W93" s="2"/>
      <c r="X93" s="2">
        <f t="shared" si="2"/>
        <v>-2993.31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"4244", " - ", "SALES RETURN TAXABLE-ACCESSORI")</f>
        <v xml:space="preserve">          4244 - SALES RETURN TAXABLE-ACCESSORI</v>
      </c>
      <c r="C94" s="11"/>
      <c r="D94" s="2">
        <f>-39.9</f>
        <v>-39.9</v>
      </c>
      <c r="E94" s="2"/>
      <c r="F94" s="19"/>
      <c r="G94" s="2"/>
      <c r="H94" s="2"/>
      <c r="I94" s="2"/>
      <c r="J94" s="19"/>
      <c r="K94" s="2"/>
      <c r="L94" s="2">
        <f t="shared" si="0"/>
        <v>-39.9</v>
      </c>
      <c r="M94" s="2"/>
      <c r="N94" s="19">
        <f t="shared" si="1"/>
        <v>0</v>
      </c>
      <c r="O94" s="11"/>
      <c r="P94" s="2">
        <f>-2470.7</f>
        <v>-2470.6999999999998</v>
      </c>
      <c r="Q94" s="2"/>
      <c r="R94" s="19"/>
      <c r="S94" s="2"/>
      <c r="T94" s="2"/>
      <c r="U94" s="2"/>
      <c r="V94" s="19"/>
      <c r="W94" s="2"/>
      <c r="X94" s="2">
        <f t="shared" si="2"/>
        <v>-2470.6999999999998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"4245", " - ", "SALES RETURN TAXABLE-SPECIAL O")</f>
        <v xml:space="preserve">          4245 - SALES RETURN TAXABLE-SPECIAL O</v>
      </c>
      <c r="C95" s="11"/>
      <c r="D95" s="2">
        <f>-19.98</f>
        <v>-19.98</v>
      </c>
      <c r="E95" s="2"/>
      <c r="F95" s="19"/>
      <c r="G95" s="2"/>
      <c r="H95" s="2"/>
      <c r="I95" s="2"/>
      <c r="J95" s="19"/>
      <c r="K95" s="2"/>
      <c r="L95" s="2">
        <f t="shared" si="0"/>
        <v>-19.98</v>
      </c>
      <c r="M95" s="2"/>
      <c r="N95" s="19">
        <f t="shared" si="1"/>
        <v>0</v>
      </c>
      <c r="O95" s="11"/>
      <c r="P95" s="2">
        <f>-1735.03</f>
        <v>-1735.03</v>
      </c>
      <c r="Q95" s="2"/>
      <c r="R95" s="19"/>
      <c r="S95" s="2"/>
      <c r="T95" s="2"/>
      <c r="U95" s="2"/>
      <c r="V95" s="19"/>
      <c r="W95" s="2"/>
      <c r="X95" s="2">
        <f t="shared" si="2"/>
        <v>-1735.03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"4281", " - ", "SALES RETURN TAXABLE-ELECTRONI")</f>
        <v xml:space="preserve">          4281 - SALES RETURN TAXABLE-ELECTRONI</v>
      </c>
      <c r="C96" s="11"/>
      <c r="D96" s="2">
        <f>0</f>
        <v>0</v>
      </c>
      <c r="E96" s="2"/>
      <c r="F96" s="19"/>
      <c r="G96" s="2"/>
      <c r="H96" s="2"/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>-54.97</f>
        <v>-54.97</v>
      </c>
      <c r="Q96" s="2"/>
      <c r="R96" s="19"/>
      <c r="S96" s="2"/>
      <c r="T96" s="2"/>
      <c r="U96" s="2"/>
      <c r="V96" s="19"/>
      <c r="W96" s="2"/>
      <c r="X96" s="2">
        <f t="shared" si="2"/>
        <v>-54.97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"4292", " - ", "SALES RETURN TAXABLE-GRAD MERC")</f>
        <v xml:space="preserve">          4292 - SALES RETURN TAXABLE-GRAD MERC</v>
      </c>
      <c r="C97" s="11"/>
      <c r="D97" s="2">
        <f>-94.9</f>
        <v>-94.9</v>
      </c>
      <c r="E97" s="2"/>
      <c r="F97" s="19"/>
      <c r="G97" s="2"/>
      <c r="H97" s="2"/>
      <c r="I97" s="2"/>
      <c r="J97" s="19"/>
      <c r="K97" s="2"/>
      <c r="L97" s="2">
        <f t="shared" si="0"/>
        <v>-94.9</v>
      </c>
      <c r="M97" s="2"/>
      <c r="N97" s="19">
        <f t="shared" si="1"/>
        <v>0</v>
      </c>
      <c r="O97" s="11"/>
      <c r="P97" s="2">
        <f>-513.95</f>
        <v>-513.95000000000005</v>
      </c>
      <c r="Q97" s="2"/>
      <c r="R97" s="19"/>
      <c r="S97" s="2"/>
      <c r="T97" s="2"/>
      <c r="U97" s="2"/>
      <c r="V97" s="19"/>
      <c r="W97" s="2"/>
      <c r="X97" s="2">
        <f t="shared" si="2"/>
        <v>-513.95000000000005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"4295", " - ", "SALES RETURN TAXABLE-CUSTOMER")</f>
        <v xml:space="preserve">          4295 - SALES RETURN TAXABLE-CUSTOMER</v>
      </c>
      <c r="C98" s="11"/>
      <c r="D98" s="2">
        <f t="shared" ref="D98:D101" si="7">0</f>
        <v>0</v>
      </c>
      <c r="E98" s="2"/>
      <c r="F98" s="19"/>
      <c r="G98" s="2"/>
      <c r="H98" s="2"/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--0.99</f>
        <v>0.99</v>
      </c>
      <c r="Q98" s="2"/>
      <c r="R98" s="19"/>
      <c r="S98" s="2"/>
      <c r="T98" s="2"/>
      <c r="U98" s="2"/>
      <c r="V98" s="19"/>
      <c r="W98" s="2"/>
      <c r="X98" s="2">
        <f t="shared" si="2"/>
        <v>0.99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"4301", " - ", "SALES RETURN NON TAXABLE-NEW T")</f>
        <v xml:space="preserve">          4301 - SALES RETURN NON TAXABLE-NEW T</v>
      </c>
      <c r="C99" s="11"/>
      <c r="D99" s="2">
        <f t="shared" si="7"/>
        <v>0</v>
      </c>
      <c r="E99" s="2"/>
      <c r="F99" s="19"/>
      <c r="G99" s="2"/>
      <c r="H99" s="2"/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>-15221.62</f>
        <v>-15221.62</v>
      </c>
      <c r="Q99" s="2"/>
      <c r="R99" s="19"/>
      <c r="S99" s="2"/>
      <c r="T99" s="2"/>
      <c r="U99" s="2"/>
      <c r="V99" s="19"/>
      <c r="W99" s="2"/>
      <c r="X99" s="2">
        <f t="shared" si="2"/>
        <v>-15221.62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"4302", " - ", "SALES RETURN NON TAXABLE-TEXT")</f>
        <v xml:space="preserve">          4302 - SALES RETURN NON TAXABLE-TEXT</v>
      </c>
      <c r="C100" s="11"/>
      <c r="D100" s="2">
        <f t="shared" si="7"/>
        <v>0</v>
      </c>
      <c r="E100" s="2"/>
      <c r="F100" s="19"/>
      <c r="G100" s="2"/>
      <c r="H100" s="2"/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>-1312.37</f>
        <v>-1312.37</v>
      </c>
      <c r="Q100" s="2"/>
      <c r="R100" s="19"/>
      <c r="S100" s="2"/>
      <c r="T100" s="2"/>
      <c r="U100" s="2"/>
      <c r="V100" s="19"/>
      <c r="W100" s="2"/>
      <c r="X100" s="2">
        <f t="shared" si="2"/>
        <v>-1312.37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"4303", " - ", "SALES RETURN NON-TAXABLE-RENTA")</f>
        <v xml:space="preserve">          4303 - SALES RETURN NON-TAXABLE-RENTA</v>
      </c>
      <c r="C101" s="11"/>
      <c r="D101" s="2">
        <f t="shared" si="7"/>
        <v>0</v>
      </c>
      <c r="E101" s="2"/>
      <c r="F101" s="19"/>
      <c r="G101" s="2"/>
      <c r="H101" s="2"/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-184.99</f>
        <v>-184.99</v>
      </c>
      <c r="Q101" s="2"/>
      <c r="R101" s="19"/>
      <c r="S101" s="2"/>
      <c r="T101" s="2"/>
      <c r="U101" s="2"/>
      <c r="V101" s="19"/>
      <c r="W101" s="2"/>
      <c r="X101" s="2">
        <f t="shared" si="2"/>
        <v>-184.99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"4304", " - ", "SALES RETURN NON TAXABLE-DIGIT")</f>
        <v xml:space="preserve">          4304 - SALES RETURN NON TAXABLE-DIGIT</v>
      </c>
      <c r="C102" s="11"/>
      <c r="D102" s="2">
        <f>-44.15</f>
        <v>-44.15</v>
      </c>
      <c r="E102" s="2"/>
      <c r="F102" s="19"/>
      <c r="G102" s="2"/>
      <c r="H102" s="2"/>
      <c r="I102" s="2"/>
      <c r="J102" s="19"/>
      <c r="K102" s="2"/>
      <c r="L102" s="2">
        <f t="shared" si="0"/>
        <v>-44.15</v>
      </c>
      <c r="M102" s="2"/>
      <c r="N102" s="19">
        <f t="shared" si="1"/>
        <v>0</v>
      </c>
      <c r="O102" s="11"/>
      <c r="P102" s="2">
        <f>-19036.13</f>
        <v>-19036.13</v>
      </c>
      <c r="Q102" s="2"/>
      <c r="R102" s="19"/>
      <c r="S102" s="2"/>
      <c r="T102" s="2"/>
      <c r="U102" s="2"/>
      <c r="V102" s="19"/>
      <c r="W102" s="2"/>
      <c r="X102" s="2">
        <f t="shared" si="2"/>
        <v>-19036.13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"4311", " - ", "SALES RETURN NON TAXABLE-NO VA")</f>
        <v xml:space="preserve">          4311 - SALES RETURN NON TAXABLE-NO VA</v>
      </c>
      <c r="C103" s="11"/>
      <c r="D103" s="2">
        <f>-57.9</f>
        <v>-57.9</v>
      </c>
      <c r="E103" s="2"/>
      <c r="F103" s="19"/>
      <c r="G103" s="2"/>
      <c r="H103" s="2"/>
      <c r="I103" s="2"/>
      <c r="J103" s="19"/>
      <c r="K103" s="2"/>
      <c r="L103" s="2">
        <f t="shared" si="0"/>
        <v>-57.9</v>
      </c>
      <c r="M103" s="2"/>
      <c r="N103" s="19">
        <f t="shared" si="1"/>
        <v>0</v>
      </c>
      <c r="O103" s="11"/>
      <c r="P103" s="2">
        <f>-852.66</f>
        <v>-852.66</v>
      </c>
      <c r="Q103" s="2"/>
      <c r="R103" s="19"/>
      <c r="S103" s="2"/>
      <c r="T103" s="2"/>
      <c r="U103" s="2"/>
      <c r="V103" s="19"/>
      <c r="W103" s="2"/>
      <c r="X103" s="2">
        <f t="shared" si="2"/>
        <v>-852.66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"4327", " - ", "SALES RETURN NON TAXABLE-SCHOO")</f>
        <v xml:space="preserve">          4327 - SALES RETURN NON TAXABLE-SCHOO</v>
      </c>
      <c r="C104" s="11"/>
      <c r="D104" s="2">
        <f>0</f>
        <v>0</v>
      </c>
      <c r="E104" s="2"/>
      <c r="F104" s="19"/>
      <c r="G104" s="2"/>
      <c r="H104" s="2"/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>-21.87</f>
        <v>-21.87</v>
      </c>
      <c r="Q104" s="2"/>
      <c r="R104" s="19"/>
      <c r="S104" s="2"/>
      <c r="T104" s="2"/>
      <c r="U104" s="2"/>
      <c r="V104" s="19"/>
      <c r="W104" s="2"/>
      <c r="X104" s="2">
        <f t="shared" si="2"/>
        <v>-21.87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"4331", " - ", "SALES RETURN NON TAXABLE-FOOD")</f>
        <v xml:space="preserve">          4331 - SALES RETURN NON TAXABLE-FOOD</v>
      </c>
      <c r="C105" s="11"/>
      <c r="D105" s="2">
        <f>-4.99</f>
        <v>-4.99</v>
      </c>
      <c r="E105" s="2"/>
      <c r="F105" s="19"/>
      <c r="G105" s="2"/>
      <c r="H105" s="2"/>
      <c r="I105" s="2"/>
      <c r="J105" s="19"/>
      <c r="K105" s="2"/>
      <c r="L105" s="2">
        <f t="shared" si="0"/>
        <v>-4.99</v>
      </c>
      <c r="M105" s="2"/>
      <c r="N105" s="19">
        <f t="shared" si="1"/>
        <v>0</v>
      </c>
      <c r="O105" s="11"/>
      <c r="P105" s="2">
        <f>-12.57</f>
        <v>-12.57</v>
      </c>
      <c r="Q105" s="2"/>
      <c r="R105" s="19"/>
      <c r="S105" s="2"/>
      <c r="T105" s="2"/>
      <c r="U105" s="2"/>
      <c r="V105" s="19"/>
      <c r="W105" s="2"/>
      <c r="X105" s="2">
        <f t="shared" si="2"/>
        <v>-12.57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"4332", " - ", "SALES RETURN NON TAXABLE-JUICE")</f>
        <v xml:space="preserve">          4332 - SALES RETURN NON TAXABLE-JUICE</v>
      </c>
      <c r="C106" s="11"/>
      <c r="D106" s="2">
        <f>0</f>
        <v>0</v>
      </c>
      <c r="E106" s="2"/>
      <c r="F106" s="19"/>
      <c r="G106" s="2"/>
      <c r="H106" s="2"/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>-2.79</f>
        <v>-2.79</v>
      </c>
      <c r="Q106" s="2"/>
      <c r="R106" s="19"/>
      <c r="S106" s="2"/>
      <c r="T106" s="2"/>
      <c r="U106" s="2"/>
      <c r="V106" s="19"/>
      <c r="W106" s="2"/>
      <c r="X106" s="2">
        <f t="shared" si="2"/>
        <v>-2.79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"4340", " - ", "SALES RETURN NON TAXABLE-LOGO")</f>
        <v xml:space="preserve">          4340 - SALES RETURN NON TAXABLE-LOGO</v>
      </c>
      <c r="C107" s="11"/>
      <c r="D107" s="2">
        <f>-63.8</f>
        <v>-63.8</v>
      </c>
      <c r="E107" s="2"/>
      <c r="F107" s="19"/>
      <c r="G107" s="2"/>
      <c r="H107" s="2"/>
      <c r="I107" s="2"/>
      <c r="J107" s="19"/>
      <c r="K107" s="2"/>
      <c r="L107" s="2">
        <f t="shared" si="0"/>
        <v>-63.8</v>
      </c>
      <c r="M107" s="2"/>
      <c r="N107" s="19">
        <f t="shared" si="1"/>
        <v>0</v>
      </c>
      <c r="O107" s="11"/>
      <c r="P107" s="2">
        <f>-995.45</f>
        <v>-995.45</v>
      </c>
      <c r="Q107" s="2"/>
      <c r="R107" s="19"/>
      <c r="S107" s="2"/>
      <c r="T107" s="2"/>
      <c r="U107" s="2"/>
      <c r="V107" s="19"/>
      <c r="W107" s="2"/>
      <c r="X107" s="2">
        <f t="shared" si="2"/>
        <v>-995.45</v>
      </c>
      <c r="Y107" s="2"/>
      <c r="Z107" s="19">
        <f t="shared" si="3"/>
        <v>0</v>
      </c>
    </row>
    <row r="108" spans="1:26" s="24" customFormat="1" hidden="1" outlineLevel="1" x14ac:dyDescent="0.25">
      <c r="A108" s="44"/>
      <c r="B108" s="11" t="str">
        <f>CONCATENATE("          ", "4341", " - ", "SALES RETURN NON TAXABLE-LOGO")</f>
        <v xml:space="preserve">          4341 - SALES RETURN NON TAXABLE-LOGO</v>
      </c>
      <c r="C108" s="11"/>
      <c r="D108" s="2">
        <f t="shared" ref="D108:D110" si="8">0</f>
        <v>0</v>
      </c>
      <c r="E108" s="2"/>
      <c r="F108" s="19"/>
      <c r="G108" s="2"/>
      <c r="H108" s="2"/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>-245.5</f>
        <v>-245.5</v>
      </c>
      <c r="Q108" s="2"/>
      <c r="R108" s="19"/>
      <c r="S108" s="2"/>
      <c r="T108" s="2"/>
      <c r="U108" s="2"/>
      <c r="V108" s="19"/>
      <c r="W108" s="2"/>
      <c r="X108" s="2">
        <f t="shared" si="2"/>
        <v>-245.5</v>
      </c>
      <c r="Y108" s="2"/>
      <c r="Z108" s="19">
        <f t="shared" si="3"/>
        <v>0</v>
      </c>
    </row>
    <row r="109" spans="1:26" s="24" customFormat="1" hidden="1" outlineLevel="1" x14ac:dyDescent="0.25">
      <c r="A109" s="44"/>
      <c r="B109" s="11" t="str">
        <f>CONCATENATE("          ", "4342", " - ", "SALES RETURN NON TAXABLE-EVERY")</f>
        <v xml:space="preserve">          4342 - SALES RETURN NON TAXABLE-EVERY</v>
      </c>
      <c r="C109" s="11"/>
      <c r="D109" s="2">
        <f t="shared" si="8"/>
        <v>0</v>
      </c>
      <c r="E109" s="2"/>
      <c r="F109" s="19"/>
      <c r="G109" s="2"/>
      <c r="H109" s="2"/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1"/>
      <c r="P109" s="2">
        <f>-149.22</f>
        <v>-149.22</v>
      </c>
      <c r="Q109" s="2"/>
      <c r="R109" s="19"/>
      <c r="S109" s="2"/>
      <c r="T109" s="2"/>
      <c r="U109" s="2"/>
      <c r="V109" s="19"/>
      <c r="W109" s="2"/>
      <c r="X109" s="2">
        <f t="shared" si="2"/>
        <v>-149.22</v>
      </c>
      <c r="Y109" s="2"/>
      <c r="Z109" s="19">
        <f t="shared" si="3"/>
        <v>0</v>
      </c>
    </row>
    <row r="110" spans="1:26" s="24" customFormat="1" hidden="1" outlineLevel="1" x14ac:dyDescent="0.25">
      <c r="A110" s="44"/>
      <c r="B110" s="11" t="str">
        <f>CONCATENATE("          ", "4346", " - ", "SALES RETURN NON TAXABLE-COIN-")</f>
        <v xml:space="preserve">          4346 - SALES RETURN NON TAXABLE-COIN-</v>
      </c>
      <c r="C110" s="11"/>
      <c r="D110" s="2">
        <f t="shared" si="8"/>
        <v>0</v>
      </c>
      <c r="E110" s="2"/>
      <c r="F110" s="19"/>
      <c r="G110" s="2"/>
      <c r="H110" s="2"/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1"/>
      <c r="P110" s="2">
        <f>-8.15</f>
        <v>-8.15</v>
      </c>
      <c r="Q110" s="2"/>
      <c r="R110" s="19"/>
      <c r="S110" s="2"/>
      <c r="T110" s="2"/>
      <c r="U110" s="2"/>
      <c r="V110" s="19"/>
      <c r="W110" s="2"/>
      <c r="X110" s="2">
        <f t="shared" si="2"/>
        <v>-8.15</v>
      </c>
      <c r="Y110" s="2"/>
      <c r="Z110" s="19">
        <f t="shared" si="3"/>
        <v>0</v>
      </c>
    </row>
    <row r="111" spans="1:26" s="24" customFormat="1" hidden="1" outlineLevel="1" x14ac:dyDescent="0.25">
      <c r="A111" s="44"/>
      <c r="B111" s="11" t="str">
        <f>CONCATENATE("          ", "4347", " - ", "SALES RETURN NON TAXABLE-MISC")</f>
        <v xml:space="preserve">          4347 - SALES RETURN NON TAXABLE-MISC</v>
      </c>
      <c r="C111" s="11"/>
      <c r="D111" s="2">
        <f>-84</f>
        <v>-84</v>
      </c>
      <c r="E111" s="2"/>
      <c r="F111" s="19"/>
      <c r="G111" s="2"/>
      <c r="H111" s="2"/>
      <c r="I111" s="2"/>
      <c r="J111" s="19"/>
      <c r="K111" s="2"/>
      <c r="L111" s="2">
        <f t="shared" si="0"/>
        <v>-84</v>
      </c>
      <c r="M111" s="2"/>
      <c r="N111" s="19">
        <f t="shared" si="1"/>
        <v>0</v>
      </c>
      <c r="O111" s="11"/>
      <c r="P111" s="2">
        <f>-84</f>
        <v>-84</v>
      </c>
      <c r="Q111" s="2"/>
      <c r="R111" s="19"/>
      <c r="S111" s="2"/>
      <c r="T111" s="2"/>
      <c r="U111" s="2"/>
      <c r="V111" s="19"/>
      <c r="W111" s="2"/>
      <c r="X111" s="2">
        <f t="shared" si="2"/>
        <v>-84</v>
      </c>
      <c r="Y111" s="2"/>
      <c r="Z111" s="19">
        <f t="shared" si="3"/>
        <v>0</v>
      </c>
    </row>
    <row r="112" spans="1:26" x14ac:dyDescent="0.25">
      <c r="A112" s="9"/>
      <c r="B112" s="10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collapsed="1" x14ac:dyDescent="0.25">
      <c r="A113" s="10"/>
      <c r="B113" s="29" t="s">
        <v>8</v>
      </c>
      <c r="C113" s="10"/>
      <c r="D113" s="4">
        <f>SUM(OSRRefD16x_0)</f>
        <v>177631.7999999999</v>
      </c>
      <c r="E113" s="4"/>
      <c r="F113" s="12">
        <f t="shared" ref="F113:F166" si="9">IF(D$12=0,0,D113/D$12)</f>
        <v>0.45025097758704102</v>
      </c>
      <c r="G113" s="4"/>
      <c r="H113" s="4">
        <f>SUM(OSRRefH16x_0)</f>
        <v>560029.41776999994</v>
      </c>
      <c r="I113" s="4"/>
      <c r="J113" s="12">
        <f t="shared" ref="J113:J166" si="10">IF(H$12=0,0,H113/H$12)</f>
        <v>0.43124885388854345</v>
      </c>
      <c r="K113" s="4"/>
      <c r="L113" s="4">
        <f t="shared" ref="L113:L166" si="11">+D113-H113</f>
        <v>-382397.61777000001</v>
      </c>
      <c r="M113" s="4"/>
      <c r="N113" s="12">
        <f t="shared" ref="N113:N166" si="12">IF(H113=0,0,L113/H113)</f>
        <v>-0.68281701931423888</v>
      </c>
      <c r="O113" s="10"/>
      <c r="P113" s="4">
        <f>SUM(OSRRefP16x_0)</f>
        <v>6141939.9199999999</v>
      </c>
      <c r="Q113" s="4"/>
      <c r="R113" s="12">
        <f t="shared" ref="R113:R166" si="13">IF(P$12=0,0,P113/P$12)</f>
        <v>0.56025164122840421</v>
      </c>
      <c r="S113" s="4"/>
      <c r="T113" s="4">
        <f>SUM(OSRRefT16x_0)</f>
        <v>6888827.3720000004</v>
      </c>
      <c r="U113" s="4"/>
      <c r="V113" s="12">
        <f t="shared" ref="V113:V166" si="14">IF(T$12=0,0,T113/T$12)</f>
        <v>0.55245277358775746</v>
      </c>
      <c r="W113" s="4"/>
      <c r="X113" s="4">
        <f t="shared" ref="X113:X166" si="15">+P113-T113</f>
        <v>-746887.45200000051</v>
      </c>
      <c r="Y113" s="4"/>
      <c r="Z113" s="12">
        <f t="shared" ref="Z113:Z166" si="16">IF(T113=0,0,X113/T113)</f>
        <v>-0.1084201144356968</v>
      </c>
    </row>
    <row r="114" spans="1:26" s="24" customFormat="1" hidden="1" outlineLevel="1" x14ac:dyDescent="0.25">
      <c r="A114" s="44"/>
      <c r="B114" s="11" t="str">
        <f>CONCATENATE("          ", "5000", " - ", "PURCHASES @ COST")</f>
        <v xml:space="preserve">          5000 - PURCHASES @ COST</v>
      </c>
      <c r="C114" s="11"/>
      <c r="D114" s="2"/>
      <c r="E114" s="2"/>
      <c r="F114" s="19">
        <f t="shared" si="9"/>
        <v>0</v>
      </c>
      <c r="G114" s="2"/>
      <c r="H114" s="2">
        <v>560029.41776999994</v>
      </c>
      <c r="I114" s="2"/>
      <c r="J114" s="19">
        <f t="shared" si="10"/>
        <v>0.43124885388854345</v>
      </c>
      <c r="K114" s="2"/>
      <c r="L114" s="2">
        <f t="shared" si="11"/>
        <v>-560029.41776999994</v>
      </c>
      <c r="M114" s="2"/>
      <c r="N114" s="19">
        <f t="shared" si="12"/>
        <v>-1</v>
      </c>
      <c r="O114" s="11"/>
      <c r="P114" s="2"/>
      <c r="Q114" s="2"/>
      <c r="R114" s="19">
        <f t="shared" si="13"/>
        <v>0</v>
      </c>
      <c r="S114" s="2"/>
      <c r="T114" s="2">
        <v>6888827.3720000004</v>
      </c>
      <c r="U114" s="2"/>
      <c r="V114" s="19">
        <f t="shared" si="14"/>
        <v>0.55245277358775746</v>
      </c>
      <c r="W114" s="2"/>
      <c r="X114" s="2">
        <f t="shared" si="15"/>
        <v>-6888827.3720000004</v>
      </c>
      <c r="Y114" s="2"/>
      <c r="Z114" s="19">
        <f t="shared" si="16"/>
        <v>-1</v>
      </c>
    </row>
    <row r="115" spans="1:26" s="24" customFormat="1" hidden="1" outlineLevel="1" x14ac:dyDescent="0.25">
      <c r="A115" s="44"/>
      <c r="B115" s="11" t="str">
        <f>CONCATENATE("          ", "5001", " - ", "PURCHASES @ COST-NEW TEXT")</f>
        <v xml:space="preserve">          5001 - PURCHASES @ COST-NEW TEXT</v>
      </c>
      <c r="C115" s="11"/>
      <c r="D115" s="2">
        <v>-921934.35</v>
      </c>
      <c r="E115" s="2"/>
      <c r="F115" s="19">
        <f t="shared" si="9"/>
        <v>-2.3368667229548619</v>
      </c>
      <c r="G115" s="2"/>
      <c r="H115" s="2"/>
      <c r="I115" s="2"/>
      <c r="J115" s="19">
        <f t="shared" si="10"/>
        <v>0</v>
      </c>
      <c r="K115" s="2"/>
      <c r="L115" s="2">
        <f t="shared" si="11"/>
        <v>-921934.35</v>
      </c>
      <c r="M115" s="2"/>
      <c r="N115" s="19">
        <f t="shared" si="12"/>
        <v>0</v>
      </c>
      <c r="O115" s="11"/>
      <c r="P115" s="2">
        <v>1594665.1199999999</v>
      </c>
      <c r="Q115" s="2"/>
      <c r="R115" s="19">
        <f t="shared" si="13"/>
        <v>0.14546116737164211</v>
      </c>
      <c r="S115" s="2"/>
      <c r="T115" s="2"/>
      <c r="U115" s="2"/>
      <c r="V115" s="19">
        <f t="shared" si="14"/>
        <v>0</v>
      </c>
      <c r="W115" s="2"/>
      <c r="X115" s="2">
        <f t="shared" si="15"/>
        <v>1594665.1199999999</v>
      </c>
      <c r="Y115" s="2"/>
      <c r="Z115" s="19">
        <f t="shared" si="16"/>
        <v>0</v>
      </c>
    </row>
    <row r="116" spans="1:26" s="24" customFormat="1" hidden="1" outlineLevel="1" x14ac:dyDescent="0.25">
      <c r="A116" s="44"/>
      <c r="B116" s="11" t="str">
        <f>CONCATENATE("          ", "5002", " - ", "PURCHASES @ COST-USED TEXT")</f>
        <v xml:space="preserve">          5002 - PURCHASES @ COST-USED TEXT</v>
      </c>
      <c r="C116" s="11"/>
      <c r="D116" s="2">
        <v>74144.739999999991</v>
      </c>
      <c r="E116" s="2"/>
      <c r="F116" s="19">
        <f t="shared" si="9"/>
        <v>0.18793786736348445</v>
      </c>
      <c r="G116" s="2"/>
      <c r="H116" s="2"/>
      <c r="I116" s="2"/>
      <c r="J116" s="19">
        <f t="shared" si="10"/>
        <v>0</v>
      </c>
      <c r="K116" s="2"/>
      <c r="L116" s="2">
        <f t="shared" si="11"/>
        <v>74144.739999999991</v>
      </c>
      <c r="M116" s="2"/>
      <c r="N116" s="19">
        <f t="shared" si="12"/>
        <v>0</v>
      </c>
      <c r="O116" s="11"/>
      <c r="P116" s="2">
        <v>598700.11</v>
      </c>
      <c r="Q116" s="2"/>
      <c r="R116" s="19">
        <f t="shared" si="13"/>
        <v>5.4611852867347183E-2</v>
      </c>
      <c r="S116" s="2"/>
      <c r="T116" s="2"/>
      <c r="U116" s="2"/>
      <c r="V116" s="19">
        <f t="shared" si="14"/>
        <v>0</v>
      </c>
      <c r="W116" s="2"/>
      <c r="X116" s="2">
        <f t="shared" si="15"/>
        <v>598700.11</v>
      </c>
      <c r="Y116" s="2"/>
      <c r="Z116" s="19">
        <f t="shared" si="16"/>
        <v>0</v>
      </c>
    </row>
    <row r="117" spans="1:26" s="24" customFormat="1" hidden="1" outlineLevel="1" x14ac:dyDescent="0.25">
      <c r="A117" s="44"/>
      <c r="B117" s="11" t="str">
        <f>CONCATENATE("          ", "5003", " - ", "PURCHASES @ COST-RENTAL TEXT")</f>
        <v xml:space="preserve">          5003 - PURCHASES @ COST-RENTAL TEXT</v>
      </c>
      <c r="C117" s="11"/>
      <c r="D117" s="2"/>
      <c r="E117" s="2"/>
      <c r="F117" s="19">
        <f t="shared" si="9"/>
        <v>0</v>
      </c>
      <c r="G117" s="2"/>
      <c r="H117" s="2"/>
      <c r="I117" s="2"/>
      <c r="J117" s="19">
        <f t="shared" si="10"/>
        <v>0</v>
      </c>
      <c r="K117" s="2"/>
      <c r="L117" s="2">
        <f t="shared" si="11"/>
        <v>0</v>
      </c>
      <c r="M117" s="2"/>
      <c r="N117" s="19">
        <f t="shared" si="12"/>
        <v>0</v>
      </c>
      <c r="O117" s="11"/>
      <c r="P117" s="2">
        <v>-78.400000000000006</v>
      </c>
      <c r="Q117" s="2"/>
      <c r="R117" s="19">
        <f t="shared" si="13"/>
        <v>-7.1514422551217164E-6</v>
      </c>
      <c r="S117" s="2"/>
      <c r="T117" s="2"/>
      <c r="U117" s="2"/>
      <c r="V117" s="19">
        <f t="shared" si="14"/>
        <v>0</v>
      </c>
      <c r="W117" s="2"/>
      <c r="X117" s="2">
        <f t="shared" si="15"/>
        <v>-78.400000000000006</v>
      </c>
      <c r="Y117" s="2"/>
      <c r="Z117" s="19">
        <f t="shared" si="16"/>
        <v>0</v>
      </c>
    </row>
    <row r="118" spans="1:26" s="24" customFormat="1" hidden="1" outlineLevel="1" x14ac:dyDescent="0.25">
      <c r="A118" s="44"/>
      <c r="B118" s="11" t="str">
        <f>CONCATENATE("          ", "5004", " - ", "PURCHASES @ COST-DIGITAL TEXT")</f>
        <v xml:space="preserve">          5004 - PURCHASES @ COST-DIGITAL TEXT</v>
      </c>
      <c r="C118" s="11"/>
      <c r="D118" s="2">
        <v>-96834.95</v>
      </c>
      <c r="E118" s="2"/>
      <c r="F118" s="19">
        <f t="shared" si="9"/>
        <v>-0.24545172036815627</v>
      </c>
      <c r="G118" s="2"/>
      <c r="H118" s="2"/>
      <c r="I118" s="2"/>
      <c r="J118" s="19">
        <f t="shared" si="10"/>
        <v>0</v>
      </c>
      <c r="K118" s="2"/>
      <c r="L118" s="2">
        <f t="shared" si="11"/>
        <v>-96834.95</v>
      </c>
      <c r="M118" s="2"/>
      <c r="N118" s="19">
        <f t="shared" si="12"/>
        <v>0</v>
      </c>
      <c r="O118" s="11"/>
      <c r="P118" s="2">
        <v>438322.88</v>
      </c>
      <c r="Q118" s="2"/>
      <c r="R118" s="19">
        <f t="shared" si="13"/>
        <v>3.9982662824217412E-2</v>
      </c>
      <c r="S118" s="2"/>
      <c r="T118" s="2"/>
      <c r="U118" s="2"/>
      <c r="V118" s="19">
        <f t="shared" si="14"/>
        <v>0</v>
      </c>
      <c r="W118" s="2"/>
      <c r="X118" s="2">
        <f t="shared" si="15"/>
        <v>438322.88</v>
      </c>
      <c r="Y118" s="2"/>
      <c r="Z118" s="19">
        <f t="shared" si="16"/>
        <v>0</v>
      </c>
    </row>
    <row r="119" spans="1:26" s="24" customFormat="1" hidden="1" outlineLevel="1" x14ac:dyDescent="0.25">
      <c r="A119" s="44"/>
      <c r="B119" s="11" t="str">
        <f>CONCATENATE("          ", "5011", " - ", "PURCHASES @ COST-NO VALUE TEXT")</f>
        <v xml:space="preserve">          5011 - PURCHASES @ COST-NO VALUE TEXT</v>
      </c>
      <c r="C119" s="11"/>
      <c r="D119" s="2">
        <v>588</v>
      </c>
      <c r="E119" s="2"/>
      <c r="F119" s="19">
        <f t="shared" si="9"/>
        <v>1.4904289368298934E-3</v>
      </c>
      <c r="G119" s="2"/>
      <c r="H119" s="2"/>
      <c r="I119" s="2"/>
      <c r="J119" s="19">
        <f t="shared" si="10"/>
        <v>0</v>
      </c>
      <c r="K119" s="2"/>
      <c r="L119" s="2">
        <f t="shared" si="11"/>
        <v>588</v>
      </c>
      <c r="M119" s="2"/>
      <c r="N119" s="19">
        <f t="shared" si="12"/>
        <v>0</v>
      </c>
      <c r="O119" s="11"/>
      <c r="P119" s="2">
        <v>6321</v>
      </c>
      <c r="Q119" s="2"/>
      <c r="R119" s="19">
        <f t="shared" si="13"/>
        <v>5.7658503181918835E-4</v>
      </c>
      <c r="S119" s="2"/>
      <c r="T119" s="2"/>
      <c r="U119" s="2"/>
      <c r="V119" s="19">
        <f t="shared" si="14"/>
        <v>0</v>
      </c>
      <c r="W119" s="2"/>
      <c r="X119" s="2">
        <f t="shared" si="15"/>
        <v>6321</v>
      </c>
      <c r="Y119" s="2"/>
      <c r="Z119" s="19">
        <f t="shared" si="16"/>
        <v>0</v>
      </c>
    </row>
    <row r="120" spans="1:26" s="24" customFormat="1" hidden="1" outlineLevel="1" x14ac:dyDescent="0.25">
      <c r="A120" s="44"/>
      <c r="B120" s="11" t="str">
        <f>CONCATENATE("          ", "5013", " - ", "PURCHASES @ COST-TRADE BOOKS")</f>
        <v xml:space="preserve">          5013 - PURCHASES @ COST-TRADE BOOKS</v>
      </c>
      <c r="C120" s="11"/>
      <c r="D120" s="2">
        <v>3297.82</v>
      </c>
      <c r="E120" s="2"/>
      <c r="F120" s="19">
        <f t="shared" si="9"/>
        <v>8.3591264565584349E-3</v>
      </c>
      <c r="G120" s="2"/>
      <c r="H120" s="2"/>
      <c r="I120" s="2"/>
      <c r="J120" s="19">
        <f t="shared" si="10"/>
        <v>0</v>
      </c>
      <c r="K120" s="2"/>
      <c r="L120" s="2">
        <f t="shared" si="11"/>
        <v>3297.82</v>
      </c>
      <c r="M120" s="2"/>
      <c r="N120" s="19">
        <f t="shared" si="12"/>
        <v>0</v>
      </c>
      <c r="O120" s="11"/>
      <c r="P120" s="2">
        <v>6348.54</v>
      </c>
      <c r="Q120" s="2"/>
      <c r="R120" s="19">
        <f t="shared" si="13"/>
        <v>5.7909715834605121E-4</v>
      </c>
      <c r="S120" s="2"/>
      <c r="T120" s="2"/>
      <c r="U120" s="2"/>
      <c r="V120" s="19">
        <f t="shared" si="14"/>
        <v>0</v>
      </c>
      <c r="W120" s="2"/>
      <c r="X120" s="2">
        <f t="shared" si="15"/>
        <v>6348.54</v>
      </c>
      <c r="Y120" s="2"/>
      <c r="Z120" s="19">
        <f t="shared" si="16"/>
        <v>0</v>
      </c>
    </row>
    <row r="121" spans="1:26" s="24" customFormat="1" hidden="1" outlineLevel="1" x14ac:dyDescent="0.25">
      <c r="A121" s="44"/>
      <c r="B121" s="11" t="str">
        <f>CONCATENATE("          ", "5014", " - ", "PURCHASES @ COST-REMAINDERS")</f>
        <v xml:space="preserve">          5014 - PURCHASES @ COST-REMAINDERS</v>
      </c>
      <c r="C121" s="11"/>
      <c r="D121" s="2">
        <v>13.9</v>
      </c>
      <c r="E121" s="2"/>
      <c r="F121" s="19">
        <f t="shared" si="9"/>
        <v>3.5232928948869932E-5</v>
      </c>
      <c r="G121" s="2"/>
      <c r="H121" s="2"/>
      <c r="I121" s="2"/>
      <c r="J121" s="19">
        <f t="shared" si="10"/>
        <v>0</v>
      </c>
      <c r="K121" s="2"/>
      <c r="L121" s="2">
        <f t="shared" si="11"/>
        <v>13.9</v>
      </c>
      <c r="M121" s="2"/>
      <c r="N121" s="19">
        <f t="shared" si="12"/>
        <v>0</v>
      </c>
      <c r="O121" s="11"/>
      <c r="P121" s="2">
        <v>615.07000000000005</v>
      </c>
      <c r="Q121" s="2"/>
      <c r="R121" s="19">
        <f t="shared" si="13"/>
        <v>5.6105071273695332E-5</v>
      </c>
      <c r="S121" s="2"/>
      <c r="T121" s="2"/>
      <c r="U121" s="2"/>
      <c r="V121" s="19">
        <f t="shared" si="14"/>
        <v>0</v>
      </c>
      <c r="W121" s="2"/>
      <c r="X121" s="2">
        <f t="shared" si="15"/>
        <v>615.07000000000005</v>
      </c>
      <c r="Y121" s="2"/>
      <c r="Z121" s="19">
        <f t="shared" si="16"/>
        <v>0</v>
      </c>
    </row>
    <row r="122" spans="1:26" s="24" customFormat="1" hidden="1" outlineLevel="1" x14ac:dyDescent="0.25">
      <c r="A122" s="44"/>
      <c r="B122" s="11" t="str">
        <f>CONCATENATE("          ", "5017", " - ", "PURCHASES @ COST-DORM/HOUSEWAR")</f>
        <v xml:space="preserve">          5017 - PURCHASES @ COST-DORM/HOUSEWAR</v>
      </c>
      <c r="C122" s="11"/>
      <c r="D122" s="2">
        <v>14.46</v>
      </c>
      <c r="E122" s="2"/>
      <c r="F122" s="19">
        <f t="shared" si="9"/>
        <v>3.6652385079184117E-5</v>
      </c>
      <c r="G122" s="2"/>
      <c r="H122" s="2"/>
      <c r="I122" s="2"/>
      <c r="J122" s="19">
        <f t="shared" si="10"/>
        <v>0</v>
      </c>
      <c r="K122" s="2"/>
      <c r="L122" s="2">
        <f t="shared" si="11"/>
        <v>14.46</v>
      </c>
      <c r="M122" s="2"/>
      <c r="N122" s="19">
        <f t="shared" si="12"/>
        <v>0</v>
      </c>
      <c r="O122" s="11"/>
      <c r="P122" s="2">
        <v>14.46</v>
      </c>
      <c r="Q122" s="2"/>
      <c r="R122" s="19">
        <f t="shared" si="13"/>
        <v>1.3190032526665818E-6</v>
      </c>
      <c r="S122" s="2"/>
      <c r="T122" s="2"/>
      <c r="U122" s="2"/>
      <c r="V122" s="19">
        <f t="shared" si="14"/>
        <v>0</v>
      </c>
      <c r="W122" s="2"/>
      <c r="X122" s="2">
        <f t="shared" si="15"/>
        <v>14.46</v>
      </c>
      <c r="Y122" s="2"/>
      <c r="Z122" s="19">
        <f t="shared" si="16"/>
        <v>0</v>
      </c>
    </row>
    <row r="123" spans="1:26" s="24" customFormat="1" hidden="1" outlineLevel="1" x14ac:dyDescent="0.25">
      <c r="A123" s="44"/>
      <c r="B123" s="11" t="str">
        <f>CONCATENATE("          ", "5018", " - ", "PURCHASES @ COST-STUDY GUIDES")</f>
        <v xml:space="preserve">          5018 - PURCHASES @ COST-STUDY GUIDES</v>
      </c>
      <c r="C123" s="11"/>
      <c r="D123" s="2">
        <v>108.9</v>
      </c>
      <c r="E123" s="2"/>
      <c r="F123" s="19">
        <f t="shared" si="9"/>
        <v>2.7603352248431191E-4</v>
      </c>
      <c r="G123" s="2"/>
      <c r="H123" s="2"/>
      <c r="I123" s="2"/>
      <c r="J123" s="19">
        <f t="shared" si="10"/>
        <v>0</v>
      </c>
      <c r="K123" s="2"/>
      <c r="L123" s="2">
        <f t="shared" si="11"/>
        <v>108.9</v>
      </c>
      <c r="M123" s="2"/>
      <c r="N123" s="19">
        <f t="shared" si="12"/>
        <v>0</v>
      </c>
      <c r="O123" s="11"/>
      <c r="P123" s="2">
        <v>2377.33</v>
      </c>
      <c r="Q123" s="2"/>
      <c r="R123" s="19">
        <f t="shared" si="13"/>
        <v>2.1685380378021055E-4</v>
      </c>
      <c r="S123" s="2"/>
      <c r="T123" s="2"/>
      <c r="U123" s="2"/>
      <c r="V123" s="19">
        <f t="shared" si="14"/>
        <v>0</v>
      </c>
      <c r="W123" s="2"/>
      <c r="X123" s="2">
        <f t="shared" si="15"/>
        <v>2377.33</v>
      </c>
      <c r="Y123" s="2"/>
      <c r="Z123" s="19">
        <f t="shared" si="16"/>
        <v>0</v>
      </c>
    </row>
    <row r="124" spans="1:26" s="24" customFormat="1" hidden="1" outlineLevel="1" x14ac:dyDescent="0.25">
      <c r="A124" s="44"/>
      <c r="B124" s="11" t="str">
        <f>CONCATENATE("          ", "5025", " - ", "PURCHASES @ COST-TEST FORMS")</f>
        <v xml:space="preserve">          5025 - PURCHASES @ COST-TEST FORMS</v>
      </c>
      <c r="C124" s="11"/>
      <c r="D124" s="2">
        <v>-1</v>
      </c>
      <c r="E124" s="2"/>
      <c r="F124" s="19">
        <f t="shared" si="9"/>
        <v>-2.5347430898467576E-6</v>
      </c>
      <c r="G124" s="2"/>
      <c r="H124" s="2"/>
      <c r="I124" s="2"/>
      <c r="J124" s="19">
        <f t="shared" si="10"/>
        <v>0</v>
      </c>
      <c r="K124" s="2"/>
      <c r="L124" s="2">
        <f t="shared" si="11"/>
        <v>-1</v>
      </c>
      <c r="M124" s="2"/>
      <c r="N124" s="19">
        <f t="shared" si="12"/>
        <v>0</v>
      </c>
      <c r="O124" s="11"/>
      <c r="P124" s="2">
        <v>26400.390000000003</v>
      </c>
      <c r="Q124" s="2"/>
      <c r="R124" s="19">
        <f t="shared" si="13"/>
        <v>2.4081742933379185E-3</v>
      </c>
      <c r="S124" s="2"/>
      <c r="T124" s="2"/>
      <c r="U124" s="2"/>
      <c r="V124" s="19">
        <f t="shared" si="14"/>
        <v>0</v>
      </c>
      <c r="W124" s="2"/>
      <c r="X124" s="2">
        <f t="shared" si="15"/>
        <v>26400.390000000003</v>
      </c>
      <c r="Y124" s="2"/>
      <c r="Z124" s="19">
        <f t="shared" si="16"/>
        <v>0</v>
      </c>
    </row>
    <row r="125" spans="1:26" s="24" customFormat="1" hidden="1" outlineLevel="1" x14ac:dyDescent="0.25">
      <c r="A125" s="44"/>
      <c r="B125" s="11" t="str">
        <f>CONCATENATE("          ", "5026", " - ", "PURCHASES @ COST-WRITING INSTR")</f>
        <v xml:space="preserve">          5026 - PURCHASES @ COST-WRITING INSTR</v>
      </c>
      <c r="C125" s="11"/>
      <c r="D125" s="2">
        <v>3209.26</v>
      </c>
      <c r="E125" s="2"/>
      <c r="F125" s="19">
        <f t="shared" si="9"/>
        <v>8.1346496085216054E-3</v>
      </c>
      <c r="G125" s="2"/>
      <c r="H125" s="2"/>
      <c r="I125" s="2"/>
      <c r="J125" s="19">
        <f t="shared" si="10"/>
        <v>0</v>
      </c>
      <c r="K125" s="2"/>
      <c r="L125" s="2">
        <f t="shared" si="11"/>
        <v>3209.26</v>
      </c>
      <c r="M125" s="2"/>
      <c r="N125" s="19">
        <f t="shared" si="12"/>
        <v>0</v>
      </c>
      <c r="O125" s="11"/>
      <c r="P125" s="2">
        <v>48971.270000000004</v>
      </c>
      <c r="Q125" s="2"/>
      <c r="R125" s="19">
        <f t="shared" si="13"/>
        <v>4.4670307342471235E-3</v>
      </c>
      <c r="S125" s="2"/>
      <c r="T125" s="2"/>
      <c r="U125" s="2"/>
      <c r="V125" s="19">
        <f t="shared" si="14"/>
        <v>0</v>
      </c>
      <c r="W125" s="2"/>
      <c r="X125" s="2">
        <f t="shared" si="15"/>
        <v>48971.270000000004</v>
      </c>
      <c r="Y125" s="2"/>
      <c r="Z125" s="19">
        <f t="shared" si="16"/>
        <v>0</v>
      </c>
    </row>
    <row r="126" spans="1:26" s="24" customFormat="1" hidden="1" outlineLevel="1" x14ac:dyDescent="0.25">
      <c r="A126" s="44"/>
      <c r="B126" s="11" t="str">
        <f>CONCATENATE("          ", "5027", " - ", "PURCHASES @ COST-SCHOOL SUPPLI")</f>
        <v xml:space="preserve">          5027 - PURCHASES @ COST-SCHOOL SUPPLI</v>
      </c>
      <c r="C126" s="11"/>
      <c r="D126" s="2">
        <v>19253.84</v>
      </c>
      <c r="E126" s="2"/>
      <c r="F126" s="19">
        <f t="shared" si="9"/>
        <v>4.8803537893015093E-2</v>
      </c>
      <c r="G126" s="2"/>
      <c r="H126" s="2"/>
      <c r="I126" s="2"/>
      <c r="J126" s="19">
        <f t="shared" si="10"/>
        <v>0</v>
      </c>
      <c r="K126" s="2"/>
      <c r="L126" s="2">
        <f t="shared" si="11"/>
        <v>19253.84</v>
      </c>
      <c r="M126" s="2"/>
      <c r="N126" s="19">
        <f t="shared" si="12"/>
        <v>0</v>
      </c>
      <c r="O126" s="11"/>
      <c r="P126" s="2">
        <v>137605.04</v>
      </c>
      <c r="Q126" s="2"/>
      <c r="R126" s="19">
        <f t="shared" si="13"/>
        <v>1.2551970632317781E-2</v>
      </c>
      <c r="S126" s="2"/>
      <c r="T126" s="2"/>
      <c r="U126" s="2"/>
      <c r="V126" s="19">
        <f t="shared" si="14"/>
        <v>0</v>
      </c>
      <c r="W126" s="2"/>
      <c r="X126" s="2">
        <f t="shared" si="15"/>
        <v>137605.04</v>
      </c>
      <c r="Y126" s="2"/>
      <c r="Z126" s="19">
        <f t="shared" si="16"/>
        <v>0</v>
      </c>
    </row>
    <row r="127" spans="1:26" s="24" customFormat="1" hidden="1" outlineLevel="1" x14ac:dyDescent="0.25">
      <c r="A127" s="44"/>
      <c r="B127" s="11" t="str">
        <f>CONCATENATE("          ", "5028", " - ", "PURCHASES @ COST-ART/TECH")</f>
        <v xml:space="preserve">          5028 - PURCHASES @ COST-ART/TECH</v>
      </c>
      <c r="C127" s="11"/>
      <c r="D127" s="2">
        <v>4417.37</v>
      </c>
      <c r="E127" s="2"/>
      <c r="F127" s="19">
        <f t="shared" si="9"/>
        <v>1.1196898082796371E-2</v>
      </c>
      <c r="G127" s="2"/>
      <c r="H127" s="2"/>
      <c r="I127" s="2"/>
      <c r="J127" s="19">
        <f t="shared" si="10"/>
        <v>0</v>
      </c>
      <c r="K127" s="2"/>
      <c r="L127" s="2">
        <f t="shared" si="11"/>
        <v>4417.37</v>
      </c>
      <c r="M127" s="2"/>
      <c r="N127" s="19">
        <f t="shared" si="12"/>
        <v>0</v>
      </c>
      <c r="O127" s="11"/>
      <c r="P127" s="2">
        <v>151070.15</v>
      </c>
      <c r="Q127" s="2"/>
      <c r="R127" s="19">
        <f t="shared" si="13"/>
        <v>1.378022263007112E-2</v>
      </c>
      <c r="S127" s="2"/>
      <c r="T127" s="2"/>
      <c r="U127" s="2"/>
      <c r="V127" s="19">
        <f t="shared" si="14"/>
        <v>0</v>
      </c>
      <c r="W127" s="2"/>
      <c r="X127" s="2">
        <f t="shared" si="15"/>
        <v>151070.15</v>
      </c>
      <c r="Y127" s="2"/>
      <c r="Z127" s="19">
        <f t="shared" si="16"/>
        <v>0</v>
      </c>
    </row>
    <row r="128" spans="1:26" s="24" customFormat="1" hidden="1" outlineLevel="1" x14ac:dyDescent="0.25">
      <c r="A128" s="44"/>
      <c r="B128" s="11" t="str">
        <f>CONCATENATE("          ", "5031", " - ", "PURCHASES @ COST-FOOD")</f>
        <v xml:space="preserve">          5031 - PURCHASES @ COST-FOOD</v>
      </c>
      <c r="C128" s="11"/>
      <c r="D128" s="2">
        <v>3113.82</v>
      </c>
      <c r="E128" s="2"/>
      <c r="F128" s="19">
        <f t="shared" si="9"/>
        <v>7.892733728026631E-3</v>
      </c>
      <c r="G128" s="2"/>
      <c r="H128" s="2"/>
      <c r="I128" s="2"/>
      <c r="J128" s="19">
        <f t="shared" si="10"/>
        <v>0</v>
      </c>
      <c r="K128" s="2"/>
      <c r="L128" s="2">
        <f t="shared" si="11"/>
        <v>3113.82</v>
      </c>
      <c r="M128" s="2"/>
      <c r="N128" s="19">
        <f t="shared" si="12"/>
        <v>0</v>
      </c>
      <c r="O128" s="11"/>
      <c r="P128" s="2">
        <v>33239.879999999997</v>
      </c>
      <c r="Q128" s="2"/>
      <c r="R128" s="19">
        <f t="shared" si="13"/>
        <v>3.0320546222853979E-3</v>
      </c>
      <c r="S128" s="2"/>
      <c r="T128" s="2"/>
      <c r="U128" s="2"/>
      <c r="V128" s="19">
        <f t="shared" si="14"/>
        <v>0</v>
      </c>
      <c r="W128" s="2"/>
      <c r="X128" s="2">
        <f t="shared" si="15"/>
        <v>33239.879999999997</v>
      </c>
      <c r="Y128" s="2"/>
      <c r="Z128" s="19">
        <f t="shared" si="16"/>
        <v>0</v>
      </c>
    </row>
    <row r="129" spans="1:26" s="24" customFormat="1" hidden="1" outlineLevel="1" x14ac:dyDescent="0.25">
      <c r="A129" s="44"/>
      <c r="B129" s="11" t="str">
        <f>CONCATENATE("          ", "5032", " - ", "PURCHASES @ COST-JUICE")</f>
        <v xml:space="preserve">          5032 - PURCHASES @ COST-JUICE</v>
      </c>
      <c r="C129" s="11"/>
      <c r="D129" s="2">
        <v>688.97</v>
      </c>
      <c r="E129" s="2"/>
      <c r="F129" s="19">
        <f t="shared" si="9"/>
        <v>1.7463619466117205E-3</v>
      </c>
      <c r="G129" s="2"/>
      <c r="H129" s="2"/>
      <c r="I129" s="2"/>
      <c r="J129" s="19">
        <f t="shared" si="10"/>
        <v>0</v>
      </c>
      <c r="K129" s="2"/>
      <c r="L129" s="2">
        <f t="shared" si="11"/>
        <v>688.97</v>
      </c>
      <c r="M129" s="2"/>
      <c r="N129" s="19">
        <f t="shared" si="12"/>
        <v>0</v>
      </c>
      <c r="O129" s="11"/>
      <c r="P129" s="2">
        <v>7802.45</v>
      </c>
      <c r="Q129" s="2"/>
      <c r="R129" s="19">
        <f t="shared" si="13"/>
        <v>7.1171901305452077E-4</v>
      </c>
      <c r="S129" s="2"/>
      <c r="T129" s="2"/>
      <c r="U129" s="2"/>
      <c r="V129" s="19">
        <f t="shared" si="14"/>
        <v>0</v>
      </c>
      <c r="W129" s="2"/>
      <c r="X129" s="2">
        <f t="shared" si="15"/>
        <v>7802.45</v>
      </c>
      <c r="Y129" s="2"/>
      <c r="Z129" s="19">
        <f t="shared" si="16"/>
        <v>0</v>
      </c>
    </row>
    <row r="130" spans="1:26" s="24" customFormat="1" hidden="1" outlineLevel="1" x14ac:dyDescent="0.25">
      <c r="A130" s="44"/>
      <c r="B130" s="11" t="str">
        <f>CONCATENATE("          ", "5033", " - ", "PURCHASES @ COST-CANDY")</f>
        <v xml:space="preserve">          5033 - PURCHASES @ COST-CANDY</v>
      </c>
      <c r="C130" s="11"/>
      <c r="D130" s="2">
        <v>1198.55</v>
      </c>
      <c r="E130" s="2"/>
      <c r="F130" s="19">
        <f t="shared" si="9"/>
        <v>3.0380163303358309E-3</v>
      </c>
      <c r="G130" s="2"/>
      <c r="H130" s="2"/>
      <c r="I130" s="2"/>
      <c r="J130" s="19">
        <f t="shared" si="10"/>
        <v>0</v>
      </c>
      <c r="K130" s="2"/>
      <c r="L130" s="2">
        <f t="shared" si="11"/>
        <v>1198.55</v>
      </c>
      <c r="M130" s="2"/>
      <c r="N130" s="19">
        <f t="shared" si="12"/>
        <v>0</v>
      </c>
      <c r="O130" s="11"/>
      <c r="P130" s="2">
        <v>10023.61</v>
      </c>
      <c r="Q130" s="2"/>
      <c r="R130" s="19">
        <f t="shared" si="13"/>
        <v>9.1432739927118094E-4</v>
      </c>
      <c r="S130" s="2"/>
      <c r="T130" s="2"/>
      <c r="U130" s="2"/>
      <c r="V130" s="19">
        <f t="shared" si="14"/>
        <v>0</v>
      </c>
      <c r="W130" s="2"/>
      <c r="X130" s="2">
        <f t="shared" si="15"/>
        <v>10023.61</v>
      </c>
      <c r="Y130" s="2"/>
      <c r="Z130" s="19">
        <f t="shared" si="16"/>
        <v>0</v>
      </c>
    </row>
    <row r="131" spans="1:26" s="24" customFormat="1" hidden="1" outlineLevel="1" x14ac:dyDescent="0.25">
      <c r="A131" s="44"/>
      <c r="B131" s="11" t="str">
        <f>CONCATENATE("          ", "5034", " - ", "PURCHASES @ COST-SODA")</f>
        <v xml:space="preserve">          5034 - PURCHASES @ COST-SODA</v>
      </c>
      <c r="C131" s="11"/>
      <c r="D131" s="2">
        <v>271.79000000000002</v>
      </c>
      <c r="E131" s="2"/>
      <c r="F131" s="19">
        <f t="shared" si="9"/>
        <v>6.889178243894503E-4</v>
      </c>
      <c r="G131" s="2"/>
      <c r="H131" s="2"/>
      <c r="I131" s="2"/>
      <c r="J131" s="19">
        <f t="shared" si="10"/>
        <v>0</v>
      </c>
      <c r="K131" s="2"/>
      <c r="L131" s="2">
        <f t="shared" si="11"/>
        <v>271.79000000000002</v>
      </c>
      <c r="M131" s="2"/>
      <c r="N131" s="19">
        <f t="shared" si="12"/>
        <v>0</v>
      </c>
      <c r="O131" s="11"/>
      <c r="P131" s="2">
        <v>4033.88</v>
      </c>
      <c r="Q131" s="2"/>
      <c r="R131" s="19">
        <f t="shared" si="13"/>
        <v>3.679599475011529E-4</v>
      </c>
      <c r="S131" s="2"/>
      <c r="T131" s="2"/>
      <c r="U131" s="2"/>
      <c r="V131" s="19">
        <f t="shared" si="14"/>
        <v>0</v>
      </c>
      <c r="W131" s="2"/>
      <c r="X131" s="2">
        <f t="shared" si="15"/>
        <v>4033.88</v>
      </c>
      <c r="Y131" s="2"/>
      <c r="Z131" s="19">
        <f t="shared" si="16"/>
        <v>0</v>
      </c>
    </row>
    <row r="132" spans="1:26" s="24" customFormat="1" hidden="1" outlineLevel="1" x14ac:dyDescent="0.25">
      <c r="A132" s="44"/>
      <c r="B132" s="11" t="str">
        <f>CONCATENATE("          ", "5035", " - ", "PURCHASES @ COST-HEALTH &amp; BEAU")</f>
        <v xml:space="preserve">          5035 - PURCHASES @ COST-HEALTH &amp; BEAU</v>
      </c>
      <c r="C132" s="11"/>
      <c r="D132" s="2">
        <v>61.98</v>
      </c>
      <c r="E132" s="2"/>
      <c r="F132" s="19">
        <f t="shared" si="9"/>
        <v>1.5710337670870201E-4</v>
      </c>
      <c r="G132" s="2"/>
      <c r="H132" s="2"/>
      <c r="I132" s="2"/>
      <c r="J132" s="19">
        <f t="shared" si="10"/>
        <v>0</v>
      </c>
      <c r="K132" s="2"/>
      <c r="L132" s="2">
        <f t="shared" si="11"/>
        <v>61.98</v>
      </c>
      <c r="M132" s="2"/>
      <c r="N132" s="19">
        <f t="shared" si="12"/>
        <v>0</v>
      </c>
      <c r="O132" s="11"/>
      <c r="P132" s="2">
        <v>1117.6500000000001</v>
      </c>
      <c r="Q132" s="2"/>
      <c r="R132" s="19">
        <f t="shared" si="13"/>
        <v>1.0194909995455084E-4</v>
      </c>
      <c r="S132" s="2"/>
      <c r="T132" s="2"/>
      <c r="U132" s="2"/>
      <c r="V132" s="19">
        <f t="shared" si="14"/>
        <v>0</v>
      </c>
      <c r="W132" s="2"/>
      <c r="X132" s="2">
        <f t="shared" si="15"/>
        <v>1117.6500000000001</v>
      </c>
      <c r="Y132" s="2"/>
      <c r="Z132" s="19">
        <f t="shared" si="16"/>
        <v>0</v>
      </c>
    </row>
    <row r="133" spans="1:26" s="24" customFormat="1" hidden="1" outlineLevel="1" x14ac:dyDescent="0.25">
      <c r="A133" s="44"/>
      <c r="B133" s="11" t="str">
        <f>CONCATENATE("          ", "5037", " - ", "PURCHASES @ COST-WATER")</f>
        <v xml:space="preserve">          5037 - PURCHASES @ COST-WATER</v>
      </c>
      <c r="C133" s="11"/>
      <c r="D133" s="2">
        <v>393.84</v>
      </c>
      <c r="E133" s="2"/>
      <c r="F133" s="19">
        <f t="shared" si="9"/>
        <v>9.9828321850524687E-4</v>
      </c>
      <c r="G133" s="2"/>
      <c r="H133" s="2"/>
      <c r="I133" s="2"/>
      <c r="J133" s="19">
        <f t="shared" si="10"/>
        <v>0</v>
      </c>
      <c r="K133" s="2"/>
      <c r="L133" s="2">
        <f t="shared" si="11"/>
        <v>393.84</v>
      </c>
      <c r="M133" s="2"/>
      <c r="N133" s="19">
        <f t="shared" si="12"/>
        <v>0</v>
      </c>
      <c r="O133" s="11"/>
      <c r="P133" s="2">
        <v>5693.57</v>
      </c>
      <c r="Q133" s="2"/>
      <c r="R133" s="19">
        <f t="shared" si="13"/>
        <v>5.1935251378180285E-4</v>
      </c>
      <c r="S133" s="2"/>
      <c r="T133" s="2"/>
      <c r="U133" s="2"/>
      <c r="V133" s="19">
        <f t="shared" si="14"/>
        <v>0</v>
      </c>
      <c r="W133" s="2"/>
      <c r="X133" s="2">
        <f t="shared" si="15"/>
        <v>5693.57</v>
      </c>
      <c r="Y133" s="2"/>
      <c r="Z133" s="19">
        <f t="shared" si="16"/>
        <v>0</v>
      </c>
    </row>
    <row r="134" spans="1:26" s="24" customFormat="1" hidden="1" outlineLevel="1" x14ac:dyDescent="0.25">
      <c r="A134" s="44"/>
      <c r="B134" s="11" t="str">
        <f>CONCATENATE("          ", "5040", " - ", "PURCHASES @ COST-LOGO CLOTHING")</f>
        <v xml:space="preserve">          5040 - PURCHASES @ COST-LOGO CLOTHING</v>
      </c>
      <c r="C134" s="11"/>
      <c r="D134" s="2">
        <v>65352.979999999996</v>
      </c>
      <c r="E134" s="2"/>
      <c r="F134" s="19">
        <f t="shared" si="9"/>
        <v>0.16565301445589334</v>
      </c>
      <c r="G134" s="2"/>
      <c r="H134" s="2"/>
      <c r="I134" s="2"/>
      <c r="J134" s="19">
        <f t="shared" si="10"/>
        <v>0</v>
      </c>
      <c r="K134" s="2"/>
      <c r="L134" s="2">
        <f t="shared" si="11"/>
        <v>65352.979999999996</v>
      </c>
      <c r="M134" s="2"/>
      <c r="N134" s="19">
        <f t="shared" si="12"/>
        <v>0</v>
      </c>
      <c r="O134" s="11"/>
      <c r="P134" s="2">
        <v>966898.54</v>
      </c>
      <c r="Q134" s="2"/>
      <c r="R134" s="19">
        <f t="shared" si="13"/>
        <v>8.8197947389942535E-2</v>
      </c>
      <c r="S134" s="2"/>
      <c r="T134" s="2"/>
      <c r="U134" s="2"/>
      <c r="V134" s="19">
        <f t="shared" si="14"/>
        <v>0</v>
      </c>
      <c r="W134" s="2"/>
      <c r="X134" s="2">
        <f t="shared" si="15"/>
        <v>966898.54</v>
      </c>
      <c r="Y134" s="2"/>
      <c r="Z134" s="19">
        <f t="shared" si="16"/>
        <v>0</v>
      </c>
    </row>
    <row r="135" spans="1:26" s="24" customFormat="1" hidden="1" outlineLevel="1" x14ac:dyDescent="0.25">
      <c r="A135" s="44"/>
      <c r="B135" s="11" t="str">
        <f>CONCATENATE("          ", "5041", " - ", "PURCHASES @ COST-LOGO GIFTS")</f>
        <v xml:space="preserve">          5041 - PURCHASES @ COST-LOGO GIFTS</v>
      </c>
      <c r="C135" s="11"/>
      <c r="D135" s="2">
        <v>15128.670000000002</v>
      </c>
      <c r="E135" s="2"/>
      <c r="F135" s="19">
        <f t="shared" si="9"/>
        <v>3.8347291741071952E-2</v>
      </c>
      <c r="G135" s="2"/>
      <c r="H135" s="2"/>
      <c r="I135" s="2"/>
      <c r="J135" s="19">
        <f t="shared" si="10"/>
        <v>0</v>
      </c>
      <c r="K135" s="2"/>
      <c r="L135" s="2">
        <f t="shared" si="11"/>
        <v>15128.670000000002</v>
      </c>
      <c r="M135" s="2"/>
      <c r="N135" s="19">
        <f t="shared" si="12"/>
        <v>0</v>
      </c>
      <c r="O135" s="11"/>
      <c r="P135" s="2">
        <v>149510.73000000001</v>
      </c>
      <c r="Q135" s="2"/>
      <c r="R135" s="19">
        <f t="shared" si="13"/>
        <v>1.3637976430052221E-2</v>
      </c>
      <c r="S135" s="2"/>
      <c r="T135" s="2"/>
      <c r="U135" s="2"/>
      <c r="V135" s="19">
        <f t="shared" si="14"/>
        <v>0</v>
      </c>
      <c r="W135" s="2"/>
      <c r="X135" s="2">
        <f t="shared" si="15"/>
        <v>149510.73000000001</v>
      </c>
      <c r="Y135" s="2"/>
      <c r="Z135" s="19">
        <f t="shared" si="16"/>
        <v>0</v>
      </c>
    </row>
    <row r="136" spans="1:26" s="24" customFormat="1" hidden="1" outlineLevel="1" x14ac:dyDescent="0.25">
      <c r="A136" s="44"/>
      <c r="B136" s="11" t="str">
        <f>CONCATENATE("          ", "5042", " - ", "PURCHASES @ COST-EVERYDAY GIFT")</f>
        <v xml:space="preserve">          5042 - PURCHASES @ COST-EVERYDAY GIFT</v>
      </c>
      <c r="C136" s="11"/>
      <c r="D136" s="2">
        <v>15355.270000000002</v>
      </c>
      <c r="E136" s="2"/>
      <c r="F136" s="19">
        <f t="shared" si="9"/>
        <v>3.8921664525231228E-2</v>
      </c>
      <c r="G136" s="2"/>
      <c r="H136" s="2"/>
      <c r="I136" s="2"/>
      <c r="J136" s="19">
        <f t="shared" si="10"/>
        <v>0</v>
      </c>
      <c r="K136" s="2"/>
      <c r="L136" s="2">
        <f t="shared" si="11"/>
        <v>15355.270000000002</v>
      </c>
      <c r="M136" s="2"/>
      <c r="N136" s="19">
        <f t="shared" si="12"/>
        <v>0</v>
      </c>
      <c r="O136" s="11"/>
      <c r="P136" s="2">
        <v>115363.23999999999</v>
      </c>
      <c r="Q136" s="2"/>
      <c r="R136" s="19">
        <f t="shared" si="13"/>
        <v>1.0523132005404945E-2</v>
      </c>
      <c r="S136" s="2"/>
      <c r="T136" s="2"/>
      <c r="U136" s="2"/>
      <c r="V136" s="19">
        <f t="shared" si="14"/>
        <v>0</v>
      </c>
      <c r="W136" s="2"/>
      <c r="X136" s="2">
        <f t="shared" si="15"/>
        <v>115363.23999999999</v>
      </c>
      <c r="Y136" s="2"/>
      <c r="Z136" s="19">
        <f t="shared" si="16"/>
        <v>0</v>
      </c>
    </row>
    <row r="137" spans="1:26" s="24" customFormat="1" hidden="1" outlineLevel="1" x14ac:dyDescent="0.25">
      <c r="A137" s="44"/>
      <c r="B137" s="11" t="str">
        <f>CONCATENATE("          ", "5043", " - ", "PURCHASES @ COST-CARDS")</f>
        <v xml:space="preserve">          5043 - PURCHASES @ COST-CARDS</v>
      </c>
      <c r="C137" s="11"/>
      <c r="D137" s="2">
        <v>-4258.25</v>
      </c>
      <c r="E137" s="2"/>
      <c r="F137" s="19">
        <f t="shared" si="9"/>
        <v>-1.0793569762339954E-2</v>
      </c>
      <c r="G137" s="2"/>
      <c r="H137" s="2"/>
      <c r="I137" s="2"/>
      <c r="J137" s="19">
        <f t="shared" si="10"/>
        <v>0</v>
      </c>
      <c r="K137" s="2"/>
      <c r="L137" s="2">
        <f t="shared" si="11"/>
        <v>-4258.25</v>
      </c>
      <c r="M137" s="2"/>
      <c r="N137" s="19">
        <f t="shared" si="12"/>
        <v>0</v>
      </c>
      <c r="O137" s="11"/>
      <c r="P137" s="2">
        <v>24776.91</v>
      </c>
      <c r="Q137" s="2"/>
      <c r="R137" s="19">
        <f t="shared" si="13"/>
        <v>2.2600847082314768E-3</v>
      </c>
      <c r="S137" s="2"/>
      <c r="T137" s="2"/>
      <c r="U137" s="2"/>
      <c r="V137" s="19">
        <f t="shared" si="14"/>
        <v>0</v>
      </c>
      <c r="W137" s="2"/>
      <c r="X137" s="2">
        <f t="shared" si="15"/>
        <v>24776.91</v>
      </c>
      <c r="Y137" s="2"/>
      <c r="Z137" s="19">
        <f t="shared" si="16"/>
        <v>0</v>
      </c>
    </row>
    <row r="138" spans="1:26" s="24" customFormat="1" hidden="1" outlineLevel="1" x14ac:dyDescent="0.25">
      <c r="A138" s="44"/>
      <c r="B138" s="11" t="str">
        <f>CONCATENATE("          ", "5044", " - ", "PURCHASES @ COST-ACCESSORIES")</f>
        <v xml:space="preserve">          5044 - PURCHASES @ COST-ACCESSORIES</v>
      </c>
      <c r="C138" s="11"/>
      <c r="D138" s="2">
        <v>-1305.4100000000001</v>
      </c>
      <c r="E138" s="2"/>
      <c r="F138" s="19">
        <f t="shared" si="9"/>
        <v>-3.3088789769168559E-3</v>
      </c>
      <c r="G138" s="2"/>
      <c r="H138" s="2"/>
      <c r="I138" s="2"/>
      <c r="J138" s="19">
        <f t="shared" si="10"/>
        <v>0</v>
      </c>
      <c r="K138" s="2"/>
      <c r="L138" s="2">
        <f t="shared" si="11"/>
        <v>-1305.4100000000001</v>
      </c>
      <c r="M138" s="2"/>
      <c r="N138" s="19">
        <f t="shared" si="12"/>
        <v>0</v>
      </c>
      <c r="O138" s="11"/>
      <c r="P138" s="2">
        <v>32094.030000000002</v>
      </c>
      <c r="Q138" s="2"/>
      <c r="R138" s="19">
        <f t="shared" si="13"/>
        <v>2.9275331923360208E-3</v>
      </c>
      <c r="S138" s="2"/>
      <c r="T138" s="2"/>
      <c r="U138" s="2"/>
      <c r="V138" s="19">
        <f t="shared" si="14"/>
        <v>0</v>
      </c>
      <c r="W138" s="2"/>
      <c r="X138" s="2">
        <f t="shared" si="15"/>
        <v>32094.030000000002</v>
      </c>
      <c r="Y138" s="2"/>
      <c r="Z138" s="19">
        <f t="shared" si="16"/>
        <v>0</v>
      </c>
    </row>
    <row r="139" spans="1:26" s="24" customFormat="1" hidden="1" outlineLevel="1" x14ac:dyDescent="0.25">
      <c r="A139" s="44"/>
      <c r="B139" s="11" t="str">
        <f>CONCATENATE("          ", "5045", " - ", "PURCHASES @ COST-SPECIAL ORDER")</f>
        <v xml:space="preserve">          5045 - PURCHASES @ COST-SPECIAL ORDER</v>
      </c>
      <c r="C139" s="11"/>
      <c r="D139" s="2">
        <v>6736.47</v>
      </c>
      <c r="E139" s="2"/>
      <c r="F139" s="19">
        <f t="shared" si="9"/>
        <v>1.7075220782459988E-2</v>
      </c>
      <c r="G139" s="2"/>
      <c r="H139" s="2"/>
      <c r="I139" s="2"/>
      <c r="J139" s="19">
        <f t="shared" si="10"/>
        <v>0</v>
      </c>
      <c r="K139" s="2"/>
      <c r="L139" s="2">
        <f t="shared" si="11"/>
        <v>6736.47</v>
      </c>
      <c r="M139" s="2"/>
      <c r="N139" s="19">
        <f t="shared" si="12"/>
        <v>0</v>
      </c>
      <c r="O139" s="11"/>
      <c r="P139" s="2">
        <v>57701.25</v>
      </c>
      <c r="Q139" s="2"/>
      <c r="R139" s="19">
        <f t="shared" si="13"/>
        <v>5.2633565997875246E-3</v>
      </c>
      <c r="S139" s="2"/>
      <c r="T139" s="2"/>
      <c r="U139" s="2"/>
      <c r="V139" s="19">
        <f t="shared" si="14"/>
        <v>0</v>
      </c>
      <c r="W139" s="2"/>
      <c r="X139" s="2">
        <f t="shared" si="15"/>
        <v>57701.25</v>
      </c>
      <c r="Y139" s="2"/>
      <c r="Z139" s="19">
        <f t="shared" si="16"/>
        <v>0</v>
      </c>
    </row>
    <row r="140" spans="1:26" s="24" customFormat="1" hidden="1" outlineLevel="1" x14ac:dyDescent="0.25">
      <c r="A140" s="44"/>
      <c r="B140" s="11" t="str">
        <f>CONCATENATE("          ", "5053", " - ", "PURCHASES @ COST-FOOD")</f>
        <v xml:space="preserve">          5053 - PURCHASES @ COST-FOOD</v>
      </c>
      <c r="C140" s="11"/>
      <c r="D140" s="2">
        <v>76475.820000000007</v>
      </c>
      <c r="E140" s="2"/>
      <c r="F140" s="19">
        <f t="shared" si="9"/>
        <v>0.19384655628536446</v>
      </c>
      <c r="G140" s="2"/>
      <c r="H140" s="2"/>
      <c r="I140" s="2"/>
      <c r="J140" s="19">
        <f t="shared" si="10"/>
        <v>0</v>
      </c>
      <c r="K140" s="2"/>
      <c r="L140" s="2">
        <f t="shared" si="11"/>
        <v>76475.820000000007</v>
      </c>
      <c r="M140" s="2"/>
      <c r="N140" s="19">
        <f t="shared" si="12"/>
        <v>0</v>
      </c>
      <c r="O140" s="11"/>
      <c r="P140" s="2">
        <v>1162005.7899999998</v>
      </c>
      <c r="Q140" s="2"/>
      <c r="R140" s="19">
        <f t="shared" si="13"/>
        <v>0.10599511871558788</v>
      </c>
      <c r="S140" s="2"/>
      <c r="T140" s="2"/>
      <c r="U140" s="2"/>
      <c r="V140" s="19">
        <f t="shared" si="14"/>
        <v>0</v>
      </c>
      <c r="W140" s="2"/>
      <c r="X140" s="2">
        <f t="shared" si="15"/>
        <v>1162005.7899999998</v>
      </c>
      <c r="Y140" s="2"/>
      <c r="Z140" s="19">
        <f t="shared" si="16"/>
        <v>0</v>
      </c>
    </row>
    <row r="141" spans="1:26" s="24" customFormat="1" hidden="1" outlineLevel="1" x14ac:dyDescent="0.25">
      <c r="A141" s="44"/>
      <c r="B141" s="11" t="str">
        <f>CONCATENATE("          ", "5059", " - ", "PURCHASES @ COST-FOOD")</f>
        <v xml:space="preserve">          5059 - PURCHASES @ COST-FOOD</v>
      </c>
      <c r="C141" s="11"/>
      <c r="D141" s="2">
        <v>1713.78</v>
      </c>
      <c r="E141" s="2"/>
      <c r="F141" s="19">
        <f t="shared" si="9"/>
        <v>4.343992012517576E-3</v>
      </c>
      <c r="G141" s="2"/>
      <c r="H141" s="2"/>
      <c r="I141" s="2"/>
      <c r="J141" s="19">
        <f t="shared" si="10"/>
        <v>0</v>
      </c>
      <c r="K141" s="2"/>
      <c r="L141" s="2">
        <f t="shared" si="11"/>
        <v>1713.78</v>
      </c>
      <c r="M141" s="2"/>
      <c r="N141" s="19">
        <f t="shared" si="12"/>
        <v>0</v>
      </c>
      <c r="O141" s="11"/>
      <c r="P141" s="2">
        <v>-31744.15</v>
      </c>
      <c r="Q141" s="2"/>
      <c r="R141" s="19">
        <f t="shared" si="13"/>
        <v>-2.8956180569250259E-3</v>
      </c>
      <c r="S141" s="2"/>
      <c r="T141" s="2"/>
      <c r="U141" s="2"/>
      <c r="V141" s="19">
        <f t="shared" si="14"/>
        <v>0</v>
      </c>
      <c r="W141" s="2"/>
      <c r="X141" s="2">
        <f t="shared" si="15"/>
        <v>-31744.15</v>
      </c>
      <c r="Y141" s="2"/>
      <c r="Z141" s="19">
        <f t="shared" si="16"/>
        <v>0</v>
      </c>
    </row>
    <row r="142" spans="1:26" s="24" customFormat="1" hidden="1" outlineLevel="1" x14ac:dyDescent="0.25">
      <c r="A142" s="44"/>
      <c r="B142" s="11" t="str">
        <f>CONCATENATE("          ", "5081", " - ", "PURCHASES @ COST-ELECTRONICS")</f>
        <v xml:space="preserve">          5081 - PURCHASES @ COST-ELECTRONICS</v>
      </c>
      <c r="C142" s="11"/>
      <c r="D142" s="2">
        <v>116.82</v>
      </c>
      <c r="E142" s="2"/>
      <c r="F142" s="19">
        <f t="shared" si="9"/>
        <v>2.9610868775589819E-4</v>
      </c>
      <c r="G142" s="2"/>
      <c r="H142" s="2"/>
      <c r="I142" s="2"/>
      <c r="J142" s="19">
        <f t="shared" si="10"/>
        <v>0</v>
      </c>
      <c r="K142" s="2"/>
      <c r="L142" s="2">
        <f t="shared" si="11"/>
        <v>116.82</v>
      </c>
      <c r="M142" s="2"/>
      <c r="N142" s="19">
        <f t="shared" si="12"/>
        <v>0</v>
      </c>
      <c r="O142" s="11"/>
      <c r="P142" s="2">
        <v>2008.03</v>
      </c>
      <c r="Q142" s="2"/>
      <c r="R142" s="19">
        <f t="shared" si="13"/>
        <v>1.8316722693306197E-4</v>
      </c>
      <c r="S142" s="2"/>
      <c r="T142" s="2"/>
      <c r="U142" s="2"/>
      <c r="V142" s="19">
        <f t="shared" si="14"/>
        <v>0</v>
      </c>
      <c r="W142" s="2"/>
      <c r="X142" s="2">
        <f t="shared" si="15"/>
        <v>2008.03</v>
      </c>
      <c r="Y142" s="2"/>
      <c r="Z142" s="19">
        <f t="shared" si="16"/>
        <v>0</v>
      </c>
    </row>
    <row r="143" spans="1:26" s="24" customFormat="1" hidden="1" outlineLevel="1" x14ac:dyDescent="0.25">
      <c r="A143" s="44"/>
      <c r="B143" s="11" t="str">
        <f>CONCATENATE("          ", "5082", " - ", "PURCHASES @ COST-COMPUTER HARD")</f>
        <v xml:space="preserve">          5082 - PURCHASES @ COST-COMPUTER HARD</v>
      </c>
      <c r="C143" s="11"/>
      <c r="D143" s="2"/>
      <c r="E143" s="2"/>
      <c r="F143" s="19">
        <f t="shared" si="9"/>
        <v>0</v>
      </c>
      <c r="G143" s="2"/>
      <c r="H143" s="2"/>
      <c r="I143" s="2"/>
      <c r="J143" s="19">
        <f t="shared" si="10"/>
        <v>0</v>
      </c>
      <c r="K143" s="2"/>
      <c r="L143" s="2">
        <f t="shared" si="11"/>
        <v>0</v>
      </c>
      <c r="M143" s="2"/>
      <c r="N143" s="19">
        <f t="shared" si="12"/>
        <v>0</v>
      </c>
      <c r="O143" s="11"/>
      <c r="P143" s="2">
        <v>349.6</v>
      </c>
      <c r="Q143" s="2"/>
      <c r="R143" s="19">
        <f t="shared" si="13"/>
        <v>3.1889594545797861E-5</v>
      </c>
      <c r="S143" s="2"/>
      <c r="T143" s="2"/>
      <c r="U143" s="2"/>
      <c r="V143" s="19">
        <f t="shared" si="14"/>
        <v>0</v>
      </c>
      <c r="W143" s="2"/>
      <c r="X143" s="2">
        <f t="shared" si="15"/>
        <v>349.6</v>
      </c>
      <c r="Y143" s="2"/>
      <c r="Z143" s="19">
        <f t="shared" si="16"/>
        <v>0</v>
      </c>
    </row>
    <row r="144" spans="1:26" s="24" customFormat="1" hidden="1" outlineLevel="1" x14ac:dyDescent="0.25">
      <c r="A144" s="44"/>
      <c r="B144" s="11" t="str">
        <f>CONCATENATE("          ", "5083", " - ", "PURCHASES @ COST-COMPUTER EQUI")</f>
        <v xml:space="preserve">          5083 - PURCHASES @ COST-COMPUTER EQUI</v>
      </c>
      <c r="C144" s="11"/>
      <c r="D144" s="2"/>
      <c r="E144" s="2"/>
      <c r="F144" s="19">
        <f t="shared" si="9"/>
        <v>0</v>
      </c>
      <c r="G144" s="2"/>
      <c r="H144" s="2"/>
      <c r="I144" s="2"/>
      <c r="J144" s="19">
        <f t="shared" si="10"/>
        <v>0</v>
      </c>
      <c r="K144" s="2"/>
      <c r="L144" s="2">
        <f t="shared" si="11"/>
        <v>0</v>
      </c>
      <c r="M144" s="2"/>
      <c r="N144" s="19">
        <f t="shared" si="12"/>
        <v>0</v>
      </c>
      <c r="O144" s="11"/>
      <c r="P144" s="2">
        <v>395.06</v>
      </c>
      <c r="Q144" s="2"/>
      <c r="R144" s="19">
        <f t="shared" si="13"/>
        <v>3.6036336445260017E-5</v>
      </c>
      <c r="S144" s="2"/>
      <c r="T144" s="2"/>
      <c r="U144" s="2"/>
      <c r="V144" s="19">
        <f t="shared" si="14"/>
        <v>0</v>
      </c>
      <c r="W144" s="2"/>
      <c r="X144" s="2">
        <f t="shared" si="15"/>
        <v>395.06</v>
      </c>
      <c r="Y144" s="2"/>
      <c r="Z144" s="19">
        <f t="shared" si="16"/>
        <v>0</v>
      </c>
    </row>
    <row r="145" spans="1:26" s="24" customFormat="1" hidden="1" outlineLevel="1" x14ac:dyDescent="0.25">
      <c r="A145" s="44"/>
      <c r="B145" s="11" t="str">
        <f>CONCATENATE("          ", "5086", " - ", "PURCHASES @ COST-COMPUTER SUPP")</f>
        <v xml:space="preserve">          5086 - PURCHASES @ COST-COMPUTER SUPP</v>
      </c>
      <c r="C145" s="11"/>
      <c r="D145" s="2"/>
      <c r="E145" s="2"/>
      <c r="F145" s="19">
        <f t="shared" si="9"/>
        <v>0</v>
      </c>
      <c r="G145" s="2"/>
      <c r="H145" s="2"/>
      <c r="I145" s="2"/>
      <c r="J145" s="19">
        <f t="shared" si="10"/>
        <v>0</v>
      </c>
      <c r="K145" s="2"/>
      <c r="L145" s="2">
        <f t="shared" si="11"/>
        <v>0</v>
      </c>
      <c r="M145" s="2"/>
      <c r="N145" s="19">
        <f t="shared" si="12"/>
        <v>0</v>
      </c>
      <c r="O145" s="11"/>
      <c r="P145" s="2">
        <v>426.22</v>
      </c>
      <c r="Q145" s="2"/>
      <c r="R145" s="19">
        <f t="shared" si="13"/>
        <v>3.8878669872168087E-5</v>
      </c>
      <c r="S145" s="2"/>
      <c r="T145" s="2"/>
      <c r="U145" s="2"/>
      <c r="V145" s="19">
        <f t="shared" si="14"/>
        <v>0</v>
      </c>
      <c r="W145" s="2"/>
      <c r="X145" s="2">
        <f t="shared" si="15"/>
        <v>426.22</v>
      </c>
      <c r="Y145" s="2"/>
      <c r="Z145" s="19">
        <f t="shared" si="16"/>
        <v>0</v>
      </c>
    </row>
    <row r="146" spans="1:26" s="24" customFormat="1" hidden="1" outlineLevel="1" x14ac:dyDescent="0.25">
      <c r="A146" s="44"/>
      <c r="B146" s="11" t="str">
        <f>CONCATENATE("          ", "5092", " - ", "PURCHASES @ COST-GRAD MERCH")</f>
        <v xml:space="preserve">          5092 - PURCHASES @ COST-GRAD MERCH</v>
      </c>
      <c r="C146" s="11"/>
      <c r="D146" s="2">
        <v>1036.33</v>
      </c>
      <c r="E146" s="2"/>
      <c r="F146" s="19">
        <f t="shared" si="9"/>
        <v>2.6268303063008902E-3</v>
      </c>
      <c r="G146" s="2"/>
      <c r="H146" s="2"/>
      <c r="I146" s="2"/>
      <c r="J146" s="19">
        <f t="shared" si="10"/>
        <v>0</v>
      </c>
      <c r="K146" s="2"/>
      <c r="L146" s="2">
        <f t="shared" si="11"/>
        <v>1036.33</v>
      </c>
      <c r="M146" s="2"/>
      <c r="N146" s="19">
        <f t="shared" si="12"/>
        <v>0</v>
      </c>
      <c r="O146" s="11"/>
      <c r="P146" s="2">
        <v>2946.13</v>
      </c>
      <c r="Q146" s="2"/>
      <c r="R146" s="19">
        <f t="shared" si="13"/>
        <v>2.6873824708012424E-4</v>
      </c>
      <c r="S146" s="2"/>
      <c r="T146" s="2"/>
      <c r="U146" s="2"/>
      <c r="V146" s="19">
        <f t="shared" si="14"/>
        <v>0</v>
      </c>
      <c r="W146" s="2"/>
      <c r="X146" s="2">
        <f t="shared" si="15"/>
        <v>2946.13</v>
      </c>
      <c r="Y146" s="2"/>
      <c r="Z146" s="19">
        <f t="shared" si="16"/>
        <v>0</v>
      </c>
    </row>
    <row r="147" spans="1:26" s="24" customFormat="1" hidden="1" outlineLevel="1" x14ac:dyDescent="0.25">
      <c r="A147" s="44"/>
      <c r="B147" s="11" t="str">
        <f>CONCATENATE("          ", "5095", " - ", "PURCHASES @ COST-CUSTOMER SERV")</f>
        <v xml:space="preserve">          5095 - PURCHASES @ COST-CUSTOMER SERV</v>
      </c>
      <c r="C147" s="11"/>
      <c r="D147" s="2"/>
      <c r="E147" s="2"/>
      <c r="F147" s="19">
        <f t="shared" si="9"/>
        <v>0</v>
      </c>
      <c r="G147" s="2"/>
      <c r="H147" s="2"/>
      <c r="I147" s="2"/>
      <c r="J147" s="19">
        <f t="shared" si="10"/>
        <v>0</v>
      </c>
      <c r="K147" s="2"/>
      <c r="L147" s="2">
        <f t="shared" si="11"/>
        <v>0</v>
      </c>
      <c r="M147" s="2"/>
      <c r="N147" s="19">
        <f t="shared" si="12"/>
        <v>0</v>
      </c>
      <c r="O147" s="11"/>
      <c r="P147" s="2">
        <v>0</v>
      </c>
      <c r="Q147" s="2"/>
      <c r="R147" s="19">
        <f t="shared" si="13"/>
        <v>0</v>
      </c>
      <c r="S147" s="2"/>
      <c r="T147" s="2"/>
      <c r="U147" s="2"/>
      <c r="V147" s="19">
        <f t="shared" si="14"/>
        <v>0</v>
      </c>
      <c r="W147" s="2"/>
      <c r="X147" s="2">
        <f t="shared" si="15"/>
        <v>0</v>
      </c>
      <c r="Y147" s="2"/>
      <c r="Z147" s="19">
        <f t="shared" si="16"/>
        <v>0</v>
      </c>
    </row>
    <row r="148" spans="1:26" s="24" customFormat="1" hidden="1" outlineLevel="1" x14ac:dyDescent="0.25">
      <c r="A148" s="44"/>
      <c r="B148" s="11" t="str">
        <f>CONCATENATE("          ", "5200", " - ", "PURCHASES OFFSET")</f>
        <v xml:space="preserve">          5200 - PURCHASES OFFSET</v>
      </c>
      <c r="C148" s="11"/>
      <c r="D148" s="2">
        <v>806727</v>
      </c>
      <c r="E148" s="2"/>
      <c r="F148" s="19">
        <f t="shared" si="9"/>
        <v>2.044845688642805</v>
      </c>
      <c r="G148" s="2"/>
      <c r="H148" s="2"/>
      <c r="I148" s="2"/>
      <c r="J148" s="19">
        <f t="shared" si="10"/>
        <v>0</v>
      </c>
      <c r="K148" s="2"/>
      <c r="L148" s="2">
        <f t="shared" si="11"/>
        <v>806727</v>
      </c>
      <c r="M148" s="2"/>
      <c r="N148" s="19">
        <f t="shared" si="12"/>
        <v>0</v>
      </c>
      <c r="O148" s="11"/>
      <c r="P148" s="2">
        <v>-3367613</v>
      </c>
      <c r="Q148" s="2"/>
      <c r="R148" s="19">
        <f t="shared" si="13"/>
        <v>-0.30718482024358684</v>
      </c>
      <c r="S148" s="2"/>
      <c r="T148" s="2"/>
      <c r="U148" s="2"/>
      <c r="V148" s="19">
        <f t="shared" si="14"/>
        <v>0</v>
      </c>
      <c r="W148" s="2"/>
      <c r="X148" s="2">
        <f t="shared" si="15"/>
        <v>-3367613</v>
      </c>
      <c r="Y148" s="2"/>
      <c r="Z148" s="19">
        <f t="shared" si="16"/>
        <v>0</v>
      </c>
    </row>
    <row r="149" spans="1:26" s="24" customFormat="1" hidden="1" outlineLevel="1" x14ac:dyDescent="0.25">
      <c r="A149" s="44"/>
      <c r="B149" s="11" t="str">
        <f>CONCATENATE("          ", "5300", " - ", "COG$ OFFSET")</f>
        <v xml:space="preserve">          5300 - COG$ OFFSET</v>
      </c>
      <c r="C149" s="11"/>
      <c r="D149" s="2">
        <v>96532</v>
      </c>
      <c r="E149" s="2"/>
      <c r="F149" s="19">
        <f t="shared" si="9"/>
        <v>0.24468381994908719</v>
      </c>
      <c r="G149" s="2"/>
      <c r="H149" s="2"/>
      <c r="I149" s="2"/>
      <c r="J149" s="19">
        <f t="shared" si="10"/>
        <v>0</v>
      </c>
      <c r="K149" s="2"/>
      <c r="L149" s="2">
        <f t="shared" si="11"/>
        <v>96532</v>
      </c>
      <c r="M149" s="2"/>
      <c r="N149" s="19">
        <f t="shared" si="12"/>
        <v>0</v>
      </c>
      <c r="O149" s="11"/>
      <c r="P149" s="2">
        <v>3823269.47</v>
      </c>
      <c r="Q149" s="2"/>
      <c r="R149" s="19">
        <f t="shared" si="13"/>
        <v>0.34874860765911747</v>
      </c>
      <c r="S149" s="2"/>
      <c r="T149" s="2"/>
      <c r="U149" s="2"/>
      <c r="V149" s="19">
        <f t="shared" si="14"/>
        <v>0</v>
      </c>
      <c r="W149" s="2"/>
      <c r="X149" s="2">
        <f t="shared" si="15"/>
        <v>3823269.47</v>
      </c>
      <c r="Y149" s="2"/>
      <c r="Z149" s="19">
        <f t="shared" si="16"/>
        <v>0</v>
      </c>
    </row>
    <row r="150" spans="1:26" s="24" customFormat="1" hidden="1" outlineLevel="1" x14ac:dyDescent="0.25">
      <c r="A150" s="44"/>
      <c r="B150" s="11" t="str">
        <f>CONCATENATE("          ", "5500", " - ", "FREIGHT-IN")</f>
        <v xml:space="preserve">          5500 - FREIGHT-IN</v>
      </c>
      <c r="C150" s="11"/>
      <c r="D150" s="2"/>
      <c r="E150" s="2"/>
      <c r="F150" s="19">
        <f t="shared" si="9"/>
        <v>0</v>
      </c>
      <c r="G150" s="2"/>
      <c r="H150" s="2"/>
      <c r="I150" s="2"/>
      <c r="J150" s="19">
        <f t="shared" si="10"/>
        <v>0</v>
      </c>
      <c r="K150" s="2"/>
      <c r="L150" s="2">
        <f t="shared" si="11"/>
        <v>0</v>
      </c>
      <c r="M150" s="2"/>
      <c r="N150" s="19">
        <f t="shared" si="12"/>
        <v>0</v>
      </c>
      <c r="O150" s="11"/>
      <c r="P150" s="2">
        <v>156.47999999999999</v>
      </c>
      <c r="Q150" s="2"/>
      <c r="R150" s="19">
        <f t="shared" si="13"/>
        <v>1.4273694950018444E-5</v>
      </c>
      <c r="S150" s="2"/>
      <c r="T150" s="2"/>
      <c r="U150" s="2"/>
      <c r="V150" s="19">
        <f t="shared" si="14"/>
        <v>0</v>
      </c>
      <c r="W150" s="2"/>
      <c r="X150" s="2">
        <f t="shared" si="15"/>
        <v>156.47999999999999</v>
      </c>
      <c r="Y150" s="2"/>
      <c r="Z150" s="19">
        <f t="shared" si="16"/>
        <v>0</v>
      </c>
    </row>
    <row r="151" spans="1:26" s="24" customFormat="1" hidden="1" outlineLevel="1" x14ac:dyDescent="0.25">
      <c r="A151" s="44"/>
      <c r="B151" s="11" t="str">
        <f>CONCATENATE("          ", "5501", " - ", "FREIGHT-IN-NEW TEXT")</f>
        <v xml:space="preserve">          5501 - FREIGHT-IN-NEW TEXT</v>
      </c>
      <c r="C151" s="11"/>
      <c r="D151" s="2">
        <v>1315.81</v>
      </c>
      <c r="E151" s="2"/>
      <c r="F151" s="19">
        <f t="shared" si="9"/>
        <v>3.3352403050512618E-3</v>
      </c>
      <c r="G151" s="2"/>
      <c r="H151" s="2"/>
      <c r="I151" s="2"/>
      <c r="J151" s="19">
        <f t="shared" si="10"/>
        <v>0</v>
      </c>
      <c r="K151" s="2"/>
      <c r="L151" s="2">
        <f t="shared" si="11"/>
        <v>1315.81</v>
      </c>
      <c r="M151" s="2"/>
      <c r="N151" s="19">
        <f t="shared" si="12"/>
        <v>0</v>
      </c>
      <c r="O151" s="11"/>
      <c r="P151" s="2">
        <v>67340.55</v>
      </c>
      <c r="Q151" s="2"/>
      <c r="R151" s="19">
        <f t="shared" si="13"/>
        <v>6.1426282494022539E-3</v>
      </c>
      <c r="S151" s="2"/>
      <c r="T151" s="2"/>
      <c r="U151" s="2"/>
      <c r="V151" s="19">
        <f t="shared" si="14"/>
        <v>0</v>
      </c>
      <c r="W151" s="2"/>
      <c r="X151" s="2">
        <f t="shared" si="15"/>
        <v>67340.55</v>
      </c>
      <c r="Y151" s="2"/>
      <c r="Z151" s="19">
        <f t="shared" si="16"/>
        <v>0</v>
      </c>
    </row>
    <row r="152" spans="1:26" s="24" customFormat="1" hidden="1" outlineLevel="1" x14ac:dyDescent="0.25">
      <c r="A152" s="44"/>
      <c r="B152" s="11" t="str">
        <f>CONCATENATE("          ", "5502", " - ", "FREIGHT-IN-USED TEXT")</f>
        <v xml:space="preserve">          5502 - FREIGHT-IN-USED TEXT</v>
      </c>
      <c r="C152" s="11"/>
      <c r="D152" s="2">
        <v>506.55</v>
      </c>
      <c r="E152" s="2"/>
      <c r="F152" s="19">
        <f t="shared" si="9"/>
        <v>1.2839741121618751E-3</v>
      </c>
      <c r="G152" s="2"/>
      <c r="H152" s="2"/>
      <c r="I152" s="2"/>
      <c r="J152" s="19">
        <f t="shared" si="10"/>
        <v>0</v>
      </c>
      <c r="K152" s="2"/>
      <c r="L152" s="2">
        <f t="shared" si="11"/>
        <v>506.55</v>
      </c>
      <c r="M152" s="2"/>
      <c r="N152" s="19">
        <f t="shared" si="12"/>
        <v>0</v>
      </c>
      <c r="O152" s="11"/>
      <c r="P152" s="2">
        <v>15264.64</v>
      </c>
      <c r="Q152" s="2"/>
      <c r="R152" s="19">
        <f t="shared" si="13"/>
        <v>1.3924004018523106E-3</v>
      </c>
      <c r="S152" s="2"/>
      <c r="T152" s="2"/>
      <c r="U152" s="2"/>
      <c r="V152" s="19">
        <f t="shared" si="14"/>
        <v>0</v>
      </c>
      <c r="W152" s="2"/>
      <c r="X152" s="2">
        <f t="shared" si="15"/>
        <v>15264.64</v>
      </c>
      <c r="Y152" s="2"/>
      <c r="Z152" s="19">
        <f t="shared" si="16"/>
        <v>0</v>
      </c>
    </row>
    <row r="153" spans="1:26" s="24" customFormat="1" hidden="1" outlineLevel="1" x14ac:dyDescent="0.25">
      <c r="A153" s="44"/>
      <c r="B153" s="11" t="str">
        <f>CONCATENATE("          ", "5504", " - ", "FREIGHT-IN-DIGITAL TEXT")</f>
        <v xml:space="preserve">          5504 - FREIGHT-IN-DIGITAL TEXT</v>
      </c>
      <c r="C153" s="11"/>
      <c r="D153" s="2">
        <v>12.78</v>
      </c>
      <c r="E153" s="2"/>
      <c r="F153" s="19">
        <f t="shared" si="9"/>
        <v>3.2394016688241557E-5</v>
      </c>
      <c r="G153" s="2"/>
      <c r="H153" s="2"/>
      <c r="I153" s="2"/>
      <c r="J153" s="19">
        <f t="shared" si="10"/>
        <v>0</v>
      </c>
      <c r="K153" s="2"/>
      <c r="L153" s="2">
        <f t="shared" si="11"/>
        <v>12.78</v>
      </c>
      <c r="M153" s="2"/>
      <c r="N153" s="19">
        <f t="shared" si="12"/>
        <v>0</v>
      </c>
      <c r="O153" s="11"/>
      <c r="P153" s="2">
        <v>118.75</v>
      </c>
      <c r="Q153" s="2"/>
      <c r="R153" s="19">
        <f t="shared" si="13"/>
        <v>1.083206336474112E-5</v>
      </c>
      <c r="S153" s="2"/>
      <c r="T153" s="2"/>
      <c r="U153" s="2"/>
      <c r="V153" s="19">
        <f t="shared" si="14"/>
        <v>0</v>
      </c>
      <c r="W153" s="2"/>
      <c r="X153" s="2">
        <f t="shared" si="15"/>
        <v>118.75</v>
      </c>
      <c r="Y153" s="2"/>
      <c r="Z153" s="19">
        <f t="shared" si="16"/>
        <v>0</v>
      </c>
    </row>
    <row r="154" spans="1:26" s="24" customFormat="1" hidden="1" outlineLevel="1" x14ac:dyDescent="0.25">
      <c r="A154" s="44"/>
      <c r="B154" s="11" t="str">
        <f>CONCATENATE("          ", "5513", " - ", "FREIGHT-IN-TRADE BOOKS")</f>
        <v xml:space="preserve">          5513 - FREIGHT-IN-TRADE BOOKS</v>
      </c>
      <c r="C154" s="11"/>
      <c r="D154" s="2">
        <v>8.83</v>
      </c>
      <c r="E154" s="2"/>
      <c r="F154" s="19">
        <f t="shared" si="9"/>
        <v>2.2381781483346867E-5</v>
      </c>
      <c r="G154" s="2"/>
      <c r="H154" s="2"/>
      <c r="I154" s="2"/>
      <c r="J154" s="19">
        <f t="shared" si="10"/>
        <v>0</v>
      </c>
      <c r="K154" s="2"/>
      <c r="L154" s="2">
        <f t="shared" si="11"/>
        <v>8.83</v>
      </c>
      <c r="M154" s="2"/>
      <c r="N154" s="19">
        <f t="shared" si="12"/>
        <v>0</v>
      </c>
      <c r="O154" s="11"/>
      <c r="P154" s="2">
        <v>30.24</v>
      </c>
      <c r="Q154" s="2"/>
      <c r="R154" s="19">
        <f t="shared" si="13"/>
        <v>2.7584134412612331E-6</v>
      </c>
      <c r="S154" s="2"/>
      <c r="T154" s="2"/>
      <c r="U154" s="2"/>
      <c r="V154" s="19">
        <f t="shared" si="14"/>
        <v>0</v>
      </c>
      <c r="W154" s="2"/>
      <c r="X154" s="2">
        <f t="shared" si="15"/>
        <v>30.24</v>
      </c>
      <c r="Y154" s="2"/>
      <c r="Z154" s="19">
        <f t="shared" si="16"/>
        <v>0</v>
      </c>
    </row>
    <row r="155" spans="1:26" s="24" customFormat="1" hidden="1" outlineLevel="1" x14ac:dyDescent="0.25">
      <c r="A155" s="44"/>
      <c r="B155" s="11" t="str">
        <f>CONCATENATE("          ", "5518", " - ", "FREIGHT-IN-STUDY GUIDES")</f>
        <v xml:space="preserve">          5518 - FREIGHT-IN-STUDY GUIDES</v>
      </c>
      <c r="C155" s="11"/>
      <c r="D155" s="2"/>
      <c r="E155" s="2"/>
      <c r="F155" s="19">
        <f t="shared" si="9"/>
        <v>0</v>
      </c>
      <c r="G155" s="2"/>
      <c r="H155" s="2"/>
      <c r="I155" s="2"/>
      <c r="J155" s="19">
        <f t="shared" si="10"/>
        <v>0</v>
      </c>
      <c r="K155" s="2"/>
      <c r="L155" s="2">
        <f t="shared" si="11"/>
        <v>0</v>
      </c>
      <c r="M155" s="2"/>
      <c r="N155" s="19">
        <f t="shared" si="12"/>
        <v>0</v>
      </c>
      <c r="O155" s="11"/>
      <c r="P155" s="2">
        <v>21.13</v>
      </c>
      <c r="Q155" s="2"/>
      <c r="R155" s="19">
        <f t="shared" si="13"/>
        <v>1.9274231486061462E-6</v>
      </c>
      <c r="S155" s="2"/>
      <c r="T155" s="2"/>
      <c r="U155" s="2"/>
      <c r="V155" s="19">
        <f t="shared" si="14"/>
        <v>0</v>
      </c>
      <c r="W155" s="2"/>
      <c r="X155" s="2">
        <f t="shared" si="15"/>
        <v>21.13</v>
      </c>
      <c r="Y155" s="2"/>
      <c r="Z155" s="19">
        <f t="shared" si="16"/>
        <v>0</v>
      </c>
    </row>
    <row r="156" spans="1:26" s="24" customFormat="1" hidden="1" outlineLevel="1" x14ac:dyDescent="0.25">
      <c r="A156" s="44"/>
      <c r="B156" s="11" t="str">
        <f>CONCATENATE("          ", "5525", " - ", "FREIGHT-IN-TEST FORMS")</f>
        <v xml:space="preserve">          5525 - FREIGHT-IN-TEST FORMS</v>
      </c>
      <c r="C156" s="11"/>
      <c r="D156" s="2">
        <v>82.2</v>
      </c>
      <c r="E156" s="2"/>
      <c r="F156" s="19">
        <f t="shared" si="9"/>
        <v>2.0835588198540346E-4</v>
      </c>
      <c r="G156" s="2"/>
      <c r="H156" s="2"/>
      <c r="I156" s="2"/>
      <c r="J156" s="19">
        <f t="shared" si="10"/>
        <v>0</v>
      </c>
      <c r="K156" s="2"/>
      <c r="L156" s="2">
        <f t="shared" si="11"/>
        <v>82.2</v>
      </c>
      <c r="M156" s="2"/>
      <c r="N156" s="19">
        <f t="shared" si="12"/>
        <v>0</v>
      </c>
      <c r="O156" s="11"/>
      <c r="P156" s="2">
        <v>1237.22</v>
      </c>
      <c r="Q156" s="2"/>
      <c r="R156" s="19">
        <f t="shared" si="13"/>
        <v>1.1285596156736848E-4</v>
      </c>
      <c r="S156" s="2"/>
      <c r="T156" s="2"/>
      <c r="U156" s="2"/>
      <c r="V156" s="19">
        <f t="shared" si="14"/>
        <v>0</v>
      </c>
      <c r="W156" s="2"/>
      <c r="X156" s="2">
        <f t="shared" si="15"/>
        <v>1237.22</v>
      </c>
      <c r="Y156" s="2"/>
      <c r="Z156" s="19">
        <f t="shared" si="16"/>
        <v>0</v>
      </c>
    </row>
    <row r="157" spans="1:26" s="24" customFormat="1" hidden="1" outlineLevel="1" x14ac:dyDescent="0.25">
      <c r="A157" s="44"/>
      <c r="B157" s="11" t="str">
        <f>CONCATENATE("          ", "5526", " - ", "FREIGHT-IN-WRITING INSTRUMENTS")</f>
        <v xml:space="preserve">          5526 - FREIGHT-IN-WRITING INSTRUMENTS</v>
      </c>
      <c r="C157" s="11"/>
      <c r="D157" s="2"/>
      <c r="E157" s="2"/>
      <c r="F157" s="19">
        <f t="shared" si="9"/>
        <v>0</v>
      </c>
      <c r="G157" s="2"/>
      <c r="H157" s="2"/>
      <c r="I157" s="2"/>
      <c r="J157" s="19">
        <f t="shared" si="10"/>
        <v>0</v>
      </c>
      <c r="K157" s="2"/>
      <c r="L157" s="2">
        <f t="shared" si="11"/>
        <v>0</v>
      </c>
      <c r="M157" s="2"/>
      <c r="N157" s="19">
        <f t="shared" si="12"/>
        <v>0</v>
      </c>
      <c r="O157" s="11"/>
      <c r="P157" s="2">
        <v>260.35000000000002</v>
      </c>
      <c r="Q157" s="2"/>
      <c r="R157" s="19">
        <f t="shared" si="13"/>
        <v>2.3748443764297692E-5</v>
      </c>
      <c r="S157" s="2"/>
      <c r="T157" s="2"/>
      <c r="U157" s="2"/>
      <c r="V157" s="19">
        <f t="shared" si="14"/>
        <v>0</v>
      </c>
      <c r="W157" s="2"/>
      <c r="X157" s="2">
        <f t="shared" si="15"/>
        <v>260.35000000000002</v>
      </c>
      <c r="Y157" s="2"/>
      <c r="Z157" s="19">
        <f t="shared" si="16"/>
        <v>0</v>
      </c>
    </row>
    <row r="158" spans="1:26" s="24" customFormat="1" hidden="1" outlineLevel="1" x14ac:dyDescent="0.25">
      <c r="A158" s="44"/>
      <c r="B158" s="11" t="str">
        <f>CONCATENATE("          ", "5527", " - ", "FREIGHT-IN-SCHOOL SUPPLIES")</f>
        <v xml:space="preserve">          5527 - FREIGHT-IN-SCHOOL SUPPLIES</v>
      </c>
      <c r="C158" s="11"/>
      <c r="D158" s="2">
        <v>407.31</v>
      </c>
      <c r="E158" s="2"/>
      <c r="F158" s="19">
        <f t="shared" si="9"/>
        <v>1.0324262079254827E-3</v>
      </c>
      <c r="G158" s="2"/>
      <c r="H158" s="2"/>
      <c r="I158" s="2"/>
      <c r="J158" s="19">
        <f t="shared" si="10"/>
        <v>0</v>
      </c>
      <c r="K158" s="2"/>
      <c r="L158" s="2">
        <f t="shared" si="11"/>
        <v>407.31</v>
      </c>
      <c r="M158" s="2"/>
      <c r="N158" s="19">
        <f t="shared" si="12"/>
        <v>0</v>
      </c>
      <c r="O158" s="11"/>
      <c r="P158" s="2">
        <v>2058.91</v>
      </c>
      <c r="Q158" s="2"/>
      <c r="R158" s="19">
        <f t="shared" si="13"/>
        <v>1.8780836700883484E-4</v>
      </c>
      <c r="S158" s="2"/>
      <c r="T158" s="2"/>
      <c r="U158" s="2"/>
      <c r="V158" s="19">
        <f t="shared" si="14"/>
        <v>0</v>
      </c>
      <c r="W158" s="2"/>
      <c r="X158" s="2">
        <f t="shared" si="15"/>
        <v>2058.91</v>
      </c>
      <c r="Y158" s="2"/>
      <c r="Z158" s="19">
        <f t="shared" si="16"/>
        <v>0</v>
      </c>
    </row>
    <row r="159" spans="1:26" s="24" customFormat="1" hidden="1" outlineLevel="1" x14ac:dyDescent="0.25">
      <c r="A159" s="44"/>
      <c r="B159" s="11" t="str">
        <f>CONCATENATE("          ", "5528", " - ", "FREIGHT-IN-ART/TECH")</f>
        <v xml:space="preserve">          5528 - FREIGHT-IN-ART/TECH</v>
      </c>
      <c r="C159" s="11"/>
      <c r="D159" s="2">
        <v>771.27</v>
      </c>
      <c r="E159" s="2"/>
      <c r="F159" s="19">
        <f t="shared" si="9"/>
        <v>1.9549713029061084E-3</v>
      </c>
      <c r="G159" s="2"/>
      <c r="H159" s="2"/>
      <c r="I159" s="2"/>
      <c r="J159" s="19">
        <f t="shared" si="10"/>
        <v>0</v>
      </c>
      <c r="K159" s="2"/>
      <c r="L159" s="2">
        <f t="shared" si="11"/>
        <v>771.27</v>
      </c>
      <c r="M159" s="2"/>
      <c r="N159" s="19">
        <f t="shared" si="12"/>
        <v>0</v>
      </c>
      <c r="O159" s="11"/>
      <c r="P159" s="2">
        <v>2267.52</v>
      </c>
      <c r="Q159" s="2"/>
      <c r="R159" s="19">
        <f t="shared" si="13"/>
        <v>2.06837223754255E-4</v>
      </c>
      <c r="S159" s="2"/>
      <c r="T159" s="2"/>
      <c r="U159" s="2"/>
      <c r="V159" s="19">
        <f t="shared" si="14"/>
        <v>0</v>
      </c>
      <c r="W159" s="2"/>
      <c r="X159" s="2">
        <f t="shared" si="15"/>
        <v>2267.52</v>
      </c>
      <c r="Y159" s="2"/>
      <c r="Z159" s="19">
        <f t="shared" si="16"/>
        <v>0</v>
      </c>
    </row>
    <row r="160" spans="1:26" s="24" customFormat="1" hidden="1" outlineLevel="1" x14ac:dyDescent="0.25">
      <c r="A160" s="44"/>
      <c r="B160" s="11" t="str">
        <f>CONCATENATE("          ", "5540", " - ", "FREIGHT-IN-LOGO CLOTHING")</f>
        <v xml:space="preserve">          5540 - FREIGHT-IN-LOGO CLOTHING</v>
      </c>
      <c r="C160" s="11"/>
      <c r="D160" s="2">
        <v>2177.09</v>
      </c>
      <c r="E160" s="2"/>
      <c r="F160" s="19">
        <f t="shared" si="9"/>
        <v>5.5183638334744779E-3</v>
      </c>
      <c r="G160" s="2"/>
      <c r="H160" s="2"/>
      <c r="I160" s="2"/>
      <c r="J160" s="19">
        <f t="shared" si="10"/>
        <v>0</v>
      </c>
      <c r="K160" s="2"/>
      <c r="L160" s="2">
        <f t="shared" si="11"/>
        <v>2177.09</v>
      </c>
      <c r="M160" s="2"/>
      <c r="N160" s="19">
        <f t="shared" si="12"/>
        <v>0</v>
      </c>
      <c r="O160" s="11"/>
      <c r="P160" s="2">
        <v>30658.390000000003</v>
      </c>
      <c r="Q160" s="2"/>
      <c r="R160" s="19">
        <f t="shared" si="13"/>
        <v>2.7965778790816466E-3</v>
      </c>
      <c r="S160" s="2"/>
      <c r="T160" s="2"/>
      <c r="U160" s="2"/>
      <c r="V160" s="19">
        <f t="shared" si="14"/>
        <v>0</v>
      </c>
      <c r="W160" s="2"/>
      <c r="X160" s="2">
        <f t="shared" si="15"/>
        <v>30658.390000000003</v>
      </c>
      <c r="Y160" s="2"/>
      <c r="Z160" s="19">
        <f t="shared" si="16"/>
        <v>0</v>
      </c>
    </row>
    <row r="161" spans="1:26" s="24" customFormat="1" hidden="1" outlineLevel="1" x14ac:dyDescent="0.25">
      <c r="A161" s="44"/>
      <c r="B161" s="11" t="str">
        <f>CONCATENATE("          ", "5541", " - ", "FREIGHT-IN-LOGO GIFTS")</f>
        <v xml:space="preserve">          5541 - FREIGHT-IN-LOGO GIFTS</v>
      </c>
      <c r="C161" s="11"/>
      <c r="D161" s="2">
        <v>622.03</v>
      </c>
      <c r="E161" s="2"/>
      <c r="F161" s="19">
        <f t="shared" si="9"/>
        <v>1.5766862441773785E-3</v>
      </c>
      <c r="G161" s="2"/>
      <c r="H161" s="2"/>
      <c r="I161" s="2"/>
      <c r="J161" s="19">
        <f t="shared" si="10"/>
        <v>0</v>
      </c>
      <c r="K161" s="2"/>
      <c r="L161" s="2">
        <f t="shared" si="11"/>
        <v>622.03</v>
      </c>
      <c r="M161" s="2"/>
      <c r="N161" s="19">
        <f t="shared" si="12"/>
        <v>0</v>
      </c>
      <c r="O161" s="11"/>
      <c r="P161" s="2">
        <v>4695.95</v>
      </c>
      <c r="Q161" s="2"/>
      <c r="R161" s="19">
        <f t="shared" si="13"/>
        <v>4.2835223543289313E-4</v>
      </c>
      <c r="S161" s="2"/>
      <c r="T161" s="2"/>
      <c r="U161" s="2"/>
      <c r="V161" s="19">
        <f t="shared" si="14"/>
        <v>0</v>
      </c>
      <c r="W161" s="2"/>
      <c r="X161" s="2">
        <f t="shared" si="15"/>
        <v>4695.95</v>
      </c>
      <c r="Y161" s="2"/>
      <c r="Z161" s="19">
        <f t="shared" si="16"/>
        <v>0</v>
      </c>
    </row>
    <row r="162" spans="1:26" s="24" customFormat="1" hidden="1" outlineLevel="1" x14ac:dyDescent="0.25">
      <c r="A162" s="44"/>
      <c r="B162" s="11" t="str">
        <f>CONCATENATE("          ", "5542", " - ", "FREIGHT-IN-EVERYDAY GIFTS")</f>
        <v xml:space="preserve">          5542 - FREIGHT-IN-EVERYDAY GIFTS</v>
      </c>
      <c r="C162" s="11"/>
      <c r="D162" s="2">
        <v>42.24</v>
      </c>
      <c r="E162" s="2"/>
      <c r="F162" s="19">
        <f t="shared" si="9"/>
        <v>1.0706754811512704E-4</v>
      </c>
      <c r="G162" s="2"/>
      <c r="H162" s="2"/>
      <c r="I162" s="2"/>
      <c r="J162" s="19">
        <f t="shared" si="10"/>
        <v>0</v>
      </c>
      <c r="K162" s="2"/>
      <c r="L162" s="2">
        <f t="shared" si="11"/>
        <v>42.24</v>
      </c>
      <c r="M162" s="2"/>
      <c r="N162" s="19">
        <f t="shared" si="12"/>
        <v>0</v>
      </c>
      <c r="O162" s="11"/>
      <c r="P162" s="2">
        <v>1793.94</v>
      </c>
      <c r="Q162" s="2"/>
      <c r="R162" s="19">
        <f t="shared" si="13"/>
        <v>1.6363849896878892E-4</v>
      </c>
      <c r="S162" s="2"/>
      <c r="T162" s="2"/>
      <c r="U162" s="2"/>
      <c r="V162" s="19">
        <f t="shared" si="14"/>
        <v>0</v>
      </c>
      <c r="W162" s="2"/>
      <c r="X162" s="2">
        <f t="shared" si="15"/>
        <v>1793.94</v>
      </c>
      <c r="Y162" s="2"/>
      <c r="Z162" s="19">
        <f t="shared" si="16"/>
        <v>0</v>
      </c>
    </row>
    <row r="163" spans="1:26" s="24" customFormat="1" hidden="1" outlineLevel="1" x14ac:dyDescent="0.25">
      <c r="A163" s="44"/>
      <c r="B163" s="11" t="str">
        <f>CONCATENATE("          ", "5543", " - ", "FREIGHT-IN-CARDS")</f>
        <v xml:space="preserve">          5543 - FREIGHT-IN-CARDS</v>
      </c>
      <c r="C163" s="11"/>
      <c r="D163" s="2">
        <v>25.64</v>
      </c>
      <c r="E163" s="2"/>
      <c r="F163" s="19">
        <f t="shared" si="9"/>
        <v>6.4990812823670864E-5</v>
      </c>
      <c r="G163" s="2"/>
      <c r="H163" s="2"/>
      <c r="I163" s="2"/>
      <c r="J163" s="19">
        <f t="shared" si="10"/>
        <v>0</v>
      </c>
      <c r="K163" s="2"/>
      <c r="L163" s="2">
        <f t="shared" si="11"/>
        <v>25.64</v>
      </c>
      <c r="M163" s="2"/>
      <c r="N163" s="19">
        <f t="shared" si="12"/>
        <v>0</v>
      </c>
      <c r="O163" s="11"/>
      <c r="P163" s="2">
        <v>2926.76</v>
      </c>
      <c r="Q163" s="2"/>
      <c r="R163" s="19">
        <f t="shared" si="13"/>
        <v>2.6697136651275555E-4</v>
      </c>
      <c r="S163" s="2"/>
      <c r="T163" s="2"/>
      <c r="U163" s="2"/>
      <c r="V163" s="19">
        <f t="shared" si="14"/>
        <v>0</v>
      </c>
      <c r="W163" s="2"/>
      <c r="X163" s="2">
        <f t="shared" si="15"/>
        <v>2926.76</v>
      </c>
      <c r="Y163" s="2"/>
      <c r="Z163" s="19">
        <f t="shared" si="16"/>
        <v>0</v>
      </c>
    </row>
    <row r="164" spans="1:26" s="24" customFormat="1" hidden="1" outlineLevel="1" x14ac:dyDescent="0.25">
      <c r="A164" s="44"/>
      <c r="B164" s="11" t="str">
        <f>CONCATENATE("          ", "5544", " - ", "FREIGHT-IN-ACCESSORIES")</f>
        <v xml:space="preserve">          5544 - FREIGHT-IN-ACCESSORIES</v>
      </c>
      <c r="C164" s="11"/>
      <c r="D164" s="2"/>
      <c r="E164" s="2"/>
      <c r="F164" s="19">
        <f t="shared" si="9"/>
        <v>0</v>
      </c>
      <c r="G164" s="2"/>
      <c r="H164" s="2"/>
      <c r="I164" s="2"/>
      <c r="J164" s="19">
        <f t="shared" si="10"/>
        <v>0</v>
      </c>
      <c r="K164" s="2"/>
      <c r="L164" s="2">
        <f t="shared" si="11"/>
        <v>0</v>
      </c>
      <c r="M164" s="2"/>
      <c r="N164" s="19">
        <f t="shared" si="12"/>
        <v>0</v>
      </c>
      <c r="O164" s="11"/>
      <c r="P164" s="2">
        <v>483.44</v>
      </c>
      <c r="Q164" s="2"/>
      <c r="R164" s="19">
        <f t="shared" si="13"/>
        <v>4.40981281098985E-5</v>
      </c>
      <c r="S164" s="2"/>
      <c r="T164" s="2"/>
      <c r="U164" s="2"/>
      <c r="V164" s="19">
        <f t="shared" si="14"/>
        <v>0</v>
      </c>
      <c r="W164" s="2"/>
      <c r="X164" s="2">
        <f t="shared" si="15"/>
        <v>483.44</v>
      </c>
      <c r="Y164" s="2"/>
      <c r="Z164" s="19">
        <f t="shared" si="16"/>
        <v>0</v>
      </c>
    </row>
    <row r="165" spans="1:26" s="24" customFormat="1" hidden="1" outlineLevel="1" x14ac:dyDescent="0.25">
      <c r="A165" s="44"/>
      <c r="B165" s="11" t="str">
        <f>CONCATENATE("          ", "5545", " - ", "FREIGHT-IN-SPECIAL ORDERS")</f>
        <v xml:space="preserve">          5545 - FREIGHT-IN-SPECIAL ORDERS</v>
      </c>
      <c r="C165" s="11"/>
      <c r="D165" s="2">
        <v>28.68</v>
      </c>
      <c r="E165" s="2"/>
      <c r="F165" s="19">
        <f t="shared" si="9"/>
        <v>7.2696431816805007E-5</v>
      </c>
      <c r="G165" s="2"/>
      <c r="H165" s="2"/>
      <c r="I165" s="2"/>
      <c r="J165" s="19">
        <f t="shared" si="10"/>
        <v>0</v>
      </c>
      <c r="K165" s="2"/>
      <c r="L165" s="2">
        <f t="shared" si="11"/>
        <v>28.68</v>
      </c>
      <c r="M165" s="2"/>
      <c r="N165" s="19">
        <f t="shared" si="12"/>
        <v>0</v>
      </c>
      <c r="O165" s="11"/>
      <c r="P165" s="2">
        <v>875.07</v>
      </c>
      <c r="Q165" s="2"/>
      <c r="R165" s="19">
        <f t="shared" si="13"/>
        <v>7.9821588956496942E-5</v>
      </c>
      <c r="S165" s="2"/>
      <c r="T165" s="2"/>
      <c r="U165" s="2"/>
      <c r="V165" s="19">
        <f t="shared" si="14"/>
        <v>0</v>
      </c>
      <c r="W165" s="2"/>
      <c r="X165" s="2">
        <f t="shared" si="15"/>
        <v>875.07</v>
      </c>
      <c r="Y165" s="2"/>
      <c r="Z165" s="19">
        <f t="shared" si="16"/>
        <v>0</v>
      </c>
    </row>
    <row r="166" spans="1:26" s="24" customFormat="1" hidden="1" outlineLevel="1" x14ac:dyDescent="0.25">
      <c r="A166" s="44"/>
      <c r="B166" s="11" t="str">
        <f>CONCATENATE("          ", "5592", " - ", "FREIGHT-IN-GRAD MERCH")</f>
        <v xml:space="preserve">          5592 - FREIGHT-IN-GRAD MERCH</v>
      </c>
      <c r="C166" s="11"/>
      <c r="D166" s="2">
        <v>12.95</v>
      </c>
      <c r="E166" s="2"/>
      <c r="F166" s="19">
        <f t="shared" si="9"/>
        <v>3.2824923013515509E-5</v>
      </c>
      <c r="G166" s="2"/>
      <c r="H166" s="2"/>
      <c r="I166" s="2"/>
      <c r="J166" s="19">
        <f t="shared" si="10"/>
        <v>0</v>
      </c>
      <c r="K166" s="2"/>
      <c r="L166" s="2">
        <f t="shared" si="11"/>
        <v>12.95</v>
      </c>
      <c r="M166" s="2"/>
      <c r="N166" s="19">
        <f t="shared" si="12"/>
        <v>0</v>
      </c>
      <c r="O166" s="11"/>
      <c r="P166" s="2">
        <v>118.73</v>
      </c>
      <c r="Q166" s="2"/>
      <c r="R166" s="19">
        <f t="shared" si="13"/>
        <v>1.0830239017227058E-5</v>
      </c>
      <c r="S166" s="2"/>
      <c r="T166" s="2"/>
      <c r="U166" s="2"/>
      <c r="V166" s="19">
        <f t="shared" si="14"/>
        <v>0</v>
      </c>
      <c r="W166" s="2"/>
      <c r="X166" s="2">
        <f t="shared" si="15"/>
        <v>118.73</v>
      </c>
      <c r="Y166" s="2"/>
      <c r="Z166" s="19">
        <f t="shared" si="16"/>
        <v>0</v>
      </c>
    </row>
    <row r="167" spans="1:26" x14ac:dyDescent="0.25">
      <c r="A167" s="9"/>
      <c r="B167" s="10"/>
      <c r="C167" s="10"/>
      <c r="D167" s="3"/>
      <c r="E167" s="3"/>
      <c r="F167" s="8"/>
      <c r="G167" s="3"/>
      <c r="H167" s="3"/>
      <c r="I167" s="3"/>
      <c r="J167" s="8"/>
      <c r="K167" s="3"/>
      <c r="L167" s="3"/>
      <c r="M167" s="3"/>
      <c r="N167" s="8"/>
      <c r="O167" s="10"/>
      <c r="P167" s="3"/>
      <c r="Q167" s="3"/>
      <c r="R167" s="8"/>
      <c r="S167" s="3"/>
      <c r="T167" s="3"/>
      <c r="U167" s="3"/>
      <c r="V167" s="8"/>
      <c r="W167" s="3"/>
      <c r="X167" s="3"/>
      <c r="Y167" s="3"/>
      <c r="Z167" s="8"/>
    </row>
    <row r="168" spans="1:26" s="23" customFormat="1" x14ac:dyDescent="0.25">
      <c r="A168" s="10"/>
      <c r="B168" s="28" t="s">
        <v>6</v>
      </c>
      <c r="C168" s="28"/>
      <c r="D168" s="20">
        <f>D12-D113</f>
        <v>216885.50000000003</v>
      </c>
      <c r="E168" s="14"/>
      <c r="F168" s="22">
        <f>IF(D$12=0,0,D168/D$12)</f>
        <v>0.54974902241295898</v>
      </c>
      <c r="G168" s="14"/>
      <c r="H168" s="20">
        <f>H12-H113</f>
        <v>738592.97327000019</v>
      </c>
      <c r="I168" s="14"/>
      <c r="J168" s="22">
        <f>IF(H$12=0,0,H168/H$12)</f>
        <v>0.56875114611145661</v>
      </c>
      <c r="K168" s="16"/>
      <c r="L168" s="20">
        <f>+D168-H168</f>
        <v>-521707.47327000019</v>
      </c>
      <c r="M168" s="16"/>
      <c r="N168" s="22">
        <f>IF(H168=0,0,L168/H168)</f>
        <v>-0.70635315004450316</v>
      </c>
      <c r="O168" s="29"/>
      <c r="P168" s="20">
        <f>P12-P113</f>
        <v>4820883.6900000013</v>
      </c>
      <c r="Q168" s="14"/>
      <c r="R168" s="22">
        <f>IF(P$12=0,0,P168/P$12)</f>
        <v>0.43974835877159579</v>
      </c>
      <c r="S168" s="14"/>
      <c r="T168" s="20">
        <f>T12-T113</f>
        <v>5580704.3261800008</v>
      </c>
      <c r="U168" s="14"/>
      <c r="V168" s="22">
        <f>IF(T$12=0,0,T168/T$12)</f>
        <v>0.44754722641224259</v>
      </c>
      <c r="W168" s="16"/>
      <c r="X168" s="20">
        <f>+P168-T168</f>
        <v>-759820.63617999945</v>
      </c>
      <c r="Y168" s="16"/>
      <c r="Z168" s="22">
        <f>IF(T168=0,0,X168/T168)</f>
        <v>-0.13615138731065826</v>
      </c>
    </row>
    <row r="169" spans="1:26" x14ac:dyDescent="0.25">
      <c r="A169" s="9"/>
      <c r="B169" s="10"/>
      <c r="C169" s="9"/>
      <c r="D169" s="1"/>
      <c r="E169" s="1"/>
      <c r="F169" s="5"/>
      <c r="G169" s="1"/>
      <c r="H169" s="1"/>
      <c r="I169" s="1"/>
      <c r="J169" s="5"/>
      <c r="K169" s="1"/>
      <c r="L169" s="1"/>
      <c r="M169" s="1"/>
      <c r="N169" s="5"/>
      <c r="O169" s="36"/>
      <c r="P169" s="1"/>
      <c r="Q169" s="1"/>
      <c r="R169" s="5"/>
      <c r="S169" s="1"/>
      <c r="T169" s="1"/>
      <c r="U169" s="1"/>
      <c r="V169" s="5"/>
      <c r="W169" s="1"/>
      <c r="X169" s="1"/>
      <c r="Y169" s="1"/>
      <c r="Z169" s="5"/>
    </row>
    <row r="170" spans="1:26" s="23" customFormat="1" x14ac:dyDescent="0.25">
      <c r="A170" s="10"/>
      <c r="B170" s="29" t="s">
        <v>9</v>
      </c>
      <c r="C170" s="10"/>
      <c r="D170" s="21">
        <f>SUM(OSRRefD22x_0)</f>
        <v>428735.05</v>
      </c>
      <c r="E170" s="21"/>
      <c r="F170" s="30">
        <f t="shared" ref="F170:F181" si="17">IF(D$12=0,0,D170/D$12)</f>
        <v>1.086733205362604</v>
      </c>
      <c r="G170" s="21"/>
      <c r="H170" s="21">
        <f>SUM(OSRRefH22x_0)</f>
        <v>509659.66881151474</v>
      </c>
      <c r="I170" s="21"/>
      <c r="J170" s="30">
        <f t="shared" ref="J170:J181" si="18">IF(H$12=0,0,H170/H$12)</f>
        <v>0.39246179053123703</v>
      </c>
      <c r="K170" s="4"/>
      <c r="L170" s="21">
        <f t="shared" ref="L170:L181" si="19">+D170-H170</f>
        <v>-80924.618811514752</v>
      </c>
      <c r="M170" s="4"/>
      <c r="N170" s="30">
        <f t="shared" ref="N170:N181" si="20">IF(H170=0,0,L170/H170)</f>
        <v>-0.15878168072475587</v>
      </c>
      <c r="O170" s="10"/>
      <c r="P170" s="21">
        <f>SUM(OSRRefP22x_0)</f>
        <v>4357627.8400000008</v>
      </c>
      <c r="Q170" s="21"/>
      <c r="R170" s="30">
        <f t="shared" ref="R170:R181" si="21">IF(P$12=0,0,P170/P$12)</f>
        <v>0.3974913758554946</v>
      </c>
      <c r="S170" s="21"/>
      <c r="T170" s="21">
        <f>SUM(OSRRefT22x_0)</f>
        <v>4634072.9087948734</v>
      </c>
      <c r="U170" s="21"/>
      <c r="V170" s="30">
        <f t="shared" ref="V170:V181" si="22">IF(T$12=0,0,T170/T$12)</f>
        <v>0.37163167157843163</v>
      </c>
      <c r="W170" s="4"/>
      <c r="X170" s="21">
        <f t="shared" ref="X170:X181" si="23">+P170-T170</f>
        <v>-276445.06879487261</v>
      </c>
      <c r="Y170" s="4"/>
      <c r="Z170" s="30">
        <f t="shared" ref="Z170:Z181" si="24">IF(T170=0,0,X170/T170)</f>
        <v>-5.9654881188903067E-2</v>
      </c>
    </row>
    <row r="171" spans="1:26" s="27" customFormat="1" outlineLevel="1" collapsed="1" x14ac:dyDescent="0.25">
      <c r="A171" s="26"/>
      <c r="B171" s="13" t="str">
        <f>CONCATENATE("     ","*Benefits                                         ")</f>
        <v xml:space="preserve">     *Benefits                                         </v>
      </c>
      <c r="C171" s="13"/>
      <c r="D171" s="1">
        <f>SUM(OSRRefD22_0x_0)</f>
        <v>44667.030000000006</v>
      </c>
      <c r="E171" s="1"/>
      <c r="F171" s="5">
        <f t="shared" si="17"/>
        <v>0.11321944563647783</v>
      </c>
      <c r="G171" s="1"/>
      <c r="H171" s="1">
        <f>SUM(OSRRefH22_0x_0)</f>
        <v>60139.332288241072</v>
      </c>
      <c r="I171" s="1"/>
      <c r="J171" s="5">
        <f t="shared" si="18"/>
        <v>4.6310099612619927E-2</v>
      </c>
      <c r="K171" s="1"/>
      <c r="L171" s="1">
        <f t="shared" si="19"/>
        <v>-15472.302288241066</v>
      </c>
      <c r="M171" s="1"/>
      <c r="N171" s="5">
        <f t="shared" si="20"/>
        <v>-0.25727426127852665</v>
      </c>
      <c r="O171" s="13"/>
      <c r="P171" s="1">
        <f>SUM(OSRRefP22_0x_0)</f>
        <v>544929.96</v>
      </c>
      <c r="Q171" s="1"/>
      <c r="R171" s="5">
        <f t="shared" si="21"/>
        <v>4.9707080893186047E-2</v>
      </c>
      <c r="S171" s="1"/>
      <c r="T171" s="1">
        <f>SUM(OSRRefT22_0x_0)</f>
        <v>558089.01269232086</v>
      </c>
      <c r="U171" s="1"/>
      <c r="V171" s="5">
        <f t="shared" si="22"/>
        <v>4.4756212679083779E-2</v>
      </c>
      <c r="W171" s="1"/>
      <c r="X171" s="1">
        <f t="shared" si="23"/>
        <v>-13159.052692320896</v>
      </c>
      <c r="Y171" s="1"/>
      <c r="Z171" s="5">
        <f t="shared" si="24"/>
        <v>-2.3578770398720594E-2</v>
      </c>
    </row>
    <row r="172" spans="1:26" s="24" customFormat="1" hidden="1" outlineLevel="2" x14ac:dyDescent="0.25">
      <c r="A172" s="25"/>
      <c r="B172" s="11" t="str">
        <f>CONCATENATE("          ", "6111", " - ", "F.I.C.A.")</f>
        <v xml:space="preserve">          6111 - F.I.C.A.</v>
      </c>
      <c r="C172" s="11"/>
      <c r="D172" s="6">
        <v>12945.65</v>
      </c>
      <c r="E172" s="2"/>
      <c r="F172" s="7">
        <f t="shared" si="17"/>
        <v>3.2813896881074674E-2</v>
      </c>
      <c r="G172" s="2"/>
      <c r="H172" s="6">
        <v>10046.282498210077</v>
      </c>
      <c r="I172" s="2"/>
      <c r="J172" s="7">
        <f t="shared" si="18"/>
        <v>7.7361075610012583E-3</v>
      </c>
      <c r="K172" s="2"/>
      <c r="L172" s="6">
        <f t="shared" si="19"/>
        <v>2899.3675017899222</v>
      </c>
      <c r="M172" s="2"/>
      <c r="N172" s="7">
        <f t="shared" si="20"/>
        <v>0.28860103250197233</v>
      </c>
      <c r="O172" s="11"/>
      <c r="P172" s="6">
        <v>106122.59999999999</v>
      </c>
      <c r="Q172" s="2"/>
      <c r="R172" s="7">
        <f t="shared" si="21"/>
        <v>9.6802250747880063E-3</v>
      </c>
      <c r="S172" s="2"/>
      <c r="T172" s="6">
        <v>98113.19640739946</v>
      </c>
      <c r="U172" s="2"/>
      <c r="V172" s="7">
        <f t="shared" si="22"/>
        <v>7.8682342514690938E-3</v>
      </c>
      <c r="W172" s="2"/>
      <c r="X172" s="6">
        <f t="shared" si="23"/>
        <v>8009.4035926005308</v>
      </c>
      <c r="Y172" s="2"/>
      <c r="Z172" s="7">
        <f t="shared" si="24"/>
        <v>8.1634315116416709E-2</v>
      </c>
    </row>
    <row r="173" spans="1:26" s="24" customFormat="1" hidden="1" outlineLevel="2" x14ac:dyDescent="0.25">
      <c r="A173" s="25"/>
      <c r="B173" s="11" t="str">
        <f>CONCATENATE("          ", "6112", " - ", "COMPENSATION INSURANCE")</f>
        <v xml:space="preserve">          6112 - COMPENSATION INSURANCE</v>
      </c>
      <c r="C173" s="11"/>
      <c r="D173" s="6">
        <v>4741.3</v>
      </c>
      <c r="E173" s="2"/>
      <c r="F173" s="7">
        <f t="shared" si="17"/>
        <v>1.2017977411890432E-2</v>
      </c>
      <c r="G173" s="2"/>
      <c r="H173" s="6">
        <v>4661.315986138462</v>
      </c>
      <c r="I173" s="2"/>
      <c r="J173" s="7">
        <f t="shared" si="18"/>
        <v>3.5894313992271862E-3</v>
      </c>
      <c r="K173" s="2"/>
      <c r="L173" s="6">
        <f t="shared" si="19"/>
        <v>79.984013861538187</v>
      </c>
      <c r="M173" s="2"/>
      <c r="N173" s="7">
        <f t="shared" si="20"/>
        <v>1.715910573309979E-2</v>
      </c>
      <c r="O173" s="11"/>
      <c r="P173" s="6">
        <v>31813.190000000002</v>
      </c>
      <c r="Q173" s="2"/>
      <c r="R173" s="7">
        <f t="shared" si="21"/>
        <v>2.9019157045435669E-3</v>
      </c>
      <c r="S173" s="2"/>
      <c r="T173" s="6">
        <v>41893.62929962499</v>
      </c>
      <c r="U173" s="2"/>
      <c r="V173" s="7">
        <f t="shared" si="22"/>
        <v>3.3596794421509512E-3</v>
      </c>
      <c r="W173" s="2"/>
      <c r="X173" s="6">
        <f t="shared" si="23"/>
        <v>-10080.439299624988</v>
      </c>
      <c r="Y173" s="2"/>
      <c r="Z173" s="7">
        <f t="shared" si="24"/>
        <v>-0.24061986197302851</v>
      </c>
    </row>
    <row r="174" spans="1:26" s="24" customFormat="1" hidden="1" outlineLevel="2" x14ac:dyDescent="0.25">
      <c r="A174" s="25"/>
      <c r="B174" s="11" t="str">
        <f>CONCATENATE("          ", "6113", " - ", "GROUP INSURANCE")</f>
        <v xml:space="preserve">          6113 - GROUP INSURANCE</v>
      </c>
      <c r="C174" s="11"/>
      <c r="D174" s="6">
        <v>22002.16</v>
      </c>
      <c r="E174" s="2"/>
      <c r="F174" s="7">
        <f t="shared" si="17"/>
        <v>5.5769823021702733E-2</v>
      </c>
      <c r="G174" s="2"/>
      <c r="H174" s="6">
        <v>24508.81923076923</v>
      </c>
      <c r="I174" s="2"/>
      <c r="J174" s="7">
        <f t="shared" si="18"/>
        <v>1.8872937506599876E-2</v>
      </c>
      <c r="K174" s="2"/>
      <c r="L174" s="6">
        <f t="shared" si="19"/>
        <v>-2506.6592307692299</v>
      </c>
      <c r="M174" s="2"/>
      <c r="N174" s="7">
        <f t="shared" si="20"/>
        <v>-0.10227580558521082</v>
      </c>
      <c r="O174" s="11"/>
      <c r="P174" s="6">
        <v>213899.66999999998</v>
      </c>
      <c r="Q174" s="2"/>
      <c r="R174" s="7">
        <f t="shared" si="21"/>
        <v>1.9511366561155492E-2</v>
      </c>
      <c r="S174" s="2"/>
      <c r="T174" s="6">
        <v>221994.45</v>
      </c>
      <c r="U174" s="2"/>
      <c r="V174" s="7">
        <f t="shared" si="22"/>
        <v>1.7802950052438725E-2</v>
      </c>
      <c r="W174" s="2"/>
      <c r="X174" s="6">
        <f t="shared" si="23"/>
        <v>-8094.7800000000279</v>
      </c>
      <c r="Y174" s="2"/>
      <c r="Z174" s="7">
        <f t="shared" si="24"/>
        <v>-3.6463884570087347E-2</v>
      </c>
    </row>
    <row r="175" spans="1:26" s="24" customFormat="1" hidden="1" outlineLevel="2" x14ac:dyDescent="0.25">
      <c r="A175" s="25"/>
      <c r="B175" s="11" t="str">
        <f>CONCATENATE("          ", "6114", " - ", "STATE UNEMPLOYMENT INSURANCE")</f>
        <v xml:space="preserve">          6114 - STATE UNEMPLOYMENT INSURANCE</v>
      </c>
      <c r="C175" s="11"/>
      <c r="D175" s="6">
        <v>744.92</v>
      </c>
      <c r="E175" s="2"/>
      <c r="F175" s="7">
        <f t="shared" si="17"/>
        <v>1.8881808224886466E-3</v>
      </c>
      <c r="G175" s="2"/>
      <c r="H175" s="6">
        <v>655.32050312703143</v>
      </c>
      <c r="I175" s="2"/>
      <c r="J175" s="7">
        <f t="shared" si="18"/>
        <v>5.0462744801606175E-4</v>
      </c>
      <c r="K175" s="2"/>
      <c r="L175" s="6">
        <f t="shared" si="19"/>
        <v>89.59949687296853</v>
      </c>
      <c r="M175" s="2"/>
      <c r="N175" s="7">
        <f t="shared" si="20"/>
        <v>0.13672622242921034</v>
      </c>
      <c r="O175" s="11"/>
      <c r="P175" s="6">
        <v>5859.69</v>
      </c>
      <c r="Q175" s="2"/>
      <c r="R175" s="7">
        <f t="shared" si="21"/>
        <v>5.3450554423359906E-4</v>
      </c>
      <c r="S175" s="2"/>
      <c r="T175" s="6">
        <v>5896.8386360715058</v>
      </c>
      <c r="U175" s="2"/>
      <c r="V175" s="7">
        <f t="shared" si="22"/>
        <v>4.7289976711251976E-4</v>
      </c>
      <c r="W175" s="2"/>
      <c r="X175" s="6">
        <f t="shared" si="23"/>
        <v>-37.148636071506189</v>
      </c>
      <c r="Y175" s="2"/>
      <c r="Z175" s="7">
        <f t="shared" si="24"/>
        <v>-6.2997545573427356E-3</v>
      </c>
    </row>
    <row r="176" spans="1:26" s="24" customFormat="1" hidden="1" outlineLevel="2" x14ac:dyDescent="0.25">
      <c r="A176" s="25"/>
      <c r="B176" s="11" t="str">
        <f>CONCATENATE("          ", "6115", " - ", "P.E.R.S.")</f>
        <v xml:space="preserve">          6115 - P.E.R.S.</v>
      </c>
      <c r="C176" s="11"/>
      <c r="D176" s="6">
        <v>9686.1200000000008</v>
      </c>
      <c r="E176" s="2"/>
      <c r="F176" s="7">
        <f t="shared" si="17"/>
        <v>2.4551825737426477E-2</v>
      </c>
      <c r="G176" s="2"/>
      <c r="H176" s="6">
        <v>7602.123374384606</v>
      </c>
      <c r="I176" s="2"/>
      <c r="J176" s="7">
        <f t="shared" si="18"/>
        <v>5.8539906803058081E-3</v>
      </c>
      <c r="K176" s="2"/>
      <c r="L176" s="6">
        <f t="shared" si="19"/>
        <v>2083.9966256153948</v>
      </c>
      <c r="M176" s="2"/>
      <c r="N176" s="7">
        <f t="shared" si="20"/>
        <v>0.27413349178696994</v>
      </c>
      <c r="O176" s="11"/>
      <c r="P176" s="6">
        <v>79151.520000000004</v>
      </c>
      <c r="Q176" s="2"/>
      <c r="R176" s="7">
        <f t="shared" si="21"/>
        <v>7.2199939373100977E-3</v>
      </c>
      <c r="S176" s="2"/>
      <c r="T176" s="6">
        <v>73506.591778249945</v>
      </c>
      <c r="U176" s="2"/>
      <c r="V176" s="7">
        <f t="shared" si="22"/>
        <v>5.894895939755191E-3</v>
      </c>
      <c r="W176" s="2"/>
      <c r="X176" s="6">
        <f t="shared" si="23"/>
        <v>5644.9282217500586</v>
      </c>
      <c r="Y176" s="2"/>
      <c r="Z176" s="7">
        <f t="shared" si="24"/>
        <v>7.6794857239189135E-2</v>
      </c>
    </row>
    <row r="177" spans="1:26" s="24" customFormat="1" hidden="1" outlineLevel="2" x14ac:dyDescent="0.25">
      <c r="A177" s="25"/>
      <c r="B177" s="11" t="str">
        <f>CONCATENATE("          ", "6116", " - ", "EDUCATIONAL BENEFITS")</f>
        <v xml:space="preserve">          6116 - EDUCATIONAL BENEFITS</v>
      </c>
      <c r="C177" s="11"/>
      <c r="D177" s="6"/>
      <c r="E177" s="2"/>
      <c r="F177" s="7">
        <f t="shared" si="17"/>
        <v>0</v>
      </c>
      <c r="G177" s="2"/>
      <c r="H177" s="6">
        <v>0</v>
      </c>
      <c r="I177" s="2"/>
      <c r="J177" s="7">
        <f t="shared" si="18"/>
        <v>0</v>
      </c>
      <c r="K177" s="2"/>
      <c r="L177" s="6">
        <f t="shared" si="19"/>
        <v>0</v>
      </c>
      <c r="M177" s="2"/>
      <c r="N177" s="7">
        <f t="shared" si="20"/>
        <v>0</v>
      </c>
      <c r="O177" s="11"/>
      <c r="P177" s="6"/>
      <c r="Q177" s="2"/>
      <c r="R177" s="7">
        <f t="shared" si="21"/>
        <v>0</v>
      </c>
      <c r="S177" s="2"/>
      <c r="T177" s="6">
        <v>0</v>
      </c>
      <c r="U177" s="2"/>
      <c r="V177" s="7">
        <f t="shared" si="22"/>
        <v>0</v>
      </c>
      <c r="W177" s="2"/>
      <c r="X177" s="6">
        <f t="shared" si="23"/>
        <v>0</v>
      </c>
      <c r="Y177" s="2"/>
      <c r="Z177" s="7">
        <f t="shared" si="24"/>
        <v>0</v>
      </c>
    </row>
    <row r="178" spans="1:26" s="24" customFormat="1" hidden="1" outlineLevel="2" x14ac:dyDescent="0.25">
      <c r="A178" s="25"/>
      <c r="B178" s="11" t="str">
        <f>CONCATENATE("          ", "6117", " - ", "RETIREMENT STAFF HOURLY")</f>
        <v xml:space="preserve">          6117 - RETIREMENT STAFF HOURLY</v>
      </c>
      <c r="C178" s="11"/>
      <c r="D178" s="6">
        <v>110.54</v>
      </c>
      <c r="E178" s="2"/>
      <c r="F178" s="7">
        <f t="shared" si="17"/>
        <v>2.8019050115166057E-4</v>
      </c>
      <c r="G178" s="2"/>
      <c r="H178" s="6"/>
      <c r="I178" s="2"/>
      <c r="J178" s="7">
        <f t="shared" si="18"/>
        <v>0</v>
      </c>
      <c r="K178" s="2"/>
      <c r="L178" s="6">
        <f t="shared" si="19"/>
        <v>110.54</v>
      </c>
      <c r="M178" s="2"/>
      <c r="N178" s="7">
        <f t="shared" si="20"/>
        <v>0</v>
      </c>
      <c r="O178" s="11"/>
      <c r="P178" s="6">
        <v>1174.1099999999999</v>
      </c>
      <c r="Q178" s="2"/>
      <c r="R178" s="7">
        <f t="shared" si="21"/>
        <v>1.0709923298674691E-4</v>
      </c>
      <c r="S178" s="2"/>
      <c r="T178" s="6"/>
      <c r="U178" s="2"/>
      <c r="V178" s="7">
        <f t="shared" si="22"/>
        <v>0</v>
      </c>
      <c r="W178" s="2"/>
      <c r="X178" s="6">
        <f t="shared" si="23"/>
        <v>1174.1099999999999</v>
      </c>
      <c r="Y178" s="2"/>
      <c r="Z178" s="7">
        <f t="shared" si="24"/>
        <v>0</v>
      </c>
    </row>
    <row r="179" spans="1:26" s="24" customFormat="1" hidden="1" outlineLevel="2" x14ac:dyDescent="0.25">
      <c r="A179" s="25"/>
      <c r="B179" s="11" t="str">
        <f>CONCATENATE("          ", "6118", " - ", "VACATION")</f>
        <v xml:space="preserve">          6118 - VACATION</v>
      </c>
      <c r="C179" s="11"/>
      <c r="D179" s="6">
        <v>11199.97</v>
      </c>
      <c r="E179" s="2"/>
      <c r="F179" s="7">
        <f t="shared" si="17"/>
        <v>2.8389046563990987E-2</v>
      </c>
      <c r="G179" s="2"/>
      <c r="H179" s="6">
        <v>5067.6587466307647</v>
      </c>
      <c r="I179" s="2"/>
      <c r="J179" s="7">
        <f t="shared" si="18"/>
        <v>3.9023343364442812E-3</v>
      </c>
      <c r="K179" s="2"/>
      <c r="L179" s="6">
        <f t="shared" si="19"/>
        <v>6132.3112533692347</v>
      </c>
      <c r="M179" s="2"/>
      <c r="N179" s="7">
        <f t="shared" si="20"/>
        <v>1.2100876479589919</v>
      </c>
      <c r="O179" s="11"/>
      <c r="P179" s="6">
        <v>62644.310000000005</v>
      </c>
      <c r="Q179" s="2"/>
      <c r="R179" s="7">
        <f t="shared" si="21"/>
        <v>5.7142495609304065E-3</v>
      </c>
      <c r="S179" s="2"/>
      <c r="T179" s="6">
        <v>49016.425719649975</v>
      </c>
      <c r="U179" s="2"/>
      <c r="V179" s="7">
        <f t="shared" si="22"/>
        <v>3.9308954743508288E-3</v>
      </c>
      <c r="W179" s="2"/>
      <c r="X179" s="6">
        <f t="shared" si="23"/>
        <v>13627.88428035003</v>
      </c>
      <c r="Y179" s="2"/>
      <c r="Z179" s="7">
        <f t="shared" si="24"/>
        <v>0.27802688752327381</v>
      </c>
    </row>
    <row r="180" spans="1:26" s="24" customFormat="1" hidden="1" outlineLevel="2" x14ac:dyDescent="0.25">
      <c r="A180" s="25"/>
      <c r="B180" s="11" t="str">
        <f>CONCATENATE("          ", "6119", " - ", "SICK LEAVE")</f>
        <v xml:space="preserve">          6119 - SICK LEAVE</v>
      </c>
      <c r="C180" s="11"/>
      <c r="D180" s="6">
        <v>-18298.84</v>
      </c>
      <c r="E180" s="2"/>
      <c r="F180" s="7">
        <f t="shared" si="17"/>
        <v>-4.6382858242211437E-2</v>
      </c>
      <c r="G180" s="2"/>
      <c r="H180" s="6">
        <v>6047.8119489808896</v>
      </c>
      <c r="I180" s="2"/>
      <c r="J180" s="7">
        <f t="shared" si="18"/>
        <v>4.6570981608730052E-3</v>
      </c>
      <c r="K180" s="2"/>
      <c r="L180" s="6">
        <f t="shared" si="19"/>
        <v>-24346.651948980889</v>
      </c>
      <c r="M180" s="2"/>
      <c r="N180" s="7">
        <f t="shared" si="20"/>
        <v>-4.025695930093117</v>
      </c>
      <c r="O180" s="11"/>
      <c r="P180" s="6">
        <v>21362.76</v>
      </c>
      <c r="Q180" s="2"/>
      <c r="R180" s="7">
        <f t="shared" si="21"/>
        <v>1.9486549049747956E-3</v>
      </c>
      <c r="S180" s="2"/>
      <c r="T180" s="6">
        <v>53592.880851324997</v>
      </c>
      <c r="U180" s="2"/>
      <c r="V180" s="7">
        <f t="shared" si="22"/>
        <v>4.2979064610058435E-3</v>
      </c>
      <c r="W180" s="2"/>
      <c r="X180" s="6">
        <f t="shared" si="23"/>
        <v>-32230.120851324999</v>
      </c>
      <c r="Y180" s="2"/>
      <c r="Z180" s="7">
        <f t="shared" si="24"/>
        <v>-0.60138810116844388</v>
      </c>
    </row>
    <row r="181" spans="1:26" s="24" customFormat="1" hidden="1" outlineLevel="2" x14ac:dyDescent="0.25">
      <c r="A181" s="25"/>
      <c r="B181" s="11" t="str">
        <f>CONCATENATE("          ", "6156", " - ", "EMPLOYEE MEALS")</f>
        <v xml:space="preserve">          6156 - EMPLOYEE MEALS</v>
      </c>
      <c r="C181" s="11"/>
      <c r="D181" s="6">
        <v>1535.21</v>
      </c>
      <c r="E181" s="2"/>
      <c r="F181" s="7">
        <f t="shared" si="17"/>
        <v>3.8913629389636406E-3</v>
      </c>
      <c r="G181" s="2"/>
      <c r="H181" s="6">
        <v>1550</v>
      </c>
      <c r="I181" s="2"/>
      <c r="J181" s="7">
        <f t="shared" si="18"/>
        <v>1.1935725201524397E-3</v>
      </c>
      <c r="K181" s="2"/>
      <c r="L181" s="6">
        <f t="shared" si="19"/>
        <v>-14.789999999999964</v>
      </c>
      <c r="M181" s="2"/>
      <c r="N181" s="7">
        <f t="shared" si="20"/>
        <v>-9.5419354838709447E-3</v>
      </c>
      <c r="O181" s="11"/>
      <c r="P181" s="6">
        <v>22902.11</v>
      </c>
      <c r="Q181" s="2"/>
      <c r="R181" s="7">
        <f t="shared" si="21"/>
        <v>2.0890703722633366E-3</v>
      </c>
      <c r="S181" s="2"/>
      <c r="T181" s="6">
        <v>14075</v>
      </c>
      <c r="U181" s="2"/>
      <c r="V181" s="7">
        <f t="shared" si="22"/>
        <v>1.1287512908006261E-3</v>
      </c>
      <c r="W181" s="2"/>
      <c r="X181" s="6">
        <f t="shared" si="23"/>
        <v>8827.11</v>
      </c>
      <c r="Y181" s="2"/>
      <c r="Z181" s="7">
        <f t="shared" si="24"/>
        <v>0.6271481349911191</v>
      </c>
    </row>
    <row r="182" spans="1:26" s="27" customFormat="1" outlineLevel="1" collapsed="1" x14ac:dyDescent="0.25">
      <c r="A182" s="26"/>
      <c r="B182" s="13" t="str">
        <f>CONCATENATE("     ","*Payroll                                          ")</f>
        <v xml:space="preserve">     *Payroll                                          </v>
      </c>
      <c r="C182" s="13"/>
      <c r="D182" s="1">
        <f>SUM(OSRRefD22_1x_0)</f>
        <v>228764.61</v>
      </c>
      <c r="E182" s="1"/>
      <c r="F182" s="5">
        <f t="shared" ref="F182:F192" si="25">IF(D$12=0,0,D182/D$12)</f>
        <v>0.57985951439898842</v>
      </c>
      <c r="G182" s="1"/>
      <c r="H182" s="1">
        <f>SUM(OSRRefH22_1x_0)</f>
        <v>243157.83652327364</v>
      </c>
      <c r="I182" s="1"/>
      <c r="J182" s="5">
        <f t="shared" ref="J182:J192" si="26">IF(H$12=0,0,H182/H$12)</f>
        <v>0.18724291079606364</v>
      </c>
      <c r="K182" s="1"/>
      <c r="L182" s="1">
        <f t="shared" ref="L182:L192" si="27">+D182-H182</f>
        <v>-14393.226523273654</v>
      </c>
      <c r="M182" s="1"/>
      <c r="N182" s="5">
        <f t="shared" ref="N182:N192" si="28">IF(H182=0,0,L182/H182)</f>
        <v>-5.9192937102382957E-2</v>
      </c>
      <c r="O182" s="13"/>
      <c r="P182" s="1">
        <f>SUM(OSRRefP22_1x_0)</f>
        <v>2116049.77</v>
      </c>
      <c r="Q182" s="1"/>
      <c r="R182" s="5">
        <f t="shared" ref="R182:R192" si="29">IF(P$12=0,0,P182/P$12)</f>
        <v>0.19302050687651262</v>
      </c>
      <c r="S182" s="1"/>
      <c r="T182" s="1">
        <f>SUM(OSRRefT22_1x_0)</f>
        <v>2184591.3961025528</v>
      </c>
      <c r="U182" s="1"/>
      <c r="V182" s="5">
        <f t="shared" ref="V182:V192" si="30">IF(T$12=0,0,T182/T$12)</f>
        <v>0.17519434161440131</v>
      </c>
      <c r="W182" s="1"/>
      <c r="X182" s="1">
        <f t="shared" ref="X182:X192" si="31">+P182-T182</f>
        <v>-68541.626102552749</v>
      </c>
      <c r="Y182" s="1"/>
      <c r="Z182" s="5">
        <f t="shared" ref="Z182:Z192" si="32">IF(T182=0,0,X182/T182)</f>
        <v>-3.1375032523168991E-2</v>
      </c>
    </row>
    <row r="183" spans="1:26" s="24" customFormat="1" hidden="1" outlineLevel="2" x14ac:dyDescent="0.25">
      <c r="A183" s="25"/>
      <c r="B183" s="11" t="str">
        <f>CONCATENATE("          ", "6001", " - ", "ADMINISTRATIVE SALARIES")</f>
        <v xml:space="preserve">          6001 - ADMINISTRATIVE SALARIES</v>
      </c>
      <c r="C183" s="11"/>
      <c r="D183" s="6">
        <v>4822.2</v>
      </c>
      <c r="E183" s="2"/>
      <c r="F183" s="7">
        <f t="shared" si="25"/>
        <v>1.2223038127859033E-2</v>
      </c>
      <c r="G183" s="2"/>
      <c r="H183" s="6">
        <v>37696.332694153847</v>
      </c>
      <c r="I183" s="2"/>
      <c r="J183" s="7">
        <f t="shared" si="26"/>
        <v>2.9027939880171622E-2</v>
      </c>
      <c r="K183" s="2"/>
      <c r="L183" s="6">
        <f t="shared" si="27"/>
        <v>-32874.13269415385</v>
      </c>
      <c r="M183" s="2"/>
      <c r="N183" s="7">
        <f t="shared" si="28"/>
        <v>-0.87207774190862208</v>
      </c>
      <c r="O183" s="11"/>
      <c r="P183" s="6">
        <v>93238.31</v>
      </c>
      <c r="Q183" s="2"/>
      <c r="R183" s="7">
        <f t="shared" si="29"/>
        <v>8.5049539531905308E-3</v>
      </c>
      <c r="S183" s="2"/>
      <c r="T183" s="6">
        <v>365023.61811800004</v>
      </c>
      <c r="U183" s="2"/>
      <c r="V183" s="7">
        <f t="shared" si="30"/>
        <v>2.9273241927062689E-2</v>
      </c>
      <c r="W183" s="2"/>
      <c r="X183" s="6">
        <f t="shared" si="31"/>
        <v>-271785.30811800004</v>
      </c>
      <c r="Y183" s="2"/>
      <c r="Z183" s="7">
        <f t="shared" si="32"/>
        <v>-0.7445691035535702</v>
      </c>
    </row>
    <row r="184" spans="1:26" s="24" customFormat="1" hidden="1" outlineLevel="2" x14ac:dyDescent="0.25">
      <c r="A184" s="25"/>
      <c r="B184" s="11" t="str">
        <f>CONCATENATE("          ", "6002", " - ", "STAFF SALARIES")</f>
        <v xml:space="preserve">          6002 - STAFF SALARIES</v>
      </c>
      <c r="C184" s="11"/>
      <c r="D184" s="6">
        <v>68192.09</v>
      </c>
      <c r="E184" s="2"/>
      <c r="F184" s="7">
        <f t="shared" si="25"/>
        <v>0.17284942890970817</v>
      </c>
      <c r="G184" s="2"/>
      <c r="H184" s="6">
        <v>43309.186545646182</v>
      </c>
      <c r="I184" s="2"/>
      <c r="J184" s="7">
        <f t="shared" si="26"/>
        <v>3.3350099955509062E-2</v>
      </c>
      <c r="K184" s="2"/>
      <c r="L184" s="6">
        <f t="shared" si="27"/>
        <v>24882.903454353815</v>
      </c>
      <c r="M184" s="2"/>
      <c r="N184" s="7">
        <f t="shared" si="28"/>
        <v>0.57454100247595763</v>
      </c>
      <c r="O184" s="11"/>
      <c r="P184" s="6">
        <v>662890.69999999995</v>
      </c>
      <c r="Q184" s="2"/>
      <c r="R184" s="7">
        <f t="shared" si="29"/>
        <v>6.0467150031979749E-2</v>
      </c>
      <c r="S184" s="2"/>
      <c r="T184" s="6">
        <v>418251.00082005019</v>
      </c>
      <c r="U184" s="2"/>
      <c r="V184" s="7">
        <f t="shared" si="30"/>
        <v>3.3541837090890612E-2</v>
      </c>
      <c r="W184" s="2"/>
      <c r="X184" s="6">
        <f t="shared" si="31"/>
        <v>244639.69917994976</v>
      </c>
      <c r="Y184" s="2"/>
      <c r="Z184" s="7">
        <f t="shared" si="32"/>
        <v>0.58491121049392159</v>
      </c>
    </row>
    <row r="185" spans="1:26" s="24" customFormat="1" hidden="1" outlineLevel="2" x14ac:dyDescent="0.25">
      <c r="A185" s="25"/>
      <c r="B185" s="11" t="str">
        <f>CONCATENATE("          ", "6003", " - ", "STAFF HOURLY-9 MONTH")</f>
        <v xml:space="preserve">          6003 - STAFF HOURLY-9 MONTH</v>
      </c>
      <c r="C185" s="11"/>
      <c r="D185" s="6"/>
      <c r="E185" s="2"/>
      <c r="F185" s="7">
        <f t="shared" si="25"/>
        <v>0</v>
      </c>
      <c r="G185" s="2"/>
      <c r="H185" s="6">
        <v>0</v>
      </c>
      <c r="I185" s="2"/>
      <c r="J185" s="7">
        <f t="shared" si="26"/>
        <v>0</v>
      </c>
      <c r="K185" s="2"/>
      <c r="L185" s="6">
        <f t="shared" si="27"/>
        <v>0</v>
      </c>
      <c r="M185" s="2"/>
      <c r="N185" s="7">
        <f t="shared" si="28"/>
        <v>0</v>
      </c>
      <c r="O185" s="11"/>
      <c r="P185" s="6"/>
      <c r="Q185" s="2"/>
      <c r="R185" s="7">
        <f t="shared" si="29"/>
        <v>0</v>
      </c>
      <c r="S185" s="2"/>
      <c r="T185" s="6">
        <v>0</v>
      </c>
      <c r="U185" s="2"/>
      <c r="V185" s="7">
        <f t="shared" si="30"/>
        <v>0</v>
      </c>
      <c r="W185" s="2"/>
      <c r="X185" s="6">
        <f t="shared" si="31"/>
        <v>0</v>
      </c>
      <c r="Y185" s="2"/>
      <c r="Z185" s="7">
        <f t="shared" si="32"/>
        <v>0</v>
      </c>
    </row>
    <row r="186" spans="1:26" s="24" customFormat="1" hidden="1" outlineLevel="2" x14ac:dyDescent="0.25">
      <c r="A186" s="25"/>
      <c r="B186" s="11" t="str">
        <f>CONCATENATE("          ", "6004", " - ", "STAFF HOURLY")</f>
        <v xml:space="preserve">          6004 - STAFF HOURLY</v>
      </c>
      <c r="C186" s="11"/>
      <c r="D186" s="6">
        <v>9353.7000000000007</v>
      </c>
      <c r="E186" s="2"/>
      <c r="F186" s="7">
        <f t="shared" si="25"/>
        <v>2.3709226439499617E-2</v>
      </c>
      <c r="G186" s="2"/>
      <c r="H186" s="6">
        <v>23493.712381999998</v>
      </c>
      <c r="I186" s="2"/>
      <c r="J186" s="7">
        <f t="shared" si="26"/>
        <v>1.8091257739045366E-2</v>
      </c>
      <c r="K186" s="2"/>
      <c r="L186" s="6">
        <f t="shared" si="27"/>
        <v>-14140.012381999997</v>
      </c>
      <c r="M186" s="2"/>
      <c r="N186" s="7">
        <f t="shared" si="28"/>
        <v>-0.60186368812591517</v>
      </c>
      <c r="O186" s="11"/>
      <c r="P186" s="6">
        <v>38778.270000000004</v>
      </c>
      <c r="Q186" s="2"/>
      <c r="R186" s="7">
        <f t="shared" si="29"/>
        <v>3.5372520237055972E-3</v>
      </c>
      <c r="S186" s="2"/>
      <c r="T186" s="6">
        <v>224281.06291199999</v>
      </c>
      <c r="U186" s="2"/>
      <c r="V186" s="7">
        <f t="shared" si="30"/>
        <v>1.7986326057837048E-2</v>
      </c>
      <c r="W186" s="2"/>
      <c r="X186" s="6">
        <f t="shared" si="31"/>
        <v>-185502.79291199998</v>
      </c>
      <c r="Y186" s="2"/>
      <c r="Z186" s="7">
        <f t="shared" si="32"/>
        <v>-0.8270996690647251</v>
      </c>
    </row>
    <row r="187" spans="1:26" s="24" customFormat="1" hidden="1" outlineLevel="2" x14ac:dyDescent="0.25">
      <c r="A187" s="25"/>
      <c r="B187" s="11" t="str">
        <f>CONCATENATE("          ", "6005", " - ", "TEMPORARY WAGES-HOURLY")</f>
        <v xml:space="preserve">          6005 - TEMPORARY WAGES-HOURLY</v>
      </c>
      <c r="C187" s="11"/>
      <c r="D187" s="6">
        <v>30390.27</v>
      </c>
      <c r="E187" s="2"/>
      <c r="F187" s="7">
        <f t="shared" si="25"/>
        <v>7.7031526881077214E-2</v>
      </c>
      <c r="G187" s="2"/>
      <c r="H187" s="6">
        <v>4430.2911999999997</v>
      </c>
      <c r="I187" s="2"/>
      <c r="J187" s="7">
        <f t="shared" si="26"/>
        <v>3.411531504898823E-3</v>
      </c>
      <c r="K187" s="2"/>
      <c r="L187" s="6">
        <f t="shared" si="27"/>
        <v>25959.978800000001</v>
      </c>
      <c r="M187" s="2"/>
      <c r="N187" s="7">
        <f t="shared" si="28"/>
        <v>5.8596551847427101</v>
      </c>
      <c r="O187" s="11"/>
      <c r="P187" s="6">
        <v>233823.25</v>
      </c>
      <c r="Q187" s="2"/>
      <c r="R187" s="7">
        <f t="shared" si="29"/>
        <v>2.1328743243365929E-2</v>
      </c>
      <c r="S187" s="2"/>
      <c r="T187" s="6">
        <v>41749.073600000003</v>
      </c>
      <c r="U187" s="2"/>
      <c r="V187" s="7">
        <f t="shared" si="30"/>
        <v>3.3480867293591721E-3</v>
      </c>
      <c r="W187" s="2"/>
      <c r="X187" s="6">
        <f t="shared" si="31"/>
        <v>192074.1764</v>
      </c>
      <c r="Y187" s="2"/>
      <c r="Z187" s="7">
        <f t="shared" si="32"/>
        <v>4.6006811609826954</v>
      </c>
    </row>
    <row r="188" spans="1:26" s="24" customFormat="1" hidden="1" outlineLevel="2" x14ac:dyDescent="0.25">
      <c r="A188" s="25"/>
      <c r="B188" s="11" t="str">
        <f>CONCATENATE("          ", "6006", " - ", "TEMPORARY PART TIME")</f>
        <v xml:space="preserve">          6006 - TEMPORARY PART TIME</v>
      </c>
      <c r="C188" s="11"/>
      <c r="D188" s="6">
        <v>12383.53</v>
      </c>
      <c r="E188" s="2"/>
      <c r="F188" s="7">
        <f t="shared" si="25"/>
        <v>3.138906709541002E-2</v>
      </c>
      <c r="G188" s="2"/>
      <c r="H188" s="6">
        <v>0</v>
      </c>
      <c r="I188" s="2"/>
      <c r="J188" s="7">
        <f t="shared" si="26"/>
        <v>0</v>
      </c>
      <c r="K188" s="2"/>
      <c r="L188" s="6">
        <f t="shared" si="27"/>
        <v>12383.53</v>
      </c>
      <c r="M188" s="2"/>
      <c r="N188" s="7">
        <f t="shared" si="28"/>
        <v>0</v>
      </c>
      <c r="O188" s="11"/>
      <c r="P188" s="6">
        <v>51632.29</v>
      </c>
      <c r="Q188" s="2"/>
      <c r="R188" s="7">
        <f t="shared" si="29"/>
        <v>4.7097619953405416E-3</v>
      </c>
      <c r="S188" s="2"/>
      <c r="T188" s="6">
        <v>0</v>
      </c>
      <c r="U188" s="2"/>
      <c r="V188" s="7">
        <f t="shared" si="30"/>
        <v>0</v>
      </c>
      <c r="W188" s="2"/>
      <c r="X188" s="6">
        <f t="shared" si="31"/>
        <v>51632.29</v>
      </c>
      <c r="Y188" s="2"/>
      <c r="Z188" s="7">
        <f t="shared" si="32"/>
        <v>0</v>
      </c>
    </row>
    <row r="189" spans="1:26" s="24" customFormat="1" hidden="1" outlineLevel="2" x14ac:dyDescent="0.25">
      <c r="A189" s="25"/>
      <c r="B189" s="11" t="str">
        <f>CONCATENATE("          ", "6007", " - ", "STUDENT HOURLY")</f>
        <v xml:space="preserve">          6007 - STUDENT HOURLY</v>
      </c>
      <c r="C189" s="11"/>
      <c r="D189" s="6">
        <v>100878.52</v>
      </c>
      <c r="E189" s="2"/>
      <c r="F189" s="7">
        <f t="shared" si="25"/>
        <v>0.25570113148396795</v>
      </c>
      <c r="G189" s="2"/>
      <c r="H189" s="6">
        <v>18184.889808</v>
      </c>
      <c r="I189" s="2"/>
      <c r="J189" s="7">
        <f t="shared" si="26"/>
        <v>1.4003215972147726E-2</v>
      </c>
      <c r="K189" s="2"/>
      <c r="L189" s="6">
        <f t="shared" si="27"/>
        <v>82693.630192000011</v>
      </c>
      <c r="M189" s="2"/>
      <c r="N189" s="7">
        <f t="shared" si="28"/>
        <v>4.5473814284880056</v>
      </c>
      <c r="O189" s="11"/>
      <c r="P189" s="6">
        <v>1009526.14</v>
      </c>
      <c r="Q189" s="2"/>
      <c r="R189" s="7">
        <f t="shared" si="29"/>
        <v>9.2086325194463275E-2</v>
      </c>
      <c r="S189" s="2"/>
      <c r="T189" s="6">
        <v>192930.29314319999</v>
      </c>
      <c r="U189" s="2"/>
      <c r="V189" s="7">
        <f t="shared" si="30"/>
        <v>1.5472136228769463E-2</v>
      </c>
      <c r="W189" s="2"/>
      <c r="X189" s="6">
        <f t="shared" si="31"/>
        <v>816595.84685680002</v>
      </c>
      <c r="Y189" s="2"/>
      <c r="Z189" s="7">
        <f t="shared" si="32"/>
        <v>4.2325952734166661</v>
      </c>
    </row>
    <row r="190" spans="1:26" s="24" customFormat="1" hidden="1" outlineLevel="2" x14ac:dyDescent="0.25">
      <c r="A190" s="25"/>
      <c r="B190" s="11" t="str">
        <f>CONCATENATE("          ", "6008", " - ", "STUDENT HOURLY-FICA EXEMPT")</f>
        <v xml:space="preserve">          6008 - STUDENT HOURLY-FICA EXEMPT</v>
      </c>
      <c r="C190" s="11"/>
      <c r="D190" s="6">
        <v>2744.3</v>
      </c>
      <c r="E190" s="2"/>
      <c r="F190" s="7">
        <f t="shared" si="25"/>
        <v>6.9560954614664569E-3</v>
      </c>
      <c r="G190" s="2"/>
      <c r="H190" s="6">
        <v>116043.42389347361</v>
      </c>
      <c r="I190" s="2"/>
      <c r="J190" s="7">
        <f t="shared" si="26"/>
        <v>8.9358865744291055E-2</v>
      </c>
      <c r="K190" s="2"/>
      <c r="L190" s="6">
        <f t="shared" si="27"/>
        <v>-113299.1238934736</v>
      </c>
      <c r="M190" s="2"/>
      <c r="N190" s="7">
        <f t="shared" si="28"/>
        <v>-0.97635109420315591</v>
      </c>
      <c r="O190" s="11"/>
      <c r="P190" s="6">
        <v>26160.809999999998</v>
      </c>
      <c r="Q190" s="2"/>
      <c r="R190" s="7">
        <f t="shared" si="29"/>
        <v>2.3863204344669736E-3</v>
      </c>
      <c r="S190" s="2"/>
      <c r="T190" s="6">
        <v>942356.34750930232</v>
      </c>
      <c r="U190" s="2"/>
      <c r="V190" s="7">
        <f t="shared" si="30"/>
        <v>7.5572713580482301E-2</v>
      </c>
      <c r="W190" s="2"/>
      <c r="X190" s="6">
        <f t="shared" si="31"/>
        <v>-916195.53750930238</v>
      </c>
      <c r="Y190" s="2"/>
      <c r="Z190" s="7">
        <f t="shared" si="32"/>
        <v>-0.97223894117215393</v>
      </c>
    </row>
    <row r="191" spans="1:26" s="24" customFormat="1" hidden="1" outlineLevel="2" x14ac:dyDescent="0.25">
      <c r="A191" s="25"/>
      <c r="B191" s="11" t="str">
        <f>CONCATENATE("          ", "6009", " - ", "TEMPORARY-SEASONAL")</f>
        <v xml:space="preserve">          6009 - TEMPORARY-SEASONAL</v>
      </c>
      <c r="C191" s="11"/>
      <c r="D191" s="6"/>
      <c r="E191" s="2"/>
      <c r="F191" s="7">
        <f t="shared" si="25"/>
        <v>0</v>
      </c>
      <c r="G191" s="2"/>
      <c r="H191" s="6">
        <v>0</v>
      </c>
      <c r="I191" s="2"/>
      <c r="J191" s="7">
        <f t="shared" si="26"/>
        <v>0</v>
      </c>
      <c r="K191" s="2"/>
      <c r="L191" s="6">
        <f t="shared" si="27"/>
        <v>0</v>
      </c>
      <c r="M191" s="2"/>
      <c r="N191" s="7">
        <f t="shared" si="28"/>
        <v>0</v>
      </c>
      <c r="O191" s="11"/>
      <c r="P191" s="6"/>
      <c r="Q191" s="2"/>
      <c r="R191" s="7">
        <f t="shared" si="29"/>
        <v>0</v>
      </c>
      <c r="S191" s="2"/>
      <c r="T191" s="6">
        <v>0</v>
      </c>
      <c r="U191" s="2"/>
      <c r="V191" s="7">
        <f t="shared" si="30"/>
        <v>0</v>
      </c>
      <c r="W191" s="2"/>
      <c r="X191" s="6">
        <f t="shared" si="31"/>
        <v>0</v>
      </c>
      <c r="Y191" s="2"/>
      <c r="Z191" s="7">
        <f t="shared" si="32"/>
        <v>0</v>
      </c>
    </row>
    <row r="192" spans="1:26" s="24" customFormat="1" hidden="1" outlineLevel="2" x14ac:dyDescent="0.25">
      <c r="A192" s="25"/>
      <c r="B192" s="11" t="str">
        <f>CONCATENATE("          ", "6010", " - ", "GRATUITY")</f>
        <v xml:space="preserve">          6010 - GRATUITY</v>
      </c>
      <c r="C192" s="11"/>
      <c r="D192" s="6"/>
      <c r="E192" s="2"/>
      <c r="F192" s="7">
        <f t="shared" si="25"/>
        <v>0</v>
      </c>
      <c r="G192" s="2"/>
      <c r="H192" s="6">
        <v>0</v>
      </c>
      <c r="I192" s="2"/>
      <c r="J192" s="7">
        <f t="shared" si="26"/>
        <v>0</v>
      </c>
      <c r="K192" s="2"/>
      <c r="L192" s="6">
        <f t="shared" si="27"/>
        <v>0</v>
      </c>
      <c r="M192" s="2"/>
      <c r="N192" s="7">
        <f t="shared" si="28"/>
        <v>0</v>
      </c>
      <c r="O192" s="11"/>
      <c r="P192" s="6"/>
      <c r="Q192" s="2"/>
      <c r="R192" s="7">
        <f t="shared" si="29"/>
        <v>0</v>
      </c>
      <c r="S192" s="2"/>
      <c r="T192" s="6">
        <v>0</v>
      </c>
      <c r="U192" s="2"/>
      <c r="V192" s="7">
        <f t="shared" si="30"/>
        <v>0</v>
      </c>
      <c r="W192" s="2"/>
      <c r="X192" s="6">
        <f t="shared" si="31"/>
        <v>0</v>
      </c>
      <c r="Y192" s="2"/>
      <c r="Z192" s="7">
        <f t="shared" si="32"/>
        <v>0</v>
      </c>
    </row>
    <row r="193" spans="1:26" s="27" customFormat="1" outlineLevel="1" collapsed="1" x14ac:dyDescent="0.25">
      <c r="A193" s="26"/>
      <c r="B193" s="13" t="str">
        <f>CONCATENATE("     ","Advertising/Promo                                 ")</f>
        <v xml:space="preserve">     Advertising/Promo                                 </v>
      </c>
      <c r="C193" s="13"/>
      <c r="D193" s="1">
        <f>SUM(OSRRefD22_2x_0)</f>
        <v>553.02</v>
      </c>
      <c r="E193" s="1"/>
      <c r="F193" s="5">
        <f t="shared" ref="F193:F197" si="33">IF(D$12=0,0,D193/D$12)</f>
        <v>1.4017636235470537E-3</v>
      </c>
      <c r="G193" s="1"/>
      <c r="H193" s="1">
        <f>SUM(OSRRefH22_2x_0)</f>
        <v>2545</v>
      </c>
      <c r="I193" s="1"/>
      <c r="J193" s="5">
        <f t="shared" ref="J193:J197" si="34">IF(H$12=0,0,H193/H$12)</f>
        <v>1.9597690734115864E-3</v>
      </c>
      <c r="K193" s="1"/>
      <c r="L193" s="1">
        <f t="shared" ref="L193:L197" si="35">+D193-H193</f>
        <v>-1991.98</v>
      </c>
      <c r="M193" s="1"/>
      <c r="N193" s="5">
        <f t="shared" ref="N193:N197" si="36">IF(H193=0,0,L193/H193)</f>
        <v>-0.78270333988212182</v>
      </c>
      <c r="O193" s="13"/>
      <c r="P193" s="1">
        <f>SUM(OSRRefP22_2x_0)</f>
        <v>47250.18</v>
      </c>
      <c r="Q193" s="1"/>
      <c r="R193" s="5">
        <f t="shared" ref="R193:R197" si="37">IF(P$12=0,0,P193/P$12)</f>
        <v>4.3100374210983039E-3</v>
      </c>
      <c r="S193" s="1"/>
      <c r="T193" s="1">
        <f>SUM(OSRRefT22_2x_0)</f>
        <v>57130</v>
      </c>
      <c r="U193" s="1"/>
      <c r="V193" s="5">
        <f t="shared" ref="V193:V197" si="38">IF(T$12=0,0,T193/T$12)</f>
        <v>4.5815674062834651E-3</v>
      </c>
      <c r="W193" s="1"/>
      <c r="X193" s="1">
        <f t="shared" ref="X193:X197" si="39">+P193-T193</f>
        <v>-9879.82</v>
      </c>
      <c r="Y193" s="1"/>
      <c r="Z193" s="5">
        <f t="shared" ref="Z193:Z197" si="40">IF(T193=0,0,X193/T193)</f>
        <v>-0.17293576054612286</v>
      </c>
    </row>
    <row r="194" spans="1:26" s="24" customFormat="1" hidden="1" outlineLevel="2" x14ac:dyDescent="0.25">
      <c r="A194" s="25"/>
      <c r="B194" s="11" t="str">
        <f>CONCATENATE("          ", "6362", " - ", "ADVERTISING EXPENSE")</f>
        <v xml:space="preserve">          6362 - ADVERTISING EXPENSE</v>
      </c>
      <c r="C194" s="11"/>
      <c r="D194" s="6">
        <v>553.02</v>
      </c>
      <c r="E194" s="2"/>
      <c r="F194" s="7">
        <f t="shared" si="33"/>
        <v>1.4017636235470537E-3</v>
      </c>
      <c r="G194" s="2"/>
      <c r="H194" s="6">
        <v>2545</v>
      </c>
      <c r="I194" s="2"/>
      <c r="J194" s="7">
        <f t="shared" si="34"/>
        <v>1.9597690734115864E-3</v>
      </c>
      <c r="K194" s="2"/>
      <c r="L194" s="6">
        <f t="shared" si="35"/>
        <v>-1991.98</v>
      </c>
      <c r="M194" s="2"/>
      <c r="N194" s="7">
        <f t="shared" si="36"/>
        <v>-0.78270333988212182</v>
      </c>
      <c r="O194" s="11"/>
      <c r="P194" s="6">
        <v>47250.18</v>
      </c>
      <c r="Q194" s="2"/>
      <c r="R194" s="7">
        <f t="shared" si="37"/>
        <v>4.3100374210983039E-3</v>
      </c>
      <c r="S194" s="2"/>
      <c r="T194" s="6">
        <v>57130</v>
      </c>
      <c r="U194" s="2"/>
      <c r="V194" s="7">
        <f t="shared" si="38"/>
        <v>4.5815674062834651E-3</v>
      </c>
      <c r="W194" s="2"/>
      <c r="X194" s="6">
        <f t="shared" si="39"/>
        <v>-9879.82</v>
      </c>
      <c r="Y194" s="2"/>
      <c r="Z194" s="7">
        <f t="shared" si="40"/>
        <v>-0.17293576054612286</v>
      </c>
    </row>
    <row r="195" spans="1:26" s="27" customFormat="1" outlineLevel="1" collapsed="1" x14ac:dyDescent="0.25">
      <c r="A195" s="26"/>
      <c r="B195" s="13" t="str">
        <f>CONCATENATE("     ","Bad Debts/Over/Short                              ")</f>
        <v xml:space="preserve">     Bad Debts/Over/Short                              </v>
      </c>
      <c r="C195" s="13"/>
      <c r="D195" s="1">
        <f>SUM(OSRRefD22_3x_0)</f>
        <v>-92.41</v>
      </c>
      <c r="E195" s="1"/>
      <c r="F195" s="5">
        <f t="shared" si="33"/>
        <v>-2.3423560893273885E-4</v>
      </c>
      <c r="G195" s="1"/>
      <c r="H195" s="1">
        <f>SUM(OSRRefH22_3x_0)</f>
        <v>145</v>
      </c>
      <c r="I195" s="1"/>
      <c r="J195" s="5">
        <f t="shared" si="34"/>
        <v>1.1165678414329274E-4</v>
      </c>
      <c r="K195" s="1"/>
      <c r="L195" s="1">
        <f t="shared" si="35"/>
        <v>-237.41</v>
      </c>
      <c r="M195" s="1"/>
      <c r="N195" s="5">
        <f t="shared" si="36"/>
        <v>-1.6373103448275861</v>
      </c>
      <c r="O195" s="13"/>
      <c r="P195" s="1">
        <f>SUM(OSRRefP22_3x_0)</f>
        <v>-459.94</v>
      </c>
      <c r="Q195" s="1"/>
      <c r="R195" s="5">
        <f t="shared" si="37"/>
        <v>-4.1954519780876047E-5</v>
      </c>
      <c r="S195" s="1"/>
      <c r="T195" s="1">
        <f>SUM(OSRRefT22_3x_0)</f>
        <v>1305</v>
      </c>
      <c r="U195" s="1"/>
      <c r="V195" s="5">
        <f t="shared" si="38"/>
        <v>1.0465509303693194E-4</v>
      </c>
      <c r="W195" s="1"/>
      <c r="X195" s="1">
        <f t="shared" si="39"/>
        <v>-1764.94</v>
      </c>
      <c r="Y195" s="1"/>
      <c r="Z195" s="5">
        <f t="shared" si="40"/>
        <v>-1.3524444444444446</v>
      </c>
    </row>
    <row r="196" spans="1:26" s="24" customFormat="1" hidden="1" outlineLevel="2" x14ac:dyDescent="0.25">
      <c r="A196" s="25"/>
      <c r="B196" s="11" t="str">
        <f>CONCATENATE("          ", "6272", " - ", "CASH (OVER/SHORT)")</f>
        <v xml:space="preserve">          6272 - CASH (OVER/SHORT)</v>
      </c>
      <c r="C196" s="11"/>
      <c r="D196" s="6">
        <v>-92.41</v>
      </c>
      <c r="E196" s="2"/>
      <c r="F196" s="7">
        <f t="shared" si="33"/>
        <v>-2.3423560893273885E-4</v>
      </c>
      <c r="G196" s="2"/>
      <c r="H196" s="6">
        <v>135</v>
      </c>
      <c r="I196" s="2"/>
      <c r="J196" s="7">
        <f t="shared" si="34"/>
        <v>1.0395631627134152E-4</v>
      </c>
      <c r="K196" s="2"/>
      <c r="L196" s="6">
        <f t="shared" si="35"/>
        <v>-227.41</v>
      </c>
      <c r="M196" s="2"/>
      <c r="N196" s="7">
        <f t="shared" si="36"/>
        <v>-1.6845185185185185</v>
      </c>
      <c r="O196" s="11"/>
      <c r="P196" s="6">
        <v>-504.74</v>
      </c>
      <c r="Q196" s="2"/>
      <c r="R196" s="7">
        <f t="shared" si="37"/>
        <v>-4.6041058212374173E-5</v>
      </c>
      <c r="S196" s="2"/>
      <c r="T196" s="6">
        <v>1215</v>
      </c>
      <c r="U196" s="2"/>
      <c r="V196" s="7">
        <f t="shared" si="38"/>
        <v>9.7437500413695259E-5</v>
      </c>
      <c r="W196" s="2"/>
      <c r="X196" s="6">
        <f t="shared" si="39"/>
        <v>-1719.74</v>
      </c>
      <c r="Y196" s="2"/>
      <c r="Z196" s="7">
        <f t="shared" si="40"/>
        <v>-1.4154238683127571</v>
      </c>
    </row>
    <row r="197" spans="1:26" s="24" customFormat="1" hidden="1" outlineLevel="2" x14ac:dyDescent="0.25">
      <c r="A197" s="25"/>
      <c r="B197" s="11" t="str">
        <f>CONCATENATE("          ", "6342", " - ", "BAD DEBT")</f>
        <v xml:space="preserve">          6342 - BAD DEBT</v>
      </c>
      <c r="C197" s="11"/>
      <c r="D197" s="6"/>
      <c r="E197" s="2"/>
      <c r="F197" s="7">
        <f t="shared" si="33"/>
        <v>0</v>
      </c>
      <c r="G197" s="2"/>
      <c r="H197" s="6">
        <v>10</v>
      </c>
      <c r="I197" s="2"/>
      <c r="J197" s="7">
        <f t="shared" si="34"/>
        <v>7.7004678719512233E-6</v>
      </c>
      <c r="K197" s="2"/>
      <c r="L197" s="6">
        <f t="shared" si="35"/>
        <v>-10</v>
      </c>
      <c r="M197" s="2"/>
      <c r="N197" s="7">
        <f t="shared" si="36"/>
        <v>-1</v>
      </c>
      <c r="O197" s="11"/>
      <c r="P197" s="6">
        <v>44.8</v>
      </c>
      <c r="Q197" s="2"/>
      <c r="R197" s="7">
        <f t="shared" si="37"/>
        <v>4.0865384314981231E-6</v>
      </c>
      <c r="S197" s="2"/>
      <c r="T197" s="6">
        <v>90</v>
      </c>
      <c r="U197" s="2"/>
      <c r="V197" s="7">
        <f t="shared" si="38"/>
        <v>7.2175926232366857E-6</v>
      </c>
      <c r="W197" s="2"/>
      <c r="X197" s="6">
        <f t="shared" si="39"/>
        <v>-45.2</v>
      </c>
      <c r="Y197" s="2"/>
      <c r="Z197" s="7">
        <f t="shared" si="40"/>
        <v>-0.50222222222222224</v>
      </c>
    </row>
    <row r="198" spans="1:26" s="27" customFormat="1" outlineLevel="1" collapsed="1" x14ac:dyDescent="0.25">
      <c r="A198" s="26"/>
      <c r="B198" s="13" t="str">
        <f>CONCATENATE("     ","Bank/card Fees                                    ")</f>
        <v xml:space="preserve">     Bank/card Fees                                    </v>
      </c>
      <c r="C198" s="13"/>
      <c r="D198" s="1">
        <f>SUM(OSRRefD22_4x_0)</f>
        <v>14493.32</v>
      </c>
      <c r="E198" s="1"/>
      <c r="F198" s="5">
        <f t="shared" ref="F198:F204" si="41">IF(D$12=0,0,D198/D$12)</f>
        <v>3.6736842718937804E-2</v>
      </c>
      <c r="G198" s="1"/>
      <c r="H198" s="1">
        <f>SUM(OSRRefH22_4x_0)</f>
        <v>25722</v>
      </c>
      <c r="I198" s="1"/>
      <c r="J198" s="5">
        <f t="shared" ref="J198:J204" si="42">IF(H$12=0,0,H198/H$12)</f>
        <v>1.9807143460232938E-2</v>
      </c>
      <c r="K198" s="1"/>
      <c r="L198" s="1">
        <f t="shared" ref="L198:L204" si="43">+D198-H198</f>
        <v>-11228.68</v>
      </c>
      <c r="M198" s="1"/>
      <c r="N198" s="5">
        <f t="shared" ref="N198:N204" si="44">IF(H198=0,0,L198/H198)</f>
        <v>-0.43653992691081567</v>
      </c>
      <c r="O198" s="13"/>
      <c r="P198" s="1">
        <f>SUM(OSRRefP22_4x_0)</f>
        <v>226248.53999999998</v>
      </c>
      <c r="Q198" s="1"/>
      <c r="R198" s="5">
        <f t="shared" ref="R198:R204" si="45">IF(P$12=0,0,P198/P$12)</f>
        <v>2.0637798075454024E-2</v>
      </c>
      <c r="S198" s="1"/>
      <c r="T198" s="1">
        <f>SUM(OSRRefT22_4x_0)</f>
        <v>237274.99999999997</v>
      </c>
      <c r="U198" s="1"/>
      <c r="V198" s="5">
        <f t="shared" ref="V198:V204" si="46">IF(T$12=0,0,T198/T$12)</f>
        <v>1.9028380996427605E-2</v>
      </c>
      <c r="W198" s="1"/>
      <c r="X198" s="1">
        <f t="shared" ref="X198:X204" si="47">+P198-T198</f>
        <v>-11026.459999999992</v>
      </c>
      <c r="Y198" s="1"/>
      <c r="Z198" s="5">
        <f t="shared" ref="Z198:Z204" si="48">IF(T198=0,0,X198/T198)</f>
        <v>-4.6471225371404461E-2</v>
      </c>
    </row>
    <row r="199" spans="1:26" s="24" customFormat="1" hidden="1" outlineLevel="2" x14ac:dyDescent="0.25">
      <c r="A199" s="25"/>
      <c r="B199" s="11" t="str">
        <f>CONCATENATE("          ", "6381", " - ", "BANK/CREDIT CARD FEES")</f>
        <v xml:space="preserve">          6381 - BANK/CREDIT CARD FEES</v>
      </c>
      <c r="C199" s="11"/>
      <c r="D199" s="6">
        <v>14493.32</v>
      </c>
      <c r="E199" s="2"/>
      <c r="F199" s="7">
        <f t="shared" si="41"/>
        <v>3.6736842718937804E-2</v>
      </c>
      <c r="G199" s="2"/>
      <c r="H199" s="6">
        <v>25722</v>
      </c>
      <c r="I199" s="2"/>
      <c r="J199" s="7">
        <f t="shared" si="42"/>
        <v>1.9807143460232938E-2</v>
      </c>
      <c r="K199" s="2"/>
      <c r="L199" s="6">
        <f t="shared" si="43"/>
        <v>-11228.68</v>
      </c>
      <c r="M199" s="2"/>
      <c r="N199" s="7">
        <f t="shared" si="44"/>
        <v>-0.43653992691081567</v>
      </c>
      <c r="O199" s="11"/>
      <c r="P199" s="6">
        <v>226248.53999999998</v>
      </c>
      <c r="Q199" s="2"/>
      <c r="R199" s="7">
        <f t="shared" si="45"/>
        <v>2.0637798075454024E-2</v>
      </c>
      <c r="S199" s="2"/>
      <c r="T199" s="6">
        <v>237274.99999999997</v>
      </c>
      <c r="U199" s="2"/>
      <c r="V199" s="7">
        <f t="shared" si="46"/>
        <v>1.9028380996427605E-2</v>
      </c>
      <c r="W199" s="2"/>
      <c r="X199" s="6">
        <f t="shared" si="47"/>
        <v>-11026.459999999992</v>
      </c>
      <c r="Y199" s="2"/>
      <c r="Z199" s="7">
        <f t="shared" si="48"/>
        <v>-4.6471225371404461E-2</v>
      </c>
    </row>
    <row r="200" spans="1:26" s="27" customFormat="1" outlineLevel="1" collapsed="1" x14ac:dyDescent="0.25">
      <c r="A200" s="26"/>
      <c r="B200" s="13" t="str">
        <f>CONCATENATE("     ","Depreciation                                      ")</f>
        <v xml:space="preserve">     Depreciation                                      </v>
      </c>
      <c r="C200" s="13"/>
      <c r="D200" s="1">
        <f>SUM(OSRRefD22_5x_0)</f>
        <v>39522.880000000005</v>
      </c>
      <c r="E200" s="1"/>
      <c r="F200" s="5">
        <f t="shared" si="41"/>
        <v>0.10018034697084263</v>
      </c>
      <c r="G200" s="1"/>
      <c r="H200" s="1">
        <f>SUM(OSRRefH22_5x_0)</f>
        <v>40505</v>
      </c>
      <c r="I200" s="1"/>
      <c r="J200" s="5">
        <f t="shared" si="42"/>
        <v>3.1190745115338432E-2</v>
      </c>
      <c r="K200" s="1"/>
      <c r="L200" s="1">
        <f t="shared" si="43"/>
        <v>-982.11999999999534</v>
      </c>
      <c r="M200" s="1"/>
      <c r="N200" s="5">
        <f t="shared" si="44"/>
        <v>-2.4246883100851633E-2</v>
      </c>
      <c r="O200" s="13"/>
      <c r="P200" s="1">
        <f>SUM(OSRRefP22_5x_0)</f>
        <v>345070.95999999996</v>
      </c>
      <c r="Q200" s="1"/>
      <c r="R200" s="5">
        <f t="shared" si="45"/>
        <v>3.1476467402543562E-2</v>
      </c>
      <c r="S200" s="1"/>
      <c r="T200" s="1">
        <f>SUM(OSRRefT22_5x_0)</f>
        <v>356208</v>
      </c>
      <c r="U200" s="1"/>
      <c r="V200" s="5">
        <f t="shared" si="46"/>
        <v>2.8566269257087704E-2</v>
      </c>
      <c r="W200" s="1"/>
      <c r="X200" s="1">
        <f t="shared" si="47"/>
        <v>-11137.040000000037</v>
      </c>
      <c r="Y200" s="1"/>
      <c r="Z200" s="5">
        <f t="shared" si="48"/>
        <v>-3.1265552710775829E-2</v>
      </c>
    </row>
    <row r="201" spans="1:26" s="24" customFormat="1" hidden="1" outlineLevel="2" x14ac:dyDescent="0.25">
      <c r="A201" s="25"/>
      <c r="B201" s="11" t="str">
        <f>CONCATENATE("          ", "6321", " - ", "BUILDING DEPRECIATION")</f>
        <v xml:space="preserve">          6321 - BUILDING DEPRECIATION</v>
      </c>
      <c r="C201" s="11"/>
      <c r="D201" s="6">
        <v>21477.030000000002</v>
      </c>
      <c r="E201" s="2"/>
      <c r="F201" s="7">
        <f t="shared" si="41"/>
        <v>5.4438753382931512E-2</v>
      </c>
      <c r="G201" s="2"/>
      <c r="H201" s="6">
        <v>21478</v>
      </c>
      <c r="I201" s="2"/>
      <c r="J201" s="7">
        <f t="shared" si="42"/>
        <v>1.6539064895376838E-2</v>
      </c>
      <c r="K201" s="2"/>
      <c r="L201" s="6">
        <f t="shared" si="43"/>
        <v>-0.96999999999752617</v>
      </c>
      <c r="M201" s="2"/>
      <c r="N201" s="7">
        <f t="shared" si="44"/>
        <v>-4.5162491852012582E-5</v>
      </c>
      <c r="O201" s="11"/>
      <c r="P201" s="6">
        <v>193293.27</v>
      </c>
      <c r="Q201" s="2"/>
      <c r="R201" s="7">
        <f t="shared" si="45"/>
        <v>1.7631704830467481E-2</v>
      </c>
      <c r="S201" s="2"/>
      <c r="T201" s="6">
        <v>193470</v>
      </c>
      <c r="U201" s="2"/>
      <c r="V201" s="7">
        <f t="shared" si="46"/>
        <v>1.5515418275751128E-2</v>
      </c>
      <c r="W201" s="2"/>
      <c r="X201" s="6">
        <f t="shared" si="47"/>
        <v>-176.73000000001048</v>
      </c>
      <c r="Y201" s="2"/>
      <c r="Z201" s="7">
        <f t="shared" si="48"/>
        <v>-9.1347495735778403E-4</v>
      </c>
    </row>
    <row r="202" spans="1:26" s="24" customFormat="1" hidden="1" outlineLevel="2" x14ac:dyDescent="0.25">
      <c r="A202" s="25"/>
      <c r="B202" s="11" t="str">
        <f>CONCATENATE("          ", "6322", " - ", "EQUIPMENT DEPRECIATION EXPENSE")</f>
        <v xml:space="preserve">          6322 - EQUIPMENT DEPRECIATION EXPENSE</v>
      </c>
      <c r="C202" s="11"/>
      <c r="D202" s="6">
        <v>18045.849999999999</v>
      </c>
      <c r="E202" s="2"/>
      <c r="F202" s="7">
        <f t="shared" si="41"/>
        <v>4.5741593587911106E-2</v>
      </c>
      <c r="G202" s="2"/>
      <c r="H202" s="6">
        <v>16224</v>
      </c>
      <c r="I202" s="2"/>
      <c r="J202" s="7">
        <f t="shared" si="42"/>
        <v>1.2493239075453666E-2</v>
      </c>
      <c r="K202" s="2"/>
      <c r="L202" s="6">
        <f t="shared" si="43"/>
        <v>1821.8499999999985</v>
      </c>
      <c r="M202" s="2"/>
      <c r="N202" s="7">
        <f t="shared" si="44"/>
        <v>0.11229351577909261</v>
      </c>
      <c r="O202" s="11"/>
      <c r="P202" s="6">
        <v>151777.69</v>
      </c>
      <c r="Q202" s="2"/>
      <c r="R202" s="7">
        <f t="shared" si="45"/>
        <v>1.3844762572076081E-2</v>
      </c>
      <c r="S202" s="2"/>
      <c r="T202" s="6">
        <v>146016</v>
      </c>
      <c r="U202" s="2"/>
      <c r="V202" s="7">
        <f t="shared" si="46"/>
        <v>1.1709822271939199E-2</v>
      </c>
      <c r="W202" s="2"/>
      <c r="X202" s="6">
        <f t="shared" si="47"/>
        <v>5761.6900000000023</v>
      </c>
      <c r="Y202" s="2"/>
      <c r="Z202" s="7">
        <f t="shared" si="48"/>
        <v>3.9459305829498151E-2</v>
      </c>
    </row>
    <row r="203" spans="1:26" s="24" customFormat="1" hidden="1" outlineLevel="2" x14ac:dyDescent="0.25">
      <c r="A203" s="25"/>
      <c r="B203" s="11" t="str">
        <f>CONCATENATE("          ", "6324", " - ", "FURNITURE + FIXT DEPRECIATION")</f>
        <v xml:space="preserve">          6324 - FURNITURE + FIXT DEPRECIATION</v>
      </c>
      <c r="C203" s="11"/>
      <c r="D203" s="6"/>
      <c r="E203" s="2"/>
      <c r="F203" s="7">
        <f t="shared" si="41"/>
        <v>0</v>
      </c>
      <c r="G203" s="2"/>
      <c r="H203" s="6">
        <v>2470</v>
      </c>
      <c r="I203" s="2"/>
      <c r="J203" s="7">
        <f t="shared" si="42"/>
        <v>1.9020155643719523E-3</v>
      </c>
      <c r="K203" s="2"/>
      <c r="L203" s="6">
        <f t="shared" si="43"/>
        <v>-2470</v>
      </c>
      <c r="M203" s="2"/>
      <c r="N203" s="7">
        <f t="shared" si="44"/>
        <v>-1</v>
      </c>
      <c r="O203" s="11"/>
      <c r="P203" s="6"/>
      <c r="Q203" s="2"/>
      <c r="R203" s="7">
        <f t="shared" si="45"/>
        <v>0</v>
      </c>
      <c r="S203" s="2"/>
      <c r="T203" s="6">
        <v>14724</v>
      </c>
      <c r="U203" s="2"/>
      <c r="V203" s="7">
        <f t="shared" si="46"/>
        <v>1.1807981531615217E-3</v>
      </c>
      <c r="W203" s="2"/>
      <c r="X203" s="6">
        <f t="shared" si="47"/>
        <v>-14724</v>
      </c>
      <c r="Y203" s="2"/>
      <c r="Z203" s="7">
        <f t="shared" si="48"/>
        <v>-1</v>
      </c>
    </row>
    <row r="204" spans="1:26" s="24" customFormat="1" hidden="1" outlineLevel="2" x14ac:dyDescent="0.25">
      <c r="A204" s="25"/>
      <c r="B204" s="11" t="str">
        <f>CONCATENATE("          ", "6326", " - ", "VEHICLES DEPRECIATION EXPENSE")</f>
        <v xml:space="preserve">          6326 - VEHICLES DEPRECIATION EXPENSE</v>
      </c>
      <c r="C204" s="11"/>
      <c r="D204" s="6"/>
      <c r="E204" s="2"/>
      <c r="F204" s="7">
        <f t="shared" si="41"/>
        <v>0</v>
      </c>
      <c r="G204" s="2"/>
      <c r="H204" s="6">
        <v>333</v>
      </c>
      <c r="I204" s="2"/>
      <c r="J204" s="7">
        <f t="shared" si="42"/>
        <v>2.5642558013597578E-4</v>
      </c>
      <c r="K204" s="2"/>
      <c r="L204" s="6">
        <f t="shared" si="43"/>
        <v>-333</v>
      </c>
      <c r="M204" s="2"/>
      <c r="N204" s="7">
        <f t="shared" si="44"/>
        <v>-1</v>
      </c>
      <c r="O204" s="11"/>
      <c r="P204" s="6"/>
      <c r="Q204" s="2"/>
      <c r="R204" s="7">
        <f t="shared" si="45"/>
        <v>0</v>
      </c>
      <c r="S204" s="2"/>
      <c r="T204" s="6">
        <v>1998</v>
      </c>
      <c r="U204" s="2"/>
      <c r="V204" s="7">
        <f t="shared" si="46"/>
        <v>1.6023055623585442E-4</v>
      </c>
      <c r="W204" s="2"/>
      <c r="X204" s="6">
        <f t="shared" si="47"/>
        <v>-1998</v>
      </c>
      <c r="Y204" s="2"/>
      <c r="Z204" s="7">
        <f t="shared" si="48"/>
        <v>-1</v>
      </c>
    </row>
    <row r="205" spans="1:26" s="27" customFormat="1" outlineLevel="1" collapsed="1" x14ac:dyDescent="0.25">
      <c r="A205" s="26"/>
      <c r="B205" s="13" t="str">
        <f>CONCATENATE("     ","Discounts and Markdowns                           ")</f>
        <v xml:space="preserve">     Discounts and Markdowns                           </v>
      </c>
      <c r="C205" s="13"/>
      <c r="D205" s="1">
        <f>SUM(OSRRefD22_6x_0)</f>
        <v>13189.59</v>
      </c>
      <c r="E205" s="1"/>
      <c r="F205" s="5">
        <f t="shared" ref="F205:F207" si="49">IF(D$12=0,0,D205/D$12)</f>
        <v>3.3432222110411892E-2</v>
      </c>
      <c r="G205" s="1"/>
      <c r="H205" s="1">
        <f>SUM(OSRRefH22_6x_0)</f>
        <v>31025</v>
      </c>
      <c r="I205" s="1"/>
      <c r="J205" s="5">
        <f t="shared" ref="J205:J207" si="50">IF(H$12=0,0,H205/H$12)</f>
        <v>2.3890701572728674E-2</v>
      </c>
      <c r="K205" s="1"/>
      <c r="L205" s="1">
        <f t="shared" ref="L205:L207" si="51">+D205-H205</f>
        <v>-17835.41</v>
      </c>
      <c r="M205" s="1"/>
      <c r="N205" s="5">
        <f t="shared" ref="N205:N207" si="52">IF(H205=0,0,L205/H205)</f>
        <v>-0.57487219983883964</v>
      </c>
      <c r="O205" s="13"/>
      <c r="P205" s="1">
        <f>SUM(OSRRefP22_6x_0)</f>
        <v>272176.59000000003</v>
      </c>
      <c r="Q205" s="1"/>
      <c r="R205" s="5">
        <f t="shared" ref="R205:R207" si="53">IF(P$12=0,0,P205/P$12)</f>
        <v>2.4827234267614014E-2</v>
      </c>
      <c r="S205" s="1"/>
      <c r="T205" s="1">
        <f>SUM(OSRRefT22_6x_0)</f>
        <v>287725</v>
      </c>
      <c r="U205" s="1"/>
      <c r="V205" s="5">
        <f t="shared" ref="V205:V207" si="54">IF(T$12=0,0,T205/T$12)</f>
        <v>2.3074242639119728E-2</v>
      </c>
      <c r="W205" s="1"/>
      <c r="X205" s="1">
        <f t="shared" ref="X205:X207" si="55">+P205-T205</f>
        <v>-15548.409999999974</v>
      </c>
      <c r="Y205" s="1"/>
      <c r="Z205" s="5">
        <f t="shared" ref="Z205:Z207" si="56">IF(T205=0,0,X205/T205)</f>
        <v>-5.4039134590320531E-2</v>
      </c>
    </row>
    <row r="206" spans="1:26" s="24" customFormat="1" hidden="1" outlineLevel="2" x14ac:dyDescent="0.25">
      <c r="A206" s="25"/>
      <c r="B206" s="11" t="str">
        <f>CONCATENATE("          ", "6382", " - ", "DISCOUNTS/MARK DOWNS")</f>
        <v xml:space="preserve">          6382 - DISCOUNTS/MARK DOWNS</v>
      </c>
      <c r="C206" s="11"/>
      <c r="D206" s="6">
        <v>13325.3</v>
      </c>
      <c r="E206" s="2"/>
      <c r="F206" s="7">
        <f t="shared" si="49"/>
        <v>3.3776212095134997E-2</v>
      </c>
      <c r="G206" s="2"/>
      <c r="H206" s="6">
        <v>31025</v>
      </c>
      <c r="I206" s="2"/>
      <c r="J206" s="7">
        <f t="shared" si="50"/>
        <v>2.3890701572728674E-2</v>
      </c>
      <c r="K206" s="2"/>
      <c r="L206" s="6">
        <f t="shared" si="51"/>
        <v>-17699.7</v>
      </c>
      <c r="M206" s="2"/>
      <c r="N206" s="7">
        <f t="shared" si="52"/>
        <v>-0.57049798549556807</v>
      </c>
      <c r="O206" s="11"/>
      <c r="P206" s="6">
        <v>275408.07</v>
      </c>
      <c r="Q206" s="2"/>
      <c r="R206" s="7">
        <f t="shared" si="53"/>
        <v>2.5122001392851014E-2</v>
      </c>
      <c r="S206" s="2"/>
      <c r="T206" s="6">
        <v>287725</v>
      </c>
      <c r="U206" s="2"/>
      <c r="V206" s="7">
        <f t="shared" si="54"/>
        <v>2.3074242639119728E-2</v>
      </c>
      <c r="W206" s="2"/>
      <c r="X206" s="6">
        <f t="shared" si="55"/>
        <v>-12316.929999999993</v>
      </c>
      <c r="Y206" s="2"/>
      <c r="Z206" s="7">
        <f t="shared" si="56"/>
        <v>-4.2807993744026392E-2</v>
      </c>
    </row>
    <row r="207" spans="1:26" s="24" customFormat="1" hidden="1" outlineLevel="2" x14ac:dyDescent="0.25">
      <c r="A207" s="25"/>
      <c r="B207" s="11" t="str">
        <f>CONCATENATE("          ", "9175", " - ", "EARNED DISCOUNTS")</f>
        <v xml:space="preserve">          9175 - EARNED DISCOUNTS</v>
      </c>
      <c r="C207" s="11"/>
      <c r="D207" s="6">
        <v>-135.71</v>
      </c>
      <c r="E207" s="2"/>
      <c r="F207" s="7">
        <f t="shared" si="49"/>
        <v>-3.4398998472310346E-4</v>
      </c>
      <c r="G207" s="2"/>
      <c r="H207" s="6"/>
      <c r="I207" s="2"/>
      <c r="J207" s="7">
        <f t="shared" si="50"/>
        <v>0</v>
      </c>
      <c r="K207" s="2"/>
      <c r="L207" s="6">
        <f t="shared" si="51"/>
        <v>-135.71</v>
      </c>
      <c r="M207" s="2"/>
      <c r="N207" s="7">
        <f t="shared" si="52"/>
        <v>0</v>
      </c>
      <c r="O207" s="11"/>
      <c r="P207" s="6">
        <v>-3231.48</v>
      </c>
      <c r="Q207" s="2"/>
      <c r="R207" s="7">
        <f t="shared" si="53"/>
        <v>-2.9476712523699903E-4</v>
      </c>
      <c r="S207" s="2"/>
      <c r="T207" s="6"/>
      <c r="U207" s="2"/>
      <c r="V207" s="7">
        <f t="shared" si="54"/>
        <v>0</v>
      </c>
      <c r="W207" s="2"/>
      <c r="X207" s="6">
        <f t="shared" si="55"/>
        <v>-3231.48</v>
      </c>
      <c r="Y207" s="2"/>
      <c r="Z207" s="7">
        <f t="shared" si="56"/>
        <v>0</v>
      </c>
    </row>
    <row r="208" spans="1:26" s="27" customFormat="1" outlineLevel="1" collapsed="1" x14ac:dyDescent="0.25">
      <c r="A208" s="26"/>
      <c r="B208" s="13" t="str">
        <f>CONCATENATE("     ","Donations                                         ")</f>
        <v xml:space="preserve">     Donations                                         </v>
      </c>
      <c r="C208" s="13"/>
      <c r="D208" s="1">
        <f>SUM(OSRRefD22_7x_0)</f>
        <v>769.23</v>
      </c>
      <c r="E208" s="1"/>
      <c r="F208" s="5">
        <f t="shared" ref="F208:F210" si="57">IF(D$12=0,0,D208/D$12)</f>
        <v>1.9498004270028214E-3</v>
      </c>
      <c r="G208" s="1"/>
      <c r="H208" s="1">
        <f>SUM(OSRRefH22_7x_0)</f>
        <v>1025</v>
      </c>
      <c r="I208" s="1"/>
      <c r="J208" s="5">
        <f t="shared" ref="J208:J210" si="58">IF(H$12=0,0,H208/H$12)</f>
        <v>7.8929795687500046E-4</v>
      </c>
      <c r="K208" s="1"/>
      <c r="L208" s="1">
        <f t="shared" ref="L208:L210" si="59">+D208-H208</f>
        <v>-255.76999999999998</v>
      </c>
      <c r="M208" s="1"/>
      <c r="N208" s="5">
        <f t="shared" ref="N208:N210" si="60">IF(H208=0,0,L208/H208)</f>
        <v>-0.24953170731707316</v>
      </c>
      <c r="O208" s="13"/>
      <c r="P208" s="1">
        <f>SUM(OSRRefP22_7x_0)</f>
        <v>12371.45</v>
      </c>
      <c r="Q208" s="1"/>
      <c r="R208" s="5">
        <f t="shared" ref="R208:R210" si="61">IF(P$12=0,0,P208/P$12)</f>
        <v>1.1284912026419077E-3</v>
      </c>
      <c r="S208" s="1"/>
      <c r="T208" s="1">
        <f>SUM(OSRRefT22_7x_0)</f>
        <v>9300</v>
      </c>
      <c r="U208" s="1"/>
      <c r="V208" s="5">
        <f t="shared" ref="V208:V210" si="62">IF(T$12=0,0,T208/T$12)</f>
        <v>7.4581790440112416E-4</v>
      </c>
      <c r="W208" s="1"/>
      <c r="X208" s="1">
        <f t="shared" ref="X208:X210" si="63">+P208-T208</f>
        <v>3071.4500000000007</v>
      </c>
      <c r="Y208" s="1"/>
      <c r="Z208" s="5">
        <f t="shared" ref="Z208:Z210" si="64">IF(T208=0,0,X208/T208)</f>
        <v>0.33026344086021514</v>
      </c>
    </row>
    <row r="209" spans="1:26" s="24" customFormat="1" hidden="1" outlineLevel="2" x14ac:dyDescent="0.25">
      <c r="A209" s="25"/>
      <c r="B209" s="11" t="str">
        <f>CONCATENATE("          ", "6395", " - ", "DONATION-OFF CAMPUS")</f>
        <v xml:space="preserve">          6395 - DONATION-OFF CAMPUS</v>
      </c>
      <c r="C209" s="11"/>
      <c r="D209" s="6"/>
      <c r="E209" s="2"/>
      <c r="F209" s="7">
        <f t="shared" si="57"/>
        <v>0</v>
      </c>
      <c r="G209" s="2"/>
      <c r="H209" s="6">
        <v>1025</v>
      </c>
      <c r="I209" s="2"/>
      <c r="J209" s="7">
        <f t="shared" si="58"/>
        <v>7.8929795687500046E-4</v>
      </c>
      <c r="K209" s="2"/>
      <c r="L209" s="6">
        <f t="shared" si="59"/>
        <v>-1025</v>
      </c>
      <c r="M209" s="2"/>
      <c r="N209" s="7">
        <f t="shared" si="60"/>
        <v>-1</v>
      </c>
      <c r="O209" s="11"/>
      <c r="P209" s="6"/>
      <c r="Q209" s="2"/>
      <c r="R209" s="7">
        <f t="shared" si="61"/>
        <v>0</v>
      </c>
      <c r="S209" s="2"/>
      <c r="T209" s="6">
        <v>9300</v>
      </c>
      <c r="U209" s="2"/>
      <c r="V209" s="7">
        <f t="shared" si="62"/>
        <v>7.4581790440112416E-4</v>
      </c>
      <c r="W209" s="2"/>
      <c r="X209" s="6">
        <f t="shared" si="63"/>
        <v>-9300</v>
      </c>
      <c r="Y209" s="2"/>
      <c r="Z209" s="7">
        <f t="shared" si="64"/>
        <v>-1</v>
      </c>
    </row>
    <row r="210" spans="1:26" s="24" customFormat="1" hidden="1" outlineLevel="2" x14ac:dyDescent="0.25">
      <c r="A210" s="25"/>
      <c r="B210" s="11" t="str">
        <f>CONCATENATE("          ", "6399", " - ", "DONATION-ON CAMPUS")</f>
        <v xml:space="preserve">          6399 - DONATION-ON CAMPUS</v>
      </c>
      <c r="C210" s="11"/>
      <c r="D210" s="6">
        <v>769.23</v>
      </c>
      <c r="E210" s="2"/>
      <c r="F210" s="7">
        <f t="shared" si="57"/>
        <v>1.9498004270028214E-3</v>
      </c>
      <c r="G210" s="2"/>
      <c r="H210" s="6"/>
      <c r="I210" s="2"/>
      <c r="J210" s="7">
        <f t="shared" si="58"/>
        <v>0</v>
      </c>
      <c r="K210" s="2"/>
      <c r="L210" s="6">
        <f t="shared" si="59"/>
        <v>769.23</v>
      </c>
      <c r="M210" s="2"/>
      <c r="N210" s="7">
        <f t="shared" si="60"/>
        <v>0</v>
      </c>
      <c r="O210" s="11"/>
      <c r="P210" s="6">
        <v>12371.45</v>
      </c>
      <c r="Q210" s="2"/>
      <c r="R210" s="7">
        <f t="shared" si="61"/>
        <v>1.1284912026419077E-3</v>
      </c>
      <c r="S210" s="2"/>
      <c r="T210" s="6"/>
      <c r="U210" s="2"/>
      <c r="V210" s="7">
        <f t="shared" si="62"/>
        <v>0</v>
      </c>
      <c r="W210" s="2"/>
      <c r="X210" s="6">
        <f t="shared" si="63"/>
        <v>12371.45</v>
      </c>
      <c r="Y210" s="2"/>
      <c r="Z210" s="7">
        <f t="shared" si="64"/>
        <v>0</v>
      </c>
    </row>
    <row r="211" spans="1:26" s="27" customFormat="1" outlineLevel="1" collapsed="1" x14ac:dyDescent="0.25">
      <c r="A211" s="26"/>
      <c r="B211" s="13" t="str">
        <f>CONCATENATE("     ","Employees' Appreciation                           ")</f>
        <v xml:space="preserve">     Employees' Appreciation                           </v>
      </c>
      <c r="C211" s="13"/>
      <c r="D211" s="1">
        <f>SUM(OSRRefD22_8x_0)</f>
        <v>266.55</v>
      </c>
      <c r="E211" s="1"/>
      <c r="F211" s="5">
        <f t="shared" ref="F211:F217" si="65">IF(D$12=0,0,D211/D$12)</f>
        <v>6.756357705986532E-4</v>
      </c>
      <c r="G211" s="1"/>
      <c r="H211" s="1">
        <f>SUM(OSRRefH22_8x_0)</f>
        <v>725</v>
      </c>
      <c r="I211" s="1"/>
      <c r="J211" s="5">
        <f t="shared" ref="J211:J217" si="66">IF(H$12=0,0,H211/H$12)</f>
        <v>5.582839207164637E-4</v>
      </c>
      <c r="K211" s="1"/>
      <c r="L211" s="1">
        <f t="shared" ref="L211:L217" si="67">+D211-H211</f>
        <v>-458.45</v>
      </c>
      <c r="M211" s="1"/>
      <c r="N211" s="5">
        <f t="shared" ref="N211:N217" si="68">IF(H211=0,0,L211/H211)</f>
        <v>-0.63234482758620691</v>
      </c>
      <c r="O211" s="13"/>
      <c r="P211" s="1">
        <f>SUM(OSRRefP22_8x_0)</f>
        <v>1687.96</v>
      </c>
      <c r="Q211" s="1"/>
      <c r="R211" s="5">
        <f t="shared" ref="R211:R217" si="69">IF(P$12=0,0,P211/P$12)</f>
        <v>1.5397128149177618E-4</v>
      </c>
      <c r="S211" s="1"/>
      <c r="T211" s="1">
        <f>SUM(OSRRefT22_8x_0)</f>
        <v>6700</v>
      </c>
      <c r="U211" s="1"/>
      <c r="V211" s="5">
        <f t="shared" ref="V211:V217" si="70">IF(T$12=0,0,T211/T$12)</f>
        <v>5.3730967306317553E-4</v>
      </c>
      <c r="W211" s="1"/>
      <c r="X211" s="1">
        <f t="shared" ref="X211:X217" si="71">+P211-T211</f>
        <v>-5012.04</v>
      </c>
      <c r="Y211" s="1"/>
      <c r="Z211" s="5">
        <f t="shared" ref="Z211:Z217" si="72">IF(T211=0,0,X211/T211)</f>
        <v>-0.74806567164179105</v>
      </c>
    </row>
    <row r="212" spans="1:26" s="24" customFormat="1" hidden="1" outlineLevel="2" x14ac:dyDescent="0.25">
      <c r="A212" s="25"/>
      <c r="B212" s="11" t="str">
        <f>CONCATENATE("          ", "6277", " - ", "EMPLOYEE APPRECIATION")</f>
        <v xml:space="preserve">          6277 - EMPLOYEE APPRECIATION</v>
      </c>
      <c r="C212" s="11"/>
      <c r="D212" s="6">
        <v>266.55</v>
      </c>
      <c r="E212" s="2"/>
      <c r="F212" s="7">
        <f t="shared" si="65"/>
        <v>6.756357705986532E-4</v>
      </c>
      <c r="G212" s="2"/>
      <c r="H212" s="6">
        <v>725</v>
      </c>
      <c r="I212" s="2"/>
      <c r="J212" s="7">
        <f t="shared" si="66"/>
        <v>5.582839207164637E-4</v>
      </c>
      <c r="K212" s="2"/>
      <c r="L212" s="6">
        <f t="shared" si="67"/>
        <v>-458.45</v>
      </c>
      <c r="M212" s="2"/>
      <c r="N212" s="7">
        <f t="shared" si="68"/>
        <v>-0.63234482758620691</v>
      </c>
      <c r="O212" s="11"/>
      <c r="P212" s="6">
        <v>1687.96</v>
      </c>
      <c r="Q212" s="2"/>
      <c r="R212" s="7">
        <f t="shared" si="69"/>
        <v>1.5397128149177618E-4</v>
      </c>
      <c r="S212" s="2"/>
      <c r="T212" s="6">
        <v>6700</v>
      </c>
      <c r="U212" s="2"/>
      <c r="V212" s="7">
        <f t="shared" si="70"/>
        <v>5.3730967306317553E-4</v>
      </c>
      <c r="W212" s="2"/>
      <c r="X212" s="6">
        <f t="shared" si="71"/>
        <v>-5012.04</v>
      </c>
      <c r="Y212" s="2"/>
      <c r="Z212" s="7">
        <f t="shared" si="72"/>
        <v>-0.74806567164179105</v>
      </c>
    </row>
    <row r="213" spans="1:26" s="27" customFormat="1" outlineLevel="1" collapsed="1" x14ac:dyDescent="0.25">
      <c r="A213" s="26"/>
      <c r="B213" s="13" t="str">
        <f>CONCATENATE("     ","Equipment Rental                                  ")</f>
        <v xml:space="preserve">     Equipment Rental                                  </v>
      </c>
      <c r="C213" s="13"/>
      <c r="D213" s="1">
        <f>SUM(OSRRefD22_9x_0)</f>
        <v>1424.43</v>
      </c>
      <c r="E213" s="1"/>
      <c r="F213" s="5">
        <f t="shared" si="65"/>
        <v>3.6105640994704168E-3</v>
      </c>
      <c r="G213" s="1"/>
      <c r="H213" s="1">
        <f>SUM(OSRRefH22_9x_0)</f>
        <v>3305</v>
      </c>
      <c r="I213" s="1"/>
      <c r="J213" s="5">
        <f t="shared" si="66"/>
        <v>2.5450046316798794E-3</v>
      </c>
      <c r="K213" s="1"/>
      <c r="L213" s="1">
        <f t="shared" si="67"/>
        <v>-1880.57</v>
      </c>
      <c r="M213" s="1"/>
      <c r="N213" s="5">
        <f t="shared" si="68"/>
        <v>-0.56900756429652044</v>
      </c>
      <c r="O213" s="13"/>
      <c r="P213" s="1">
        <f>SUM(OSRRefP22_9x_0)</f>
        <v>16168.2</v>
      </c>
      <c r="Q213" s="1"/>
      <c r="R213" s="5">
        <f t="shared" si="69"/>
        <v>1.4748207738425885E-3</v>
      </c>
      <c r="S213" s="1"/>
      <c r="T213" s="1">
        <f>SUM(OSRRefT22_9x_0)</f>
        <v>29745</v>
      </c>
      <c r="U213" s="1"/>
      <c r="V213" s="5">
        <f t="shared" si="70"/>
        <v>2.3854143619797246E-3</v>
      </c>
      <c r="W213" s="1"/>
      <c r="X213" s="1">
        <f t="shared" si="71"/>
        <v>-13576.8</v>
      </c>
      <c r="Y213" s="1"/>
      <c r="Z213" s="5">
        <f t="shared" si="72"/>
        <v>-0.45643973777105395</v>
      </c>
    </row>
    <row r="214" spans="1:26" s="24" customFormat="1" hidden="1" outlineLevel="2" x14ac:dyDescent="0.25">
      <c r="A214" s="25"/>
      <c r="B214" s="11" t="str">
        <f>CONCATENATE("          ", "6351", " - ", "EQUIPMENT RENTAL")</f>
        <v xml:space="preserve">          6351 - EQUIPMENT RENTAL</v>
      </c>
      <c r="C214" s="11"/>
      <c r="D214" s="6">
        <v>1424.43</v>
      </c>
      <c r="E214" s="2"/>
      <c r="F214" s="7">
        <f t="shared" si="65"/>
        <v>3.6105640994704168E-3</v>
      </c>
      <c r="G214" s="2"/>
      <c r="H214" s="6">
        <v>3305</v>
      </c>
      <c r="I214" s="2"/>
      <c r="J214" s="7">
        <f t="shared" si="66"/>
        <v>2.5450046316798794E-3</v>
      </c>
      <c r="K214" s="2"/>
      <c r="L214" s="6">
        <f t="shared" si="67"/>
        <v>-1880.57</v>
      </c>
      <c r="M214" s="2"/>
      <c r="N214" s="7">
        <f t="shared" si="68"/>
        <v>-0.56900756429652044</v>
      </c>
      <c r="O214" s="11"/>
      <c r="P214" s="6">
        <v>16168.2</v>
      </c>
      <c r="Q214" s="2"/>
      <c r="R214" s="7">
        <f t="shared" si="69"/>
        <v>1.4748207738425885E-3</v>
      </c>
      <c r="S214" s="2"/>
      <c r="T214" s="6">
        <v>29745</v>
      </c>
      <c r="U214" s="2"/>
      <c r="V214" s="7">
        <f t="shared" si="70"/>
        <v>2.3854143619797246E-3</v>
      </c>
      <c r="W214" s="2"/>
      <c r="X214" s="6">
        <f t="shared" si="71"/>
        <v>-13576.8</v>
      </c>
      <c r="Y214" s="2"/>
      <c r="Z214" s="7">
        <f t="shared" si="72"/>
        <v>-0.45643973777105395</v>
      </c>
    </row>
    <row r="215" spans="1:26" s="27" customFormat="1" outlineLevel="1" collapsed="1" x14ac:dyDescent="0.25">
      <c r="A215" s="26"/>
      <c r="B215" s="13" t="str">
        <f>CONCATENATE("     ","Freight out/Postage                               ")</f>
        <v xml:space="preserve">     Freight out/Postage                               </v>
      </c>
      <c r="C215" s="13"/>
      <c r="D215" s="1">
        <f>SUM(OSRRefD22_10x_0)</f>
        <v>2165.8700000000003</v>
      </c>
      <c r="E215" s="1"/>
      <c r="F215" s="5">
        <f t="shared" si="65"/>
        <v>5.4899240160063978E-3</v>
      </c>
      <c r="G215" s="1"/>
      <c r="H215" s="1">
        <f>SUM(OSRRefH22_10x_0)</f>
        <v>-710</v>
      </c>
      <c r="I215" s="1"/>
      <c r="J215" s="5">
        <f t="shared" si="66"/>
        <v>-5.467332189085369E-4</v>
      </c>
      <c r="K215" s="1"/>
      <c r="L215" s="1">
        <f t="shared" si="67"/>
        <v>2875.8700000000003</v>
      </c>
      <c r="M215" s="1"/>
      <c r="N215" s="5">
        <f t="shared" si="68"/>
        <v>-4.0505211267605636</v>
      </c>
      <c r="O215" s="13"/>
      <c r="P215" s="1">
        <f>SUM(OSRRefP22_10x_0)</f>
        <v>1182.5</v>
      </c>
      <c r="Q215" s="1"/>
      <c r="R215" s="5">
        <f t="shared" si="69"/>
        <v>1.0786454676889578E-4</v>
      </c>
      <c r="S215" s="1"/>
      <c r="T215" s="1">
        <f>SUM(OSRRefT22_10x_0)</f>
        <v>-55090</v>
      </c>
      <c r="U215" s="1"/>
      <c r="V215" s="5">
        <f t="shared" si="70"/>
        <v>-4.4179686401567666E-3</v>
      </c>
      <c r="W215" s="1"/>
      <c r="X215" s="1">
        <f t="shared" si="71"/>
        <v>56272.5</v>
      </c>
      <c r="Y215" s="1"/>
      <c r="Z215" s="5">
        <f t="shared" si="72"/>
        <v>-1.0214648756580142</v>
      </c>
    </row>
    <row r="216" spans="1:26" s="24" customFormat="1" hidden="1" outlineLevel="2" x14ac:dyDescent="0.25">
      <c r="A216" s="25"/>
      <c r="B216" s="11" t="str">
        <f>CONCATENATE("          ", "6305", " - ", "FREIGHT OUT")</f>
        <v xml:space="preserve">          6305 - FREIGHT OUT</v>
      </c>
      <c r="C216" s="11"/>
      <c r="D216" s="6">
        <v>5814.39</v>
      </c>
      <c r="E216" s="2"/>
      <c r="F216" s="7">
        <f t="shared" si="65"/>
        <v>1.473798487417409E-2</v>
      </c>
      <c r="G216" s="2"/>
      <c r="H216" s="6">
        <v>-750</v>
      </c>
      <c r="I216" s="2"/>
      <c r="J216" s="7">
        <f t="shared" si="66"/>
        <v>-5.7753509039634178E-4</v>
      </c>
      <c r="K216" s="2"/>
      <c r="L216" s="6">
        <f t="shared" si="67"/>
        <v>6564.39</v>
      </c>
      <c r="M216" s="2"/>
      <c r="N216" s="7">
        <f t="shared" si="68"/>
        <v>-8.7525200000000005</v>
      </c>
      <c r="O216" s="11"/>
      <c r="P216" s="6">
        <v>52053.65</v>
      </c>
      <c r="Q216" s="2"/>
      <c r="R216" s="7">
        <f t="shared" si="69"/>
        <v>4.7481973487667924E-3</v>
      </c>
      <c r="S216" s="2"/>
      <c r="T216" s="6">
        <v>-55450</v>
      </c>
      <c r="U216" s="2"/>
      <c r="V216" s="7">
        <f t="shared" si="70"/>
        <v>-4.4468390106497139E-3</v>
      </c>
      <c r="W216" s="2"/>
      <c r="X216" s="6">
        <f t="shared" si="71"/>
        <v>107503.65</v>
      </c>
      <c r="Y216" s="2"/>
      <c r="Z216" s="7">
        <f t="shared" si="72"/>
        <v>-1.9387493237150586</v>
      </c>
    </row>
    <row r="217" spans="1:26" s="24" customFormat="1" hidden="1" outlineLevel="2" x14ac:dyDescent="0.25">
      <c r="A217" s="25"/>
      <c r="B217" s="11" t="str">
        <f>CONCATENATE("          ", "6307", " - ", "POSTAGE")</f>
        <v xml:space="preserve">          6307 - POSTAGE</v>
      </c>
      <c r="C217" s="11"/>
      <c r="D217" s="6">
        <v>-3648.52</v>
      </c>
      <c r="E217" s="2"/>
      <c r="F217" s="7">
        <f t="shared" si="65"/>
        <v>-9.2480608581676921E-3</v>
      </c>
      <c r="G217" s="2"/>
      <c r="H217" s="6">
        <v>40</v>
      </c>
      <c r="I217" s="2"/>
      <c r="J217" s="7">
        <f t="shared" si="66"/>
        <v>3.0801871487804893E-5</v>
      </c>
      <c r="K217" s="2"/>
      <c r="L217" s="6">
        <f t="shared" si="67"/>
        <v>-3688.52</v>
      </c>
      <c r="M217" s="2"/>
      <c r="N217" s="7">
        <f t="shared" si="68"/>
        <v>-92.212999999999994</v>
      </c>
      <c r="O217" s="11"/>
      <c r="P217" s="6">
        <v>-50871.15</v>
      </c>
      <c r="Q217" s="2"/>
      <c r="R217" s="7">
        <f t="shared" si="69"/>
        <v>-4.6403328019978965E-3</v>
      </c>
      <c r="S217" s="2"/>
      <c r="T217" s="6">
        <v>360</v>
      </c>
      <c r="U217" s="2"/>
      <c r="V217" s="7">
        <f t="shared" si="70"/>
        <v>2.8870370492946743E-5</v>
      </c>
      <c r="W217" s="2"/>
      <c r="X217" s="6">
        <f t="shared" si="71"/>
        <v>-51231.15</v>
      </c>
      <c r="Y217" s="2"/>
      <c r="Z217" s="7">
        <f t="shared" si="72"/>
        <v>-142.30875</v>
      </c>
    </row>
    <row r="218" spans="1:26" s="27" customFormat="1" outlineLevel="1" collapsed="1" x14ac:dyDescent="0.25">
      <c r="A218" s="26"/>
      <c r="B218" s="13" t="str">
        <f>CONCATENATE("     ","General                                           ")</f>
        <v xml:space="preserve">     General                                           </v>
      </c>
      <c r="C218" s="13"/>
      <c r="D218" s="1">
        <f>SUM(OSRRefD22_11x_0)</f>
        <v>50.5</v>
      </c>
      <c r="E218" s="1"/>
      <c r="F218" s="5">
        <f t="shared" ref="F218:F236" si="73">IF(D$12=0,0,D218/D$12)</f>
        <v>1.2800452603726125E-4</v>
      </c>
      <c r="G218" s="1"/>
      <c r="H218" s="1">
        <f>SUM(OSRRefH22_11x_0)</f>
        <v>1755</v>
      </c>
      <c r="I218" s="1"/>
      <c r="J218" s="5">
        <f t="shared" ref="J218:J236" si="74">IF(H$12=0,0,H218/H$12)</f>
        <v>1.3514321115274397E-3</v>
      </c>
      <c r="K218" s="1"/>
      <c r="L218" s="1">
        <f t="shared" ref="L218:L236" si="75">+D218-H218</f>
        <v>-1704.5</v>
      </c>
      <c r="M218" s="1"/>
      <c r="N218" s="5">
        <f t="shared" ref="N218:N236" si="76">IF(H218=0,0,L218/H218)</f>
        <v>-0.97122507122507118</v>
      </c>
      <c r="O218" s="13"/>
      <c r="P218" s="1">
        <f>SUM(OSRRefP22_11x_0)</f>
        <v>9749.5499999999993</v>
      </c>
      <c r="Q218" s="1"/>
      <c r="R218" s="5">
        <f t="shared" ref="R218:R236" si="77">IF(P$12=0,0,P218/P$12)</f>
        <v>8.8932836528599383E-4</v>
      </c>
      <c r="S218" s="1"/>
      <c r="T218" s="1">
        <f>SUM(OSRRefT22_11x_0)</f>
        <v>29022</v>
      </c>
      <c r="U218" s="1"/>
      <c r="V218" s="5">
        <f t="shared" ref="V218:V236" si="78">IF(T$12=0,0,T218/T$12)</f>
        <v>2.3274330345730565E-3</v>
      </c>
      <c r="W218" s="1"/>
      <c r="X218" s="1">
        <f t="shared" ref="X218:X236" si="79">+P218-T218</f>
        <v>-19272.45</v>
      </c>
      <c r="Y218" s="1"/>
      <c r="Z218" s="5">
        <f t="shared" ref="Z218:Z236" si="80">IF(T218=0,0,X218/T218)</f>
        <v>-0.66406346909241265</v>
      </c>
    </row>
    <row r="219" spans="1:26" s="24" customFormat="1" hidden="1" outlineLevel="2" x14ac:dyDescent="0.25">
      <c r="A219" s="25"/>
      <c r="B219" s="11" t="str">
        <f>CONCATENATE("          ", "6279", " - ", "GENERAL EXPENSE")</f>
        <v xml:space="preserve">          6279 - GENERAL EXPENSE</v>
      </c>
      <c r="C219" s="11"/>
      <c r="D219" s="6">
        <v>50.5</v>
      </c>
      <c r="E219" s="2"/>
      <c r="F219" s="7">
        <f t="shared" si="73"/>
        <v>1.2800452603726125E-4</v>
      </c>
      <c r="G219" s="2"/>
      <c r="H219" s="6">
        <v>1755</v>
      </c>
      <c r="I219" s="2"/>
      <c r="J219" s="7">
        <f t="shared" si="74"/>
        <v>1.3514321115274397E-3</v>
      </c>
      <c r="K219" s="2"/>
      <c r="L219" s="6">
        <f t="shared" si="75"/>
        <v>-1704.5</v>
      </c>
      <c r="M219" s="2"/>
      <c r="N219" s="7">
        <f t="shared" si="76"/>
        <v>-0.97122507122507118</v>
      </c>
      <c r="O219" s="11"/>
      <c r="P219" s="6">
        <v>9749.5499999999993</v>
      </c>
      <c r="Q219" s="2"/>
      <c r="R219" s="7">
        <f t="shared" si="77"/>
        <v>8.8932836528599383E-4</v>
      </c>
      <c r="S219" s="2"/>
      <c r="T219" s="6">
        <v>29022</v>
      </c>
      <c r="U219" s="2"/>
      <c r="V219" s="7">
        <f t="shared" si="78"/>
        <v>2.3274330345730565E-3</v>
      </c>
      <c r="W219" s="2"/>
      <c r="X219" s="6">
        <f t="shared" si="79"/>
        <v>-19272.45</v>
      </c>
      <c r="Y219" s="2"/>
      <c r="Z219" s="7">
        <f t="shared" si="80"/>
        <v>-0.66406346909241265</v>
      </c>
    </row>
    <row r="220" spans="1:26" s="27" customFormat="1" outlineLevel="1" collapsed="1" x14ac:dyDescent="0.25">
      <c r="A220" s="26"/>
      <c r="B220" s="13" t="str">
        <f>CONCATENATE("     ","Insurance                                         ")</f>
        <v xml:space="preserve">     Insurance                                         </v>
      </c>
      <c r="C220" s="13"/>
      <c r="D220" s="1">
        <f>SUM(OSRRefD22_12x_0)</f>
        <v>4288.28</v>
      </c>
      <c r="E220" s="1"/>
      <c r="F220" s="5">
        <f t="shared" si="73"/>
        <v>1.0869688097328052E-2</v>
      </c>
      <c r="G220" s="1"/>
      <c r="H220" s="1">
        <f>SUM(OSRRefH22_12x_0)</f>
        <v>4045</v>
      </c>
      <c r="I220" s="1"/>
      <c r="J220" s="5">
        <f t="shared" si="74"/>
        <v>3.1148392542042699E-3</v>
      </c>
      <c r="K220" s="1"/>
      <c r="L220" s="1">
        <f t="shared" si="75"/>
        <v>243.27999999999975</v>
      </c>
      <c r="M220" s="1"/>
      <c r="N220" s="5">
        <f t="shared" si="76"/>
        <v>6.0143386897404137E-2</v>
      </c>
      <c r="O220" s="13"/>
      <c r="P220" s="1">
        <f>SUM(OSRRefP22_12x_0)</f>
        <v>38594.519999999997</v>
      </c>
      <c r="Q220" s="1"/>
      <c r="R220" s="5">
        <f t="shared" si="77"/>
        <v>3.520490830920155E-3</v>
      </c>
      <c r="S220" s="1"/>
      <c r="T220" s="1">
        <f>SUM(OSRRefT22_12x_0)</f>
        <v>36405</v>
      </c>
      <c r="U220" s="1"/>
      <c r="V220" s="5">
        <f t="shared" si="78"/>
        <v>2.9195162160992392E-3</v>
      </c>
      <c r="W220" s="1"/>
      <c r="X220" s="1">
        <f t="shared" si="79"/>
        <v>2189.5199999999968</v>
      </c>
      <c r="Y220" s="1"/>
      <c r="Z220" s="5">
        <f t="shared" si="80"/>
        <v>6.0143386897404116E-2</v>
      </c>
    </row>
    <row r="221" spans="1:26" s="24" customFormat="1" hidden="1" outlineLevel="2" x14ac:dyDescent="0.25">
      <c r="A221" s="25"/>
      <c r="B221" s="11" t="str">
        <f>CONCATENATE("          ", "6314", " - ", "LIABILITY INSURANCE")</f>
        <v xml:space="preserve">          6314 - LIABILITY INSURANCE</v>
      </c>
      <c r="C221" s="11"/>
      <c r="D221" s="6">
        <v>4288.28</v>
      </c>
      <c r="E221" s="2"/>
      <c r="F221" s="7">
        <f t="shared" si="73"/>
        <v>1.0869688097328052E-2</v>
      </c>
      <c r="G221" s="2"/>
      <c r="H221" s="6">
        <v>4045</v>
      </c>
      <c r="I221" s="2"/>
      <c r="J221" s="7">
        <f t="shared" si="74"/>
        <v>3.1148392542042699E-3</v>
      </c>
      <c r="K221" s="2"/>
      <c r="L221" s="6">
        <f t="shared" si="75"/>
        <v>243.27999999999975</v>
      </c>
      <c r="M221" s="2"/>
      <c r="N221" s="7">
        <f t="shared" si="76"/>
        <v>6.0143386897404137E-2</v>
      </c>
      <c r="O221" s="11"/>
      <c r="P221" s="6">
        <v>38594.519999999997</v>
      </c>
      <c r="Q221" s="2"/>
      <c r="R221" s="7">
        <f t="shared" si="77"/>
        <v>3.520490830920155E-3</v>
      </c>
      <c r="S221" s="2"/>
      <c r="T221" s="6">
        <v>36405</v>
      </c>
      <c r="U221" s="2"/>
      <c r="V221" s="7">
        <f t="shared" si="78"/>
        <v>2.9195162160992392E-3</v>
      </c>
      <c r="W221" s="2"/>
      <c r="X221" s="6">
        <f t="shared" si="79"/>
        <v>2189.5199999999968</v>
      </c>
      <c r="Y221" s="2"/>
      <c r="Z221" s="7">
        <f t="shared" si="80"/>
        <v>6.0143386897404116E-2</v>
      </c>
    </row>
    <row r="222" spans="1:26" s="27" customFormat="1" outlineLevel="1" collapsed="1" x14ac:dyDescent="0.25">
      <c r="A222" s="26"/>
      <c r="B222" s="13" t="str">
        <f>CONCATENATE("     ","Interest                                          ")</f>
        <v xml:space="preserve">     Interest                                          </v>
      </c>
      <c r="C222" s="13"/>
      <c r="D222" s="1">
        <f>SUM(OSRRefD22_13x_0)</f>
        <v>4175</v>
      </c>
      <c r="E222" s="1"/>
      <c r="F222" s="5">
        <f t="shared" si="73"/>
        <v>1.0582552400110213E-2</v>
      </c>
      <c r="G222" s="1"/>
      <c r="H222" s="1">
        <f>SUM(OSRRefH22_13x_0)</f>
        <v>4175</v>
      </c>
      <c r="I222" s="1"/>
      <c r="J222" s="5">
        <f t="shared" si="74"/>
        <v>3.2149453365396359E-3</v>
      </c>
      <c r="K222" s="1"/>
      <c r="L222" s="1">
        <f t="shared" si="75"/>
        <v>0</v>
      </c>
      <c r="M222" s="1"/>
      <c r="N222" s="5">
        <f t="shared" si="76"/>
        <v>0</v>
      </c>
      <c r="O222" s="13"/>
      <c r="P222" s="1">
        <f>SUM(OSRRefP22_13x_0)</f>
        <v>37368.950000000004</v>
      </c>
      <c r="Q222" s="1"/>
      <c r="R222" s="5">
        <f t="shared" si="77"/>
        <v>3.4086975517797278E-3</v>
      </c>
      <c r="S222" s="1"/>
      <c r="T222" s="1">
        <f>SUM(OSRRefT22_13x_0)</f>
        <v>37575</v>
      </c>
      <c r="U222" s="1"/>
      <c r="V222" s="5">
        <f t="shared" si="78"/>
        <v>3.0133449202013165E-3</v>
      </c>
      <c r="W222" s="1"/>
      <c r="X222" s="1">
        <f t="shared" si="79"/>
        <v>-206.04999999999563</v>
      </c>
      <c r="Y222" s="1"/>
      <c r="Z222" s="5">
        <f t="shared" si="80"/>
        <v>-5.4836992681302895E-3</v>
      </c>
    </row>
    <row r="223" spans="1:26" s="24" customFormat="1" hidden="1" outlineLevel="2" x14ac:dyDescent="0.25">
      <c r="A223" s="25"/>
      <c r="B223" s="11" t="str">
        <f>CONCATENATE("          ", "6401", " - ", "INTEREST EXPENSE")</f>
        <v xml:space="preserve">          6401 - INTEREST EXPENSE</v>
      </c>
      <c r="C223" s="11"/>
      <c r="D223" s="6">
        <v>4175</v>
      </c>
      <c r="E223" s="2"/>
      <c r="F223" s="7">
        <f t="shared" si="73"/>
        <v>1.0582552400110213E-2</v>
      </c>
      <c r="G223" s="2"/>
      <c r="H223" s="6">
        <v>4175</v>
      </c>
      <c r="I223" s="2"/>
      <c r="J223" s="7">
        <f t="shared" si="74"/>
        <v>3.2149453365396359E-3</v>
      </c>
      <c r="K223" s="2"/>
      <c r="L223" s="6">
        <f t="shared" si="75"/>
        <v>0</v>
      </c>
      <c r="M223" s="2"/>
      <c r="N223" s="7">
        <f t="shared" si="76"/>
        <v>0</v>
      </c>
      <c r="O223" s="11"/>
      <c r="P223" s="6">
        <v>37368.950000000004</v>
      </c>
      <c r="Q223" s="2"/>
      <c r="R223" s="7">
        <f t="shared" si="77"/>
        <v>3.4086975517797278E-3</v>
      </c>
      <c r="S223" s="2"/>
      <c r="T223" s="6">
        <v>37575</v>
      </c>
      <c r="U223" s="2"/>
      <c r="V223" s="7">
        <f t="shared" si="78"/>
        <v>3.0133449202013165E-3</v>
      </c>
      <c r="W223" s="2"/>
      <c r="X223" s="6">
        <f t="shared" si="79"/>
        <v>-206.04999999999563</v>
      </c>
      <c r="Y223" s="2"/>
      <c r="Z223" s="7">
        <f t="shared" si="80"/>
        <v>-5.4836992681302895E-3</v>
      </c>
    </row>
    <row r="224" spans="1:26" s="27" customFormat="1" outlineLevel="1" collapsed="1" x14ac:dyDescent="0.25">
      <c r="A224" s="26"/>
      <c r="B224" s="13" t="str">
        <f>CONCATENATE("     ","Inventory Adjustment                              ")</f>
        <v xml:space="preserve">     Inventory Adjustment                              </v>
      </c>
      <c r="C224" s="13"/>
      <c r="D224" s="1">
        <f>SUM(OSRRefD22_14x_0)</f>
        <v>4550</v>
      </c>
      <c r="E224" s="1"/>
      <c r="F224" s="5">
        <f t="shared" si="73"/>
        <v>1.1533081058802746E-2</v>
      </c>
      <c r="G224" s="1"/>
      <c r="H224" s="1">
        <f>SUM(OSRRefH22_14x_0)</f>
        <v>4550</v>
      </c>
      <c r="I224" s="1"/>
      <c r="J224" s="5">
        <f t="shared" si="74"/>
        <v>3.5037128817378069E-3</v>
      </c>
      <c r="K224" s="1"/>
      <c r="L224" s="1">
        <f t="shared" si="75"/>
        <v>0</v>
      </c>
      <c r="M224" s="1"/>
      <c r="N224" s="5">
        <f t="shared" si="76"/>
        <v>0</v>
      </c>
      <c r="O224" s="13"/>
      <c r="P224" s="1">
        <f>SUM(OSRRefP22_14x_0)</f>
        <v>44250</v>
      </c>
      <c r="Q224" s="1"/>
      <c r="R224" s="5">
        <f t="shared" si="77"/>
        <v>4.0363688748614275E-3</v>
      </c>
      <c r="S224" s="1"/>
      <c r="T224" s="1">
        <f>SUM(OSRRefT22_14x_0)</f>
        <v>44250</v>
      </c>
      <c r="U224" s="1"/>
      <c r="V224" s="5">
        <f t="shared" si="78"/>
        <v>3.548649706424704E-3</v>
      </c>
      <c r="W224" s="1"/>
      <c r="X224" s="1">
        <f t="shared" si="79"/>
        <v>0</v>
      </c>
      <c r="Y224" s="1"/>
      <c r="Z224" s="5">
        <f t="shared" si="80"/>
        <v>0</v>
      </c>
    </row>
    <row r="225" spans="1:26" s="24" customFormat="1" hidden="1" outlineLevel="2" x14ac:dyDescent="0.25">
      <c r="A225" s="25"/>
      <c r="B225" s="11" t="str">
        <f>CONCATENATE("          ", "6408", " - ", "INVENTORY ADJUSTMENT")</f>
        <v xml:space="preserve">          6408 - INVENTORY ADJUSTMENT</v>
      </c>
      <c r="C225" s="11"/>
      <c r="D225" s="6">
        <v>4550</v>
      </c>
      <c r="E225" s="2"/>
      <c r="F225" s="7">
        <f t="shared" si="73"/>
        <v>1.1533081058802746E-2</v>
      </c>
      <c r="G225" s="2"/>
      <c r="H225" s="6">
        <v>4550</v>
      </c>
      <c r="I225" s="2"/>
      <c r="J225" s="7">
        <f t="shared" si="74"/>
        <v>3.5037128817378069E-3</v>
      </c>
      <c r="K225" s="2"/>
      <c r="L225" s="6">
        <f t="shared" si="75"/>
        <v>0</v>
      </c>
      <c r="M225" s="2"/>
      <c r="N225" s="7">
        <f t="shared" si="76"/>
        <v>0</v>
      </c>
      <c r="O225" s="11"/>
      <c r="P225" s="6">
        <v>44250</v>
      </c>
      <c r="Q225" s="2"/>
      <c r="R225" s="7">
        <f t="shared" si="77"/>
        <v>4.0363688748614275E-3</v>
      </c>
      <c r="S225" s="2"/>
      <c r="T225" s="6">
        <v>44250</v>
      </c>
      <c r="U225" s="2"/>
      <c r="V225" s="7">
        <f t="shared" si="78"/>
        <v>3.548649706424704E-3</v>
      </c>
      <c r="W225" s="2"/>
      <c r="X225" s="6">
        <f t="shared" si="79"/>
        <v>0</v>
      </c>
      <c r="Y225" s="2"/>
      <c r="Z225" s="7">
        <f t="shared" si="80"/>
        <v>0</v>
      </c>
    </row>
    <row r="226" spans="1:26" s="27" customFormat="1" outlineLevel="1" collapsed="1" x14ac:dyDescent="0.25">
      <c r="A226" s="26"/>
      <c r="B226" s="13" t="str">
        <f>CONCATENATE("     ","Professional Services                             ")</f>
        <v xml:space="preserve">     Professional Services                             </v>
      </c>
      <c r="C226" s="13"/>
      <c r="D226" s="1">
        <f>SUM(OSRRefD22_15x_0)</f>
        <v>0</v>
      </c>
      <c r="E226" s="1"/>
      <c r="F226" s="5">
        <f t="shared" si="73"/>
        <v>0</v>
      </c>
      <c r="G226" s="1"/>
      <c r="H226" s="1">
        <f>SUM(OSRRefH22_15x_0)</f>
        <v>1015</v>
      </c>
      <c r="I226" s="1"/>
      <c r="J226" s="5">
        <f t="shared" si="74"/>
        <v>7.8159748900304919E-4</v>
      </c>
      <c r="K226" s="1"/>
      <c r="L226" s="1">
        <f t="shared" si="75"/>
        <v>-1015</v>
      </c>
      <c r="M226" s="1"/>
      <c r="N226" s="5">
        <f t="shared" si="76"/>
        <v>-1</v>
      </c>
      <c r="O226" s="13"/>
      <c r="P226" s="1">
        <f>SUM(OSRRefP22_15x_0)</f>
        <v>6199.56</v>
      </c>
      <c r="Q226" s="1"/>
      <c r="R226" s="5">
        <f t="shared" si="77"/>
        <v>5.6550759371380602E-4</v>
      </c>
      <c r="S226" s="1"/>
      <c r="T226" s="1">
        <f>SUM(OSRRefT22_15x_0)</f>
        <v>12035</v>
      </c>
      <c r="U226" s="1"/>
      <c r="V226" s="5">
        <f t="shared" si="78"/>
        <v>9.6515252467392794E-4</v>
      </c>
      <c r="W226" s="1"/>
      <c r="X226" s="1">
        <f t="shared" si="79"/>
        <v>-5835.44</v>
      </c>
      <c r="Y226" s="1"/>
      <c r="Z226" s="5">
        <f t="shared" si="80"/>
        <v>-0.48487245533859574</v>
      </c>
    </row>
    <row r="227" spans="1:26" s="24" customFormat="1" hidden="1" outlineLevel="2" x14ac:dyDescent="0.25">
      <c r="A227" s="25"/>
      <c r="B227" s="11" t="str">
        <f>CONCATENATE("          ", "6336", " - ", "PROFESSIONAL SERVICES")</f>
        <v xml:space="preserve">          6336 - PROFESSIONAL SERVICES</v>
      </c>
      <c r="C227" s="11"/>
      <c r="D227" s="6"/>
      <c r="E227" s="2"/>
      <c r="F227" s="7">
        <f t="shared" si="73"/>
        <v>0</v>
      </c>
      <c r="G227" s="2"/>
      <c r="H227" s="6">
        <v>1015</v>
      </c>
      <c r="I227" s="2"/>
      <c r="J227" s="7">
        <f t="shared" si="74"/>
        <v>7.8159748900304919E-4</v>
      </c>
      <c r="K227" s="2"/>
      <c r="L227" s="6">
        <f t="shared" si="75"/>
        <v>-1015</v>
      </c>
      <c r="M227" s="2"/>
      <c r="N227" s="7">
        <f t="shared" si="76"/>
        <v>-1</v>
      </c>
      <c r="O227" s="11"/>
      <c r="P227" s="6">
        <v>6199.56</v>
      </c>
      <c r="Q227" s="2"/>
      <c r="R227" s="7">
        <f t="shared" si="77"/>
        <v>5.6550759371380602E-4</v>
      </c>
      <c r="S227" s="2"/>
      <c r="T227" s="6">
        <v>12035</v>
      </c>
      <c r="U227" s="2"/>
      <c r="V227" s="7">
        <f t="shared" si="78"/>
        <v>9.6515252467392794E-4</v>
      </c>
      <c r="W227" s="2"/>
      <c r="X227" s="6">
        <f t="shared" si="79"/>
        <v>-5835.44</v>
      </c>
      <c r="Y227" s="2"/>
      <c r="Z227" s="7">
        <f t="shared" si="80"/>
        <v>-0.48487245533859574</v>
      </c>
    </row>
    <row r="228" spans="1:26" s="27" customFormat="1" outlineLevel="1" collapsed="1" x14ac:dyDescent="0.25">
      <c r="A228" s="26"/>
      <c r="B228" s="13" t="str">
        <f>CONCATENATE("     ","R/H Commissions                                   ")</f>
        <v xml:space="preserve">     R/H Commissions                                   </v>
      </c>
      <c r="C228" s="13"/>
      <c r="D228" s="1">
        <f>SUM(OSRRefD22_16x_0)</f>
        <v>0</v>
      </c>
      <c r="E228" s="1"/>
      <c r="F228" s="5">
        <f t="shared" si="73"/>
        <v>0</v>
      </c>
      <c r="G228" s="1"/>
      <c r="H228" s="1">
        <f>SUM(OSRRefH22_16x_0)</f>
        <v>0</v>
      </c>
      <c r="I228" s="1"/>
      <c r="J228" s="5">
        <f t="shared" si="74"/>
        <v>0</v>
      </c>
      <c r="K228" s="1"/>
      <c r="L228" s="1">
        <f t="shared" si="75"/>
        <v>0</v>
      </c>
      <c r="M228" s="1"/>
      <c r="N228" s="5">
        <f t="shared" si="76"/>
        <v>0</v>
      </c>
      <c r="O228" s="13"/>
      <c r="P228" s="1">
        <f>SUM(OSRRefP22_16x_0)</f>
        <v>0</v>
      </c>
      <c r="Q228" s="1"/>
      <c r="R228" s="5">
        <f t="shared" si="77"/>
        <v>0</v>
      </c>
      <c r="S228" s="1"/>
      <c r="T228" s="1">
        <f>SUM(OSRRefT22_16x_0)</f>
        <v>0</v>
      </c>
      <c r="U228" s="1"/>
      <c r="V228" s="5">
        <f t="shared" si="78"/>
        <v>0</v>
      </c>
      <c r="W228" s="1"/>
      <c r="X228" s="1">
        <f t="shared" si="79"/>
        <v>0</v>
      </c>
      <c r="Y228" s="1"/>
      <c r="Z228" s="5">
        <f t="shared" si="80"/>
        <v>0</v>
      </c>
    </row>
    <row r="229" spans="1:26" s="24" customFormat="1" hidden="1" outlineLevel="2" x14ac:dyDescent="0.25">
      <c r="A229" s="25"/>
      <c r="B229" s="11" t="str">
        <f>CONCATENATE("          ", "6387", " - ", "COMMISSION DUE HOUSING")</f>
        <v xml:space="preserve">          6387 - COMMISSION DUE HOUSING</v>
      </c>
      <c r="C229" s="11"/>
      <c r="D229" s="6"/>
      <c r="E229" s="2"/>
      <c r="F229" s="7">
        <f t="shared" si="73"/>
        <v>0</v>
      </c>
      <c r="G229" s="2"/>
      <c r="H229" s="6"/>
      <c r="I229" s="2"/>
      <c r="J229" s="7">
        <f t="shared" si="74"/>
        <v>0</v>
      </c>
      <c r="K229" s="2"/>
      <c r="L229" s="6">
        <f t="shared" si="75"/>
        <v>0</v>
      </c>
      <c r="M229" s="2"/>
      <c r="N229" s="7">
        <f t="shared" si="76"/>
        <v>0</v>
      </c>
      <c r="O229" s="11"/>
      <c r="P229" s="6"/>
      <c r="Q229" s="2"/>
      <c r="R229" s="7">
        <f t="shared" si="77"/>
        <v>0</v>
      </c>
      <c r="S229" s="2"/>
      <c r="T229" s="6">
        <v>0</v>
      </c>
      <c r="U229" s="2"/>
      <c r="V229" s="7">
        <f t="shared" si="78"/>
        <v>0</v>
      </c>
      <c r="W229" s="2"/>
      <c r="X229" s="6">
        <f t="shared" si="79"/>
        <v>0</v>
      </c>
      <c r="Y229" s="2"/>
      <c r="Z229" s="7">
        <f t="shared" si="80"/>
        <v>0</v>
      </c>
    </row>
    <row r="230" spans="1:26" s="27" customFormat="1" outlineLevel="1" collapsed="1" x14ac:dyDescent="0.25">
      <c r="A230" s="26"/>
      <c r="B230" s="13" t="str">
        <f>CONCATENATE("     ","Rent                                              ")</f>
        <v xml:space="preserve">     Rent                                              </v>
      </c>
      <c r="C230" s="13"/>
      <c r="D230" s="1">
        <f>SUM(OSRRefD22_17x_0)</f>
        <v>7250</v>
      </c>
      <c r="E230" s="1"/>
      <c r="F230" s="5">
        <f t="shared" si="73"/>
        <v>1.8376887401388993E-2</v>
      </c>
      <c r="G230" s="1"/>
      <c r="H230" s="1">
        <f>SUM(OSRRefH22_17x_0)</f>
        <v>7550</v>
      </c>
      <c r="I230" s="1"/>
      <c r="J230" s="5">
        <f t="shared" si="74"/>
        <v>5.813853243323174E-3</v>
      </c>
      <c r="K230" s="1"/>
      <c r="L230" s="1">
        <f t="shared" si="75"/>
        <v>-300</v>
      </c>
      <c r="M230" s="1"/>
      <c r="N230" s="5">
        <f t="shared" si="76"/>
        <v>-3.9735099337748346E-2</v>
      </c>
      <c r="O230" s="13"/>
      <c r="P230" s="1">
        <f>SUM(OSRRefP22_17x_0)</f>
        <v>66850</v>
      </c>
      <c r="Q230" s="1"/>
      <c r="R230" s="5">
        <f t="shared" si="77"/>
        <v>6.097881565751106E-3</v>
      </c>
      <c r="S230" s="1"/>
      <c r="T230" s="1">
        <f>SUM(OSRRefT22_17x_0)</f>
        <v>67950</v>
      </c>
      <c r="U230" s="1"/>
      <c r="V230" s="5">
        <f t="shared" si="78"/>
        <v>5.4492824305436977E-3</v>
      </c>
      <c r="W230" s="1"/>
      <c r="X230" s="1">
        <f t="shared" si="79"/>
        <v>-1100</v>
      </c>
      <c r="Y230" s="1"/>
      <c r="Z230" s="5">
        <f t="shared" si="80"/>
        <v>-1.6188373804267846E-2</v>
      </c>
    </row>
    <row r="231" spans="1:26" s="24" customFormat="1" hidden="1" outlineLevel="2" x14ac:dyDescent="0.25">
      <c r="A231" s="25"/>
      <c r="B231" s="11" t="str">
        <f>CONCATENATE("          ", "6273", " - ", "RENT")</f>
        <v xml:space="preserve">          6273 - RENT</v>
      </c>
      <c r="C231" s="11"/>
      <c r="D231" s="6">
        <v>7250</v>
      </c>
      <c r="E231" s="2"/>
      <c r="F231" s="7">
        <f t="shared" si="73"/>
        <v>1.8376887401388993E-2</v>
      </c>
      <c r="G231" s="2"/>
      <c r="H231" s="6">
        <v>7550</v>
      </c>
      <c r="I231" s="2"/>
      <c r="J231" s="7">
        <f t="shared" si="74"/>
        <v>5.813853243323174E-3</v>
      </c>
      <c r="K231" s="2"/>
      <c r="L231" s="6">
        <f t="shared" si="75"/>
        <v>-300</v>
      </c>
      <c r="M231" s="2"/>
      <c r="N231" s="7">
        <f t="shared" si="76"/>
        <v>-3.9735099337748346E-2</v>
      </c>
      <c r="O231" s="11"/>
      <c r="P231" s="6">
        <v>66850</v>
      </c>
      <c r="Q231" s="2"/>
      <c r="R231" s="7">
        <f t="shared" si="77"/>
        <v>6.097881565751106E-3</v>
      </c>
      <c r="S231" s="2"/>
      <c r="T231" s="6">
        <v>67950</v>
      </c>
      <c r="U231" s="2"/>
      <c r="V231" s="7">
        <f t="shared" si="78"/>
        <v>5.4492824305436977E-3</v>
      </c>
      <c r="W231" s="2"/>
      <c r="X231" s="6">
        <f t="shared" si="79"/>
        <v>-1100</v>
      </c>
      <c r="Y231" s="2"/>
      <c r="Z231" s="7">
        <f t="shared" si="80"/>
        <v>-1.6188373804267846E-2</v>
      </c>
    </row>
    <row r="232" spans="1:26" s="27" customFormat="1" outlineLevel="1" collapsed="1" x14ac:dyDescent="0.25">
      <c r="A232" s="26"/>
      <c r="B232" s="13" t="str">
        <f>CONCATENATE("     ","Repair and Maintenance                            ")</f>
        <v xml:space="preserve">     Repair and Maintenance                            </v>
      </c>
      <c r="C232" s="13"/>
      <c r="D232" s="1">
        <f>SUM(OSRRefD22_18x_0)</f>
        <v>14496.46</v>
      </c>
      <c r="E232" s="1"/>
      <c r="F232" s="5">
        <f t="shared" si="73"/>
        <v>3.6744801812239922E-2</v>
      </c>
      <c r="G232" s="1"/>
      <c r="H232" s="1">
        <f>SUM(OSRRefH22_18x_0)</f>
        <v>15854</v>
      </c>
      <c r="I232" s="1"/>
      <c r="J232" s="5">
        <f t="shared" si="74"/>
        <v>1.220832176419147E-2</v>
      </c>
      <c r="K232" s="1"/>
      <c r="L232" s="1">
        <f t="shared" si="75"/>
        <v>-1357.5400000000009</v>
      </c>
      <c r="M232" s="1"/>
      <c r="N232" s="5">
        <f t="shared" si="76"/>
        <v>-8.5627601867036759E-2</v>
      </c>
      <c r="O232" s="13"/>
      <c r="P232" s="1">
        <f>SUM(OSRRefP22_18x_0)</f>
        <v>138390.01999999999</v>
      </c>
      <c r="Q232" s="1"/>
      <c r="R232" s="5">
        <f t="shared" si="77"/>
        <v>1.2623574447897185E-2</v>
      </c>
      <c r="S232" s="1"/>
      <c r="T232" s="1">
        <f>SUM(OSRRefT22_18x_0)</f>
        <v>187858</v>
      </c>
      <c r="U232" s="1"/>
      <c r="V232" s="5">
        <f t="shared" si="78"/>
        <v>1.5065361277955526E-2</v>
      </c>
      <c r="W232" s="1"/>
      <c r="X232" s="1">
        <f t="shared" si="79"/>
        <v>-49467.98000000001</v>
      </c>
      <c r="Y232" s="1"/>
      <c r="Z232" s="5">
        <f t="shared" si="80"/>
        <v>-0.26332644870061434</v>
      </c>
    </row>
    <row r="233" spans="1:26" s="24" customFormat="1" hidden="1" outlineLevel="2" x14ac:dyDescent="0.25">
      <c r="A233" s="25"/>
      <c r="B233" s="11" t="str">
        <f>CONCATENATE("          ", "6371", " - ", "COMPUTER SOFTWARE MAINTENANCE")</f>
        <v xml:space="preserve">          6371 - COMPUTER SOFTWARE MAINTENANCE</v>
      </c>
      <c r="C233" s="11"/>
      <c r="D233" s="6">
        <v>631.04999999999995</v>
      </c>
      <c r="E233" s="2"/>
      <c r="F233" s="7">
        <f t="shared" si="73"/>
        <v>1.5995496268477961E-3</v>
      </c>
      <c r="G233" s="2"/>
      <c r="H233" s="6"/>
      <c r="I233" s="2"/>
      <c r="J233" s="7">
        <f t="shared" si="74"/>
        <v>0</v>
      </c>
      <c r="K233" s="2"/>
      <c r="L233" s="6">
        <f t="shared" si="75"/>
        <v>631.04999999999995</v>
      </c>
      <c r="M233" s="2"/>
      <c r="N233" s="7">
        <f t="shared" si="76"/>
        <v>0</v>
      </c>
      <c r="O233" s="11"/>
      <c r="P233" s="6">
        <v>17098.38</v>
      </c>
      <c r="Q233" s="2"/>
      <c r="R233" s="7">
        <f t="shared" si="77"/>
        <v>1.5596693523740822E-3</v>
      </c>
      <c r="S233" s="2"/>
      <c r="T233" s="6">
        <v>48535</v>
      </c>
      <c r="U233" s="2"/>
      <c r="V233" s="7">
        <f t="shared" si="78"/>
        <v>3.8922873107643616E-3</v>
      </c>
      <c r="W233" s="2"/>
      <c r="X233" s="6">
        <f t="shared" si="79"/>
        <v>-31436.62</v>
      </c>
      <c r="Y233" s="2"/>
      <c r="Z233" s="7">
        <f t="shared" si="80"/>
        <v>-0.64771031214587405</v>
      </c>
    </row>
    <row r="234" spans="1:26" s="24" customFormat="1" hidden="1" outlineLevel="2" x14ac:dyDescent="0.25">
      <c r="A234" s="25"/>
      <c r="B234" s="11" t="str">
        <f>CONCATENATE("          ", "6372", " - ", "COMPUTER HARDWARE MAINTENANCE")</f>
        <v xml:space="preserve">          6372 - COMPUTER HARDWARE MAINTENANCE</v>
      </c>
      <c r="C234" s="11"/>
      <c r="D234" s="6"/>
      <c r="E234" s="2"/>
      <c r="F234" s="7">
        <f t="shared" si="73"/>
        <v>0</v>
      </c>
      <c r="G234" s="2"/>
      <c r="H234" s="6"/>
      <c r="I234" s="2"/>
      <c r="J234" s="7">
        <f t="shared" si="74"/>
        <v>0</v>
      </c>
      <c r="K234" s="2"/>
      <c r="L234" s="6">
        <f t="shared" si="75"/>
        <v>0</v>
      </c>
      <c r="M234" s="2"/>
      <c r="N234" s="7">
        <f t="shared" si="76"/>
        <v>0</v>
      </c>
      <c r="O234" s="11"/>
      <c r="P234" s="6">
        <v>52.32</v>
      </c>
      <c r="Q234" s="2"/>
      <c r="R234" s="7">
        <f t="shared" si="77"/>
        <v>4.7724930967853088E-6</v>
      </c>
      <c r="S234" s="2"/>
      <c r="T234" s="6">
        <v>2000</v>
      </c>
      <c r="U234" s="2"/>
      <c r="V234" s="7">
        <f t="shared" si="78"/>
        <v>1.6039094718303746E-4</v>
      </c>
      <c r="W234" s="2"/>
      <c r="X234" s="6">
        <f t="shared" si="79"/>
        <v>-1947.68</v>
      </c>
      <c r="Y234" s="2"/>
      <c r="Z234" s="7">
        <f t="shared" si="80"/>
        <v>-0.97384000000000004</v>
      </c>
    </row>
    <row r="235" spans="1:26" s="24" customFormat="1" hidden="1" outlineLevel="2" x14ac:dyDescent="0.25">
      <c r="A235" s="25"/>
      <c r="B235" s="11" t="str">
        <f>CONCATENATE("          ", "6373", " - ", "MAINTENANCE CONTRACTS")</f>
        <v xml:space="preserve">          6373 - MAINTENANCE CONTRACTS</v>
      </c>
      <c r="C235" s="11"/>
      <c r="D235" s="6">
        <v>12295.93</v>
      </c>
      <c r="E235" s="2"/>
      <c r="F235" s="7">
        <f t="shared" si="73"/>
        <v>3.1167023600739443E-2</v>
      </c>
      <c r="G235" s="2"/>
      <c r="H235" s="6">
        <v>7040</v>
      </c>
      <c r="I235" s="2"/>
      <c r="J235" s="7">
        <f t="shared" si="74"/>
        <v>5.4211293818536618E-3</v>
      </c>
      <c r="K235" s="2"/>
      <c r="L235" s="6">
        <f t="shared" si="75"/>
        <v>5255.93</v>
      </c>
      <c r="M235" s="2"/>
      <c r="N235" s="7">
        <f t="shared" si="76"/>
        <v>0.74658096590909095</v>
      </c>
      <c r="O235" s="11"/>
      <c r="P235" s="6">
        <v>70332.63</v>
      </c>
      <c r="Q235" s="2"/>
      <c r="R235" s="7">
        <f t="shared" si="77"/>
        <v>6.4155579348959347E-3</v>
      </c>
      <c r="S235" s="2"/>
      <c r="T235" s="6">
        <v>63435.000000000007</v>
      </c>
      <c r="U235" s="2"/>
      <c r="V235" s="7">
        <f t="shared" si="78"/>
        <v>5.0871998672779913E-3</v>
      </c>
      <c r="W235" s="2"/>
      <c r="X235" s="6">
        <f t="shared" si="79"/>
        <v>6897.6299999999974</v>
      </c>
      <c r="Y235" s="2"/>
      <c r="Z235" s="7">
        <f t="shared" si="80"/>
        <v>0.10873539843934731</v>
      </c>
    </row>
    <row r="236" spans="1:26" s="24" customFormat="1" hidden="1" outlineLevel="2" x14ac:dyDescent="0.25">
      <c r="A236" s="25"/>
      <c r="B236" s="11" t="str">
        <f>CONCATENATE("          ", "6375", " - ", "OUTSIDE REPAIRS &amp; MAINTENANCE")</f>
        <v xml:space="preserve">          6375 - OUTSIDE REPAIRS &amp; MAINTENANCE</v>
      </c>
      <c r="C236" s="11"/>
      <c r="D236" s="6">
        <v>1569.48</v>
      </c>
      <c r="E236" s="2"/>
      <c r="F236" s="7">
        <f t="shared" si="73"/>
        <v>3.9782285846526886E-3</v>
      </c>
      <c r="G236" s="2"/>
      <c r="H236" s="6">
        <v>8814</v>
      </c>
      <c r="I236" s="2"/>
      <c r="J236" s="7">
        <f t="shared" si="74"/>
        <v>6.787192382337809E-3</v>
      </c>
      <c r="K236" s="2"/>
      <c r="L236" s="6">
        <f t="shared" si="75"/>
        <v>-7244.52</v>
      </c>
      <c r="M236" s="2"/>
      <c r="N236" s="7">
        <f t="shared" si="76"/>
        <v>-0.82193328795098708</v>
      </c>
      <c r="O236" s="11"/>
      <c r="P236" s="6">
        <v>50906.689999999995</v>
      </c>
      <c r="Q236" s="2"/>
      <c r="R236" s="7">
        <f t="shared" si="77"/>
        <v>4.6435746675303835E-3</v>
      </c>
      <c r="S236" s="2"/>
      <c r="T236" s="6">
        <v>73888</v>
      </c>
      <c r="U236" s="2"/>
      <c r="V236" s="7">
        <f t="shared" si="78"/>
        <v>5.9254831527301363E-3</v>
      </c>
      <c r="W236" s="2"/>
      <c r="X236" s="6">
        <f t="shared" si="79"/>
        <v>-22981.310000000005</v>
      </c>
      <c r="Y236" s="2"/>
      <c r="Z236" s="7">
        <f t="shared" si="80"/>
        <v>-0.31102898982243404</v>
      </c>
    </row>
    <row r="237" spans="1:26" s="27" customFormat="1" outlineLevel="1" collapsed="1" x14ac:dyDescent="0.25">
      <c r="A237" s="26"/>
      <c r="B237" s="13" t="str">
        <f>CONCATENATE("     ","Royalty &amp; Commissions                             ")</f>
        <v xml:space="preserve">     Royalty &amp; Commissions                             </v>
      </c>
      <c r="C237" s="13"/>
      <c r="D237" s="1">
        <f>SUM(OSRRefD22_19x_0)</f>
        <v>15930.23</v>
      </c>
      <c r="E237" s="1"/>
      <c r="F237" s="5">
        <f t="shared" ref="F237:F241" si="81">IF(D$12=0,0,D237/D$12)</f>
        <v>4.0379040412169512E-2</v>
      </c>
      <c r="G237" s="1"/>
      <c r="H237" s="1">
        <f>SUM(OSRRefH22_19x_0)</f>
        <v>19701</v>
      </c>
      <c r="I237" s="1"/>
      <c r="J237" s="5">
        <f t="shared" ref="J237:J241" si="82">IF(H$12=0,0,H237/H$12)</f>
        <v>1.5170691754531106E-2</v>
      </c>
      <c r="K237" s="1"/>
      <c r="L237" s="1">
        <f t="shared" ref="L237:L241" si="83">+D237-H237</f>
        <v>-3770.7700000000004</v>
      </c>
      <c r="M237" s="1"/>
      <c r="N237" s="5">
        <f t="shared" ref="N237:N241" si="84">IF(H237=0,0,L237/H237)</f>
        <v>-0.1913999289376174</v>
      </c>
      <c r="O237" s="13"/>
      <c r="P237" s="1">
        <f>SUM(OSRRefP22_19x_0)</f>
        <v>127668.08999999998</v>
      </c>
      <c r="Q237" s="1"/>
      <c r="R237" s="5">
        <f t="shared" ref="R237:R241" si="85">IF(P$12=0,0,P237/P$12)</f>
        <v>1.1645548130825027E-2</v>
      </c>
      <c r="S237" s="1"/>
      <c r="T237" s="1">
        <f>SUM(OSRRefT22_19x_0)</f>
        <v>172064</v>
      </c>
      <c r="U237" s="1"/>
      <c r="V237" s="5">
        <f t="shared" ref="V237:V241" si="86">IF(T$12=0,0,T237/T$12)</f>
        <v>1.3798753968051079E-2</v>
      </c>
      <c r="W237" s="1"/>
      <c r="X237" s="1">
        <f t="shared" ref="X237:X241" si="87">+P237-T237</f>
        <v>-44395.910000000018</v>
      </c>
      <c r="Y237" s="1"/>
      <c r="Z237" s="5">
        <f t="shared" ref="Z237:Z241" si="88">IF(T237=0,0,X237/T237)</f>
        <v>-0.25801974846568732</v>
      </c>
    </row>
    <row r="238" spans="1:26" s="24" customFormat="1" hidden="1" outlineLevel="2" x14ac:dyDescent="0.25">
      <c r="A238" s="25"/>
      <c r="B238" s="11" t="str">
        <f>CONCATENATE("          ", "6252", " - ", "ROYALTY DUE CSTV")</f>
        <v xml:space="preserve">          6252 - ROYALTY DUE CSTV</v>
      </c>
      <c r="C238" s="11"/>
      <c r="D238" s="6"/>
      <c r="E238" s="2"/>
      <c r="F238" s="7">
        <f t="shared" si="81"/>
        <v>0</v>
      </c>
      <c r="G238" s="2"/>
      <c r="H238" s="6">
        <v>1085</v>
      </c>
      <c r="I238" s="2"/>
      <c r="J238" s="7">
        <f t="shared" si="82"/>
        <v>8.3550076410670779E-4</v>
      </c>
      <c r="K238" s="2"/>
      <c r="L238" s="6">
        <f t="shared" si="83"/>
        <v>-1085</v>
      </c>
      <c r="M238" s="2"/>
      <c r="N238" s="7">
        <f t="shared" si="84"/>
        <v>-1</v>
      </c>
      <c r="O238" s="11"/>
      <c r="P238" s="6"/>
      <c r="Q238" s="2"/>
      <c r="R238" s="7">
        <f t="shared" si="85"/>
        <v>0</v>
      </c>
      <c r="S238" s="2"/>
      <c r="T238" s="6">
        <v>9765</v>
      </c>
      <c r="U238" s="2"/>
      <c r="V238" s="7">
        <f t="shared" si="86"/>
        <v>7.8310879962118038E-4</v>
      </c>
      <c r="W238" s="2"/>
      <c r="X238" s="6">
        <f t="shared" si="87"/>
        <v>-9765</v>
      </c>
      <c r="Y238" s="2"/>
      <c r="Z238" s="7">
        <f t="shared" si="88"/>
        <v>-1</v>
      </c>
    </row>
    <row r="239" spans="1:26" s="24" customFormat="1" hidden="1" outlineLevel="2" x14ac:dyDescent="0.25">
      <c r="A239" s="25"/>
      <c r="B239" s="11" t="str">
        <f>CONCATENATE("          ", "6253", " - ", "ROYALTY DUE ATHLETICS-LRG")</f>
        <v xml:space="preserve">          6253 - ROYALTY DUE ATHLETICS-LRG</v>
      </c>
      <c r="C239" s="11"/>
      <c r="D239" s="6">
        <v>1669.49</v>
      </c>
      <c r="E239" s="2"/>
      <c r="F239" s="7">
        <f t="shared" si="81"/>
        <v>4.2317282410682631E-3</v>
      </c>
      <c r="G239" s="2"/>
      <c r="H239" s="6">
        <v>3700</v>
      </c>
      <c r="I239" s="2"/>
      <c r="J239" s="7">
        <f t="shared" si="82"/>
        <v>2.849173112621953E-3</v>
      </c>
      <c r="K239" s="2"/>
      <c r="L239" s="6">
        <f t="shared" si="83"/>
        <v>-2030.51</v>
      </c>
      <c r="M239" s="2"/>
      <c r="N239" s="7">
        <f t="shared" si="84"/>
        <v>-0.54878648648648654</v>
      </c>
      <c r="O239" s="11"/>
      <c r="P239" s="6">
        <v>18314.929999999997</v>
      </c>
      <c r="Q239" s="2"/>
      <c r="R239" s="7">
        <f t="shared" si="85"/>
        <v>1.6706398507856676E-3</v>
      </c>
      <c r="S239" s="2"/>
      <c r="T239" s="6">
        <v>33300</v>
      </c>
      <c r="U239" s="2"/>
      <c r="V239" s="7">
        <f t="shared" si="86"/>
        <v>2.6705092705975736E-3</v>
      </c>
      <c r="W239" s="2"/>
      <c r="X239" s="6">
        <f t="shared" si="87"/>
        <v>-14985.070000000003</v>
      </c>
      <c r="Y239" s="2"/>
      <c r="Z239" s="7">
        <f t="shared" si="88"/>
        <v>-0.45000210210210217</v>
      </c>
    </row>
    <row r="240" spans="1:26" s="24" customFormat="1" hidden="1" outlineLevel="2" x14ac:dyDescent="0.25">
      <c r="A240" s="25"/>
      <c r="B240" s="11" t="str">
        <f>CONCATENATE("          ", "6254", " - ", "ROYALTY &amp; COMMISSIONS")</f>
        <v xml:space="preserve">          6254 - ROYALTY &amp; COMMISSIONS</v>
      </c>
      <c r="C240" s="11"/>
      <c r="D240" s="6">
        <v>10396.82</v>
      </c>
      <c r="E240" s="2"/>
      <c r="F240" s="7">
        <f t="shared" si="81"/>
        <v>2.6353267651380564E-2</v>
      </c>
      <c r="G240" s="2"/>
      <c r="H240" s="6">
        <v>11700</v>
      </c>
      <c r="I240" s="2"/>
      <c r="J240" s="7">
        <f t="shared" si="82"/>
        <v>9.0095474101829325E-3</v>
      </c>
      <c r="K240" s="2"/>
      <c r="L240" s="6">
        <f t="shared" si="83"/>
        <v>-1303.1800000000003</v>
      </c>
      <c r="M240" s="2"/>
      <c r="N240" s="7">
        <f t="shared" si="84"/>
        <v>-0.11138290598290601</v>
      </c>
      <c r="O240" s="11"/>
      <c r="P240" s="6">
        <v>32527.360000000001</v>
      </c>
      <c r="Q240" s="2"/>
      <c r="R240" s="7">
        <f t="shared" si="85"/>
        <v>2.9670604177494376E-3</v>
      </c>
      <c r="S240" s="2"/>
      <c r="T240" s="6">
        <v>105300</v>
      </c>
      <c r="U240" s="2"/>
      <c r="V240" s="7">
        <f t="shared" si="86"/>
        <v>8.4445833691869227E-3</v>
      </c>
      <c r="W240" s="2"/>
      <c r="X240" s="6">
        <f t="shared" si="87"/>
        <v>-72772.639999999999</v>
      </c>
      <c r="Y240" s="2"/>
      <c r="Z240" s="7">
        <f t="shared" si="88"/>
        <v>-0.69109819563152897</v>
      </c>
    </row>
    <row r="241" spans="1:26" s="24" customFormat="1" hidden="1" outlineLevel="2" x14ac:dyDescent="0.25">
      <c r="A241" s="25"/>
      <c r="B241" s="11" t="str">
        <f>CONCATENATE("          ", "6259", " - ", "ROYALTY &amp; COMMISSIONS")</f>
        <v xml:space="preserve">          6259 - ROYALTY &amp; COMMISSIONS</v>
      </c>
      <c r="C241" s="11"/>
      <c r="D241" s="6">
        <v>3863.92</v>
      </c>
      <c r="E241" s="2"/>
      <c r="F241" s="7">
        <f t="shared" si="81"/>
        <v>9.7940445197206832E-3</v>
      </c>
      <c r="G241" s="2"/>
      <c r="H241" s="6">
        <v>3216</v>
      </c>
      <c r="I241" s="2"/>
      <c r="J241" s="7">
        <f t="shared" si="82"/>
        <v>2.4764704676195136E-3</v>
      </c>
      <c r="K241" s="2"/>
      <c r="L241" s="6">
        <f t="shared" si="83"/>
        <v>647.92000000000007</v>
      </c>
      <c r="M241" s="2"/>
      <c r="N241" s="7">
        <f t="shared" si="84"/>
        <v>0.20146766169154232</v>
      </c>
      <c r="O241" s="11"/>
      <c r="P241" s="6">
        <v>76825.799999999988</v>
      </c>
      <c r="Q241" s="2"/>
      <c r="R241" s="7">
        <f t="shared" si="85"/>
        <v>7.0078478622899211E-3</v>
      </c>
      <c r="S241" s="2"/>
      <c r="T241" s="6">
        <v>23699</v>
      </c>
      <c r="U241" s="2"/>
      <c r="V241" s="7">
        <f t="shared" si="86"/>
        <v>1.9005525286454024E-3</v>
      </c>
      <c r="W241" s="2"/>
      <c r="X241" s="6">
        <f t="shared" si="87"/>
        <v>53126.799999999988</v>
      </c>
      <c r="Y241" s="2"/>
      <c r="Z241" s="7">
        <f t="shared" si="88"/>
        <v>2.2417317186379169</v>
      </c>
    </row>
    <row r="242" spans="1:26" s="27" customFormat="1" outlineLevel="1" collapsed="1" x14ac:dyDescent="0.25">
      <c r="A242" s="26"/>
      <c r="B242" s="13" t="str">
        <f>CONCATENATE("     ","Services                                          ")</f>
        <v xml:space="preserve">     Services                                          </v>
      </c>
      <c r="C242" s="13"/>
      <c r="D242" s="1">
        <f>SUM(OSRRefD22_20x_0)</f>
        <v>5758.8</v>
      </c>
      <c r="E242" s="1"/>
      <c r="F242" s="5">
        <f t="shared" ref="F242:F248" si="89">IF(D$12=0,0,D242/D$12)</f>
        <v>1.4597078505809508E-2</v>
      </c>
      <c r="G242" s="1"/>
      <c r="H242" s="1">
        <f>SUM(OSRRefH22_20x_0)</f>
        <v>5460.5</v>
      </c>
      <c r="I242" s="1"/>
      <c r="J242" s="5">
        <f t="shared" ref="J242:J248" si="90">IF(H$12=0,0,H242/H$12)</f>
        <v>4.2048404814789657E-3</v>
      </c>
      <c r="K242" s="1"/>
      <c r="L242" s="1">
        <f t="shared" ref="L242:L248" si="91">+D242-H242</f>
        <v>298.30000000000018</v>
      </c>
      <c r="M242" s="1"/>
      <c r="N242" s="5">
        <f t="shared" ref="N242:N248" si="92">IF(H242=0,0,L242/H242)</f>
        <v>5.4628697005768737E-2</v>
      </c>
      <c r="O242" s="13"/>
      <c r="P242" s="1">
        <f>SUM(OSRRefP22_20x_0)</f>
        <v>57317.33</v>
      </c>
      <c r="Q242" s="1"/>
      <c r="R242" s="5">
        <f t="shared" ref="R242:R248" si="93">IF(P$12=0,0,P242/P$12)</f>
        <v>5.228336424907597E-3</v>
      </c>
      <c r="S242" s="1"/>
      <c r="T242" s="1">
        <f>SUM(OSRRefT22_20x_0)</f>
        <v>48162.5</v>
      </c>
      <c r="U242" s="1"/>
      <c r="V242" s="5">
        <f t="shared" ref="V242:V248" si="94">IF(T$12=0,0,T242/T$12)</f>
        <v>3.8624144968515211E-3</v>
      </c>
      <c r="W242" s="1"/>
      <c r="X242" s="1">
        <f t="shared" ref="X242:X248" si="95">+P242-T242</f>
        <v>9154.8300000000017</v>
      </c>
      <c r="Y242" s="1"/>
      <c r="Z242" s="5">
        <f t="shared" ref="Z242:Z248" si="96">IF(T242=0,0,X242/T242)</f>
        <v>0.19008211783026216</v>
      </c>
    </row>
    <row r="243" spans="1:26" s="24" customFormat="1" hidden="1" outlineLevel="2" x14ac:dyDescent="0.25">
      <c r="A243" s="25"/>
      <c r="B243" s="11" t="str">
        <f>CONCATENATE("          ", "6281", " - ", "STORAGE FEE")</f>
        <v xml:space="preserve">          6281 - STORAGE FEE</v>
      </c>
      <c r="C243" s="11"/>
      <c r="D243" s="6"/>
      <c r="E243" s="2"/>
      <c r="F243" s="7">
        <f t="shared" si="89"/>
        <v>0</v>
      </c>
      <c r="G243" s="2"/>
      <c r="H243" s="6"/>
      <c r="I243" s="2"/>
      <c r="J243" s="7">
        <f t="shared" si="90"/>
        <v>0</v>
      </c>
      <c r="K243" s="2"/>
      <c r="L243" s="6">
        <f t="shared" si="91"/>
        <v>0</v>
      </c>
      <c r="M243" s="2"/>
      <c r="N243" s="7">
        <f t="shared" si="92"/>
        <v>0</v>
      </c>
      <c r="O243" s="11"/>
      <c r="P243" s="6"/>
      <c r="Q243" s="2"/>
      <c r="R243" s="7">
        <f t="shared" si="93"/>
        <v>0</v>
      </c>
      <c r="S243" s="2"/>
      <c r="T243" s="6">
        <v>0</v>
      </c>
      <c r="U243" s="2"/>
      <c r="V243" s="7">
        <f t="shared" si="94"/>
        <v>0</v>
      </c>
      <c r="W243" s="2"/>
      <c r="X243" s="6">
        <f t="shared" si="95"/>
        <v>0</v>
      </c>
      <c r="Y243" s="2"/>
      <c r="Z243" s="7">
        <f t="shared" si="96"/>
        <v>0</v>
      </c>
    </row>
    <row r="244" spans="1:26" s="24" customFormat="1" hidden="1" outlineLevel="2" x14ac:dyDescent="0.25">
      <c r="A244" s="25"/>
      <c r="B244" s="11" t="str">
        <f>CONCATENATE("          ", "6282", " - ", "JANITORIAL/EXTERMINATOR EXPENS")</f>
        <v xml:space="preserve">          6282 - JANITORIAL/EXTERMINATOR EXPENS</v>
      </c>
      <c r="C244" s="11"/>
      <c r="D244" s="6">
        <v>789.78</v>
      </c>
      <c r="E244" s="2"/>
      <c r="F244" s="7">
        <f t="shared" si="89"/>
        <v>2.0018893974991722E-3</v>
      </c>
      <c r="G244" s="2"/>
      <c r="H244" s="6">
        <v>614</v>
      </c>
      <c r="I244" s="2"/>
      <c r="J244" s="7">
        <f t="shared" si="90"/>
        <v>4.7280872733780513E-4</v>
      </c>
      <c r="K244" s="2"/>
      <c r="L244" s="6">
        <f t="shared" si="91"/>
        <v>175.77999999999997</v>
      </c>
      <c r="M244" s="2"/>
      <c r="N244" s="7">
        <f t="shared" si="92"/>
        <v>0.28628664495114003</v>
      </c>
      <c r="O244" s="11"/>
      <c r="P244" s="6">
        <v>8380.61</v>
      </c>
      <c r="Q244" s="2"/>
      <c r="R244" s="7">
        <f t="shared" si="93"/>
        <v>7.6445725099101537E-4</v>
      </c>
      <c r="S244" s="2"/>
      <c r="T244" s="6">
        <v>4760</v>
      </c>
      <c r="U244" s="2"/>
      <c r="V244" s="7">
        <f t="shared" si="94"/>
        <v>3.8173045429562916E-4</v>
      </c>
      <c r="W244" s="2"/>
      <c r="X244" s="6">
        <f t="shared" si="95"/>
        <v>3620.6100000000006</v>
      </c>
      <c r="Y244" s="2"/>
      <c r="Z244" s="7">
        <f t="shared" si="96"/>
        <v>0.76063235294117659</v>
      </c>
    </row>
    <row r="245" spans="1:26" s="24" customFormat="1" hidden="1" outlineLevel="2" x14ac:dyDescent="0.25">
      <c r="A245" s="25"/>
      <c r="B245" s="11" t="str">
        <f>CONCATENATE("          ", "6283", " - ", "PLANT SERVICE")</f>
        <v xml:space="preserve">          6283 - PLANT SERVICE</v>
      </c>
      <c r="C245" s="11"/>
      <c r="D245" s="6"/>
      <c r="E245" s="2"/>
      <c r="F245" s="7">
        <f t="shared" si="89"/>
        <v>0</v>
      </c>
      <c r="G245" s="2"/>
      <c r="H245" s="6">
        <v>60</v>
      </c>
      <c r="I245" s="2"/>
      <c r="J245" s="7">
        <f t="shared" si="90"/>
        <v>4.6202807231707343E-5</v>
      </c>
      <c r="K245" s="2"/>
      <c r="L245" s="6">
        <f t="shared" si="91"/>
        <v>-60</v>
      </c>
      <c r="M245" s="2"/>
      <c r="N245" s="7">
        <f t="shared" si="92"/>
        <v>-1</v>
      </c>
      <c r="O245" s="11"/>
      <c r="P245" s="6">
        <v>541.98</v>
      </c>
      <c r="Q245" s="2"/>
      <c r="R245" s="7">
        <f t="shared" si="93"/>
        <v>4.9437993283556989E-5</v>
      </c>
      <c r="S245" s="2"/>
      <c r="T245" s="6">
        <v>540</v>
      </c>
      <c r="U245" s="2"/>
      <c r="V245" s="7">
        <f t="shared" si="94"/>
        <v>4.3305555739420113E-5</v>
      </c>
      <c r="W245" s="2"/>
      <c r="X245" s="6">
        <f t="shared" si="95"/>
        <v>1.9800000000000182</v>
      </c>
      <c r="Y245" s="2"/>
      <c r="Z245" s="7">
        <f t="shared" si="96"/>
        <v>3.6666666666667004E-3</v>
      </c>
    </row>
    <row r="246" spans="1:26" s="24" customFormat="1" hidden="1" outlineLevel="2" x14ac:dyDescent="0.25">
      <c r="A246" s="25"/>
      <c r="B246" s="11" t="str">
        <f>CONCATENATE("          ", "6284", " - ", "TRASH REMOVAL EXPENSE")</f>
        <v xml:space="preserve">          6284 - TRASH REMOVAL EXPENSE</v>
      </c>
      <c r="C246" s="11"/>
      <c r="D246" s="6">
        <v>423.82</v>
      </c>
      <c r="E246" s="2"/>
      <c r="F246" s="7">
        <f t="shared" si="89"/>
        <v>1.0742748163388527E-3</v>
      </c>
      <c r="G246" s="2"/>
      <c r="H246" s="6">
        <v>212.5</v>
      </c>
      <c r="I246" s="2"/>
      <c r="J246" s="7">
        <f t="shared" si="90"/>
        <v>1.636349422789635E-4</v>
      </c>
      <c r="K246" s="2"/>
      <c r="L246" s="6">
        <f t="shared" si="91"/>
        <v>211.32</v>
      </c>
      <c r="M246" s="2"/>
      <c r="N246" s="7">
        <f t="shared" si="92"/>
        <v>0.99444705882352935</v>
      </c>
      <c r="O246" s="11"/>
      <c r="P246" s="6">
        <v>3813.38</v>
      </c>
      <c r="Q246" s="2"/>
      <c r="R246" s="7">
        <f t="shared" si="93"/>
        <v>3.4784651615862308E-4</v>
      </c>
      <c r="S246" s="2"/>
      <c r="T246" s="6">
        <v>1912.5</v>
      </c>
      <c r="U246" s="2"/>
      <c r="V246" s="7">
        <f t="shared" si="94"/>
        <v>1.5337384324377957E-4</v>
      </c>
      <c r="W246" s="2"/>
      <c r="X246" s="6">
        <f t="shared" si="95"/>
        <v>1900.88</v>
      </c>
      <c r="Y246" s="2"/>
      <c r="Z246" s="7">
        <f t="shared" si="96"/>
        <v>0.99392418300653596</v>
      </c>
    </row>
    <row r="247" spans="1:26" s="24" customFormat="1" hidden="1" outlineLevel="2" x14ac:dyDescent="0.25">
      <c r="A247" s="25"/>
      <c r="B247" s="11" t="str">
        <f>CONCATENATE("          ", "6285", " - ", "JANITORIAL SERVICES")</f>
        <v xml:space="preserve">          6285 - JANITORIAL SERVICES</v>
      </c>
      <c r="C247" s="11"/>
      <c r="D247" s="6">
        <v>4357.6400000000003</v>
      </c>
      <c r="E247" s="2"/>
      <c r="F247" s="7">
        <f t="shared" si="89"/>
        <v>1.1045497878039824E-2</v>
      </c>
      <c r="G247" s="2"/>
      <c r="H247" s="6">
        <v>4484</v>
      </c>
      <c r="I247" s="2"/>
      <c r="J247" s="7">
        <f t="shared" si="90"/>
        <v>3.4528897937829289E-3</v>
      </c>
      <c r="K247" s="2"/>
      <c r="L247" s="6">
        <f t="shared" si="91"/>
        <v>-126.35999999999967</v>
      </c>
      <c r="M247" s="2"/>
      <c r="N247" s="7">
        <f t="shared" si="92"/>
        <v>-2.8180196253345155E-2</v>
      </c>
      <c r="O247" s="11"/>
      <c r="P247" s="6">
        <v>38523.72</v>
      </c>
      <c r="Q247" s="2"/>
      <c r="R247" s="7">
        <f t="shared" si="93"/>
        <v>3.5140326407203772E-3</v>
      </c>
      <c r="S247" s="2"/>
      <c r="T247" s="6">
        <v>40275</v>
      </c>
      <c r="U247" s="2"/>
      <c r="V247" s="7">
        <f t="shared" si="94"/>
        <v>3.229872698898417E-3</v>
      </c>
      <c r="W247" s="2"/>
      <c r="X247" s="6">
        <f t="shared" si="95"/>
        <v>-1751.2799999999988</v>
      </c>
      <c r="Y247" s="2"/>
      <c r="Z247" s="7">
        <f t="shared" si="96"/>
        <v>-4.3483054003724368E-2</v>
      </c>
    </row>
    <row r="248" spans="1:26" s="24" customFormat="1" hidden="1" outlineLevel="2" x14ac:dyDescent="0.25">
      <c r="A248" s="25"/>
      <c r="B248" s="11" t="str">
        <f>CONCATENATE("          ", "6286", " - ", "LAUNDRY EXPENSE")</f>
        <v xml:space="preserve">          6286 - LAUNDRY EXPENSE</v>
      </c>
      <c r="C248" s="11"/>
      <c r="D248" s="6">
        <v>187.56</v>
      </c>
      <c r="E248" s="2"/>
      <c r="F248" s="7">
        <f t="shared" si="89"/>
        <v>4.7541641393165782E-4</v>
      </c>
      <c r="G248" s="2"/>
      <c r="H248" s="6">
        <v>90</v>
      </c>
      <c r="I248" s="2"/>
      <c r="J248" s="7">
        <f t="shared" si="90"/>
        <v>6.9304210847561022E-5</v>
      </c>
      <c r="K248" s="2"/>
      <c r="L248" s="6">
        <f t="shared" si="91"/>
        <v>97.56</v>
      </c>
      <c r="M248" s="2"/>
      <c r="N248" s="7">
        <f t="shared" si="92"/>
        <v>1.0840000000000001</v>
      </c>
      <c r="O248" s="11"/>
      <c r="P248" s="6">
        <v>6057.64</v>
      </c>
      <c r="Q248" s="2"/>
      <c r="R248" s="7">
        <f t="shared" si="93"/>
        <v>5.525620237540244E-4</v>
      </c>
      <c r="S248" s="2"/>
      <c r="T248" s="6">
        <v>675</v>
      </c>
      <c r="U248" s="2"/>
      <c r="V248" s="7">
        <f t="shared" si="94"/>
        <v>5.4131944674275146E-5</v>
      </c>
      <c r="W248" s="2"/>
      <c r="X248" s="6">
        <f t="shared" si="95"/>
        <v>5382.64</v>
      </c>
      <c r="Y248" s="2"/>
      <c r="Z248" s="7">
        <f t="shared" si="96"/>
        <v>7.9742814814814817</v>
      </c>
    </row>
    <row r="249" spans="1:26" s="27" customFormat="1" outlineLevel="1" collapsed="1" x14ac:dyDescent="0.25">
      <c r="A249" s="26"/>
      <c r="B249" s="13" t="str">
        <f>CONCATENATE("     ","Subscriptions &amp; Dues                              ")</f>
        <v xml:space="preserve">     Subscriptions &amp; Dues                              </v>
      </c>
      <c r="C249" s="13"/>
      <c r="D249" s="1">
        <f>SUM(OSRRefD22_21x_0)</f>
        <v>616.54</v>
      </c>
      <c r="E249" s="1"/>
      <c r="F249" s="5">
        <f t="shared" ref="F249:F251" si="97">IF(D$12=0,0,D249/D$12)</f>
        <v>1.5627705046141198E-3</v>
      </c>
      <c r="G249" s="1"/>
      <c r="H249" s="1">
        <f>SUM(OSRRefH22_21x_0)</f>
        <v>1895</v>
      </c>
      <c r="I249" s="1"/>
      <c r="J249" s="5">
        <f t="shared" ref="J249:J251" si="98">IF(H$12=0,0,H249/H$12)</f>
        <v>1.4592386617347569E-3</v>
      </c>
      <c r="K249" s="1"/>
      <c r="L249" s="1">
        <f t="shared" ref="L249:L251" si="99">+D249-H249</f>
        <v>-1278.46</v>
      </c>
      <c r="M249" s="1"/>
      <c r="N249" s="5">
        <f t="shared" ref="N249:N251" si="100">IF(H249=0,0,L249/H249)</f>
        <v>-0.67464907651715045</v>
      </c>
      <c r="O249" s="13"/>
      <c r="P249" s="1">
        <f>SUM(OSRRefP22_21x_0)</f>
        <v>6332.9699999999993</v>
      </c>
      <c r="Q249" s="1"/>
      <c r="R249" s="5">
        <f t="shared" ref="R249:R251" si="101">IF(P$12=0,0,P249/P$12)</f>
        <v>5.7767690380635414E-4</v>
      </c>
      <c r="S249" s="1"/>
      <c r="T249" s="1">
        <f>SUM(OSRRefT22_21x_0)</f>
        <v>21070</v>
      </c>
      <c r="U249" s="1"/>
      <c r="V249" s="5">
        <f t="shared" ref="V249:V251" si="102">IF(T$12=0,0,T249/T$12)</f>
        <v>1.6897186285732997E-3</v>
      </c>
      <c r="W249" s="1"/>
      <c r="X249" s="1">
        <f t="shared" ref="X249:X251" si="103">+P249-T249</f>
        <v>-14737.03</v>
      </c>
      <c r="Y249" s="1"/>
      <c r="Z249" s="5">
        <f t="shared" ref="Z249:Z251" si="104">IF(T249=0,0,X249/T249)</f>
        <v>-0.69943189368770764</v>
      </c>
    </row>
    <row r="250" spans="1:26" s="24" customFormat="1" hidden="1" outlineLevel="2" x14ac:dyDescent="0.25">
      <c r="A250" s="25"/>
      <c r="B250" s="11" t="str">
        <f>CONCATENATE("          ", "6258", " - ", "MEMBERSHIP DUES")</f>
        <v xml:space="preserve">          6258 - MEMBERSHIP DUES</v>
      </c>
      <c r="C250" s="11"/>
      <c r="D250" s="6">
        <v>616.54</v>
      </c>
      <c r="E250" s="2"/>
      <c r="F250" s="7">
        <f t="shared" si="97"/>
        <v>1.5627705046141198E-3</v>
      </c>
      <c r="G250" s="2"/>
      <c r="H250" s="6">
        <v>400</v>
      </c>
      <c r="I250" s="2"/>
      <c r="J250" s="7">
        <f t="shared" si="98"/>
        <v>3.0801871487804897E-4</v>
      </c>
      <c r="K250" s="2"/>
      <c r="L250" s="6">
        <f t="shared" si="99"/>
        <v>216.53999999999996</v>
      </c>
      <c r="M250" s="2"/>
      <c r="N250" s="7">
        <f t="shared" si="100"/>
        <v>0.54134999999999989</v>
      </c>
      <c r="O250" s="11"/>
      <c r="P250" s="6">
        <v>4056.41</v>
      </c>
      <c r="Q250" s="2"/>
      <c r="R250" s="7">
        <f t="shared" si="101"/>
        <v>3.7001507497574335E-4</v>
      </c>
      <c r="S250" s="2"/>
      <c r="T250" s="6">
        <v>14640</v>
      </c>
      <c r="U250" s="2"/>
      <c r="V250" s="7">
        <f t="shared" si="102"/>
        <v>1.1740617333798342E-3</v>
      </c>
      <c r="W250" s="2"/>
      <c r="X250" s="6">
        <f t="shared" si="103"/>
        <v>-10583.59</v>
      </c>
      <c r="Y250" s="2"/>
      <c r="Z250" s="7">
        <f t="shared" si="104"/>
        <v>-0.72292281420765026</v>
      </c>
    </row>
    <row r="251" spans="1:26" s="24" customFormat="1" hidden="1" outlineLevel="2" x14ac:dyDescent="0.25">
      <c r="A251" s="25"/>
      <c r="B251" s="11" t="str">
        <f>CONCATENATE("          ", "6275", " - ", "SUBSCRIPTIONS")</f>
        <v xml:space="preserve">          6275 - SUBSCRIPTIONS</v>
      </c>
      <c r="C251" s="11"/>
      <c r="D251" s="6"/>
      <c r="E251" s="2"/>
      <c r="F251" s="7">
        <f t="shared" si="97"/>
        <v>0</v>
      </c>
      <c r="G251" s="2"/>
      <c r="H251" s="6">
        <v>1495</v>
      </c>
      <c r="I251" s="2"/>
      <c r="J251" s="7">
        <f t="shared" si="98"/>
        <v>1.151219946856708E-3</v>
      </c>
      <c r="K251" s="2"/>
      <c r="L251" s="6">
        <f t="shared" si="99"/>
        <v>-1495</v>
      </c>
      <c r="M251" s="2"/>
      <c r="N251" s="7">
        <f t="shared" si="100"/>
        <v>-1</v>
      </c>
      <c r="O251" s="11"/>
      <c r="P251" s="6">
        <v>2276.56</v>
      </c>
      <c r="Q251" s="2"/>
      <c r="R251" s="7">
        <f t="shared" si="101"/>
        <v>2.0766182883061088E-4</v>
      </c>
      <c r="S251" s="2"/>
      <c r="T251" s="6">
        <v>6430</v>
      </c>
      <c r="U251" s="2"/>
      <c r="V251" s="7">
        <f t="shared" si="102"/>
        <v>5.1565689519346544E-4</v>
      </c>
      <c r="W251" s="2"/>
      <c r="X251" s="6">
        <f t="shared" si="103"/>
        <v>-4153.4400000000005</v>
      </c>
      <c r="Y251" s="2"/>
      <c r="Z251" s="7">
        <f t="shared" si="104"/>
        <v>-0.6459471228615864</v>
      </c>
    </row>
    <row r="252" spans="1:26" s="27" customFormat="1" outlineLevel="1" collapsed="1" x14ac:dyDescent="0.25">
      <c r="A252" s="26"/>
      <c r="B252" s="13" t="str">
        <f>CONCATENATE("     ","Supplies                                          ")</f>
        <v xml:space="preserve">     Supplies                                          </v>
      </c>
      <c r="C252" s="13"/>
      <c r="D252" s="1">
        <f>SUM(OSRRefD22_22x_0)</f>
        <v>12330.060000000001</v>
      </c>
      <c r="E252" s="1"/>
      <c r="F252" s="5">
        <f t="shared" ref="F252:F261" si="105">IF(D$12=0,0,D252/D$12)</f>
        <v>3.1253534382395913E-2</v>
      </c>
      <c r="G252" s="1"/>
      <c r="H252" s="1">
        <f>SUM(OSRRefH22_22x_0)</f>
        <v>22784</v>
      </c>
      <c r="I252" s="1"/>
      <c r="J252" s="5">
        <f t="shared" ref="J252:J261" si="106">IF(H$12=0,0,H252/H$12)</f>
        <v>1.754474599945367E-2</v>
      </c>
      <c r="K252" s="1"/>
      <c r="L252" s="1">
        <f t="shared" ref="L252:L261" si="107">+D252-H252</f>
        <v>-10453.939999999999</v>
      </c>
      <c r="M252" s="1"/>
      <c r="N252" s="5">
        <f t="shared" ref="N252:N261" si="108">IF(H252=0,0,L252/H252)</f>
        <v>-0.45882812499999992</v>
      </c>
      <c r="O252" s="13"/>
      <c r="P252" s="1">
        <f>SUM(OSRRefP22_22x_0)</f>
        <v>132653.68</v>
      </c>
      <c r="Q252" s="1"/>
      <c r="R252" s="5">
        <f t="shared" ref="R252:R261" si="109">IF(P$12=0,0,P252/P$12)</f>
        <v>1.2100320566956561E-2</v>
      </c>
      <c r="S252" s="1"/>
      <c r="T252" s="1">
        <f>SUM(OSRRefT22_22x_0)</f>
        <v>187809</v>
      </c>
      <c r="U252" s="1"/>
      <c r="V252" s="5">
        <f t="shared" ref="V252:V261" si="110">IF(T$12=0,0,T252/T$12)</f>
        <v>1.5061431699749541E-2</v>
      </c>
      <c r="W252" s="1"/>
      <c r="X252" s="1">
        <f t="shared" ref="X252:X261" si="111">+P252-T252</f>
        <v>-55155.320000000007</v>
      </c>
      <c r="Y252" s="1"/>
      <c r="Z252" s="5">
        <f t="shared" ref="Z252:Z261" si="112">IF(T252=0,0,X252/T252)</f>
        <v>-0.29367772577459017</v>
      </c>
    </row>
    <row r="253" spans="1:26" s="24" customFormat="1" hidden="1" outlineLevel="2" x14ac:dyDescent="0.25">
      <c r="A253" s="25"/>
      <c r="B253" s="11" t="str">
        <f>CONCATENATE("          ", "6234", " - ", "EXPENDABLE SUPPLIES &amp; EQUIPMEN")</f>
        <v xml:space="preserve">          6234 - EXPENDABLE SUPPLIES &amp; EQUIPMEN</v>
      </c>
      <c r="C253" s="11"/>
      <c r="D253" s="6">
        <v>140.75</v>
      </c>
      <c r="E253" s="2"/>
      <c r="F253" s="7">
        <f t="shared" si="105"/>
        <v>3.5676508989593113E-4</v>
      </c>
      <c r="G253" s="2"/>
      <c r="H253" s="6">
        <v>300</v>
      </c>
      <c r="I253" s="2"/>
      <c r="J253" s="7">
        <f t="shared" si="106"/>
        <v>2.3101403615853673E-4</v>
      </c>
      <c r="K253" s="2"/>
      <c r="L253" s="6">
        <f t="shared" si="107"/>
        <v>-159.25</v>
      </c>
      <c r="M253" s="2"/>
      <c r="N253" s="7">
        <f t="shared" si="108"/>
        <v>-0.53083333333333338</v>
      </c>
      <c r="O253" s="11"/>
      <c r="P253" s="6">
        <v>4394.16</v>
      </c>
      <c r="Q253" s="2"/>
      <c r="R253" s="7">
        <f t="shared" si="109"/>
        <v>4.0082374361945965E-4</v>
      </c>
      <c r="S253" s="2"/>
      <c r="T253" s="6">
        <v>9550</v>
      </c>
      <c r="U253" s="2"/>
      <c r="V253" s="7">
        <f t="shared" si="110"/>
        <v>7.6586677279900386E-4</v>
      </c>
      <c r="W253" s="2"/>
      <c r="X253" s="6">
        <f t="shared" si="111"/>
        <v>-5155.84</v>
      </c>
      <c r="Y253" s="2"/>
      <c r="Z253" s="7">
        <f t="shared" si="112"/>
        <v>-0.53987853403141361</v>
      </c>
    </row>
    <row r="254" spans="1:26" s="24" customFormat="1" hidden="1" outlineLevel="2" x14ac:dyDescent="0.25">
      <c r="A254" s="25"/>
      <c r="B254" s="11" t="str">
        <f>CONCATENATE("          ", "6237", " - ", "JANITORIAL SUPPLIES")</f>
        <v xml:space="preserve">          6237 - JANITORIAL SUPPLIES</v>
      </c>
      <c r="C254" s="11"/>
      <c r="D254" s="6">
        <v>470.52</v>
      </c>
      <c r="E254" s="2"/>
      <c r="F254" s="7">
        <f t="shared" si="105"/>
        <v>1.1926473186346963E-3</v>
      </c>
      <c r="G254" s="2"/>
      <c r="H254" s="6">
        <v>145</v>
      </c>
      <c r="I254" s="2"/>
      <c r="J254" s="7">
        <f t="shared" si="106"/>
        <v>1.1165678414329274E-4</v>
      </c>
      <c r="K254" s="2"/>
      <c r="L254" s="6">
        <f t="shared" si="107"/>
        <v>325.52</v>
      </c>
      <c r="M254" s="2"/>
      <c r="N254" s="7">
        <f t="shared" si="108"/>
        <v>2.2449655172413792</v>
      </c>
      <c r="O254" s="11"/>
      <c r="P254" s="6">
        <v>9241.6200000000008</v>
      </c>
      <c r="Q254" s="2"/>
      <c r="R254" s="7">
        <f t="shared" si="109"/>
        <v>8.4299632364512702E-4</v>
      </c>
      <c r="S254" s="2"/>
      <c r="T254" s="6">
        <v>1700</v>
      </c>
      <c r="U254" s="2"/>
      <c r="V254" s="7">
        <f t="shared" si="110"/>
        <v>1.3633230510558185E-4</v>
      </c>
      <c r="W254" s="2"/>
      <c r="X254" s="6">
        <f t="shared" si="111"/>
        <v>7541.6200000000008</v>
      </c>
      <c r="Y254" s="2"/>
      <c r="Z254" s="7">
        <f t="shared" si="112"/>
        <v>4.4362470588235299</v>
      </c>
    </row>
    <row r="255" spans="1:26" s="24" customFormat="1" hidden="1" outlineLevel="2" x14ac:dyDescent="0.25">
      <c r="A255" s="25"/>
      <c r="B255" s="11" t="str">
        <f>CONCATENATE("          ", "6239", " - ", "KITCHEN SUPPLIES")</f>
        <v xml:space="preserve">          6239 - KITCHEN SUPPLIES</v>
      </c>
      <c r="C255" s="11"/>
      <c r="D255" s="6"/>
      <c r="E255" s="2"/>
      <c r="F255" s="7">
        <f t="shared" si="105"/>
        <v>0</v>
      </c>
      <c r="G255" s="2"/>
      <c r="H255" s="6"/>
      <c r="I255" s="2"/>
      <c r="J255" s="7">
        <f t="shared" si="106"/>
        <v>0</v>
      </c>
      <c r="K255" s="2"/>
      <c r="L255" s="6">
        <f t="shared" si="107"/>
        <v>0</v>
      </c>
      <c r="M255" s="2"/>
      <c r="N255" s="7">
        <f t="shared" si="108"/>
        <v>0</v>
      </c>
      <c r="O255" s="11"/>
      <c r="P255" s="6">
        <v>441.2</v>
      </c>
      <c r="Q255" s="2"/>
      <c r="R255" s="7">
        <f t="shared" si="109"/>
        <v>4.0245106160200265E-5</v>
      </c>
      <c r="S255" s="2"/>
      <c r="T255" s="6"/>
      <c r="U255" s="2"/>
      <c r="V255" s="7">
        <f t="shared" si="110"/>
        <v>0</v>
      </c>
      <c r="W255" s="2"/>
      <c r="X255" s="6">
        <f t="shared" si="111"/>
        <v>441.2</v>
      </c>
      <c r="Y255" s="2"/>
      <c r="Z255" s="7">
        <f t="shared" si="112"/>
        <v>0</v>
      </c>
    </row>
    <row r="256" spans="1:26" s="24" customFormat="1" hidden="1" outlineLevel="2" x14ac:dyDescent="0.25">
      <c r="A256" s="25"/>
      <c r="B256" s="11" t="str">
        <f>CONCATENATE("          ", "6241", " - ", "OFFICE EXPENSE")</f>
        <v xml:space="preserve">          6241 - OFFICE EXPENSE</v>
      </c>
      <c r="C256" s="11"/>
      <c r="D256" s="6">
        <v>705.05</v>
      </c>
      <c r="E256" s="2"/>
      <c r="F256" s="7">
        <f t="shared" si="105"/>
        <v>1.7871206154964562E-3</v>
      </c>
      <c r="G256" s="2"/>
      <c r="H256" s="6">
        <v>1000</v>
      </c>
      <c r="I256" s="2"/>
      <c r="J256" s="7">
        <f t="shared" si="106"/>
        <v>7.7004678719512238E-4</v>
      </c>
      <c r="K256" s="2"/>
      <c r="L256" s="6">
        <f t="shared" si="107"/>
        <v>-294.95000000000005</v>
      </c>
      <c r="M256" s="2"/>
      <c r="N256" s="7">
        <f t="shared" si="108"/>
        <v>-0.29495000000000005</v>
      </c>
      <c r="O256" s="11"/>
      <c r="P256" s="6">
        <v>24783.05</v>
      </c>
      <c r="Q256" s="2"/>
      <c r="R256" s="7">
        <f t="shared" si="109"/>
        <v>2.260644782918294E-3</v>
      </c>
      <c r="S256" s="2"/>
      <c r="T256" s="6">
        <v>15230</v>
      </c>
      <c r="U256" s="2"/>
      <c r="V256" s="7">
        <f t="shared" si="110"/>
        <v>1.2213770627988302E-3</v>
      </c>
      <c r="W256" s="2"/>
      <c r="X256" s="6">
        <f t="shared" si="111"/>
        <v>9553.0499999999993</v>
      </c>
      <c r="Y256" s="2"/>
      <c r="Z256" s="7">
        <f t="shared" si="112"/>
        <v>0.62725213394615886</v>
      </c>
    </row>
    <row r="257" spans="1:26" s="24" customFormat="1" hidden="1" outlineLevel="2" x14ac:dyDescent="0.25">
      <c r="A257" s="25"/>
      <c r="B257" s="11" t="str">
        <f>CONCATENATE("          ", "6243", " - ", "PAPER SUPPLIES")</f>
        <v xml:space="preserve">          6243 - PAPER SUPPLIES</v>
      </c>
      <c r="C257" s="11"/>
      <c r="D257" s="6">
        <v>5656.81</v>
      </c>
      <c r="E257" s="2"/>
      <c r="F257" s="7">
        <f t="shared" si="105"/>
        <v>1.4338560058076037E-2</v>
      </c>
      <c r="G257" s="2"/>
      <c r="H257" s="6">
        <v>250</v>
      </c>
      <c r="I257" s="2"/>
      <c r="J257" s="7">
        <f t="shared" si="106"/>
        <v>1.9251169679878059E-4</v>
      </c>
      <c r="K257" s="2"/>
      <c r="L257" s="6">
        <f t="shared" si="107"/>
        <v>5406.81</v>
      </c>
      <c r="M257" s="2"/>
      <c r="N257" s="7">
        <f t="shared" si="108"/>
        <v>21.62724</v>
      </c>
      <c r="O257" s="11"/>
      <c r="P257" s="6">
        <v>22061.84</v>
      </c>
      <c r="Q257" s="2"/>
      <c r="R257" s="7">
        <f t="shared" si="109"/>
        <v>2.0124231479813071E-3</v>
      </c>
      <c r="S257" s="2"/>
      <c r="T257" s="6">
        <v>3250</v>
      </c>
      <c r="U257" s="2"/>
      <c r="V257" s="7">
        <f t="shared" si="110"/>
        <v>2.6063528917243589E-4</v>
      </c>
      <c r="W257" s="2"/>
      <c r="X257" s="6">
        <f t="shared" si="111"/>
        <v>18811.84</v>
      </c>
      <c r="Y257" s="2"/>
      <c r="Z257" s="7">
        <f t="shared" si="112"/>
        <v>5.7882584615384616</v>
      </c>
    </row>
    <row r="258" spans="1:26" s="24" customFormat="1" hidden="1" outlineLevel="2" x14ac:dyDescent="0.25">
      <c r="A258" s="25"/>
      <c r="B258" s="11" t="str">
        <f>CONCATENATE("          ", "6244", " - ", "SAFETY SUPPLY EXPENSE")</f>
        <v xml:space="preserve">          6244 - SAFETY SUPPLY EXPENSE</v>
      </c>
      <c r="C258" s="11"/>
      <c r="D258" s="6"/>
      <c r="E258" s="2"/>
      <c r="F258" s="7">
        <f t="shared" si="105"/>
        <v>0</v>
      </c>
      <c r="G258" s="2"/>
      <c r="H258" s="6"/>
      <c r="I258" s="2"/>
      <c r="J258" s="7">
        <f t="shared" si="106"/>
        <v>0</v>
      </c>
      <c r="K258" s="2"/>
      <c r="L258" s="6">
        <f t="shared" si="107"/>
        <v>0</v>
      </c>
      <c r="M258" s="2"/>
      <c r="N258" s="7">
        <f t="shared" si="108"/>
        <v>0</v>
      </c>
      <c r="O258" s="11"/>
      <c r="P258" s="6"/>
      <c r="Q258" s="2"/>
      <c r="R258" s="7">
        <f t="shared" si="109"/>
        <v>0</v>
      </c>
      <c r="S258" s="2"/>
      <c r="T258" s="6">
        <v>30</v>
      </c>
      <c r="U258" s="2"/>
      <c r="V258" s="7">
        <f t="shared" si="110"/>
        <v>2.4058642077455618E-6</v>
      </c>
      <c r="W258" s="2"/>
      <c r="X258" s="6">
        <f t="shared" si="111"/>
        <v>-30</v>
      </c>
      <c r="Y258" s="2"/>
      <c r="Z258" s="7">
        <f t="shared" si="112"/>
        <v>-1</v>
      </c>
    </row>
    <row r="259" spans="1:26" s="24" customFormat="1" hidden="1" outlineLevel="2" x14ac:dyDescent="0.25">
      <c r="A259" s="25"/>
      <c r="B259" s="11" t="str">
        <f>CONCATENATE("          ", "6245", " - ", "PRINTING")</f>
        <v xml:space="preserve">          6245 - PRINTING</v>
      </c>
      <c r="C259" s="11"/>
      <c r="D259" s="6">
        <v>289.75</v>
      </c>
      <c r="E259" s="2"/>
      <c r="F259" s="7">
        <f t="shared" si="105"/>
        <v>7.3444181028309795E-4</v>
      </c>
      <c r="G259" s="2"/>
      <c r="H259" s="6">
        <v>100</v>
      </c>
      <c r="I259" s="2"/>
      <c r="J259" s="7">
        <f t="shared" si="106"/>
        <v>7.7004678719512243E-5</v>
      </c>
      <c r="K259" s="2"/>
      <c r="L259" s="6">
        <f t="shared" si="107"/>
        <v>189.75</v>
      </c>
      <c r="M259" s="2"/>
      <c r="N259" s="7">
        <f t="shared" si="108"/>
        <v>1.8975</v>
      </c>
      <c r="O259" s="11"/>
      <c r="P259" s="6">
        <v>10158.09</v>
      </c>
      <c r="Q259" s="2"/>
      <c r="R259" s="7">
        <f t="shared" si="109"/>
        <v>9.2659431195573152E-4</v>
      </c>
      <c r="S259" s="2"/>
      <c r="T259" s="6">
        <v>2100</v>
      </c>
      <c r="U259" s="2"/>
      <c r="V259" s="7">
        <f t="shared" si="110"/>
        <v>1.6841049454218934E-4</v>
      </c>
      <c r="W259" s="2"/>
      <c r="X259" s="6">
        <f t="shared" si="111"/>
        <v>8058.09</v>
      </c>
      <c r="Y259" s="2"/>
      <c r="Z259" s="7">
        <f t="shared" si="112"/>
        <v>3.8371857142857144</v>
      </c>
    </row>
    <row r="260" spans="1:26" s="24" customFormat="1" hidden="1" outlineLevel="2" x14ac:dyDescent="0.25">
      <c r="A260" s="25"/>
      <c r="B260" s="11" t="str">
        <f>CONCATENATE("          ", "6247", " - ", "STORE SUPPLIES")</f>
        <v xml:space="preserve">          6247 - STORE SUPPLIES</v>
      </c>
      <c r="C260" s="11"/>
      <c r="D260" s="6">
        <v>4914.07</v>
      </c>
      <c r="E260" s="2"/>
      <c r="F260" s="7">
        <f t="shared" si="105"/>
        <v>1.2455904975523254E-2</v>
      </c>
      <c r="G260" s="2"/>
      <c r="H260" s="6">
        <v>19989</v>
      </c>
      <c r="I260" s="2"/>
      <c r="J260" s="7">
        <f t="shared" si="106"/>
        <v>1.5392465229243301E-2</v>
      </c>
      <c r="K260" s="2"/>
      <c r="L260" s="6">
        <f t="shared" si="107"/>
        <v>-15074.93</v>
      </c>
      <c r="M260" s="2"/>
      <c r="N260" s="7">
        <f t="shared" si="108"/>
        <v>-0.75416128870878985</v>
      </c>
      <c r="O260" s="11"/>
      <c r="P260" s="6">
        <v>61420.610000000008</v>
      </c>
      <c r="Q260" s="2"/>
      <c r="R260" s="7">
        <f t="shared" si="109"/>
        <v>5.6026268582825443E-3</v>
      </c>
      <c r="S260" s="2"/>
      <c r="T260" s="6">
        <v>145849</v>
      </c>
      <c r="U260" s="2"/>
      <c r="V260" s="7">
        <f t="shared" si="110"/>
        <v>1.1696429627849416E-2</v>
      </c>
      <c r="W260" s="2"/>
      <c r="X260" s="6">
        <f t="shared" si="111"/>
        <v>-84428.389999999985</v>
      </c>
      <c r="Y260" s="2"/>
      <c r="Z260" s="7">
        <f t="shared" si="112"/>
        <v>-0.57887534367736482</v>
      </c>
    </row>
    <row r="261" spans="1:26" s="24" customFormat="1" hidden="1" outlineLevel="2" x14ac:dyDescent="0.25">
      <c r="A261" s="25"/>
      <c r="B261" s="11" t="str">
        <f>CONCATENATE("          ", "6248", " - ", "UNIFORMS")</f>
        <v xml:space="preserve">          6248 - UNIFORMS</v>
      </c>
      <c r="C261" s="11"/>
      <c r="D261" s="6">
        <v>153.11000000000001</v>
      </c>
      <c r="E261" s="2"/>
      <c r="F261" s="7">
        <f t="shared" si="105"/>
        <v>3.8809451448643708E-4</v>
      </c>
      <c r="G261" s="2"/>
      <c r="H261" s="6">
        <v>1000</v>
      </c>
      <c r="I261" s="2"/>
      <c r="J261" s="7">
        <f t="shared" si="106"/>
        <v>7.7004678719512238E-4</v>
      </c>
      <c r="K261" s="2"/>
      <c r="L261" s="6">
        <f t="shared" si="107"/>
        <v>-846.89</v>
      </c>
      <c r="M261" s="2"/>
      <c r="N261" s="7">
        <f t="shared" si="108"/>
        <v>-0.84689000000000003</v>
      </c>
      <c r="O261" s="11"/>
      <c r="P261" s="6">
        <v>153.11000000000001</v>
      </c>
      <c r="Q261" s="2"/>
      <c r="R261" s="7">
        <f t="shared" si="109"/>
        <v>1.3966292393899057E-5</v>
      </c>
      <c r="S261" s="2"/>
      <c r="T261" s="6">
        <v>10100</v>
      </c>
      <c r="U261" s="2"/>
      <c r="V261" s="7">
        <f t="shared" si="110"/>
        <v>8.0997428327433919E-4</v>
      </c>
      <c r="W261" s="2"/>
      <c r="X261" s="6">
        <f t="shared" si="111"/>
        <v>-9946.89</v>
      </c>
      <c r="Y261" s="2"/>
      <c r="Z261" s="7">
        <f t="shared" si="112"/>
        <v>-0.98484059405940594</v>
      </c>
    </row>
    <row r="262" spans="1:26" s="27" customFormat="1" outlineLevel="1" collapsed="1" x14ac:dyDescent="0.25">
      <c r="A262" s="26"/>
      <c r="B262" s="13" t="str">
        <f>CONCATENATE("     ","Telephone/Data Lines                              ")</f>
        <v xml:space="preserve">     Telephone/Data Lines                              </v>
      </c>
      <c r="C262" s="13"/>
      <c r="D262" s="1">
        <f>SUM(OSRRefD22_23x_0)</f>
        <v>1664.23</v>
      </c>
      <c r="E262" s="1"/>
      <c r="F262" s="5">
        <f t="shared" ref="F262:F264" si="113">IF(D$12=0,0,D262/D$12)</f>
        <v>4.2183954924156697E-3</v>
      </c>
      <c r="G262" s="1"/>
      <c r="H262" s="1">
        <f>SUM(OSRRefH22_23x_0)</f>
        <v>2680</v>
      </c>
      <c r="I262" s="1"/>
      <c r="J262" s="5">
        <f t="shared" ref="J262:J264" si="114">IF(H$12=0,0,H262/H$12)</f>
        <v>2.063725389682928E-3</v>
      </c>
      <c r="K262" s="1"/>
      <c r="L262" s="1">
        <f t="shared" ref="L262:L264" si="115">+D262-H262</f>
        <v>-1015.77</v>
      </c>
      <c r="M262" s="1"/>
      <c r="N262" s="5">
        <f t="shared" ref="N262:N264" si="116">IF(H262=0,0,L262/H262)</f>
        <v>-0.37901865671641788</v>
      </c>
      <c r="O262" s="13"/>
      <c r="P262" s="1">
        <f>SUM(OSRRefP22_23x_0)</f>
        <v>26060.36</v>
      </c>
      <c r="Q262" s="1"/>
      <c r="R262" s="5">
        <f t="shared" ref="R262:R264" si="117">IF(P$12=0,0,P262/P$12)</f>
        <v>2.3771576490775989E-3</v>
      </c>
      <c r="S262" s="1"/>
      <c r="T262" s="1">
        <f>SUM(OSRRefT22_23x_0)</f>
        <v>29395</v>
      </c>
      <c r="U262" s="1"/>
      <c r="V262" s="5">
        <f t="shared" ref="V262:V264" si="118">IF(T$12=0,0,T262/T$12)</f>
        <v>2.3573459462226929E-3</v>
      </c>
      <c r="W262" s="1"/>
      <c r="X262" s="1">
        <f t="shared" ref="X262:X264" si="119">+P262-T262</f>
        <v>-3334.6399999999994</v>
      </c>
      <c r="Y262" s="1"/>
      <c r="Z262" s="5">
        <f t="shared" ref="Z262:Z264" si="120">IF(T262=0,0,X262/T262)</f>
        <v>-0.11344242218064295</v>
      </c>
    </row>
    <row r="263" spans="1:26" s="24" customFormat="1" hidden="1" outlineLevel="2" x14ac:dyDescent="0.25">
      <c r="A263" s="25"/>
      <c r="B263" s="11" t="str">
        <f>CONCATENATE("          ", "6303", " - ", "DATA PHONE LINES")</f>
        <v xml:space="preserve">          6303 - DATA PHONE LINES</v>
      </c>
      <c r="C263" s="11"/>
      <c r="D263" s="6"/>
      <c r="E263" s="2"/>
      <c r="F263" s="7">
        <f t="shared" si="113"/>
        <v>0</v>
      </c>
      <c r="G263" s="2"/>
      <c r="H263" s="6">
        <v>750</v>
      </c>
      <c r="I263" s="2"/>
      <c r="J263" s="7">
        <f t="shared" si="114"/>
        <v>5.7753509039634178E-4</v>
      </c>
      <c r="K263" s="2"/>
      <c r="L263" s="6">
        <f t="shared" si="115"/>
        <v>-750</v>
      </c>
      <c r="M263" s="2"/>
      <c r="N263" s="7">
        <f t="shared" si="116"/>
        <v>-1</v>
      </c>
      <c r="O263" s="11"/>
      <c r="P263" s="6">
        <v>2360</v>
      </c>
      <c r="Q263" s="2"/>
      <c r="R263" s="7">
        <f t="shared" si="117"/>
        <v>2.1527300665927614E-4</v>
      </c>
      <c r="S263" s="2"/>
      <c r="T263" s="6">
        <v>9475</v>
      </c>
      <c r="U263" s="2"/>
      <c r="V263" s="7">
        <f t="shared" si="118"/>
        <v>7.5985211227964E-4</v>
      </c>
      <c r="W263" s="2"/>
      <c r="X263" s="6">
        <f t="shared" si="119"/>
        <v>-7115</v>
      </c>
      <c r="Y263" s="2"/>
      <c r="Z263" s="7">
        <f t="shared" si="120"/>
        <v>-0.7509234828496042</v>
      </c>
    </row>
    <row r="264" spans="1:26" s="24" customFormat="1" hidden="1" outlineLevel="2" x14ac:dyDescent="0.25">
      <c r="A264" s="25"/>
      <c r="B264" s="11" t="str">
        <f>CONCATENATE("          ", "6309", " - ", "TELEPHONE")</f>
        <v xml:space="preserve">          6309 - TELEPHONE</v>
      </c>
      <c r="C264" s="11"/>
      <c r="D264" s="6">
        <v>1664.23</v>
      </c>
      <c r="E264" s="2"/>
      <c r="F264" s="7">
        <f t="shared" si="113"/>
        <v>4.2183954924156697E-3</v>
      </c>
      <c r="G264" s="2"/>
      <c r="H264" s="6">
        <v>1930</v>
      </c>
      <c r="I264" s="2"/>
      <c r="J264" s="7">
        <f t="shared" si="114"/>
        <v>1.4861902992865863E-3</v>
      </c>
      <c r="K264" s="2"/>
      <c r="L264" s="6">
        <f t="shared" si="115"/>
        <v>-265.77</v>
      </c>
      <c r="M264" s="2"/>
      <c r="N264" s="7">
        <f t="shared" si="116"/>
        <v>-0.13770466321243521</v>
      </c>
      <c r="O264" s="11"/>
      <c r="P264" s="6">
        <v>23700.36</v>
      </c>
      <c r="Q264" s="2"/>
      <c r="R264" s="7">
        <f t="shared" si="117"/>
        <v>2.1618846424183227E-3</v>
      </c>
      <c r="S264" s="2"/>
      <c r="T264" s="6">
        <v>19920</v>
      </c>
      <c r="U264" s="2"/>
      <c r="V264" s="7">
        <f t="shared" si="118"/>
        <v>1.597493833943053E-3</v>
      </c>
      <c r="W264" s="2"/>
      <c r="X264" s="6">
        <f t="shared" si="119"/>
        <v>3780.3600000000006</v>
      </c>
      <c r="Y264" s="2"/>
      <c r="Z264" s="7">
        <f t="shared" si="120"/>
        <v>0.18977710843373496</v>
      </c>
    </row>
    <row r="265" spans="1:26" s="27" customFormat="1" outlineLevel="1" collapsed="1" x14ac:dyDescent="0.25">
      <c r="A265" s="26"/>
      <c r="B265" s="13" t="str">
        <f>CONCATENATE("     ","Training                                          ")</f>
        <v xml:space="preserve">     Training                                          </v>
      </c>
      <c r="C265" s="13"/>
      <c r="D265" s="1">
        <f>SUM(OSRRefD22_24x_0)</f>
        <v>4473.1499999999996</v>
      </c>
      <c r="E265" s="1"/>
      <c r="F265" s="5">
        <f t="shared" ref="F265:F270" si="121">IF(D$12=0,0,D265/D$12)</f>
        <v>1.1338286052348023E-2</v>
      </c>
      <c r="G265" s="1"/>
      <c r="H265" s="1">
        <f>SUM(OSRRefH22_24x_0)</f>
        <v>4150</v>
      </c>
      <c r="I265" s="1"/>
      <c r="J265" s="5">
        <f t="shared" ref="J265:J270" si="122">IF(H$12=0,0,H265/H$12)</f>
        <v>3.195694166859758E-3</v>
      </c>
      <c r="K265" s="1"/>
      <c r="L265" s="1">
        <f t="shared" ref="L265:L270" si="123">+D265-H265</f>
        <v>323.14999999999964</v>
      </c>
      <c r="M265" s="1"/>
      <c r="N265" s="5">
        <f t="shared" ref="N265:N270" si="124">IF(H265=0,0,L265/H265)</f>
        <v>7.7867469879517981E-2</v>
      </c>
      <c r="O265" s="13"/>
      <c r="P265" s="1">
        <f>SUM(OSRRefP22_24x_0)</f>
        <v>20476.88</v>
      </c>
      <c r="Q265" s="1"/>
      <c r="R265" s="5">
        <f t="shared" ref="R265:R270" si="125">IF(P$12=0,0,P265/P$12)</f>
        <v>1.8678472561869486E-3</v>
      </c>
      <c r="S265" s="1"/>
      <c r="T265" s="1">
        <f>SUM(OSRRefT22_24x_0)</f>
        <v>26000</v>
      </c>
      <c r="U265" s="1"/>
      <c r="V265" s="5">
        <f t="shared" ref="V265:V270" si="126">IF(T$12=0,0,T265/T$12)</f>
        <v>2.0850823133794871E-3</v>
      </c>
      <c r="W265" s="1"/>
      <c r="X265" s="1">
        <f t="shared" ref="X265:X270" si="127">+P265-T265</f>
        <v>-5523.119999999999</v>
      </c>
      <c r="Y265" s="1"/>
      <c r="Z265" s="5">
        <f t="shared" ref="Z265:Z270" si="128">IF(T265=0,0,X265/T265)</f>
        <v>-0.21242769230769226</v>
      </c>
    </row>
    <row r="266" spans="1:26" s="24" customFormat="1" hidden="1" outlineLevel="2" x14ac:dyDescent="0.25">
      <c r="A266" s="25"/>
      <c r="B266" s="11" t="str">
        <f>CONCATENATE("          ", "6376", " - ", "TRAINING")</f>
        <v xml:space="preserve">          6376 - TRAINING</v>
      </c>
      <c r="C266" s="11"/>
      <c r="D266" s="6">
        <v>4473.1499999999996</v>
      </c>
      <c r="E266" s="2"/>
      <c r="F266" s="7">
        <f t="shared" si="121"/>
        <v>1.1338286052348023E-2</v>
      </c>
      <c r="G266" s="2"/>
      <c r="H266" s="6">
        <v>4150</v>
      </c>
      <c r="I266" s="2"/>
      <c r="J266" s="7">
        <f t="shared" si="122"/>
        <v>3.195694166859758E-3</v>
      </c>
      <c r="K266" s="2"/>
      <c r="L266" s="6">
        <f t="shared" si="123"/>
        <v>323.14999999999964</v>
      </c>
      <c r="M266" s="2"/>
      <c r="N266" s="7">
        <f t="shared" si="124"/>
        <v>7.7867469879517981E-2</v>
      </c>
      <c r="O266" s="11"/>
      <c r="P266" s="6">
        <v>20476.88</v>
      </c>
      <c r="Q266" s="2"/>
      <c r="R266" s="7">
        <f t="shared" si="125"/>
        <v>1.8678472561869486E-3</v>
      </c>
      <c r="S266" s="2"/>
      <c r="T266" s="6">
        <v>26000</v>
      </c>
      <c r="U266" s="2"/>
      <c r="V266" s="7">
        <f t="shared" si="126"/>
        <v>2.0850823133794871E-3</v>
      </c>
      <c r="W266" s="2"/>
      <c r="X266" s="6">
        <f t="shared" si="127"/>
        <v>-5523.119999999999</v>
      </c>
      <c r="Y266" s="2"/>
      <c r="Z266" s="7">
        <f t="shared" si="128"/>
        <v>-0.21242769230769226</v>
      </c>
    </row>
    <row r="267" spans="1:26" s="27" customFormat="1" outlineLevel="1" collapsed="1" x14ac:dyDescent="0.25">
      <c r="A267" s="26"/>
      <c r="B267" s="13" t="str">
        <f>CONCATENATE("     ","Travel                                            ")</f>
        <v xml:space="preserve">     Travel                                            </v>
      </c>
      <c r="C267" s="13"/>
      <c r="D267" s="1">
        <f>SUM(OSRRefD22_25x_0)</f>
        <v>160.16999999999999</v>
      </c>
      <c r="E267" s="1"/>
      <c r="F267" s="5">
        <f t="shared" si="121"/>
        <v>4.0598980070075509E-4</v>
      </c>
      <c r="G267" s="1"/>
      <c r="H267" s="1">
        <f>SUM(OSRRefH22_25x_0)</f>
        <v>125</v>
      </c>
      <c r="I267" s="1"/>
      <c r="J267" s="5">
        <f t="shared" si="122"/>
        <v>9.6255848399390297E-5</v>
      </c>
      <c r="K267" s="1"/>
      <c r="L267" s="1">
        <f t="shared" si="123"/>
        <v>35.169999999999987</v>
      </c>
      <c r="M267" s="1"/>
      <c r="N267" s="5">
        <f t="shared" si="124"/>
        <v>0.28135999999999989</v>
      </c>
      <c r="O267" s="13"/>
      <c r="P267" s="1">
        <f>SUM(OSRRefP22_25x_0)</f>
        <v>1232.3399999999999</v>
      </c>
      <c r="Q267" s="1"/>
      <c r="R267" s="5">
        <f t="shared" si="125"/>
        <v>1.1241082077393744E-4</v>
      </c>
      <c r="S267" s="1"/>
      <c r="T267" s="1">
        <f>SUM(OSRRefT22_25x_0)</f>
        <v>2460</v>
      </c>
      <c r="U267" s="1"/>
      <c r="V267" s="5">
        <f t="shared" si="126"/>
        <v>1.9728086503513609E-4</v>
      </c>
      <c r="W267" s="1"/>
      <c r="X267" s="1">
        <f t="shared" si="127"/>
        <v>-1227.6600000000001</v>
      </c>
      <c r="Y267" s="1"/>
      <c r="Z267" s="5">
        <f t="shared" si="128"/>
        <v>-0.49904878048780493</v>
      </c>
    </row>
    <row r="268" spans="1:26" s="24" customFormat="1" hidden="1" outlineLevel="2" x14ac:dyDescent="0.25">
      <c r="A268" s="25"/>
      <c r="B268" s="11" t="str">
        <f>CONCATENATE("          ", "6292", " - ", "TRAVEL/CONFERENCE")</f>
        <v xml:space="preserve">          6292 - TRAVEL/CONFERENCE</v>
      </c>
      <c r="C268" s="11"/>
      <c r="D268" s="6">
        <v>91.1</v>
      </c>
      <c r="E268" s="2"/>
      <c r="F268" s="7">
        <f t="shared" si="121"/>
        <v>2.309150954850396E-4</v>
      </c>
      <c r="G268" s="2"/>
      <c r="H268" s="6"/>
      <c r="I268" s="2"/>
      <c r="J268" s="7">
        <f t="shared" si="122"/>
        <v>0</v>
      </c>
      <c r="K268" s="2"/>
      <c r="L268" s="6">
        <f t="shared" si="123"/>
        <v>91.1</v>
      </c>
      <c r="M268" s="2"/>
      <c r="N268" s="7">
        <f t="shared" si="124"/>
        <v>0</v>
      </c>
      <c r="O268" s="11"/>
      <c r="P268" s="6">
        <v>504.66</v>
      </c>
      <c r="Q268" s="2"/>
      <c r="R268" s="7">
        <f t="shared" si="125"/>
        <v>4.6033760822317925E-5</v>
      </c>
      <c r="S268" s="2"/>
      <c r="T268" s="6">
        <v>1000</v>
      </c>
      <c r="U268" s="2"/>
      <c r="V268" s="7">
        <f t="shared" si="126"/>
        <v>8.0195473591518731E-5</v>
      </c>
      <c r="W268" s="2"/>
      <c r="X268" s="6">
        <f t="shared" si="127"/>
        <v>-495.34</v>
      </c>
      <c r="Y268" s="2"/>
      <c r="Z268" s="7">
        <f t="shared" si="128"/>
        <v>-0.49534</v>
      </c>
    </row>
    <row r="269" spans="1:26" s="24" customFormat="1" hidden="1" outlineLevel="2" x14ac:dyDescent="0.25">
      <c r="A269" s="25"/>
      <c r="B269" s="11" t="str">
        <f>CONCATENATE("          ", "6294", " - ", "TRAVEL OPERATIONAL")</f>
        <v xml:space="preserve">          6294 - TRAVEL OPERATIONAL</v>
      </c>
      <c r="C269" s="11"/>
      <c r="D269" s="6">
        <v>14.13</v>
      </c>
      <c r="E269" s="2"/>
      <c r="F269" s="7">
        <f t="shared" si="121"/>
        <v>3.5815919859534688E-5</v>
      </c>
      <c r="G269" s="2"/>
      <c r="H269" s="6">
        <v>125</v>
      </c>
      <c r="I269" s="2"/>
      <c r="J269" s="7">
        <f t="shared" si="122"/>
        <v>9.6255848399390297E-5</v>
      </c>
      <c r="K269" s="2"/>
      <c r="L269" s="6">
        <f t="shared" si="123"/>
        <v>-110.87</v>
      </c>
      <c r="M269" s="2"/>
      <c r="N269" s="7">
        <f t="shared" si="124"/>
        <v>-0.88696000000000008</v>
      </c>
      <c r="O269" s="11"/>
      <c r="P269" s="6">
        <v>361.61</v>
      </c>
      <c r="Q269" s="2"/>
      <c r="R269" s="7">
        <f t="shared" si="125"/>
        <v>3.2985115227991886E-5</v>
      </c>
      <c r="S269" s="2"/>
      <c r="T269" s="6">
        <v>910</v>
      </c>
      <c r="U269" s="2"/>
      <c r="V269" s="7">
        <f t="shared" si="126"/>
        <v>7.2977880968282051E-5</v>
      </c>
      <c r="W269" s="2"/>
      <c r="X269" s="6">
        <f t="shared" si="127"/>
        <v>-548.39</v>
      </c>
      <c r="Y269" s="2"/>
      <c r="Z269" s="7">
        <f t="shared" si="128"/>
        <v>-0.60262637362637361</v>
      </c>
    </row>
    <row r="270" spans="1:26" s="24" customFormat="1" hidden="1" outlineLevel="2" x14ac:dyDescent="0.25">
      <c r="A270" s="25"/>
      <c r="B270" s="11" t="str">
        <f>CONCATENATE("          ", "6298", " - ", "VEHICLE MILEAGE")</f>
        <v xml:space="preserve">          6298 - VEHICLE MILEAGE</v>
      </c>
      <c r="C270" s="11"/>
      <c r="D270" s="6">
        <v>54.94</v>
      </c>
      <c r="E270" s="2"/>
      <c r="F270" s="7">
        <f t="shared" si="121"/>
        <v>1.3925878535618085E-4</v>
      </c>
      <c r="G270" s="2"/>
      <c r="H270" s="6"/>
      <c r="I270" s="2"/>
      <c r="J270" s="7">
        <f t="shared" si="122"/>
        <v>0</v>
      </c>
      <c r="K270" s="2"/>
      <c r="L270" s="6">
        <f t="shared" si="123"/>
        <v>54.94</v>
      </c>
      <c r="M270" s="2"/>
      <c r="N270" s="7">
        <f t="shared" si="124"/>
        <v>0</v>
      </c>
      <c r="O270" s="11"/>
      <c r="P270" s="6">
        <v>366.07</v>
      </c>
      <c r="Q270" s="2"/>
      <c r="R270" s="7">
        <f t="shared" si="125"/>
        <v>3.3391944723627635E-5</v>
      </c>
      <c r="S270" s="2"/>
      <c r="T270" s="6">
        <v>550</v>
      </c>
      <c r="U270" s="2"/>
      <c r="V270" s="7">
        <f t="shared" si="126"/>
        <v>4.4107510475335305E-5</v>
      </c>
      <c r="W270" s="2"/>
      <c r="X270" s="6">
        <f t="shared" si="127"/>
        <v>-183.93</v>
      </c>
      <c r="Y270" s="2"/>
      <c r="Z270" s="7">
        <f t="shared" si="128"/>
        <v>-0.33441818181818184</v>
      </c>
    </row>
    <row r="271" spans="1:26" s="27" customFormat="1" outlineLevel="1" collapsed="1" x14ac:dyDescent="0.25">
      <c r="A271" s="26"/>
      <c r="B271" s="13" t="str">
        <f>CONCATENATE("     ","Utilities                                         ")</f>
        <v xml:space="preserve">     Utilities                                         </v>
      </c>
      <c r="C271" s="13"/>
      <c r="D271" s="1">
        <f>SUM(OSRRefD22_26x_0)</f>
        <v>7267.51</v>
      </c>
      <c r="E271" s="1"/>
      <c r="F271" s="5">
        <f t="shared" ref="F271:F272" si="129">IF(D$12=0,0,D271/D$12)</f>
        <v>1.842127075289221E-2</v>
      </c>
      <c r="G271" s="1"/>
      <c r="H271" s="1">
        <f>SUM(OSRRefH22_26x_0)</f>
        <v>6336</v>
      </c>
      <c r="I271" s="1"/>
      <c r="J271" s="5">
        <f t="shared" ref="J271:J272" si="130">IF(H$12=0,0,H271/H$12)</f>
        <v>4.8790164436682956E-3</v>
      </c>
      <c r="K271" s="1"/>
      <c r="L271" s="1">
        <f t="shared" ref="L271:L272" si="131">+D271-H271</f>
        <v>931.51000000000022</v>
      </c>
      <c r="M271" s="1"/>
      <c r="N271" s="5">
        <f t="shared" ref="N271:N272" si="132">IF(H271=0,0,L271/H271)</f>
        <v>0.14701862373737376</v>
      </c>
      <c r="O271" s="13"/>
      <c r="P271" s="1">
        <f>SUM(OSRRefP22_26x_0)</f>
        <v>61807.420000000006</v>
      </c>
      <c r="Q271" s="1"/>
      <c r="R271" s="5">
        <f t="shared" ref="R271:R272" si="133">IF(P$12=0,0,P271/P$12)</f>
        <v>5.6379106513782537E-3</v>
      </c>
      <c r="S271" s="1"/>
      <c r="T271" s="1">
        <f>SUM(OSRRefT22_26x_0)</f>
        <v>59039.000000000007</v>
      </c>
      <c r="U271" s="1"/>
      <c r="V271" s="5">
        <f t="shared" ref="V271:V272" si="134">IF(T$12=0,0,T271/T$12)</f>
        <v>4.7346605653696746E-3</v>
      </c>
      <c r="W271" s="1"/>
      <c r="X271" s="1">
        <f t="shared" ref="X271:X272" si="135">+P271-T271</f>
        <v>2768.4199999999983</v>
      </c>
      <c r="Y271" s="1"/>
      <c r="Z271" s="5">
        <f t="shared" ref="Z271:Z272" si="136">IF(T271=0,0,X271/T271)</f>
        <v>4.6891376886464844E-2</v>
      </c>
    </row>
    <row r="272" spans="1:26" s="24" customFormat="1" hidden="1" outlineLevel="2" x14ac:dyDescent="0.25">
      <c r="A272" s="25"/>
      <c r="B272" s="11" t="str">
        <f>CONCATENATE("          ", "6274", " - ", "UTILITIES")</f>
        <v xml:space="preserve">          6274 - UTILITIES</v>
      </c>
      <c r="C272" s="11"/>
      <c r="D272" s="6">
        <v>7267.51</v>
      </c>
      <c r="E272" s="2"/>
      <c r="F272" s="7">
        <f t="shared" si="129"/>
        <v>1.842127075289221E-2</v>
      </c>
      <c r="G272" s="2"/>
      <c r="H272" s="6">
        <v>6336</v>
      </c>
      <c r="I272" s="2"/>
      <c r="J272" s="7">
        <f t="shared" si="130"/>
        <v>4.8790164436682956E-3</v>
      </c>
      <c r="K272" s="2"/>
      <c r="L272" s="6">
        <f t="shared" si="131"/>
        <v>931.51000000000022</v>
      </c>
      <c r="M272" s="2"/>
      <c r="N272" s="7">
        <f t="shared" si="132"/>
        <v>0.14701862373737376</v>
      </c>
      <c r="O272" s="11"/>
      <c r="P272" s="6">
        <v>61807.420000000006</v>
      </c>
      <c r="Q272" s="2"/>
      <c r="R272" s="7">
        <f t="shared" si="133"/>
        <v>5.6379106513782537E-3</v>
      </c>
      <c r="S272" s="2"/>
      <c r="T272" s="6">
        <v>59039.000000000007</v>
      </c>
      <c r="U272" s="2"/>
      <c r="V272" s="7">
        <f t="shared" si="134"/>
        <v>4.7346605653696746E-3</v>
      </c>
      <c r="W272" s="2"/>
      <c r="X272" s="6">
        <f t="shared" si="135"/>
        <v>2768.4199999999983</v>
      </c>
      <c r="Y272" s="2"/>
      <c r="Z272" s="7">
        <f t="shared" si="136"/>
        <v>4.6891376886464844E-2</v>
      </c>
    </row>
    <row r="273" spans="1:26" s="56" customFormat="1" x14ac:dyDescent="0.25">
      <c r="A273" s="36"/>
      <c r="B273" s="36"/>
      <c r="C273" s="36"/>
      <c r="D273" s="1"/>
      <c r="E273" s="1"/>
      <c r="F273" s="5"/>
      <c r="G273" s="1"/>
      <c r="H273" s="1"/>
      <c r="I273" s="1"/>
      <c r="J273" s="5"/>
      <c r="K273" s="1"/>
      <c r="L273" s="1"/>
      <c r="M273" s="1"/>
      <c r="N273" s="5"/>
      <c r="O273" s="36"/>
      <c r="P273" s="1"/>
      <c r="Q273" s="1"/>
      <c r="R273" s="5"/>
      <c r="S273" s="1"/>
      <c r="T273" s="1"/>
      <c r="U273" s="1"/>
      <c r="V273" s="5"/>
      <c r="W273" s="1"/>
      <c r="X273" s="1"/>
      <c r="Y273" s="1"/>
      <c r="Z273" s="5"/>
    </row>
    <row r="274" spans="1:26" s="23" customFormat="1" collapsed="1" x14ac:dyDescent="0.25">
      <c r="A274" s="10"/>
      <c r="B274" s="29" t="s">
        <v>0</v>
      </c>
      <c r="C274" s="10"/>
      <c r="D274" s="4">
        <f>SUM(OSRRefD25x_0)</f>
        <v>33096.89</v>
      </c>
      <c r="E274" s="4"/>
      <c r="F274" s="12">
        <f t="shared" ref="F274:F283" si="137">IF(D$12=0,0,D274/D$12)</f>
        <v>8.3892113222918244E-2</v>
      </c>
      <c r="G274" s="4"/>
      <c r="H274" s="4">
        <f>SUM(OSRRefH25x_0)</f>
        <v>58975</v>
      </c>
      <c r="I274" s="4"/>
      <c r="J274" s="12">
        <f t="shared" ref="J274:J283" si="138">IF(H$12=0,0,H274/H$12)</f>
        <v>4.5413509274832342E-2</v>
      </c>
      <c r="K274" s="4"/>
      <c r="L274" s="4">
        <f t="shared" ref="L274:L283" si="139">+D274-H274</f>
        <v>-25878.11</v>
      </c>
      <c r="M274" s="4"/>
      <c r="N274" s="12">
        <f t="shared" ref="N274:N283" si="140">IF(H274=0,0,L274/H274)</f>
        <v>-0.43879796523950826</v>
      </c>
      <c r="O274" s="10"/>
      <c r="P274" s="4">
        <f>SUM(OSRRefP25x_0)</f>
        <v>670466.38</v>
      </c>
      <c r="Q274" s="4"/>
      <c r="R274" s="12">
        <f t="shared" ref="R274:R283" si="141">IF(P$12=0,0,P274/P$12)</f>
        <v>6.1158183680746089E-2</v>
      </c>
      <c r="S274" s="4"/>
      <c r="T274" s="4">
        <f>SUM(OSRRefT25x_0)</f>
        <v>701125</v>
      </c>
      <c r="U274" s="4"/>
      <c r="V274" s="12">
        <f t="shared" ref="V274:V283" si="142">IF(T$12=0,0,T274/T$12)</f>
        <v>5.6227051421853573E-2</v>
      </c>
      <c r="W274" s="4"/>
      <c r="X274" s="4">
        <f t="shared" ref="X274:X283" si="143">+P274-T274</f>
        <v>-30658.619999999995</v>
      </c>
      <c r="Y274" s="4"/>
      <c r="Z274" s="12">
        <f t="shared" ref="Z274:Z283" si="144">IF(T274=0,0,X274/T274)</f>
        <v>-4.3727751827420211E-2</v>
      </c>
    </row>
    <row r="275" spans="1:26" s="24" customFormat="1" hidden="1" outlineLevel="1" x14ac:dyDescent="0.25">
      <c r="A275" s="44"/>
      <c r="B275" s="11" t="str">
        <f>CONCATENATE("          ", "4098", " - ", "TAXABLE SALES-GRAD RENTALS")</f>
        <v xml:space="preserve">          4098 - TAXABLE SALES-GRAD RENTALS</v>
      </c>
      <c r="C275" s="11"/>
      <c r="D275" s="2">
        <f>--42</f>
        <v>42</v>
      </c>
      <c r="E275" s="2"/>
      <c r="F275" s="19">
        <f t="shared" si="137"/>
        <v>1.0645920977356381E-4</v>
      </c>
      <c r="G275" s="2"/>
      <c r="H275" s="2"/>
      <c r="I275" s="2"/>
      <c r="J275" s="19">
        <f t="shared" si="138"/>
        <v>0</v>
      </c>
      <c r="K275" s="2"/>
      <c r="L275" s="2">
        <f t="shared" si="139"/>
        <v>42</v>
      </c>
      <c r="M275" s="2"/>
      <c r="N275" s="19">
        <f t="shared" si="140"/>
        <v>0</v>
      </c>
      <c r="O275" s="11"/>
      <c r="P275" s="2">
        <f>--2098.85</f>
        <v>2098.85</v>
      </c>
      <c r="Q275" s="2"/>
      <c r="R275" s="19">
        <f t="shared" si="141"/>
        <v>1.9145158899441599E-4</v>
      </c>
      <c r="S275" s="2"/>
      <c r="T275" s="2"/>
      <c r="U275" s="2"/>
      <c r="V275" s="19">
        <f t="shared" si="142"/>
        <v>0</v>
      </c>
      <c r="W275" s="2"/>
      <c r="X275" s="2">
        <f t="shared" si="143"/>
        <v>2098.85</v>
      </c>
      <c r="Y275" s="2"/>
      <c r="Z275" s="19">
        <f t="shared" si="144"/>
        <v>0</v>
      </c>
    </row>
    <row r="276" spans="1:26" s="24" customFormat="1" hidden="1" outlineLevel="1" x14ac:dyDescent="0.25">
      <c r="A276" s="44"/>
      <c r="B276" s="11" t="str">
        <f>CONCATENATE("          ", "4197", " - ", "NON-TAXABLE SALES-RETURNED CHE")</f>
        <v xml:space="preserve">          4197 - NON-TAXABLE SALES-RETURNED CHE</v>
      </c>
      <c r="C276" s="11"/>
      <c r="D276" s="2">
        <f t="shared" ref="D276:D277" si="145">0</f>
        <v>0</v>
      </c>
      <c r="E276" s="2"/>
      <c r="F276" s="19">
        <f t="shared" si="137"/>
        <v>0</v>
      </c>
      <c r="G276" s="2"/>
      <c r="H276" s="2"/>
      <c r="I276" s="2"/>
      <c r="J276" s="19">
        <f t="shared" si="138"/>
        <v>0</v>
      </c>
      <c r="K276" s="2"/>
      <c r="L276" s="2">
        <f t="shared" si="139"/>
        <v>0</v>
      </c>
      <c r="M276" s="2"/>
      <c r="N276" s="19">
        <f t="shared" si="140"/>
        <v>0</v>
      </c>
      <c r="O276" s="11"/>
      <c r="P276" s="2">
        <f>--30</f>
        <v>30</v>
      </c>
      <c r="Q276" s="2"/>
      <c r="R276" s="19">
        <f t="shared" si="141"/>
        <v>2.7365212710924932E-6</v>
      </c>
      <c r="S276" s="2"/>
      <c r="T276" s="2"/>
      <c r="U276" s="2"/>
      <c r="V276" s="19">
        <f t="shared" si="142"/>
        <v>0</v>
      </c>
      <c r="W276" s="2"/>
      <c r="X276" s="2">
        <f t="shared" si="143"/>
        <v>30</v>
      </c>
      <c r="Y276" s="2"/>
      <c r="Z276" s="19">
        <f t="shared" si="144"/>
        <v>0</v>
      </c>
    </row>
    <row r="277" spans="1:26" s="24" customFormat="1" hidden="1" outlineLevel="1" x14ac:dyDescent="0.25">
      <c r="A277" s="44"/>
      <c r="B277" s="11" t="str">
        <f>CONCATENATE("          ", "4198", " - ", "NON-TAXABLE SALES-GRAD RENTALS")</f>
        <v xml:space="preserve">          4198 - NON-TAXABLE SALES-GRAD RENTALS</v>
      </c>
      <c r="C277" s="11"/>
      <c r="D277" s="2">
        <f t="shared" si="145"/>
        <v>0</v>
      </c>
      <c r="E277" s="2"/>
      <c r="F277" s="19">
        <f t="shared" si="137"/>
        <v>0</v>
      </c>
      <c r="G277" s="2"/>
      <c r="H277" s="2"/>
      <c r="I277" s="2"/>
      <c r="J277" s="19">
        <f t="shared" si="138"/>
        <v>0</v>
      </c>
      <c r="K277" s="2"/>
      <c r="L277" s="2">
        <f t="shared" si="139"/>
        <v>0</v>
      </c>
      <c r="M277" s="2"/>
      <c r="N277" s="19">
        <f t="shared" si="140"/>
        <v>0</v>
      </c>
      <c r="O277" s="11"/>
      <c r="P277" s="2">
        <f>--3732.1</f>
        <v>3732.1</v>
      </c>
      <c r="Q277" s="2"/>
      <c r="R277" s="19">
        <f t="shared" si="141"/>
        <v>3.4043236786147646E-4</v>
      </c>
      <c r="S277" s="2"/>
      <c r="T277" s="2"/>
      <c r="U277" s="2"/>
      <c r="V277" s="19">
        <f t="shared" si="142"/>
        <v>0</v>
      </c>
      <c r="W277" s="2"/>
      <c r="X277" s="2">
        <f t="shared" si="143"/>
        <v>3732.1</v>
      </c>
      <c r="Y277" s="2"/>
      <c r="Z277" s="19">
        <f t="shared" si="144"/>
        <v>0</v>
      </c>
    </row>
    <row r="278" spans="1:26" s="24" customFormat="1" hidden="1" outlineLevel="1" x14ac:dyDescent="0.25">
      <c r="A278" s="44"/>
      <c r="B278" s="11" t="str">
        <f>CONCATENATE("          ", "9150", " - ", "MISC. INCOME")</f>
        <v xml:space="preserve">          9150 - MISC. INCOME</v>
      </c>
      <c r="C278" s="11"/>
      <c r="D278" s="2">
        <f>--19739.85</f>
        <v>19739.849999999999</v>
      </c>
      <c r="E278" s="2"/>
      <c r="F278" s="19">
        <f t="shared" si="137"/>
        <v>5.0035448382111512E-2</v>
      </c>
      <c r="G278" s="2"/>
      <c r="H278" s="2">
        <v>29225</v>
      </c>
      <c r="I278" s="2"/>
      <c r="J278" s="19">
        <f t="shared" si="138"/>
        <v>2.250461735577745E-2</v>
      </c>
      <c r="K278" s="2"/>
      <c r="L278" s="2">
        <f t="shared" si="139"/>
        <v>-9485.1500000000015</v>
      </c>
      <c r="M278" s="2"/>
      <c r="N278" s="19">
        <f t="shared" si="140"/>
        <v>-0.32455603079555179</v>
      </c>
      <c r="O278" s="11"/>
      <c r="P278" s="2">
        <f>--383147.99</f>
        <v>383147.99</v>
      </c>
      <c r="Q278" s="2"/>
      <c r="R278" s="19">
        <f t="shared" si="141"/>
        <v>3.4949754153711127E-2</v>
      </c>
      <c r="S278" s="2"/>
      <c r="T278" s="2">
        <v>275275</v>
      </c>
      <c r="U278" s="2"/>
      <c r="V278" s="19">
        <f t="shared" si="142"/>
        <v>2.2075808992905319E-2</v>
      </c>
      <c r="W278" s="2"/>
      <c r="X278" s="2">
        <f t="shared" si="143"/>
        <v>107872.98999999999</v>
      </c>
      <c r="Y278" s="2"/>
      <c r="Z278" s="19">
        <f t="shared" si="144"/>
        <v>0.39187354463718099</v>
      </c>
    </row>
    <row r="279" spans="1:26" s="24" customFormat="1" hidden="1" outlineLevel="1" x14ac:dyDescent="0.25">
      <c r="A279" s="44"/>
      <c r="B279" s="11" t="str">
        <f>CONCATENATE("          ", "9151", " - ", "MISC. INCOME")</f>
        <v xml:space="preserve">          9151 - MISC. INCOME</v>
      </c>
      <c r="C279" s="11"/>
      <c r="D279" s="2">
        <f>--13315.04</f>
        <v>13315.04</v>
      </c>
      <c r="E279" s="2"/>
      <c r="F279" s="19">
        <f t="shared" si="137"/>
        <v>3.3750205631033169E-2</v>
      </c>
      <c r="G279" s="2"/>
      <c r="H279" s="2">
        <v>12850</v>
      </c>
      <c r="I279" s="2"/>
      <c r="J279" s="19">
        <f t="shared" si="138"/>
        <v>9.895101215457322E-3</v>
      </c>
      <c r="K279" s="2"/>
      <c r="L279" s="2">
        <f t="shared" si="139"/>
        <v>465.04000000000087</v>
      </c>
      <c r="M279" s="2"/>
      <c r="N279" s="19">
        <f t="shared" si="140"/>
        <v>3.6189883268482562E-2</v>
      </c>
      <c r="O279" s="11"/>
      <c r="P279" s="2">
        <f>--169392.7</f>
        <v>169392.7</v>
      </c>
      <c r="Q279" s="2"/>
      <c r="R279" s="19">
        <f t="shared" si="141"/>
        <v>1.5451557557259648E-2</v>
      </c>
      <c r="S279" s="2"/>
      <c r="T279" s="2">
        <v>103400</v>
      </c>
      <c r="U279" s="2"/>
      <c r="V279" s="19">
        <f t="shared" si="142"/>
        <v>8.2922119693630367E-3</v>
      </c>
      <c r="W279" s="2"/>
      <c r="X279" s="2">
        <f t="shared" si="143"/>
        <v>65992.700000000012</v>
      </c>
      <c r="Y279" s="2"/>
      <c r="Z279" s="19">
        <f t="shared" si="144"/>
        <v>0.63822727272727287</v>
      </c>
    </row>
    <row r="280" spans="1:26" s="24" customFormat="1" hidden="1" outlineLevel="1" x14ac:dyDescent="0.25">
      <c r="A280" s="44"/>
      <c r="B280" s="11" t="str">
        <f>CONCATENATE("          ", "9152", " - ", "MISC. INCOME")</f>
        <v xml:space="preserve">          9152 - MISC. INCOME</v>
      </c>
      <c r="C280" s="11"/>
      <c r="D280" s="2">
        <f t="shared" ref="D280:D283" si="146">0</f>
        <v>0</v>
      </c>
      <c r="E280" s="2"/>
      <c r="F280" s="19">
        <f t="shared" si="137"/>
        <v>0</v>
      </c>
      <c r="G280" s="2"/>
      <c r="H280" s="2"/>
      <c r="I280" s="2"/>
      <c r="J280" s="19">
        <f t="shared" si="138"/>
        <v>0</v>
      </c>
      <c r="K280" s="2"/>
      <c r="L280" s="2">
        <f t="shared" si="139"/>
        <v>0</v>
      </c>
      <c r="M280" s="2"/>
      <c r="N280" s="19">
        <f t="shared" si="140"/>
        <v>0</v>
      </c>
      <c r="O280" s="11"/>
      <c r="P280" s="2">
        <f>--4699.86</f>
        <v>4699.8599999999997</v>
      </c>
      <c r="Q280" s="2"/>
      <c r="R280" s="19">
        <f t="shared" si="141"/>
        <v>4.2870889537189216E-4</v>
      </c>
      <c r="S280" s="2"/>
      <c r="T280" s="2"/>
      <c r="U280" s="2"/>
      <c r="V280" s="19">
        <f t="shared" si="142"/>
        <v>0</v>
      </c>
      <c r="W280" s="2"/>
      <c r="X280" s="2">
        <f t="shared" si="143"/>
        <v>4699.8599999999997</v>
      </c>
      <c r="Y280" s="2"/>
      <c r="Z280" s="19">
        <f t="shared" si="144"/>
        <v>0</v>
      </c>
    </row>
    <row r="281" spans="1:26" s="24" customFormat="1" hidden="1" outlineLevel="1" x14ac:dyDescent="0.25">
      <c r="A281" s="44"/>
      <c r="B281" s="11" t="str">
        <f>CONCATENATE("          ", "9153", " - ", "MISC. INCOME")</f>
        <v xml:space="preserve">          9153 - MISC. INCOME</v>
      </c>
      <c r="C281" s="11"/>
      <c r="D281" s="2">
        <f t="shared" si="146"/>
        <v>0</v>
      </c>
      <c r="E281" s="2"/>
      <c r="F281" s="19">
        <f t="shared" si="137"/>
        <v>0</v>
      </c>
      <c r="G281" s="2"/>
      <c r="H281" s="2"/>
      <c r="I281" s="2"/>
      <c r="J281" s="19">
        <f t="shared" si="138"/>
        <v>0</v>
      </c>
      <c r="K281" s="2"/>
      <c r="L281" s="2">
        <f t="shared" si="139"/>
        <v>0</v>
      </c>
      <c r="M281" s="2"/>
      <c r="N281" s="19">
        <f t="shared" si="140"/>
        <v>0</v>
      </c>
      <c r="O281" s="11"/>
      <c r="P281" s="2">
        <f>--450</f>
        <v>450</v>
      </c>
      <c r="Q281" s="2"/>
      <c r="R281" s="19">
        <f t="shared" si="141"/>
        <v>4.1047819066387402E-5</v>
      </c>
      <c r="S281" s="2"/>
      <c r="T281" s="2"/>
      <c r="U281" s="2"/>
      <c r="V281" s="19">
        <f t="shared" si="142"/>
        <v>0</v>
      </c>
      <c r="W281" s="2"/>
      <c r="X281" s="2">
        <f t="shared" si="143"/>
        <v>450</v>
      </c>
      <c r="Y281" s="2"/>
      <c r="Z281" s="19">
        <f t="shared" si="144"/>
        <v>0</v>
      </c>
    </row>
    <row r="282" spans="1:26" s="24" customFormat="1" hidden="1" outlineLevel="1" x14ac:dyDescent="0.25">
      <c r="A282" s="44"/>
      <c r="B282" s="11" t="str">
        <f>CONCATENATE("          ", "9160", " - ", "MISC. INCOME")</f>
        <v xml:space="preserve">          9160 - MISC. INCOME</v>
      </c>
      <c r="C282" s="11"/>
      <c r="D282" s="2">
        <f t="shared" si="146"/>
        <v>0</v>
      </c>
      <c r="E282" s="2"/>
      <c r="F282" s="19">
        <f t="shared" si="137"/>
        <v>0</v>
      </c>
      <c r="G282" s="2"/>
      <c r="H282" s="2">
        <v>16900</v>
      </c>
      <c r="I282" s="2"/>
      <c r="J282" s="19">
        <f t="shared" si="138"/>
        <v>1.3013790703597568E-2</v>
      </c>
      <c r="K282" s="2"/>
      <c r="L282" s="2">
        <f t="shared" si="139"/>
        <v>-16900</v>
      </c>
      <c r="M282" s="2"/>
      <c r="N282" s="19">
        <f t="shared" si="140"/>
        <v>-1</v>
      </c>
      <c r="O282" s="11"/>
      <c r="P282" s="2">
        <f>--22475</f>
        <v>22475</v>
      </c>
      <c r="Q282" s="2"/>
      <c r="R282" s="19">
        <f t="shared" si="141"/>
        <v>2.050110518926793E-3</v>
      </c>
      <c r="S282" s="2"/>
      <c r="T282" s="2">
        <v>322450</v>
      </c>
      <c r="U282" s="2"/>
      <c r="V282" s="19">
        <f t="shared" si="142"/>
        <v>2.5859030459585215E-2</v>
      </c>
      <c r="W282" s="2"/>
      <c r="X282" s="2">
        <f t="shared" si="143"/>
        <v>-299975</v>
      </c>
      <c r="Y282" s="2"/>
      <c r="Z282" s="19">
        <f t="shared" si="144"/>
        <v>-0.93029927120483791</v>
      </c>
    </row>
    <row r="283" spans="1:26" s="24" customFormat="1" hidden="1" outlineLevel="1" x14ac:dyDescent="0.25">
      <c r="A283" s="44"/>
      <c r="B283" s="11" t="str">
        <f>CONCATENATE("          ", "9163", " - ", "MISC. INCOME")</f>
        <v xml:space="preserve">          9163 - MISC. INCOME</v>
      </c>
      <c r="C283" s="11"/>
      <c r="D283" s="2">
        <f t="shared" si="146"/>
        <v>0</v>
      </c>
      <c r="E283" s="2"/>
      <c r="F283" s="19">
        <f t="shared" si="137"/>
        <v>0</v>
      </c>
      <c r="G283" s="2"/>
      <c r="H283" s="2"/>
      <c r="I283" s="2"/>
      <c r="J283" s="19">
        <f t="shared" si="138"/>
        <v>0</v>
      </c>
      <c r="K283" s="2"/>
      <c r="L283" s="2">
        <f t="shared" si="139"/>
        <v>0</v>
      </c>
      <c r="M283" s="2"/>
      <c r="N283" s="19">
        <f t="shared" si="140"/>
        <v>0</v>
      </c>
      <c r="O283" s="11"/>
      <c r="P283" s="2">
        <f>--84439.88</f>
        <v>84439.88</v>
      </c>
      <c r="Q283" s="2"/>
      <c r="R283" s="19">
        <f t="shared" si="141"/>
        <v>7.7023842582832538E-3</v>
      </c>
      <c r="S283" s="2"/>
      <c r="T283" s="2"/>
      <c r="U283" s="2"/>
      <c r="V283" s="19">
        <f t="shared" si="142"/>
        <v>0</v>
      </c>
      <c r="W283" s="2"/>
      <c r="X283" s="2">
        <f t="shared" si="143"/>
        <v>84439.88</v>
      </c>
      <c r="Y283" s="2"/>
      <c r="Z283" s="19">
        <f t="shared" si="144"/>
        <v>0</v>
      </c>
    </row>
    <row r="284" spans="1:26" x14ac:dyDescent="0.25">
      <c r="A284" s="9"/>
      <c r="B284" s="10"/>
      <c r="C284" s="10"/>
      <c r="D284" s="3"/>
      <c r="E284" s="3"/>
      <c r="F284" s="8"/>
      <c r="G284" s="3"/>
      <c r="H284" s="3"/>
      <c r="I284" s="3"/>
      <c r="J284" s="8"/>
      <c r="K284" s="3"/>
      <c r="L284" s="3"/>
      <c r="M284" s="3"/>
      <c r="N284" s="8"/>
      <c r="O284" s="10"/>
      <c r="P284" s="3"/>
      <c r="Q284" s="3"/>
      <c r="R284" s="8"/>
      <c r="S284" s="3"/>
      <c r="T284" s="3"/>
      <c r="U284" s="3"/>
      <c r="V284" s="8"/>
      <c r="W284" s="3"/>
      <c r="X284" s="3"/>
      <c r="Y284" s="3"/>
      <c r="Z284" s="8"/>
    </row>
    <row r="285" spans="1:26" s="23" customFormat="1" x14ac:dyDescent="0.25">
      <c r="A285" s="10"/>
      <c r="B285" s="28" t="s">
        <v>3</v>
      </c>
      <c r="C285" s="28"/>
      <c r="D285" s="20">
        <f>+D168-D170+D274</f>
        <v>-178752.65999999997</v>
      </c>
      <c r="E285" s="14"/>
      <c r="F285" s="22">
        <f>IF(D$12=0,0,D285/D$12)</f>
        <v>-0.45309206972672683</v>
      </c>
      <c r="G285" s="14"/>
      <c r="H285" s="20">
        <f>+H168-H170+H274</f>
        <v>287908.30445848545</v>
      </c>
      <c r="I285" s="14"/>
      <c r="J285" s="22">
        <f>IF(H$12=0,0,H285/H$12)</f>
        <v>0.22170286485505186</v>
      </c>
      <c r="K285" s="16"/>
      <c r="L285" s="20">
        <f>+D285-H285</f>
        <v>-466660.96445848542</v>
      </c>
      <c r="M285" s="16"/>
      <c r="N285" s="22">
        <f>IF(H285=0,0,L285/H285)</f>
        <v>-1.6208666343828055</v>
      </c>
      <c r="O285" s="29"/>
      <c r="P285" s="20">
        <f>+P168-P170+P274</f>
        <v>1133722.2300000004</v>
      </c>
      <c r="Q285" s="14"/>
      <c r="R285" s="22">
        <f>IF(P$12=0,0,P285/P$12)</f>
        <v>0.10341516659684724</v>
      </c>
      <c r="S285" s="14"/>
      <c r="T285" s="20">
        <f>+T168-T170+T274</f>
        <v>1647756.4173851274</v>
      </c>
      <c r="U285" s="14"/>
      <c r="V285" s="22">
        <f>IF(T$12=0,0,T285/T$12)</f>
        <v>0.13214260625566449</v>
      </c>
      <c r="W285" s="16"/>
      <c r="X285" s="20">
        <f>+P285-T285</f>
        <v>-514034.18738512695</v>
      </c>
      <c r="Y285" s="16"/>
      <c r="Z285" s="22">
        <f>IF(T285=0,0,X285/T285)</f>
        <v>-0.31196005790762615</v>
      </c>
    </row>
    <row r="286" spans="1:26" x14ac:dyDescent="0.25">
      <c r="A286" s="9"/>
      <c r="B286" s="10"/>
      <c r="C286" s="9"/>
      <c r="D286" s="3"/>
      <c r="E286" s="3"/>
      <c r="F286" s="8"/>
      <c r="G286" s="3"/>
      <c r="H286" s="3"/>
      <c r="I286" s="3"/>
      <c r="J286" s="8"/>
      <c r="K286" s="3"/>
      <c r="L286" s="3"/>
      <c r="M286" s="3"/>
      <c r="N286" s="8"/>
      <c r="P286" s="3"/>
      <c r="Q286" s="3"/>
      <c r="R286" s="8"/>
      <c r="S286" s="3"/>
      <c r="T286" s="3"/>
      <c r="U286" s="3"/>
      <c r="V286" s="8"/>
      <c r="W286" s="3"/>
      <c r="X286" s="3"/>
      <c r="Y286" s="3"/>
      <c r="Z286" s="8"/>
    </row>
    <row r="287" spans="1:26" s="23" customFormat="1" x14ac:dyDescent="0.25">
      <c r="A287" s="52"/>
      <c r="B287" s="10" t="s">
        <v>14</v>
      </c>
      <c r="C287" s="10"/>
      <c r="D287" s="4">
        <v>97573.72</v>
      </c>
      <c r="E287" s="4"/>
      <c r="F287" s="12">
        <f>IF(D$12=0,0,D287/D$12)</f>
        <v>0.24732431252064235</v>
      </c>
      <c r="G287" s="4"/>
      <c r="H287" s="4">
        <v>114261</v>
      </c>
      <c r="I287" s="4"/>
      <c r="J287" s="12">
        <f>IF(H$12=0,0,H287/H$12)</f>
        <v>8.7986315951701879E-2</v>
      </c>
      <c r="K287" s="4"/>
      <c r="L287" s="4">
        <f>+D287-H287</f>
        <v>-16687.28</v>
      </c>
      <c r="M287" s="4"/>
      <c r="N287" s="12">
        <f>IF(H287=0,0,L287/H287)</f>
        <v>-0.14604528229229569</v>
      </c>
      <c r="O287" s="10"/>
      <c r="P287" s="4">
        <v>1174693.1200000001</v>
      </c>
      <c r="Q287" s="4"/>
      <c r="R287" s="12">
        <f>IF(P$12=0,0,P287/P$12)</f>
        <v>0.10715242366286691</v>
      </c>
      <c r="S287" s="4"/>
      <c r="T287" s="4">
        <v>1457570</v>
      </c>
      <c r="U287" s="4"/>
      <c r="V287" s="12">
        <f>IF(T$12=0,0,T287/T$12)</f>
        <v>0.11689051644278996</v>
      </c>
      <c r="W287" s="4"/>
      <c r="X287" s="4">
        <f>+P287-T287</f>
        <v>-282876.87999999989</v>
      </c>
      <c r="Y287" s="4"/>
      <c r="Z287" s="12">
        <f>IF(T287=0,0,X287/T287)</f>
        <v>-0.194074301748801</v>
      </c>
    </row>
    <row r="288" spans="1:26" x14ac:dyDescent="0.25">
      <c r="A288" s="9"/>
      <c r="B288" s="10"/>
      <c r="C288" s="10"/>
      <c r="D288" s="3"/>
      <c r="E288" s="3"/>
      <c r="F288" s="8"/>
      <c r="G288" s="3"/>
      <c r="H288" s="3"/>
      <c r="I288" s="3"/>
      <c r="J288" s="8"/>
      <c r="K288" s="3"/>
      <c r="L288" s="3"/>
      <c r="M288" s="3"/>
      <c r="N288" s="8"/>
      <c r="O288" s="10"/>
      <c r="P288" s="3"/>
      <c r="Q288" s="3"/>
      <c r="R288" s="8"/>
      <c r="S288" s="3"/>
      <c r="T288" s="3"/>
      <c r="U288" s="3"/>
      <c r="V288" s="8"/>
      <c r="W288" s="3"/>
      <c r="X288" s="3"/>
      <c r="Y288" s="3"/>
      <c r="Z288" s="8"/>
    </row>
    <row r="289" spans="1:26" s="23" customFormat="1" ht="15.75" thickBot="1" x14ac:dyDescent="0.3">
      <c r="A289" s="10"/>
      <c r="B289" s="28" t="s">
        <v>4</v>
      </c>
      <c r="C289" s="28"/>
      <c r="D289" s="31">
        <f>+D285-D287</f>
        <v>-276326.38</v>
      </c>
      <c r="E289" s="14"/>
      <c r="F289" s="34">
        <f>IF(D$12=0,0,D289/D$12)</f>
        <v>-0.70041638224736924</v>
      </c>
      <c r="G289" s="14"/>
      <c r="H289" s="31">
        <f>+H285-H287</f>
        <v>173647.30445848545</v>
      </c>
      <c r="I289" s="14"/>
      <c r="J289" s="34">
        <f>IF(H$12=0,0,H289/H$12)</f>
        <v>0.13371654890334997</v>
      </c>
      <c r="K289" s="16"/>
      <c r="L289" s="31">
        <f>D289-H289</f>
        <v>-449973.68445848546</v>
      </c>
      <c r="M289" s="16"/>
      <c r="N289" s="34">
        <f>IF(H289=0,0,L289/H289)</f>
        <v>-2.5913082029215286</v>
      </c>
      <c r="O289" s="29"/>
      <c r="P289" s="31">
        <f>+P285-P287</f>
        <v>-40970.889999999665</v>
      </c>
      <c r="Q289" s="14"/>
      <c r="R289" s="34">
        <f>IF(P$12=0,0,P289/P$12)</f>
        <v>-3.7372570660196601E-3</v>
      </c>
      <c r="S289" s="14"/>
      <c r="T289" s="31">
        <f>+T285-T287</f>
        <v>190186.4173851274</v>
      </c>
      <c r="U289" s="14"/>
      <c r="V289" s="34">
        <f>IF(T$12=0,0,T289/T$12)</f>
        <v>1.5252089812874544E-2</v>
      </c>
      <c r="W289" s="16"/>
      <c r="X289" s="31">
        <f>P289-T289</f>
        <v>-231157.30738512706</v>
      </c>
      <c r="Y289" s="16"/>
      <c r="Z289" s="34">
        <f>IF(T289=0,0,X289/T289)</f>
        <v>-1.2154249002810418</v>
      </c>
    </row>
    <row r="290" spans="1:26" ht="15.75" thickTop="1" x14ac:dyDescent="0.25">
      <c r="A290" s="9"/>
      <c r="B290" s="9"/>
      <c r="C290" s="9"/>
      <c r="D290" s="3"/>
      <c r="E290" s="3"/>
      <c r="F290" s="8"/>
      <c r="G290" s="3"/>
      <c r="H290" s="3"/>
      <c r="I290" s="3"/>
      <c r="J290" s="8"/>
      <c r="K290" s="3"/>
      <c r="L290" s="3"/>
      <c r="M290" s="3"/>
      <c r="N290" s="8"/>
      <c r="P290" s="3"/>
      <c r="Q290" s="3"/>
      <c r="R290" s="8"/>
      <c r="S290" s="3"/>
      <c r="T290" s="3"/>
      <c r="U290" s="3"/>
      <c r="V290" s="8"/>
      <c r="W290" s="3"/>
      <c r="X290" s="3"/>
      <c r="Y290" s="3"/>
      <c r="Z290" s="8"/>
    </row>
    <row r="291" spans="1:26" x14ac:dyDescent="0.25">
      <c r="A291" s="9"/>
      <c r="B291" s="9"/>
      <c r="C291" s="9"/>
      <c r="D291" s="3"/>
      <c r="E291" s="3"/>
      <c r="F291" s="8"/>
      <c r="G291" s="3"/>
      <c r="H291" s="3"/>
      <c r="I291" s="3"/>
      <c r="J291" s="8"/>
      <c r="K291" s="3"/>
      <c r="L291" s="3"/>
      <c r="M291" s="3"/>
      <c r="N291" s="8"/>
      <c r="P291" s="3"/>
      <c r="Q291" s="3"/>
      <c r="R291" s="8"/>
      <c r="S291" s="3"/>
      <c r="T291" s="3"/>
      <c r="U291" s="3"/>
      <c r="V291" s="8"/>
      <c r="W291" s="3"/>
      <c r="X291" s="3"/>
      <c r="Y291" s="3"/>
      <c r="Z291" s="8"/>
    </row>
    <row r="292" spans="1:26" s="23" customFormat="1" ht="15.75" thickBot="1" x14ac:dyDescent="0.3">
      <c r="A292" s="10"/>
      <c r="B292" s="28" t="s">
        <v>5</v>
      </c>
      <c r="C292" s="28"/>
      <c r="D292" s="32">
        <f>SUM(D289:D291)</f>
        <v>-276326.38</v>
      </c>
      <c r="E292" s="14"/>
      <c r="F292" s="35">
        <f>IF(D$12=0,0,D292/D$12)</f>
        <v>-0.70041638224736924</v>
      </c>
      <c r="G292" s="14"/>
      <c r="H292" s="32">
        <f>SUM(H289:H291)</f>
        <v>173647.30445848545</v>
      </c>
      <c r="I292" s="14"/>
      <c r="J292" s="35">
        <f>IF(H$12=0,0,H292/H$12)</f>
        <v>0.13371654890334997</v>
      </c>
      <c r="K292" s="16"/>
      <c r="L292" s="32">
        <f>+D292-H292</f>
        <v>-449973.68445848546</v>
      </c>
      <c r="M292" s="16"/>
      <c r="N292" s="35">
        <f>IF(H292=0,0,L292/H292)</f>
        <v>-2.5913082029215286</v>
      </c>
      <c r="O292" s="29"/>
      <c r="P292" s="32">
        <f>SUM(P289:P291)</f>
        <v>-40970.889999999665</v>
      </c>
      <c r="Q292" s="14"/>
      <c r="R292" s="35">
        <f>IF(P$12=0,0,P292/P$12)</f>
        <v>-3.7372570660196601E-3</v>
      </c>
      <c r="S292" s="14"/>
      <c r="T292" s="32">
        <f>SUM(T289:T291)</f>
        <v>190186.4173851274</v>
      </c>
      <c r="U292" s="14"/>
      <c r="V292" s="35">
        <f>IF(T$12=0,0,T292/T$12)</f>
        <v>1.5252089812874544E-2</v>
      </c>
      <c r="W292" s="16"/>
      <c r="X292" s="32">
        <f>+P292-T292</f>
        <v>-231157.30738512706</v>
      </c>
      <c r="Y292" s="16"/>
      <c r="Z292" s="35">
        <f>IF(T292=0,0,X292/T292)</f>
        <v>-1.2154249002810418</v>
      </c>
    </row>
    <row r="293" spans="1:26" ht="15.75" thickTop="1" x14ac:dyDescent="0.25">
      <c r="A293" s="9"/>
      <c r="C293" s="9"/>
      <c r="D293" s="18"/>
      <c r="E293" s="18"/>
      <c r="G293" s="18"/>
      <c r="H293" s="18"/>
      <c r="I293" s="18"/>
      <c r="J293" s="42"/>
      <c r="K293" s="18"/>
      <c r="L293" s="18"/>
      <c r="M293" s="18"/>
      <c r="P293" s="18"/>
      <c r="Q293" s="18"/>
      <c r="R293" s="42"/>
      <c r="S293" s="18"/>
      <c r="T293" s="18"/>
      <c r="U293" s="18"/>
      <c r="V293" s="42"/>
      <c r="W293" s="18"/>
      <c r="X293" s="18"/>
    </row>
    <row r="294" spans="1:26" x14ac:dyDescent="0.25">
      <c r="A294" s="9"/>
      <c r="B294" s="57">
        <v>43934.465851388886</v>
      </c>
      <c r="D294" s="18"/>
      <c r="E294" s="18"/>
      <c r="G294" s="18"/>
      <c r="H294" s="18"/>
      <c r="I294" s="18"/>
      <c r="J294" s="42"/>
      <c r="K294" s="18"/>
      <c r="L294" s="18"/>
      <c r="M294" s="18"/>
      <c r="P294" s="18"/>
      <c r="Q294" s="18"/>
      <c r="R294" s="42"/>
      <c r="S294" s="18"/>
      <c r="T294" s="18"/>
      <c r="U294" s="18"/>
      <c r="V294" s="42"/>
      <c r="W294" s="18"/>
      <c r="X294" s="18"/>
    </row>
    <row r="295" spans="1:26" x14ac:dyDescent="0.25">
      <c r="A295" s="9"/>
      <c r="B295" s="62" t="s">
        <v>314</v>
      </c>
      <c r="D295" s="18"/>
      <c r="E295" s="18"/>
      <c r="G295" s="18"/>
      <c r="H295" s="18"/>
      <c r="I295" s="18"/>
      <c r="J295" s="42"/>
      <c r="K295" s="18"/>
      <c r="L295" s="18"/>
      <c r="M295" s="18"/>
      <c r="P295" s="18"/>
      <c r="Q295" s="18"/>
      <c r="R295" s="42"/>
      <c r="S295" s="18"/>
      <c r="T295" s="18"/>
      <c r="U295" s="18"/>
      <c r="V295" s="42"/>
      <c r="W295" s="18"/>
      <c r="X295" s="18"/>
    </row>
    <row r="296" spans="1:26" x14ac:dyDescent="0.25">
      <c r="A296" s="9"/>
      <c r="B296" s="60"/>
      <c r="D296" s="18"/>
      <c r="E296" s="18"/>
      <c r="G296" s="18"/>
      <c r="H296" s="18"/>
      <c r="I296" s="18"/>
      <c r="J296" s="42"/>
      <c r="K296" s="18"/>
      <c r="L296" s="18"/>
      <c r="M296" s="18"/>
      <c r="P296" s="18"/>
      <c r="Q296" s="18"/>
      <c r="R296" s="42"/>
      <c r="S296" s="18"/>
      <c r="T296" s="18"/>
      <c r="U296" s="18"/>
      <c r="V296" s="42"/>
      <c r="W296" s="18"/>
      <c r="X296" s="18"/>
    </row>
    <row r="297" spans="1:26" x14ac:dyDescent="0.25">
      <c r="D297" s="18"/>
      <c r="E297" s="18"/>
      <c r="G297" s="18"/>
      <c r="H297" s="18"/>
      <c r="I297" s="18"/>
      <c r="J297" s="42"/>
      <c r="K297" s="18"/>
      <c r="L297" s="18"/>
      <c r="M297" s="18"/>
      <c r="P297" s="18"/>
      <c r="Q297" s="18"/>
      <c r="R297" s="42"/>
      <c r="S297" s="18"/>
      <c r="T297" s="18"/>
      <c r="U297" s="18"/>
      <c r="V297" s="42"/>
      <c r="W297" s="18"/>
      <c r="X297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8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309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232041.72999999998</v>
      </c>
      <c r="E12" s="4"/>
      <c r="F12" s="12"/>
      <c r="G12" s="4"/>
      <c r="H12" s="4">
        <f>SUM(OSRRefH13x_0)</f>
        <v>935075.39104000002</v>
      </c>
      <c r="I12" s="4"/>
      <c r="J12" s="12"/>
      <c r="K12" s="4"/>
      <c r="L12" s="4">
        <f t="shared" ref="L12:L108" si="0">+D12-H12</f>
        <v>-703033.66104000004</v>
      </c>
      <c r="M12" s="4"/>
      <c r="N12" s="12">
        <f t="shared" ref="N12:N108" si="1">IF(H12=0,0,L12/H12)</f>
        <v>-0.75184703583962265</v>
      </c>
      <c r="O12" s="10"/>
      <c r="P12" s="4">
        <f>SUM(OSRRefP13x_0)</f>
        <v>8598288.0299999993</v>
      </c>
      <c r="Q12" s="4"/>
      <c r="R12" s="12"/>
      <c r="S12" s="4"/>
      <c r="T12" s="4">
        <f>SUM(OSRRefT13x_0)</f>
        <v>9928566.4981800001</v>
      </c>
      <c r="U12" s="4"/>
      <c r="V12" s="12"/>
      <c r="W12" s="4"/>
      <c r="X12" s="4">
        <f t="shared" ref="X12:X108" si="2">+P12-T12</f>
        <v>-1330278.4681800008</v>
      </c>
      <c r="Y12" s="4"/>
      <c r="Z12" s="12">
        <f t="shared" ref="Z12:Z108" si="3">IF(T12=0,0,X12/T12)</f>
        <v>-0.13398494822226889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628075.39104000002</v>
      </c>
      <c r="I13" s="2"/>
      <c r="J13" s="19"/>
      <c r="K13" s="2"/>
      <c r="L13" s="2">
        <f t="shared" si="0"/>
        <v>-628075.39104000002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4103214.4981800001</v>
      </c>
      <c r="U13" s="2"/>
      <c r="V13" s="19"/>
      <c r="W13" s="2"/>
      <c r="X13" s="2">
        <f t="shared" si="2"/>
        <v>-4103214.4981800001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--6131.56</f>
        <v>6131.56</v>
      </c>
      <c r="E14" s="2"/>
      <c r="F14" s="19"/>
      <c r="G14" s="2"/>
      <c r="H14" s="2"/>
      <c r="I14" s="2"/>
      <c r="J14" s="19"/>
      <c r="K14" s="2"/>
      <c r="L14" s="2">
        <f t="shared" si="0"/>
        <v>6131.56</v>
      </c>
      <c r="M14" s="2"/>
      <c r="N14" s="19">
        <f t="shared" si="1"/>
        <v>0</v>
      </c>
      <c r="O14" s="11"/>
      <c r="P14" s="2">
        <f>--2396893.28</f>
        <v>2396893.2799999998</v>
      </c>
      <c r="Q14" s="2"/>
      <c r="R14" s="19"/>
      <c r="S14" s="2"/>
      <c r="T14" s="2"/>
      <c r="U14" s="2"/>
      <c r="V14" s="19"/>
      <c r="W14" s="2"/>
      <c r="X14" s="2">
        <f t="shared" si="2"/>
        <v>2396893.2799999998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--4341.5</f>
        <v>4341.5</v>
      </c>
      <c r="E15" s="2"/>
      <c r="F15" s="19"/>
      <c r="G15" s="2"/>
      <c r="H15" s="2"/>
      <c r="I15" s="2"/>
      <c r="J15" s="19"/>
      <c r="K15" s="2"/>
      <c r="L15" s="2">
        <f t="shared" si="0"/>
        <v>4341.5</v>
      </c>
      <c r="M15" s="2"/>
      <c r="N15" s="19">
        <f t="shared" si="1"/>
        <v>0</v>
      </c>
      <c r="O15" s="11"/>
      <c r="P15" s="2">
        <f>--1244314.69</f>
        <v>1244314.69</v>
      </c>
      <c r="Q15" s="2"/>
      <c r="R15" s="19"/>
      <c r="S15" s="2"/>
      <c r="T15" s="2"/>
      <c r="U15" s="2"/>
      <c r="V15" s="19"/>
      <c r="W15" s="2"/>
      <c r="X15" s="2">
        <f t="shared" si="2"/>
        <v>1244314.69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--78</f>
        <v>78</v>
      </c>
      <c r="E16" s="2"/>
      <c r="F16" s="19"/>
      <c r="G16" s="2"/>
      <c r="H16" s="2"/>
      <c r="I16" s="2"/>
      <c r="J16" s="19"/>
      <c r="K16" s="2"/>
      <c r="L16" s="2">
        <f t="shared" si="0"/>
        <v>78</v>
      </c>
      <c r="M16" s="2"/>
      <c r="N16" s="19">
        <f t="shared" si="1"/>
        <v>0</v>
      </c>
      <c r="O16" s="11"/>
      <c r="P16" s="2">
        <f>--33694.89</f>
        <v>33694.89</v>
      </c>
      <c r="Q16" s="2"/>
      <c r="R16" s="19"/>
      <c r="S16" s="2"/>
      <c r="T16" s="2"/>
      <c r="U16" s="2"/>
      <c r="V16" s="19"/>
      <c r="W16" s="2"/>
      <c r="X16" s="2">
        <f t="shared" si="2"/>
        <v>33694.89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/>
      <c r="U17" s="2"/>
      <c r="V17" s="19"/>
      <c r="W17" s="2"/>
      <c r="X17" s="2">
        <f t="shared" si="2"/>
        <v>42195.3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--253.6</f>
        <v>253.6</v>
      </c>
      <c r="E18" s="2"/>
      <c r="F18" s="19"/>
      <c r="G18" s="2"/>
      <c r="H18" s="2"/>
      <c r="I18" s="2"/>
      <c r="J18" s="19"/>
      <c r="K18" s="2"/>
      <c r="L18" s="2">
        <f t="shared" si="0"/>
        <v>253.6</v>
      </c>
      <c r="M18" s="2"/>
      <c r="N18" s="19">
        <f t="shared" si="1"/>
        <v>0</v>
      </c>
      <c r="O18" s="11"/>
      <c r="P18" s="2">
        <f>--1052.48</f>
        <v>1052.48</v>
      </c>
      <c r="Q18" s="2"/>
      <c r="R18" s="19"/>
      <c r="S18" s="2"/>
      <c r="T18" s="2"/>
      <c r="U18" s="2"/>
      <c r="V18" s="19"/>
      <c r="W18" s="2"/>
      <c r="X18" s="2">
        <f t="shared" si="2"/>
        <v>1052.48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--412.75</f>
        <v>412.75</v>
      </c>
      <c r="E19" s="2"/>
      <c r="F19" s="19"/>
      <c r="G19" s="2"/>
      <c r="H19" s="2"/>
      <c r="I19" s="2"/>
      <c r="J19" s="19"/>
      <c r="K19" s="2"/>
      <c r="L19" s="2">
        <f t="shared" si="0"/>
        <v>412.75</v>
      </c>
      <c r="M19" s="2"/>
      <c r="N19" s="19">
        <f t="shared" si="1"/>
        <v>0</v>
      </c>
      <c r="O19" s="11"/>
      <c r="P19" s="2">
        <f>--2695</f>
        <v>2695</v>
      </c>
      <c r="Q19" s="2"/>
      <c r="R19" s="19"/>
      <c r="S19" s="2"/>
      <c r="T19" s="2"/>
      <c r="U19" s="2"/>
      <c r="V19" s="19"/>
      <c r="W19" s="2"/>
      <c r="X19" s="2">
        <f t="shared" si="2"/>
        <v>2695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--67.24</f>
        <v>67.239999999999995</v>
      </c>
      <c r="E20" s="2"/>
      <c r="F20" s="19"/>
      <c r="G20" s="2"/>
      <c r="H20" s="2"/>
      <c r="I20" s="2"/>
      <c r="J20" s="19"/>
      <c r="K20" s="2"/>
      <c r="L20" s="2">
        <f t="shared" si="0"/>
        <v>67.239999999999995</v>
      </c>
      <c r="M20" s="2"/>
      <c r="N20" s="19">
        <f t="shared" si="1"/>
        <v>0</v>
      </c>
      <c r="O20" s="11"/>
      <c r="P20" s="2">
        <f>--1219.18</f>
        <v>1219.18</v>
      </c>
      <c r="Q20" s="2"/>
      <c r="R20" s="19"/>
      <c r="S20" s="2"/>
      <c r="T20" s="2"/>
      <c r="U20" s="2"/>
      <c r="V20" s="19"/>
      <c r="W20" s="2"/>
      <c r="X20" s="2">
        <f t="shared" si="2"/>
        <v>1219.18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--10.98</f>
        <v>10.98</v>
      </c>
      <c r="E21" s="2"/>
      <c r="F21" s="19"/>
      <c r="G21" s="2"/>
      <c r="H21" s="2"/>
      <c r="I21" s="2"/>
      <c r="J21" s="19"/>
      <c r="K21" s="2"/>
      <c r="L21" s="2">
        <f t="shared" si="0"/>
        <v>10.98</v>
      </c>
      <c r="M21" s="2"/>
      <c r="N21" s="19">
        <f t="shared" si="1"/>
        <v>0</v>
      </c>
      <c r="O21" s="11"/>
      <c r="P21" s="2">
        <f>--282.57</f>
        <v>282.57</v>
      </c>
      <c r="Q21" s="2"/>
      <c r="R21" s="19"/>
      <c r="S21" s="2"/>
      <c r="T21" s="2"/>
      <c r="U21" s="2"/>
      <c r="V21" s="19"/>
      <c r="W21" s="2"/>
      <c r="X21" s="2">
        <f t="shared" si="2"/>
        <v>282.57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--56.6</f>
        <v>56.6</v>
      </c>
      <c r="E22" s="2"/>
      <c r="F22" s="19"/>
      <c r="G22" s="2"/>
      <c r="H22" s="2"/>
      <c r="I22" s="2"/>
      <c r="J22" s="19"/>
      <c r="K22" s="2"/>
      <c r="L22" s="2">
        <f t="shared" si="0"/>
        <v>56.6</v>
      </c>
      <c r="M22" s="2"/>
      <c r="N22" s="19">
        <f t="shared" si="1"/>
        <v>0</v>
      </c>
      <c r="O22" s="11"/>
      <c r="P22" s="2">
        <f>--4154.31</f>
        <v>4154.3100000000004</v>
      </c>
      <c r="Q22" s="2"/>
      <c r="R22" s="19"/>
      <c r="S22" s="2"/>
      <c r="T22" s="2"/>
      <c r="U22" s="2"/>
      <c r="V22" s="19"/>
      <c r="W22" s="2"/>
      <c r="X22" s="2">
        <f t="shared" si="2"/>
        <v>4154.3100000000004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/>
      <c r="U23" s="2"/>
      <c r="V23" s="19"/>
      <c r="W23" s="2"/>
      <c r="X23" s="2">
        <f t="shared" si="2"/>
        <v>42.85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--2919.17</f>
        <v>2919.17</v>
      </c>
      <c r="E24" s="2"/>
      <c r="F24" s="19"/>
      <c r="G24" s="2"/>
      <c r="H24" s="2"/>
      <c r="I24" s="2"/>
      <c r="J24" s="19"/>
      <c r="K24" s="2"/>
      <c r="L24" s="2">
        <f t="shared" si="0"/>
        <v>2919.17</v>
      </c>
      <c r="M24" s="2"/>
      <c r="N24" s="19">
        <f t="shared" si="1"/>
        <v>0</v>
      </c>
      <c r="O24" s="11"/>
      <c r="P24" s="2">
        <f>--54702.86</f>
        <v>54702.86</v>
      </c>
      <c r="Q24" s="2"/>
      <c r="R24" s="19"/>
      <c r="S24" s="2"/>
      <c r="T24" s="2"/>
      <c r="U24" s="2"/>
      <c r="V24" s="19"/>
      <c r="W24" s="2"/>
      <c r="X24" s="2">
        <f t="shared" si="2"/>
        <v>54702.86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--4393.86</f>
        <v>4393.8599999999997</v>
      </c>
      <c r="E25" s="2"/>
      <c r="F25" s="19"/>
      <c r="G25" s="2"/>
      <c r="H25" s="2"/>
      <c r="I25" s="2"/>
      <c r="J25" s="19"/>
      <c r="K25" s="2"/>
      <c r="L25" s="2">
        <f t="shared" si="0"/>
        <v>4393.8599999999997</v>
      </c>
      <c r="M25" s="2"/>
      <c r="N25" s="19">
        <f t="shared" si="1"/>
        <v>0</v>
      </c>
      <c r="O25" s="11"/>
      <c r="P25" s="2">
        <f>--79868.06</f>
        <v>79868.06</v>
      </c>
      <c r="Q25" s="2"/>
      <c r="R25" s="19"/>
      <c r="S25" s="2"/>
      <c r="T25" s="2"/>
      <c r="U25" s="2"/>
      <c r="V25" s="19"/>
      <c r="W25" s="2"/>
      <c r="X25" s="2">
        <f t="shared" si="2"/>
        <v>79868.06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--8153.25</f>
        <v>8153.25</v>
      </c>
      <c r="E26" s="2"/>
      <c r="F26" s="19"/>
      <c r="G26" s="2"/>
      <c r="H26" s="2"/>
      <c r="I26" s="2"/>
      <c r="J26" s="19"/>
      <c r="K26" s="2"/>
      <c r="L26" s="2">
        <f t="shared" si="0"/>
        <v>8153.25</v>
      </c>
      <c r="M26" s="2"/>
      <c r="N26" s="19">
        <f t="shared" si="1"/>
        <v>0</v>
      </c>
      <c r="O26" s="11"/>
      <c r="P26" s="2">
        <f>--269846.58</f>
        <v>269846.58</v>
      </c>
      <c r="Q26" s="2"/>
      <c r="R26" s="19"/>
      <c r="S26" s="2"/>
      <c r="T26" s="2"/>
      <c r="U26" s="2"/>
      <c r="V26" s="19"/>
      <c r="W26" s="2"/>
      <c r="X26" s="2">
        <f t="shared" si="2"/>
        <v>269846.58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--17260.82</f>
        <v>17260.82</v>
      </c>
      <c r="E27" s="2"/>
      <c r="F27" s="19"/>
      <c r="G27" s="2"/>
      <c r="H27" s="2"/>
      <c r="I27" s="2"/>
      <c r="J27" s="19"/>
      <c r="K27" s="2"/>
      <c r="L27" s="2">
        <f t="shared" si="0"/>
        <v>17260.82</v>
      </c>
      <c r="M27" s="2"/>
      <c r="N27" s="19">
        <f t="shared" si="1"/>
        <v>0</v>
      </c>
      <c r="O27" s="11"/>
      <c r="P27" s="2">
        <f>--292597.05</f>
        <v>292597.05</v>
      </c>
      <c r="Q27" s="2"/>
      <c r="R27" s="19"/>
      <c r="S27" s="2"/>
      <c r="T27" s="2"/>
      <c r="U27" s="2"/>
      <c r="V27" s="19"/>
      <c r="W27" s="2"/>
      <c r="X27" s="2">
        <f t="shared" si="2"/>
        <v>292597.05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--44.3</f>
        <v>44.3</v>
      </c>
      <c r="E28" s="2"/>
      <c r="F28" s="19"/>
      <c r="G28" s="2"/>
      <c r="H28" s="2"/>
      <c r="I28" s="2"/>
      <c r="J28" s="19"/>
      <c r="K28" s="2"/>
      <c r="L28" s="2">
        <f t="shared" si="0"/>
        <v>44.3</v>
      </c>
      <c r="M28" s="2"/>
      <c r="N28" s="19">
        <f t="shared" si="1"/>
        <v>0</v>
      </c>
      <c r="O28" s="11"/>
      <c r="P28" s="2">
        <f>--486.34</f>
        <v>486.34</v>
      </c>
      <c r="Q28" s="2"/>
      <c r="R28" s="19"/>
      <c r="S28" s="2"/>
      <c r="T28" s="2"/>
      <c r="U28" s="2"/>
      <c r="V28" s="19"/>
      <c r="W28" s="2"/>
      <c r="X28" s="2">
        <f t="shared" si="2"/>
        <v>486.34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--240.81</f>
        <v>240.81</v>
      </c>
      <c r="E29" s="2"/>
      <c r="F29" s="19"/>
      <c r="G29" s="2"/>
      <c r="H29" s="2"/>
      <c r="I29" s="2"/>
      <c r="J29" s="19"/>
      <c r="K29" s="2"/>
      <c r="L29" s="2">
        <f t="shared" si="0"/>
        <v>240.81</v>
      </c>
      <c r="M29" s="2"/>
      <c r="N29" s="19">
        <f t="shared" si="1"/>
        <v>0</v>
      </c>
      <c r="O29" s="11"/>
      <c r="P29" s="2">
        <f>--1905.06</f>
        <v>1905.06</v>
      </c>
      <c r="Q29" s="2"/>
      <c r="R29" s="19"/>
      <c r="S29" s="2"/>
      <c r="T29" s="2"/>
      <c r="U29" s="2"/>
      <c r="V29" s="19"/>
      <c r="W29" s="2"/>
      <c r="X29" s="2">
        <f t="shared" si="2"/>
        <v>1905.06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--25.55</f>
        <v>25.55</v>
      </c>
      <c r="E30" s="2"/>
      <c r="F30" s="19"/>
      <c r="G30" s="2"/>
      <c r="H30" s="2"/>
      <c r="I30" s="2"/>
      <c r="J30" s="19"/>
      <c r="K30" s="2"/>
      <c r="L30" s="2">
        <f t="shared" si="0"/>
        <v>25.55</v>
      </c>
      <c r="M30" s="2"/>
      <c r="N30" s="19">
        <f t="shared" si="1"/>
        <v>0</v>
      </c>
      <c r="O30" s="11"/>
      <c r="P30" s="2">
        <f>--205.53</f>
        <v>205.53</v>
      </c>
      <c r="Q30" s="2"/>
      <c r="R30" s="19"/>
      <c r="S30" s="2"/>
      <c r="T30" s="2"/>
      <c r="U30" s="2"/>
      <c r="V30" s="19"/>
      <c r="W30" s="2"/>
      <c r="X30" s="2">
        <f t="shared" si="2"/>
        <v>205.53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--600.08</f>
        <v>600.08000000000004</v>
      </c>
      <c r="E31" s="2"/>
      <c r="F31" s="19"/>
      <c r="G31" s="2"/>
      <c r="H31" s="2"/>
      <c r="I31" s="2"/>
      <c r="J31" s="19"/>
      <c r="K31" s="2"/>
      <c r="L31" s="2">
        <f t="shared" si="0"/>
        <v>600.08000000000004</v>
      </c>
      <c r="M31" s="2"/>
      <c r="N31" s="19">
        <f t="shared" si="1"/>
        <v>0</v>
      </c>
      <c r="O31" s="11"/>
      <c r="P31" s="2">
        <f>--7803.51</f>
        <v>7803.51</v>
      </c>
      <c r="Q31" s="2"/>
      <c r="R31" s="19"/>
      <c r="S31" s="2"/>
      <c r="T31" s="2"/>
      <c r="U31" s="2"/>
      <c r="V31" s="19"/>
      <c r="W31" s="2"/>
      <c r="X31" s="2">
        <f t="shared" si="2"/>
        <v>7803.51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--101.32</f>
        <v>101.32</v>
      </c>
      <c r="E32" s="2"/>
      <c r="F32" s="19"/>
      <c r="G32" s="2"/>
      <c r="H32" s="2"/>
      <c r="I32" s="2"/>
      <c r="J32" s="19"/>
      <c r="K32" s="2"/>
      <c r="L32" s="2">
        <f t="shared" si="0"/>
        <v>101.32</v>
      </c>
      <c r="M32" s="2"/>
      <c r="N32" s="19">
        <f t="shared" si="1"/>
        <v>0</v>
      </c>
      <c r="O32" s="11"/>
      <c r="P32" s="2">
        <f>--1981.84</f>
        <v>1981.84</v>
      </c>
      <c r="Q32" s="2"/>
      <c r="R32" s="19"/>
      <c r="S32" s="2"/>
      <c r="T32" s="2"/>
      <c r="U32" s="2"/>
      <c r="V32" s="19"/>
      <c r="W32" s="2"/>
      <c r="X32" s="2">
        <f t="shared" si="2"/>
        <v>1981.84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--24.8</f>
        <v>24.8</v>
      </c>
      <c r="E33" s="2"/>
      <c r="F33" s="19"/>
      <c r="G33" s="2"/>
      <c r="H33" s="2"/>
      <c r="I33" s="2"/>
      <c r="J33" s="19"/>
      <c r="K33" s="2"/>
      <c r="L33" s="2">
        <f t="shared" si="0"/>
        <v>24.8</v>
      </c>
      <c r="M33" s="2"/>
      <c r="N33" s="19">
        <f t="shared" si="1"/>
        <v>0</v>
      </c>
      <c r="O33" s="11"/>
      <c r="P33" s="2">
        <f>--513.51</f>
        <v>513.51</v>
      </c>
      <c r="Q33" s="2"/>
      <c r="R33" s="19"/>
      <c r="S33" s="2"/>
      <c r="T33" s="2"/>
      <c r="U33" s="2"/>
      <c r="V33" s="19"/>
      <c r="W33" s="2"/>
      <c r="X33" s="2">
        <f t="shared" si="2"/>
        <v>513.51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--93833.27</f>
        <v>93833.27</v>
      </c>
      <c r="E34" s="2"/>
      <c r="F34" s="19"/>
      <c r="G34" s="2"/>
      <c r="H34" s="2"/>
      <c r="I34" s="2"/>
      <c r="J34" s="19"/>
      <c r="K34" s="2"/>
      <c r="L34" s="2">
        <f t="shared" si="0"/>
        <v>93833.27</v>
      </c>
      <c r="M34" s="2"/>
      <c r="N34" s="19">
        <f t="shared" si="1"/>
        <v>0</v>
      </c>
      <c r="O34" s="11"/>
      <c r="P34" s="2">
        <f>--1776128.49</f>
        <v>1776128.49</v>
      </c>
      <c r="Q34" s="2"/>
      <c r="R34" s="19"/>
      <c r="S34" s="2"/>
      <c r="T34" s="2"/>
      <c r="U34" s="2"/>
      <c r="V34" s="19"/>
      <c r="W34" s="2"/>
      <c r="X34" s="2">
        <f t="shared" si="2"/>
        <v>1776128.49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--25196.53</f>
        <v>25196.53</v>
      </c>
      <c r="E35" s="2"/>
      <c r="F35" s="19"/>
      <c r="G35" s="2"/>
      <c r="H35" s="2"/>
      <c r="I35" s="2"/>
      <c r="J35" s="19"/>
      <c r="K35" s="2"/>
      <c r="L35" s="2">
        <f t="shared" si="0"/>
        <v>25196.53</v>
      </c>
      <c r="M35" s="2"/>
      <c r="N35" s="19">
        <f t="shared" si="1"/>
        <v>0</v>
      </c>
      <c r="O35" s="11"/>
      <c r="P35" s="2">
        <f>--467017.72</f>
        <v>467017.72</v>
      </c>
      <c r="Q35" s="2"/>
      <c r="R35" s="19"/>
      <c r="S35" s="2"/>
      <c r="T35" s="2"/>
      <c r="U35" s="2"/>
      <c r="V35" s="19"/>
      <c r="W35" s="2"/>
      <c r="X35" s="2">
        <f t="shared" si="2"/>
        <v>467017.72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--18014.27</f>
        <v>18014.27</v>
      </c>
      <c r="E36" s="2"/>
      <c r="F36" s="19"/>
      <c r="G36" s="2"/>
      <c r="H36" s="2"/>
      <c r="I36" s="2"/>
      <c r="J36" s="19"/>
      <c r="K36" s="2"/>
      <c r="L36" s="2">
        <f t="shared" si="0"/>
        <v>18014.27</v>
      </c>
      <c r="M36" s="2"/>
      <c r="N36" s="19">
        <f t="shared" si="1"/>
        <v>0</v>
      </c>
      <c r="O36" s="11"/>
      <c r="P36" s="2">
        <f>--277580.41</f>
        <v>277580.40999999997</v>
      </c>
      <c r="Q36" s="2"/>
      <c r="R36" s="19"/>
      <c r="S36" s="2"/>
      <c r="T36" s="2"/>
      <c r="U36" s="2"/>
      <c r="V36" s="19"/>
      <c r="W36" s="2"/>
      <c r="X36" s="2">
        <f t="shared" si="2"/>
        <v>277580.40999999997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--666.52</f>
        <v>666.52</v>
      </c>
      <c r="E37" s="2"/>
      <c r="F37" s="19"/>
      <c r="G37" s="2"/>
      <c r="H37" s="2"/>
      <c r="I37" s="2"/>
      <c r="J37" s="19"/>
      <c r="K37" s="2"/>
      <c r="L37" s="2">
        <f t="shared" si="0"/>
        <v>666.52</v>
      </c>
      <c r="M37" s="2"/>
      <c r="N37" s="19">
        <f t="shared" si="1"/>
        <v>0</v>
      </c>
      <c r="O37" s="11"/>
      <c r="P37" s="2">
        <f>--76568.23</f>
        <v>76568.23</v>
      </c>
      <c r="Q37" s="2"/>
      <c r="R37" s="19"/>
      <c r="S37" s="2"/>
      <c r="T37" s="2"/>
      <c r="U37" s="2"/>
      <c r="V37" s="19"/>
      <c r="W37" s="2"/>
      <c r="X37" s="2">
        <f t="shared" si="2"/>
        <v>76568.23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--3732.24</f>
        <v>3732.24</v>
      </c>
      <c r="E38" s="2"/>
      <c r="F38" s="19"/>
      <c r="G38" s="2"/>
      <c r="H38" s="2"/>
      <c r="I38" s="2"/>
      <c r="J38" s="19"/>
      <c r="K38" s="2"/>
      <c r="L38" s="2">
        <f t="shared" si="0"/>
        <v>3732.24</v>
      </c>
      <c r="M38" s="2"/>
      <c r="N38" s="19">
        <f t="shared" si="1"/>
        <v>0</v>
      </c>
      <c r="O38" s="11"/>
      <c r="P38" s="2">
        <f>--66666.73</f>
        <v>66666.73</v>
      </c>
      <c r="Q38" s="2"/>
      <c r="R38" s="19"/>
      <c r="S38" s="2"/>
      <c r="T38" s="2"/>
      <c r="U38" s="2"/>
      <c r="V38" s="19"/>
      <c r="W38" s="2"/>
      <c r="X38" s="2">
        <f t="shared" si="2"/>
        <v>66666.73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--3847.78</f>
        <v>3847.78</v>
      </c>
      <c r="E39" s="2"/>
      <c r="F39" s="19"/>
      <c r="G39" s="2"/>
      <c r="H39" s="2"/>
      <c r="I39" s="2"/>
      <c r="J39" s="19"/>
      <c r="K39" s="2"/>
      <c r="L39" s="2">
        <f t="shared" si="0"/>
        <v>3847.78</v>
      </c>
      <c r="M39" s="2"/>
      <c r="N39" s="19">
        <f t="shared" si="1"/>
        <v>0</v>
      </c>
      <c r="O39" s="11"/>
      <c r="P39" s="2">
        <f>--74400.82</f>
        <v>74400.820000000007</v>
      </c>
      <c r="Q39" s="2"/>
      <c r="R39" s="19"/>
      <c r="S39" s="2"/>
      <c r="T39" s="2"/>
      <c r="U39" s="2"/>
      <c r="V39" s="19"/>
      <c r="W39" s="2"/>
      <c r="X39" s="2">
        <f t="shared" si="2"/>
        <v>74400.820000000007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--490.15</f>
        <v>490.15</v>
      </c>
      <c r="E40" s="2"/>
      <c r="F40" s="19"/>
      <c r="G40" s="2"/>
      <c r="H40" s="2"/>
      <c r="I40" s="2"/>
      <c r="J40" s="19"/>
      <c r="K40" s="2"/>
      <c r="L40" s="2">
        <f t="shared" si="0"/>
        <v>490.15</v>
      </c>
      <c r="M40" s="2"/>
      <c r="N40" s="19">
        <f t="shared" si="1"/>
        <v>0</v>
      </c>
      <c r="O40" s="11"/>
      <c r="P40" s="2">
        <f>--2676.14</f>
        <v>2676.14</v>
      </c>
      <c r="Q40" s="2"/>
      <c r="R40" s="19"/>
      <c r="S40" s="2"/>
      <c r="T40" s="2"/>
      <c r="U40" s="2"/>
      <c r="V40" s="19"/>
      <c r="W40" s="2"/>
      <c r="X40" s="2">
        <f t="shared" si="2"/>
        <v>2676.14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--64.95</f>
        <v>64.95</v>
      </c>
      <c r="E41" s="2"/>
      <c r="F41" s="19"/>
      <c r="G41" s="2"/>
      <c r="H41" s="2"/>
      <c r="I41" s="2"/>
      <c r="J41" s="19"/>
      <c r="K41" s="2"/>
      <c r="L41" s="2">
        <f t="shared" si="0"/>
        <v>64.95</v>
      </c>
      <c r="M41" s="2"/>
      <c r="N41" s="19">
        <f t="shared" si="1"/>
        <v>0</v>
      </c>
      <c r="O41" s="11"/>
      <c r="P41" s="2">
        <f>--3174.93</f>
        <v>3174.93</v>
      </c>
      <c r="Q41" s="2"/>
      <c r="R41" s="19"/>
      <c r="S41" s="2"/>
      <c r="T41" s="2"/>
      <c r="U41" s="2"/>
      <c r="V41" s="19"/>
      <c r="W41" s="2"/>
      <c r="X41" s="2">
        <f t="shared" si="2"/>
        <v>3174.93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--67.96</f>
        <v>67.959999999999994</v>
      </c>
      <c r="E42" s="2"/>
      <c r="F42" s="19"/>
      <c r="G42" s="2"/>
      <c r="H42" s="2"/>
      <c r="I42" s="2"/>
      <c r="J42" s="19"/>
      <c r="K42" s="2"/>
      <c r="L42" s="2">
        <f t="shared" si="0"/>
        <v>67.959999999999994</v>
      </c>
      <c r="M42" s="2"/>
      <c r="N42" s="19">
        <f t="shared" si="1"/>
        <v>0</v>
      </c>
      <c r="O42" s="11"/>
      <c r="P42" s="2">
        <f>--363.94</f>
        <v>363.94</v>
      </c>
      <c r="Q42" s="2"/>
      <c r="R42" s="19"/>
      <c r="S42" s="2"/>
      <c r="T42" s="2"/>
      <c r="U42" s="2"/>
      <c r="V42" s="19"/>
      <c r="W42" s="2"/>
      <c r="X42" s="2">
        <f t="shared" si="2"/>
        <v>363.94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--29.97</f>
        <v>29.97</v>
      </c>
      <c r="E43" s="2"/>
      <c r="F43" s="19"/>
      <c r="G43" s="2"/>
      <c r="H43" s="2"/>
      <c r="I43" s="2"/>
      <c r="J43" s="19"/>
      <c r="K43" s="2"/>
      <c r="L43" s="2">
        <f t="shared" si="0"/>
        <v>29.97</v>
      </c>
      <c r="M43" s="2"/>
      <c r="N43" s="19">
        <f t="shared" si="1"/>
        <v>0</v>
      </c>
      <c r="O43" s="11"/>
      <c r="P43" s="2">
        <f>--914.33</f>
        <v>914.33</v>
      </c>
      <c r="Q43" s="2"/>
      <c r="R43" s="19"/>
      <c r="S43" s="2"/>
      <c r="T43" s="2"/>
      <c r="U43" s="2"/>
      <c r="V43" s="19"/>
      <c r="W43" s="2"/>
      <c r="X43" s="2">
        <f t="shared" si="2"/>
        <v>914.33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"4086", " - ", "TAXABLE SALES-COMPUTER SUPPLIE")</f>
        <v xml:space="preserve">          4086 - TAXABLE SALES-COMPUTER SUPPLIE</v>
      </c>
      <c r="C44" s="11"/>
      <c r="D44" s="2">
        <f>--9</f>
        <v>9</v>
      </c>
      <c r="E44" s="2"/>
      <c r="F44" s="19"/>
      <c r="G44" s="2"/>
      <c r="H44" s="2"/>
      <c r="I44" s="2"/>
      <c r="J44" s="19"/>
      <c r="K44" s="2"/>
      <c r="L44" s="2">
        <f t="shared" si="0"/>
        <v>9</v>
      </c>
      <c r="M44" s="2"/>
      <c r="N44" s="19">
        <f t="shared" si="1"/>
        <v>0</v>
      </c>
      <c r="O44" s="11"/>
      <c r="P44" s="2">
        <f>--813.74</f>
        <v>813.74</v>
      </c>
      <c r="Q44" s="2"/>
      <c r="R44" s="19"/>
      <c r="S44" s="2"/>
      <c r="T44" s="2"/>
      <c r="U44" s="2"/>
      <c r="V44" s="19"/>
      <c r="W44" s="2"/>
      <c r="X44" s="2">
        <f t="shared" si="2"/>
        <v>813.74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"4092", " - ", "TAXABLE SALES-GRAD MERCH")</f>
        <v xml:space="preserve">          4092 - TAXABLE SALES-GRAD MERCH</v>
      </c>
      <c r="C45" s="11"/>
      <c r="D45" s="2">
        <f>--10952.9</f>
        <v>10952.9</v>
      </c>
      <c r="E45" s="2"/>
      <c r="F45" s="19"/>
      <c r="G45" s="2"/>
      <c r="H45" s="2"/>
      <c r="I45" s="2"/>
      <c r="J45" s="19"/>
      <c r="K45" s="2"/>
      <c r="L45" s="2">
        <f t="shared" si="0"/>
        <v>10952.9</v>
      </c>
      <c r="M45" s="2"/>
      <c r="N45" s="19">
        <f t="shared" si="1"/>
        <v>0</v>
      </c>
      <c r="O45" s="11"/>
      <c r="P45" s="2">
        <f>--18612.27</f>
        <v>18612.27</v>
      </c>
      <c r="Q45" s="2"/>
      <c r="R45" s="19"/>
      <c r="S45" s="2"/>
      <c r="T45" s="2"/>
      <c r="U45" s="2"/>
      <c r="V45" s="19"/>
      <c r="W45" s="2"/>
      <c r="X45" s="2">
        <f t="shared" si="2"/>
        <v>18612.27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"4095", " - ", "TAXABLE SALES-CUSTOMER SERVICE")</f>
        <v xml:space="preserve">          4095 - TAXABLE SALES-CUSTOMER SERVICE</v>
      </c>
      <c r="C46" s="11"/>
      <c r="D46" s="2">
        <f>0</f>
        <v>0</v>
      </c>
      <c r="E46" s="2"/>
      <c r="F46" s="19"/>
      <c r="G46" s="2"/>
      <c r="H46" s="2"/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>--309.26</f>
        <v>309.26</v>
      </c>
      <c r="Q46" s="2"/>
      <c r="R46" s="19"/>
      <c r="S46" s="2"/>
      <c r="T46" s="2"/>
      <c r="U46" s="2"/>
      <c r="V46" s="19"/>
      <c r="W46" s="2"/>
      <c r="X46" s="2">
        <f t="shared" si="2"/>
        <v>309.26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"4100", " - ", "NON-TAXABLE SALES")</f>
        <v xml:space="preserve">          4100 - NON-TAXABLE SALES</v>
      </c>
      <c r="C47" s="11"/>
      <c r="D47" s="2">
        <f>--1572.53</f>
        <v>1572.53</v>
      </c>
      <c r="E47" s="2"/>
      <c r="F47" s="19"/>
      <c r="G47" s="2"/>
      <c r="H47" s="2">
        <v>307000</v>
      </c>
      <c r="I47" s="2"/>
      <c r="J47" s="19"/>
      <c r="K47" s="2"/>
      <c r="L47" s="2">
        <f t="shared" si="0"/>
        <v>-305427.46999999997</v>
      </c>
      <c r="M47" s="2"/>
      <c r="N47" s="19">
        <f t="shared" si="1"/>
        <v>-0.9948777524429967</v>
      </c>
      <c r="O47" s="11"/>
      <c r="P47" s="2">
        <f>--574312.65</f>
        <v>574312.65</v>
      </c>
      <c r="Q47" s="2"/>
      <c r="R47" s="19"/>
      <c r="S47" s="2"/>
      <c r="T47" s="2">
        <v>5825352</v>
      </c>
      <c r="U47" s="2"/>
      <c r="V47" s="19"/>
      <c r="W47" s="2"/>
      <c r="X47" s="2">
        <f t="shared" si="2"/>
        <v>-5251039.3499999996</v>
      </c>
      <c r="Y47" s="2"/>
      <c r="Z47" s="19">
        <f t="shared" si="3"/>
        <v>-0.90141151127004848</v>
      </c>
    </row>
    <row r="48" spans="1:26" s="24" customFormat="1" hidden="1" outlineLevel="1" x14ac:dyDescent="0.25">
      <c r="A48" s="44"/>
      <c r="B48" s="11" t="str">
        <f>CONCATENATE("          ", "4101", " - ", "NON-TAXABLE SALES-NEW TEXT")</f>
        <v xml:space="preserve">          4101 - NON-TAXABLE SALES-NEW TEXT</v>
      </c>
      <c r="C48" s="11"/>
      <c r="D48" s="2">
        <f>--2453.65</f>
        <v>2453.65</v>
      </c>
      <c r="E48" s="2"/>
      <c r="F48" s="19"/>
      <c r="G48" s="2"/>
      <c r="H48" s="2"/>
      <c r="I48" s="2"/>
      <c r="J48" s="19"/>
      <c r="K48" s="2"/>
      <c r="L48" s="2">
        <f t="shared" si="0"/>
        <v>2453.65</v>
      </c>
      <c r="M48" s="2"/>
      <c r="N48" s="19">
        <f t="shared" si="1"/>
        <v>0</v>
      </c>
      <c r="O48" s="11"/>
      <c r="P48" s="2">
        <f>--142191.42</f>
        <v>142191.42000000001</v>
      </c>
      <c r="Q48" s="2"/>
      <c r="R48" s="19"/>
      <c r="S48" s="2"/>
      <c r="T48" s="2"/>
      <c r="U48" s="2"/>
      <c r="V48" s="19"/>
      <c r="W48" s="2"/>
      <c r="X48" s="2">
        <f t="shared" si="2"/>
        <v>142191.42000000001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"4102", " - ", "NON-TAXABLE SALES-USED TEXT")</f>
        <v xml:space="preserve">          4102 - NON-TAXABLE SALES-USED TEXT</v>
      </c>
      <c r="C49" s="11"/>
      <c r="D49" s="2">
        <f>--388.84</f>
        <v>388.84</v>
      </c>
      <c r="E49" s="2"/>
      <c r="F49" s="19"/>
      <c r="G49" s="2"/>
      <c r="H49" s="2"/>
      <c r="I49" s="2"/>
      <c r="J49" s="19"/>
      <c r="K49" s="2"/>
      <c r="L49" s="2">
        <f t="shared" si="0"/>
        <v>388.84</v>
      </c>
      <c r="M49" s="2"/>
      <c r="N49" s="19">
        <f t="shared" si="1"/>
        <v>0</v>
      </c>
      <c r="O49" s="11"/>
      <c r="P49" s="2">
        <f>--68855.7</f>
        <v>68855.7</v>
      </c>
      <c r="Q49" s="2"/>
      <c r="R49" s="19"/>
      <c r="S49" s="2"/>
      <c r="T49" s="2"/>
      <c r="U49" s="2"/>
      <c r="V49" s="19"/>
      <c r="W49" s="2"/>
      <c r="X49" s="2">
        <f t="shared" si="2"/>
        <v>68855.7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"4103", " - ", "NON-TAXABLE SALES-RENTAL TEXT")</f>
        <v xml:space="preserve">          4103 - NON-TAXABLE SALES-RENTAL TEXT</v>
      </c>
      <c r="C50" s="11"/>
      <c r="D50" s="2">
        <f>0</f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--664.97</f>
        <v>664.97</v>
      </c>
      <c r="Q50" s="2"/>
      <c r="R50" s="19"/>
      <c r="S50" s="2"/>
      <c r="T50" s="2"/>
      <c r="U50" s="2"/>
      <c r="V50" s="19"/>
      <c r="W50" s="2"/>
      <c r="X50" s="2">
        <f t="shared" si="2"/>
        <v>664.97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"4104", " - ", "NON-TAXABLE SALES-DIGITAL TEXT")</f>
        <v xml:space="preserve">          4104 - NON-TAXABLE SALES-DIGITAL TEXT</v>
      </c>
      <c r="C51" s="11"/>
      <c r="D51" s="2">
        <f>--961.31</f>
        <v>961.31</v>
      </c>
      <c r="E51" s="2"/>
      <c r="F51" s="19"/>
      <c r="G51" s="2"/>
      <c r="H51" s="2"/>
      <c r="I51" s="2"/>
      <c r="J51" s="19"/>
      <c r="K51" s="2"/>
      <c r="L51" s="2">
        <f t="shared" si="0"/>
        <v>961.31</v>
      </c>
      <c r="M51" s="2"/>
      <c r="N51" s="19">
        <f t="shared" si="1"/>
        <v>0</v>
      </c>
      <c r="O51" s="11"/>
      <c r="P51" s="2">
        <f>--524351.65</f>
        <v>524351.65</v>
      </c>
      <c r="Q51" s="2"/>
      <c r="R51" s="19"/>
      <c r="S51" s="2"/>
      <c r="T51" s="2"/>
      <c r="U51" s="2"/>
      <c r="V51" s="19"/>
      <c r="W51" s="2"/>
      <c r="X51" s="2">
        <f t="shared" si="2"/>
        <v>524351.65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"4111", " - ", "NON-TAXABLE SALES-NO VALUE TEX")</f>
        <v xml:space="preserve">          4111 - NON-TAXABLE SALES-NO VALUE TEX</v>
      </c>
      <c r="C52" s="11"/>
      <c r="D52" s="2">
        <f>--369.34</f>
        <v>369.34</v>
      </c>
      <c r="E52" s="2"/>
      <c r="F52" s="19"/>
      <c r="G52" s="2"/>
      <c r="H52" s="2"/>
      <c r="I52" s="2"/>
      <c r="J52" s="19"/>
      <c r="K52" s="2"/>
      <c r="L52" s="2">
        <f t="shared" si="0"/>
        <v>369.34</v>
      </c>
      <c r="M52" s="2"/>
      <c r="N52" s="19">
        <f t="shared" si="1"/>
        <v>0</v>
      </c>
      <c r="O52" s="11"/>
      <c r="P52" s="2">
        <f>--14729.33</f>
        <v>14729.33</v>
      </c>
      <c r="Q52" s="2"/>
      <c r="R52" s="19"/>
      <c r="S52" s="2"/>
      <c r="T52" s="2"/>
      <c r="U52" s="2"/>
      <c r="V52" s="19"/>
      <c r="W52" s="2"/>
      <c r="X52" s="2">
        <f t="shared" si="2"/>
        <v>14729.33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"4113", " - ", "NON-TAXABLE SALES-TRADE BOOKS")</f>
        <v xml:space="preserve">          4113 - NON-TAXABLE SALES-TRADE BOOKS</v>
      </c>
      <c r="C53" s="11"/>
      <c r="D53" s="2">
        <f>--2440</f>
        <v>2440</v>
      </c>
      <c r="E53" s="2"/>
      <c r="F53" s="19"/>
      <c r="G53" s="2"/>
      <c r="H53" s="2"/>
      <c r="I53" s="2"/>
      <c r="J53" s="19"/>
      <c r="K53" s="2"/>
      <c r="L53" s="2">
        <f t="shared" si="0"/>
        <v>2440</v>
      </c>
      <c r="M53" s="2"/>
      <c r="N53" s="19">
        <f t="shared" si="1"/>
        <v>0</v>
      </c>
      <c r="O53" s="11"/>
      <c r="P53" s="2">
        <f>--5801.92</f>
        <v>5801.92</v>
      </c>
      <c r="Q53" s="2"/>
      <c r="R53" s="19"/>
      <c r="S53" s="2"/>
      <c r="T53" s="2"/>
      <c r="U53" s="2"/>
      <c r="V53" s="19"/>
      <c r="W53" s="2"/>
      <c r="X53" s="2">
        <f t="shared" si="2"/>
        <v>5801.92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"4118", " - ", "NON-TAXABLE SALES-STUDY GUIDES")</f>
        <v xml:space="preserve">          4118 - NON-TAXABLE SALES-STUDY GUIDES</v>
      </c>
      <c r="C54" s="11"/>
      <c r="D54" s="2">
        <f>--7.02</f>
        <v>7.02</v>
      </c>
      <c r="E54" s="2"/>
      <c r="F54" s="19"/>
      <c r="G54" s="2"/>
      <c r="H54" s="2"/>
      <c r="I54" s="2"/>
      <c r="J54" s="19"/>
      <c r="K54" s="2"/>
      <c r="L54" s="2">
        <f t="shared" si="0"/>
        <v>7.02</v>
      </c>
      <c r="M54" s="2"/>
      <c r="N54" s="19">
        <f t="shared" si="1"/>
        <v>0</v>
      </c>
      <c r="O54" s="11"/>
      <c r="P54" s="2">
        <f>--68.92</f>
        <v>68.92</v>
      </c>
      <c r="Q54" s="2"/>
      <c r="R54" s="19"/>
      <c r="S54" s="2"/>
      <c r="T54" s="2"/>
      <c r="U54" s="2"/>
      <c r="V54" s="19"/>
      <c r="W54" s="2"/>
      <c r="X54" s="2">
        <f t="shared" si="2"/>
        <v>68.92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"4125", " - ", "NON-TAXABLE SALES-TEST FORMS")</f>
        <v xml:space="preserve">          4125 - NON-TAXABLE SALES-TEST FORMS</v>
      </c>
      <c r="C55" s="11"/>
      <c r="D55" s="2">
        <f>--4.54</f>
        <v>4.54</v>
      </c>
      <c r="E55" s="2"/>
      <c r="F55" s="19"/>
      <c r="G55" s="2"/>
      <c r="H55" s="2"/>
      <c r="I55" s="2"/>
      <c r="J55" s="19"/>
      <c r="K55" s="2"/>
      <c r="L55" s="2">
        <f t="shared" si="0"/>
        <v>4.54</v>
      </c>
      <c r="M55" s="2"/>
      <c r="N55" s="19">
        <f t="shared" si="1"/>
        <v>0</v>
      </c>
      <c r="O55" s="11"/>
      <c r="P55" s="2">
        <f>--267.61</f>
        <v>267.61</v>
      </c>
      <c r="Q55" s="2"/>
      <c r="R55" s="19"/>
      <c r="S55" s="2"/>
      <c r="T55" s="2"/>
      <c r="U55" s="2"/>
      <c r="V55" s="19"/>
      <c r="W55" s="2"/>
      <c r="X55" s="2">
        <f t="shared" si="2"/>
        <v>267.61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"4126", " - ", "NON-TAXABLE SALES-WRITING INST")</f>
        <v xml:space="preserve">          4126 - NON-TAXABLE SALES-WRITING INST</v>
      </c>
      <c r="C56" s="11"/>
      <c r="D56" s="2">
        <f>--110.71</f>
        <v>110.71</v>
      </c>
      <c r="E56" s="2"/>
      <c r="F56" s="19"/>
      <c r="G56" s="2"/>
      <c r="H56" s="2"/>
      <c r="I56" s="2"/>
      <c r="J56" s="19"/>
      <c r="K56" s="2"/>
      <c r="L56" s="2">
        <f t="shared" si="0"/>
        <v>110.71</v>
      </c>
      <c r="M56" s="2"/>
      <c r="N56" s="19">
        <f t="shared" si="1"/>
        <v>0</v>
      </c>
      <c r="O56" s="11"/>
      <c r="P56" s="2">
        <f>--3017.29</f>
        <v>3017.29</v>
      </c>
      <c r="Q56" s="2"/>
      <c r="R56" s="19"/>
      <c r="S56" s="2"/>
      <c r="T56" s="2"/>
      <c r="U56" s="2"/>
      <c r="V56" s="19"/>
      <c r="W56" s="2"/>
      <c r="X56" s="2">
        <f t="shared" si="2"/>
        <v>3017.29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"4127", " - ", "NON-TAXABLE SALES-SCHOOL SUPPL")</f>
        <v xml:space="preserve">          4127 - NON-TAXABLE SALES-SCHOOL SUPPL</v>
      </c>
      <c r="C57" s="11"/>
      <c r="D57" s="2">
        <f>--53.81</f>
        <v>53.81</v>
      </c>
      <c r="E57" s="2"/>
      <c r="F57" s="19"/>
      <c r="G57" s="2"/>
      <c r="H57" s="2"/>
      <c r="I57" s="2"/>
      <c r="J57" s="19"/>
      <c r="K57" s="2"/>
      <c r="L57" s="2">
        <f t="shared" si="0"/>
        <v>53.81</v>
      </c>
      <c r="M57" s="2"/>
      <c r="N57" s="19">
        <f t="shared" si="1"/>
        <v>0</v>
      </c>
      <c r="O57" s="11"/>
      <c r="P57" s="2">
        <f>--4716.22</f>
        <v>4716.22</v>
      </c>
      <c r="Q57" s="2"/>
      <c r="R57" s="19"/>
      <c r="S57" s="2"/>
      <c r="T57" s="2"/>
      <c r="U57" s="2"/>
      <c r="V57" s="19"/>
      <c r="W57" s="2"/>
      <c r="X57" s="2">
        <f t="shared" si="2"/>
        <v>4716.22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"4128", " - ", "NON-TAXABLE SALES-ART/TECH")</f>
        <v xml:space="preserve">          4128 - NON-TAXABLE SALES-ART/TECH</v>
      </c>
      <c r="C58" s="11"/>
      <c r="D58" s="2">
        <f>--52.12</f>
        <v>52.12</v>
      </c>
      <c r="E58" s="2"/>
      <c r="F58" s="19"/>
      <c r="G58" s="2"/>
      <c r="H58" s="2"/>
      <c r="I58" s="2"/>
      <c r="J58" s="19"/>
      <c r="K58" s="2"/>
      <c r="L58" s="2">
        <f t="shared" si="0"/>
        <v>52.12</v>
      </c>
      <c r="M58" s="2"/>
      <c r="N58" s="19">
        <f t="shared" si="1"/>
        <v>0</v>
      </c>
      <c r="O58" s="11"/>
      <c r="P58" s="2">
        <f>--730.62</f>
        <v>730.62</v>
      </c>
      <c r="Q58" s="2"/>
      <c r="R58" s="19"/>
      <c r="S58" s="2"/>
      <c r="T58" s="2"/>
      <c r="U58" s="2"/>
      <c r="V58" s="19"/>
      <c r="W58" s="2"/>
      <c r="X58" s="2">
        <f t="shared" si="2"/>
        <v>730.62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"4131", " - ", "NON-TAXABLE SALES-FOOD")</f>
        <v xml:space="preserve">          4131 - NON-TAXABLE SALES-FOOD</v>
      </c>
      <c r="C59" s="11"/>
      <c r="D59" s="2">
        <f>--4482.02</f>
        <v>4482.0200000000004</v>
      </c>
      <c r="E59" s="2"/>
      <c r="F59" s="19"/>
      <c r="G59" s="2"/>
      <c r="H59" s="2"/>
      <c r="I59" s="2"/>
      <c r="J59" s="19"/>
      <c r="K59" s="2"/>
      <c r="L59" s="2">
        <f t="shared" si="0"/>
        <v>4482.0200000000004</v>
      </c>
      <c r="M59" s="2"/>
      <c r="N59" s="19">
        <f t="shared" si="1"/>
        <v>0</v>
      </c>
      <c r="O59" s="11"/>
      <c r="P59" s="2">
        <f>--57883.57</f>
        <v>57883.57</v>
      </c>
      <c r="Q59" s="2"/>
      <c r="R59" s="19"/>
      <c r="S59" s="2"/>
      <c r="T59" s="2"/>
      <c r="U59" s="2"/>
      <c r="V59" s="19"/>
      <c r="W59" s="2"/>
      <c r="X59" s="2">
        <f t="shared" si="2"/>
        <v>57883.57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"4132", " - ", "NON-TAXABLE SALES-JUICE")</f>
        <v xml:space="preserve">          4132 - NON-TAXABLE SALES-JUICE</v>
      </c>
      <c r="C60" s="11"/>
      <c r="D60" s="2">
        <f>--1150.46</f>
        <v>1150.46</v>
      </c>
      <c r="E60" s="2"/>
      <c r="F60" s="19"/>
      <c r="G60" s="2"/>
      <c r="H60" s="2"/>
      <c r="I60" s="2"/>
      <c r="J60" s="19"/>
      <c r="K60" s="2"/>
      <c r="L60" s="2">
        <f t="shared" si="0"/>
        <v>1150.46</v>
      </c>
      <c r="M60" s="2"/>
      <c r="N60" s="19">
        <f t="shared" si="1"/>
        <v>0</v>
      </c>
      <c r="O60" s="11"/>
      <c r="P60" s="2">
        <f>--16199.63</f>
        <v>16199.63</v>
      </c>
      <c r="Q60" s="2"/>
      <c r="R60" s="19"/>
      <c r="S60" s="2"/>
      <c r="T60" s="2"/>
      <c r="U60" s="2"/>
      <c r="V60" s="19"/>
      <c r="W60" s="2"/>
      <c r="X60" s="2">
        <f t="shared" si="2"/>
        <v>16199.63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"4133", " - ", "NON-TAXABLE SALES-CANDY")</f>
        <v xml:space="preserve">          4133 - NON-TAXABLE SALES-CANDY</v>
      </c>
      <c r="C61" s="11"/>
      <c r="D61" s="2">
        <f>--1261.31</f>
        <v>1261.31</v>
      </c>
      <c r="E61" s="2"/>
      <c r="F61" s="19"/>
      <c r="G61" s="2"/>
      <c r="H61" s="2"/>
      <c r="I61" s="2"/>
      <c r="J61" s="19"/>
      <c r="K61" s="2"/>
      <c r="L61" s="2">
        <f t="shared" si="0"/>
        <v>1261.31</v>
      </c>
      <c r="M61" s="2"/>
      <c r="N61" s="19">
        <f t="shared" si="1"/>
        <v>0</v>
      </c>
      <c r="O61" s="11"/>
      <c r="P61" s="2">
        <f>--18084.29</f>
        <v>18084.29</v>
      </c>
      <c r="Q61" s="2"/>
      <c r="R61" s="19"/>
      <c r="S61" s="2"/>
      <c r="T61" s="2"/>
      <c r="U61" s="2"/>
      <c r="V61" s="19"/>
      <c r="W61" s="2"/>
      <c r="X61" s="2">
        <f t="shared" si="2"/>
        <v>18084.29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"4134", " - ", "NON-TAXABLE SALES-SODA")</f>
        <v xml:space="preserve">          4134 - NON-TAXABLE SALES-SODA</v>
      </c>
      <c r="C62" s="11"/>
      <c r="D62" s="2">
        <f t="shared" ref="D62:D63" si="4">0</f>
        <v>0</v>
      </c>
      <c r="E62" s="2"/>
      <c r="F62" s="19"/>
      <c r="G62" s="2"/>
      <c r="H62" s="2"/>
      <c r="I62" s="2"/>
      <c r="J62" s="19"/>
      <c r="K62" s="2"/>
      <c r="L62" s="2">
        <f t="shared" si="0"/>
        <v>0</v>
      </c>
      <c r="M62" s="2"/>
      <c r="N62" s="19">
        <f t="shared" si="1"/>
        <v>0</v>
      </c>
      <c r="O62" s="11"/>
      <c r="P62" s="2">
        <f>--1.89</f>
        <v>1.89</v>
      </c>
      <c r="Q62" s="2"/>
      <c r="R62" s="19"/>
      <c r="S62" s="2"/>
      <c r="T62" s="2"/>
      <c r="U62" s="2"/>
      <c r="V62" s="19"/>
      <c r="W62" s="2"/>
      <c r="X62" s="2">
        <f t="shared" si="2"/>
        <v>1.89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"4135", " - ", "NON-TAXABLE SALES")</f>
        <v xml:space="preserve">          4135 - NON-TAXABLE SALES</v>
      </c>
      <c r="C63" s="11"/>
      <c r="D63" s="2">
        <f t="shared" si="4"/>
        <v>0</v>
      </c>
      <c r="E63" s="2"/>
      <c r="F63" s="19"/>
      <c r="G63" s="2"/>
      <c r="H63" s="2"/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>--161.4</f>
        <v>161.4</v>
      </c>
      <c r="Q63" s="2"/>
      <c r="R63" s="19"/>
      <c r="S63" s="2"/>
      <c r="T63" s="2"/>
      <c r="U63" s="2"/>
      <c r="V63" s="19"/>
      <c r="W63" s="2"/>
      <c r="X63" s="2">
        <f t="shared" si="2"/>
        <v>161.4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"4137", " - ", "NON-TAXABLE SALES-WATER")</f>
        <v xml:space="preserve">          4137 - NON-TAXABLE SALES-WATER</v>
      </c>
      <c r="C64" s="11"/>
      <c r="D64" s="2">
        <f>--630.5</f>
        <v>630.5</v>
      </c>
      <c r="E64" s="2"/>
      <c r="F64" s="19"/>
      <c r="G64" s="2"/>
      <c r="H64" s="2"/>
      <c r="I64" s="2"/>
      <c r="J64" s="19"/>
      <c r="K64" s="2"/>
      <c r="L64" s="2">
        <f t="shared" si="0"/>
        <v>630.5</v>
      </c>
      <c r="M64" s="2"/>
      <c r="N64" s="19">
        <f t="shared" si="1"/>
        <v>0</v>
      </c>
      <c r="O64" s="11"/>
      <c r="P64" s="2">
        <f>--8519.06</f>
        <v>8519.06</v>
      </c>
      <c r="Q64" s="2"/>
      <c r="R64" s="19"/>
      <c r="S64" s="2"/>
      <c r="T64" s="2"/>
      <c r="U64" s="2"/>
      <c r="V64" s="19"/>
      <c r="W64" s="2"/>
      <c r="X64" s="2">
        <f t="shared" si="2"/>
        <v>8519.06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"4140", " - ", "NON-TAXABLE SALES-LOGO CLOTHIN")</f>
        <v xml:space="preserve">          4140 - NON-TAXABLE SALES-LOGO CLOTHIN</v>
      </c>
      <c r="C65" s="11"/>
      <c r="D65" s="2">
        <f>--5466.31</f>
        <v>5466.31</v>
      </c>
      <c r="E65" s="2"/>
      <c r="F65" s="19"/>
      <c r="G65" s="2"/>
      <c r="H65" s="2"/>
      <c r="I65" s="2"/>
      <c r="J65" s="19"/>
      <c r="K65" s="2"/>
      <c r="L65" s="2">
        <f t="shared" si="0"/>
        <v>5466.31</v>
      </c>
      <c r="M65" s="2"/>
      <c r="N65" s="19">
        <f t="shared" si="1"/>
        <v>0</v>
      </c>
      <c r="O65" s="11"/>
      <c r="P65" s="2">
        <f>--48048.98</f>
        <v>48048.98</v>
      </c>
      <c r="Q65" s="2"/>
      <c r="R65" s="19"/>
      <c r="S65" s="2"/>
      <c r="T65" s="2"/>
      <c r="U65" s="2"/>
      <c r="V65" s="19"/>
      <c r="W65" s="2"/>
      <c r="X65" s="2">
        <f t="shared" si="2"/>
        <v>48048.98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"4141", " - ", "NON-TAXABLE SALES-LOGO GIFTS")</f>
        <v xml:space="preserve">          4141 - NON-TAXABLE SALES-LOGO GIFTS</v>
      </c>
      <c r="C66" s="11"/>
      <c r="D66" s="2">
        <f>--242.39</f>
        <v>242.39</v>
      </c>
      <c r="E66" s="2"/>
      <c r="F66" s="19"/>
      <c r="G66" s="2"/>
      <c r="H66" s="2"/>
      <c r="I66" s="2"/>
      <c r="J66" s="19"/>
      <c r="K66" s="2"/>
      <c r="L66" s="2">
        <f t="shared" si="0"/>
        <v>242.39</v>
      </c>
      <c r="M66" s="2"/>
      <c r="N66" s="19">
        <f t="shared" si="1"/>
        <v>0</v>
      </c>
      <c r="O66" s="11"/>
      <c r="P66" s="2">
        <f>--10914.56</f>
        <v>10914.56</v>
      </c>
      <c r="Q66" s="2"/>
      <c r="R66" s="19"/>
      <c r="S66" s="2"/>
      <c r="T66" s="2"/>
      <c r="U66" s="2"/>
      <c r="V66" s="19"/>
      <c r="W66" s="2"/>
      <c r="X66" s="2">
        <f t="shared" si="2"/>
        <v>10914.56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"4142", " - ", "NON-TAXABLE SALES-EVERYDAY GIF")</f>
        <v xml:space="preserve">          4142 - NON-TAXABLE SALES-EVERYDAY GIF</v>
      </c>
      <c r="C67" s="11"/>
      <c r="D67" s="2">
        <f>--48.58</f>
        <v>48.58</v>
      </c>
      <c r="E67" s="2"/>
      <c r="F67" s="19"/>
      <c r="G67" s="2"/>
      <c r="H67" s="2"/>
      <c r="I67" s="2"/>
      <c r="J67" s="19"/>
      <c r="K67" s="2"/>
      <c r="L67" s="2">
        <f t="shared" si="0"/>
        <v>48.58</v>
      </c>
      <c r="M67" s="2"/>
      <c r="N67" s="19">
        <f t="shared" si="1"/>
        <v>0</v>
      </c>
      <c r="O67" s="11"/>
      <c r="P67" s="2">
        <f>--13741.43</f>
        <v>13741.43</v>
      </c>
      <c r="Q67" s="2"/>
      <c r="R67" s="19"/>
      <c r="S67" s="2"/>
      <c r="T67" s="2"/>
      <c r="U67" s="2"/>
      <c r="V67" s="19"/>
      <c r="W67" s="2"/>
      <c r="X67" s="2">
        <f t="shared" si="2"/>
        <v>13741.43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"4143", " - ", "NON-TAXABLE SALES-CARDS")</f>
        <v xml:space="preserve">          4143 - NON-TAXABLE SALES-CARDS</v>
      </c>
      <c r="C68" s="11"/>
      <c r="D68" s="2">
        <f>0</f>
        <v>0</v>
      </c>
      <c r="E68" s="2"/>
      <c r="F68" s="19"/>
      <c r="G68" s="2"/>
      <c r="H68" s="2"/>
      <c r="I68" s="2"/>
      <c r="J68" s="19"/>
      <c r="K68" s="2"/>
      <c r="L68" s="2">
        <f t="shared" si="0"/>
        <v>0</v>
      </c>
      <c r="M68" s="2"/>
      <c r="N68" s="19">
        <f t="shared" si="1"/>
        <v>0</v>
      </c>
      <c r="O68" s="11"/>
      <c r="P68" s="2">
        <f>--9.99</f>
        <v>9.99</v>
      </c>
      <c r="Q68" s="2"/>
      <c r="R68" s="19"/>
      <c r="S68" s="2"/>
      <c r="T68" s="2"/>
      <c r="U68" s="2"/>
      <c r="V68" s="19"/>
      <c r="W68" s="2"/>
      <c r="X68" s="2">
        <f t="shared" si="2"/>
        <v>9.99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"4144", " - ", "NON-TAXABLE SALES-ACCESSORIES")</f>
        <v xml:space="preserve">          4144 - NON-TAXABLE SALES-ACCESSORIES</v>
      </c>
      <c r="C69" s="11"/>
      <c r="D69" s="2">
        <f>--150</f>
        <v>150</v>
      </c>
      <c r="E69" s="2"/>
      <c r="F69" s="19"/>
      <c r="G69" s="2"/>
      <c r="H69" s="2"/>
      <c r="I69" s="2"/>
      <c r="J69" s="19"/>
      <c r="K69" s="2"/>
      <c r="L69" s="2">
        <f t="shared" si="0"/>
        <v>150</v>
      </c>
      <c r="M69" s="2"/>
      <c r="N69" s="19">
        <f t="shared" si="1"/>
        <v>0</v>
      </c>
      <c r="O69" s="11"/>
      <c r="P69" s="2">
        <f>--2040.27</f>
        <v>2040.27</v>
      </c>
      <c r="Q69" s="2"/>
      <c r="R69" s="19"/>
      <c r="S69" s="2"/>
      <c r="T69" s="2"/>
      <c r="U69" s="2"/>
      <c r="V69" s="19"/>
      <c r="W69" s="2"/>
      <c r="X69" s="2">
        <f t="shared" si="2"/>
        <v>2040.27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"4145", " - ", "NON-TAXABLE SALES-SPECIAL ORDE")</f>
        <v xml:space="preserve">          4145 - NON-TAXABLE SALES-SPECIAL ORDE</v>
      </c>
      <c r="C70" s="11"/>
      <c r="D70" s="2">
        <f>0</f>
        <v>0</v>
      </c>
      <c r="E70" s="2"/>
      <c r="F70" s="19"/>
      <c r="G70" s="2"/>
      <c r="H70" s="2"/>
      <c r="I70" s="2"/>
      <c r="J70" s="19"/>
      <c r="K70" s="2"/>
      <c r="L70" s="2">
        <f t="shared" si="0"/>
        <v>0</v>
      </c>
      <c r="M70" s="2"/>
      <c r="N70" s="19">
        <f t="shared" si="1"/>
        <v>0</v>
      </c>
      <c r="O70" s="11"/>
      <c r="P70" s="2">
        <f>--140</f>
        <v>140</v>
      </c>
      <c r="Q70" s="2"/>
      <c r="R70" s="19"/>
      <c r="S70" s="2"/>
      <c r="T70" s="2"/>
      <c r="U70" s="2"/>
      <c r="V70" s="19"/>
      <c r="W70" s="2"/>
      <c r="X70" s="2">
        <f t="shared" si="2"/>
        <v>140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"4146", " - ", "NON-TAXABLE SALES-COIN OP MACH")</f>
        <v xml:space="preserve">          4146 - NON-TAXABLE SALES-COIN OP MACH</v>
      </c>
      <c r="C71" s="11"/>
      <c r="D71" s="2">
        <f>--13383.2</f>
        <v>13383.2</v>
      </c>
      <c r="E71" s="2"/>
      <c r="F71" s="19"/>
      <c r="G71" s="2"/>
      <c r="H71" s="2"/>
      <c r="I71" s="2"/>
      <c r="J71" s="19"/>
      <c r="K71" s="2"/>
      <c r="L71" s="2">
        <f t="shared" si="0"/>
        <v>13383.2</v>
      </c>
      <c r="M71" s="2"/>
      <c r="N71" s="19">
        <f t="shared" si="1"/>
        <v>0</v>
      </c>
      <c r="O71" s="11"/>
      <c r="P71" s="2">
        <f>--205786.95</f>
        <v>205786.95</v>
      </c>
      <c r="Q71" s="2"/>
      <c r="R71" s="19"/>
      <c r="S71" s="2"/>
      <c r="T71" s="2"/>
      <c r="U71" s="2"/>
      <c r="V71" s="19"/>
      <c r="W71" s="2"/>
      <c r="X71" s="2">
        <f t="shared" si="2"/>
        <v>205786.95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"4147", " - ", "NON-TAXABLE SALES-MISC")</f>
        <v xml:space="preserve">          4147 - NON-TAXABLE SALES-MISC</v>
      </c>
      <c r="C72" s="11"/>
      <c r="D72" s="2">
        <f>--933.53</f>
        <v>933.53</v>
      </c>
      <c r="E72" s="2"/>
      <c r="F72" s="19"/>
      <c r="G72" s="2"/>
      <c r="H72" s="2"/>
      <c r="I72" s="2"/>
      <c r="J72" s="19"/>
      <c r="K72" s="2"/>
      <c r="L72" s="2">
        <f t="shared" si="0"/>
        <v>933.53</v>
      </c>
      <c r="M72" s="2"/>
      <c r="N72" s="19">
        <f t="shared" si="1"/>
        <v>0</v>
      </c>
      <c r="O72" s="11"/>
      <c r="P72" s="2">
        <f>--3436.37</f>
        <v>3436.37</v>
      </c>
      <c r="Q72" s="2"/>
      <c r="R72" s="19"/>
      <c r="S72" s="2"/>
      <c r="T72" s="2"/>
      <c r="U72" s="2"/>
      <c r="V72" s="19"/>
      <c r="W72" s="2"/>
      <c r="X72" s="2">
        <f t="shared" si="2"/>
        <v>3436.37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"4186", " - ", "NON-TAXABLE SALES-COMPUTER SUP")</f>
        <v xml:space="preserve">          4186 - NON-TAXABLE SALES-COMPUTER SUP</v>
      </c>
      <c r="C73" s="11"/>
      <c r="D73" s="2">
        <f>0</f>
        <v>0</v>
      </c>
      <c r="E73" s="2"/>
      <c r="F73" s="19"/>
      <c r="G73" s="2"/>
      <c r="H73" s="2"/>
      <c r="I73" s="2"/>
      <c r="J73" s="19"/>
      <c r="K73" s="2"/>
      <c r="L73" s="2">
        <f t="shared" si="0"/>
        <v>0</v>
      </c>
      <c r="M73" s="2"/>
      <c r="N73" s="19">
        <f t="shared" si="1"/>
        <v>0</v>
      </c>
      <c r="O73" s="11"/>
      <c r="P73" s="2">
        <f>-30.97</f>
        <v>-30.97</v>
      </c>
      <c r="Q73" s="2"/>
      <c r="R73" s="19"/>
      <c r="S73" s="2"/>
      <c r="T73" s="2"/>
      <c r="U73" s="2"/>
      <c r="V73" s="19"/>
      <c r="W73" s="2"/>
      <c r="X73" s="2">
        <f t="shared" si="2"/>
        <v>-30.97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"4201", " - ", "SALES RETURN TAXABLE-NEW TEXT")</f>
        <v xml:space="preserve">          4201 - SALES RETURN TAXABLE-NEW TEXT</v>
      </c>
      <c r="C74" s="11"/>
      <c r="D74" s="2">
        <f>-420.3</f>
        <v>-420.3</v>
      </c>
      <c r="E74" s="2"/>
      <c r="F74" s="19"/>
      <c r="G74" s="2"/>
      <c r="H74" s="2"/>
      <c r="I74" s="2"/>
      <c r="J74" s="19"/>
      <c r="K74" s="2"/>
      <c r="L74" s="2">
        <f t="shared" si="0"/>
        <v>-420.3</v>
      </c>
      <c r="M74" s="2"/>
      <c r="N74" s="19">
        <f t="shared" si="1"/>
        <v>0</v>
      </c>
      <c r="O74" s="11"/>
      <c r="P74" s="2">
        <f>-121160.71</f>
        <v>-121160.71</v>
      </c>
      <c r="Q74" s="2"/>
      <c r="R74" s="19"/>
      <c r="S74" s="2"/>
      <c r="T74" s="2"/>
      <c r="U74" s="2"/>
      <c r="V74" s="19"/>
      <c r="W74" s="2"/>
      <c r="X74" s="2">
        <f t="shared" si="2"/>
        <v>-121160.71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"4202", " - ", "SALES RETURN TAXABLE-USED TEXT")</f>
        <v xml:space="preserve">          4202 - SALES RETURN TAXABLE-USED TEXT</v>
      </c>
      <c r="C75" s="11"/>
      <c r="D75" s="2">
        <f>-133.45</f>
        <v>-133.44999999999999</v>
      </c>
      <c r="E75" s="2"/>
      <c r="F75" s="19"/>
      <c r="G75" s="2"/>
      <c r="H75" s="2"/>
      <c r="I75" s="2"/>
      <c r="J75" s="19"/>
      <c r="K75" s="2"/>
      <c r="L75" s="2">
        <f t="shared" si="0"/>
        <v>-133.44999999999999</v>
      </c>
      <c r="M75" s="2"/>
      <c r="N75" s="19">
        <f t="shared" si="1"/>
        <v>0</v>
      </c>
      <c r="O75" s="11"/>
      <c r="P75" s="2">
        <f>-45520.76</f>
        <v>-45520.76</v>
      </c>
      <c r="Q75" s="2"/>
      <c r="R75" s="19"/>
      <c r="S75" s="2"/>
      <c r="T75" s="2"/>
      <c r="U75" s="2"/>
      <c r="V75" s="19"/>
      <c r="W75" s="2"/>
      <c r="X75" s="2">
        <f t="shared" si="2"/>
        <v>-45520.76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"4203", " - ", "SALES RETURN TAXABLE-RENTAL TE")</f>
        <v xml:space="preserve">          4203 - SALES RETURN TAXABLE-RENTAL TE</v>
      </c>
      <c r="C76" s="11"/>
      <c r="D76" s="2">
        <f t="shared" ref="D76:D77" si="5">0</f>
        <v>0</v>
      </c>
      <c r="E76" s="2"/>
      <c r="F76" s="19"/>
      <c r="G76" s="2"/>
      <c r="H76" s="2"/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>-144.99</f>
        <v>-144.99</v>
      </c>
      <c r="Q76" s="2"/>
      <c r="R76" s="19"/>
      <c r="S76" s="2"/>
      <c r="T76" s="2"/>
      <c r="U76" s="2"/>
      <c r="V76" s="19"/>
      <c r="W76" s="2"/>
      <c r="X76" s="2">
        <f t="shared" si="2"/>
        <v>-144.99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"4204", " - ", "SALES RETURN TAXABLE-DIGITAL T")</f>
        <v xml:space="preserve">          4204 - SALES RETURN TAXABLE-DIGITAL T</v>
      </c>
      <c r="C77" s="11"/>
      <c r="D77" s="2">
        <f t="shared" si="5"/>
        <v>0</v>
      </c>
      <c r="E77" s="2"/>
      <c r="F77" s="19"/>
      <c r="G77" s="2"/>
      <c r="H77" s="2"/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1"/>
      <c r="P77" s="2">
        <f>-17255.33</f>
        <v>-17255.330000000002</v>
      </c>
      <c r="Q77" s="2"/>
      <c r="R77" s="19"/>
      <c r="S77" s="2"/>
      <c r="T77" s="2"/>
      <c r="U77" s="2"/>
      <c r="V77" s="19"/>
      <c r="W77" s="2"/>
      <c r="X77" s="2">
        <f t="shared" si="2"/>
        <v>-17255.330000000002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"4213", " - ", "NON-TAXABLE SALES-TRADE BOOKS")</f>
        <v xml:space="preserve">          4213 - NON-TAXABLE SALES-TRADE BOOKS</v>
      </c>
      <c r="C78" s="11"/>
      <c r="D78" s="2">
        <f>-374.85</f>
        <v>-374.85</v>
      </c>
      <c r="E78" s="2"/>
      <c r="F78" s="19"/>
      <c r="G78" s="2"/>
      <c r="H78" s="2"/>
      <c r="I78" s="2"/>
      <c r="J78" s="19"/>
      <c r="K78" s="2"/>
      <c r="L78" s="2">
        <f t="shared" si="0"/>
        <v>-374.85</v>
      </c>
      <c r="M78" s="2"/>
      <c r="N78" s="19">
        <f t="shared" si="1"/>
        <v>0</v>
      </c>
      <c r="O78" s="11"/>
      <c r="P78" s="2">
        <f>-594.91</f>
        <v>-594.91</v>
      </c>
      <c r="Q78" s="2"/>
      <c r="R78" s="19"/>
      <c r="S78" s="2"/>
      <c r="T78" s="2"/>
      <c r="U78" s="2"/>
      <c r="V78" s="19"/>
      <c r="W78" s="2"/>
      <c r="X78" s="2">
        <f t="shared" si="2"/>
        <v>-594.91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"4214", " - ", "SALES RETURN TAXABLE-REMAINDER")</f>
        <v xml:space="preserve">          4214 - SALES RETURN TAXABLE-REMAINDER</v>
      </c>
      <c r="C79" s="11"/>
      <c r="D79" s="2">
        <f t="shared" ref="D79:D81" si="6">0</f>
        <v>0</v>
      </c>
      <c r="E79" s="2"/>
      <c r="F79" s="19"/>
      <c r="G79" s="2"/>
      <c r="H79" s="2"/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-11.94</f>
        <v>-11.94</v>
      </c>
      <c r="Q79" s="2"/>
      <c r="R79" s="19"/>
      <c r="S79" s="2"/>
      <c r="T79" s="2"/>
      <c r="U79" s="2"/>
      <c r="V79" s="19"/>
      <c r="W79" s="2"/>
      <c r="X79" s="2">
        <f t="shared" si="2"/>
        <v>-11.94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"4217", " - ", "NON-TAXABLE SALES-DORM/HOUSEWA")</f>
        <v xml:space="preserve">          4217 - NON-TAXABLE SALES-DORM/HOUSEWA</v>
      </c>
      <c r="C80" s="11"/>
      <c r="D80" s="2">
        <f t="shared" si="6"/>
        <v>0</v>
      </c>
      <c r="E80" s="2"/>
      <c r="F80" s="19"/>
      <c r="G80" s="2"/>
      <c r="H80" s="2"/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>-2.98</f>
        <v>-2.98</v>
      </c>
      <c r="Q80" s="2"/>
      <c r="R80" s="19"/>
      <c r="S80" s="2"/>
      <c r="T80" s="2"/>
      <c r="U80" s="2"/>
      <c r="V80" s="19"/>
      <c r="W80" s="2"/>
      <c r="X80" s="2">
        <f t="shared" si="2"/>
        <v>-2.98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"4218", " - ", "SALES RETURN TAXABLE-STUDY GUI")</f>
        <v xml:space="preserve">          4218 - SALES RETURN TAXABLE-STUDY GUI</v>
      </c>
      <c r="C81" s="11"/>
      <c r="D81" s="2">
        <f t="shared" si="6"/>
        <v>0</v>
      </c>
      <c r="E81" s="2"/>
      <c r="F81" s="19"/>
      <c r="G81" s="2"/>
      <c r="H81" s="2"/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1"/>
      <c r="P81" s="2">
        <f>-39.25</f>
        <v>-39.25</v>
      </c>
      <c r="Q81" s="2"/>
      <c r="R81" s="19"/>
      <c r="S81" s="2"/>
      <c r="T81" s="2"/>
      <c r="U81" s="2"/>
      <c r="V81" s="19"/>
      <c r="W81" s="2"/>
      <c r="X81" s="2">
        <f t="shared" si="2"/>
        <v>-39.25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"4225", " - ", "SALES RETURN TAXABLE-TEST FORM")</f>
        <v xml:space="preserve">          4225 - SALES RETURN TAXABLE-TEST FORM</v>
      </c>
      <c r="C82" s="11"/>
      <c r="D82" s="2">
        <f>-8.16</f>
        <v>-8.16</v>
      </c>
      <c r="E82" s="2"/>
      <c r="F82" s="19"/>
      <c r="G82" s="2"/>
      <c r="H82" s="2"/>
      <c r="I82" s="2"/>
      <c r="J82" s="19"/>
      <c r="K82" s="2"/>
      <c r="L82" s="2">
        <f t="shared" si="0"/>
        <v>-8.16</v>
      </c>
      <c r="M82" s="2"/>
      <c r="N82" s="19">
        <f t="shared" si="1"/>
        <v>0</v>
      </c>
      <c r="O82" s="11"/>
      <c r="P82" s="2">
        <f>-176.41</f>
        <v>-176.41</v>
      </c>
      <c r="Q82" s="2"/>
      <c r="R82" s="19"/>
      <c r="S82" s="2"/>
      <c r="T82" s="2"/>
      <c r="U82" s="2"/>
      <c r="V82" s="19"/>
      <c r="W82" s="2"/>
      <c r="X82" s="2">
        <f t="shared" si="2"/>
        <v>-176.41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"4226", " - ", "SALES RETURN TAXABLE-WRITING I")</f>
        <v xml:space="preserve">          4226 - SALES RETURN TAXABLE-WRITING I</v>
      </c>
      <c r="C83" s="11"/>
      <c r="D83" s="2">
        <f>-11.25</f>
        <v>-11.25</v>
      </c>
      <c r="E83" s="2"/>
      <c r="F83" s="19"/>
      <c r="G83" s="2"/>
      <c r="H83" s="2"/>
      <c r="I83" s="2"/>
      <c r="J83" s="19"/>
      <c r="K83" s="2"/>
      <c r="L83" s="2">
        <f t="shared" si="0"/>
        <v>-11.25</v>
      </c>
      <c r="M83" s="2"/>
      <c r="N83" s="19">
        <f t="shared" si="1"/>
        <v>0</v>
      </c>
      <c r="O83" s="11"/>
      <c r="P83" s="2">
        <f>-765.04</f>
        <v>-765.04</v>
      </c>
      <c r="Q83" s="2"/>
      <c r="R83" s="19"/>
      <c r="S83" s="2"/>
      <c r="T83" s="2"/>
      <c r="U83" s="2"/>
      <c r="V83" s="19"/>
      <c r="W83" s="2"/>
      <c r="X83" s="2">
        <f t="shared" si="2"/>
        <v>-765.04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"4227", " - ", "SALES RETURN TAXABLE-SCHOOL SU")</f>
        <v xml:space="preserve">          4227 - SALES RETURN TAXABLE-SCHOOL SU</v>
      </c>
      <c r="C84" s="11"/>
      <c r="D84" s="2">
        <f>-979.19</f>
        <v>-979.19</v>
      </c>
      <c r="E84" s="2"/>
      <c r="F84" s="19"/>
      <c r="G84" s="2"/>
      <c r="H84" s="2"/>
      <c r="I84" s="2"/>
      <c r="J84" s="19"/>
      <c r="K84" s="2"/>
      <c r="L84" s="2">
        <f t="shared" si="0"/>
        <v>-979.19</v>
      </c>
      <c r="M84" s="2"/>
      <c r="N84" s="19">
        <f t="shared" si="1"/>
        <v>0</v>
      </c>
      <c r="O84" s="11"/>
      <c r="P84" s="2">
        <f>-8593.61</f>
        <v>-8593.61</v>
      </c>
      <c r="Q84" s="2"/>
      <c r="R84" s="19"/>
      <c r="S84" s="2"/>
      <c r="T84" s="2"/>
      <c r="U84" s="2"/>
      <c r="V84" s="19"/>
      <c r="W84" s="2"/>
      <c r="X84" s="2">
        <f t="shared" si="2"/>
        <v>-8593.61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"4228", " - ", "SALES RETURN TAXABLE-ART/TECH")</f>
        <v xml:space="preserve">          4228 - SALES RETURN TAXABLE-ART/TECH</v>
      </c>
      <c r="C85" s="11"/>
      <c r="D85" s="2">
        <f>-139.18</f>
        <v>-139.18</v>
      </c>
      <c r="E85" s="2"/>
      <c r="F85" s="19"/>
      <c r="G85" s="2"/>
      <c r="H85" s="2"/>
      <c r="I85" s="2"/>
      <c r="J85" s="19"/>
      <c r="K85" s="2"/>
      <c r="L85" s="2">
        <f t="shared" si="0"/>
        <v>-139.18</v>
      </c>
      <c r="M85" s="2"/>
      <c r="N85" s="19">
        <f t="shared" si="1"/>
        <v>0</v>
      </c>
      <c r="O85" s="11"/>
      <c r="P85" s="2">
        <f>-4739.1</f>
        <v>-4739.1000000000004</v>
      </c>
      <c r="Q85" s="2"/>
      <c r="R85" s="19"/>
      <c r="S85" s="2"/>
      <c r="T85" s="2"/>
      <c r="U85" s="2"/>
      <c r="V85" s="19"/>
      <c r="W85" s="2"/>
      <c r="X85" s="2">
        <f t="shared" si="2"/>
        <v>-4739.1000000000004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"4233", " - ", "SALES RETURN TAXABLE-CANDY")</f>
        <v xml:space="preserve">          4233 - SALES RETURN TAXABLE-CANDY</v>
      </c>
      <c r="C86" s="11"/>
      <c r="D86" s="2">
        <f>-6.96</f>
        <v>-6.96</v>
      </c>
      <c r="E86" s="2"/>
      <c r="F86" s="19"/>
      <c r="G86" s="2"/>
      <c r="H86" s="2"/>
      <c r="I86" s="2"/>
      <c r="J86" s="19"/>
      <c r="K86" s="2"/>
      <c r="L86" s="2">
        <f t="shared" si="0"/>
        <v>-6.96</v>
      </c>
      <c r="M86" s="2"/>
      <c r="N86" s="19">
        <f t="shared" si="1"/>
        <v>0</v>
      </c>
      <c r="O86" s="11"/>
      <c r="P86" s="2">
        <f>-8.25</f>
        <v>-8.25</v>
      </c>
      <c r="Q86" s="2"/>
      <c r="R86" s="19"/>
      <c r="S86" s="2"/>
      <c r="T86" s="2"/>
      <c r="U86" s="2"/>
      <c r="V86" s="19"/>
      <c r="W86" s="2"/>
      <c r="X86" s="2">
        <f t="shared" si="2"/>
        <v>-8.25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"4240", " - ", "SALES RETURN TAXABLE-LOGO CLOT")</f>
        <v xml:space="preserve">          4240 - SALES RETURN TAXABLE-LOGO CLOT</v>
      </c>
      <c r="C87" s="11"/>
      <c r="D87" s="2">
        <f>-3000.56</f>
        <v>-3000.56</v>
      </c>
      <c r="E87" s="2"/>
      <c r="F87" s="19"/>
      <c r="G87" s="2"/>
      <c r="H87" s="2"/>
      <c r="I87" s="2"/>
      <c r="J87" s="19"/>
      <c r="K87" s="2"/>
      <c r="L87" s="2">
        <f t="shared" si="0"/>
        <v>-3000.56</v>
      </c>
      <c r="M87" s="2"/>
      <c r="N87" s="19">
        <f t="shared" si="1"/>
        <v>0</v>
      </c>
      <c r="O87" s="11"/>
      <c r="P87" s="2">
        <f>-72812.23</f>
        <v>-72812.23</v>
      </c>
      <c r="Q87" s="2"/>
      <c r="R87" s="19"/>
      <c r="S87" s="2"/>
      <c r="T87" s="2"/>
      <c r="U87" s="2"/>
      <c r="V87" s="19"/>
      <c r="W87" s="2"/>
      <c r="X87" s="2">
        <f t="shared" si="2"/>
        <v>-72812.23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"4241", " - ", "SALES RETURN TAXABLE-LOGO GIFT")</f>
        <v xml:space="preserve">          4241 - SALES RETURN TAXABLE-LOGO GIFT</v>
      </c>
      <c r="C88" s="11"/>
      <c r="D88" s="2">
        <f>-214.4</f>
        <v>-214.4</v>
      </c>
      <c r="E88" s="2"/>
      <c r="F88" s="19"/>
      <c r="G88" s="2"/>
      <c r="H88" s="2"/>
      <c r="I88" s="2"/>
      <c r="J88" s="19"/>
      <c r="K88" s="2"/>
      <c r="L88" s="2">
        <f t="shared" si="0"/>
        <v>-214.4</v>
      </c>
      <c r="M88" s="2"/>
      <c r="N88" s="19">
        <f t="shared" si="1"/>
        <v>0</v>
      </c>
      <c r="O88" s="11"/>
      <c r="P88" s="2">
        <f>-6141.38</f>
        <v>-6141.38</v>
      </c>
      <c r="Q88" s="2"/>
      <c r="R88" s="19"/>
      <c r="S88" s="2"/>
      <c r="T88" s="2"/>
      <c r="U88" s="2"/>
      <c r="V88" s="19"/>
      <c r="W88" s="2"/>
      <c r="X88" s="2">
        <f t="shared" si="2"/>
        <v>-6141.38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"4242", " - ", "SALES RETURN TAXABLE-EVERYDAY")</f>
        <v xml:space="preserve">          4242 - SALES RETURN TAXABLE-EVERYDAY</v>
      </c>
      <c r="C89" s="11"/>
      <c r="D89" s="2">
        <f>-284.33</f>
        <v>-284.33</v>
      </c>
      <c r="E89" s="2"/>
      <c r="F89" s="19"/>
      <c r="G89" s="2"/>
      <c r="H89" s="2"/>
      <c r="I89" s="2"/>
      <c r="J89" s="19"/>
      <c r="K89" s="2"/>
      <c r="L89" s="2">
        <f t="shared" si="0"/>
        <v>-284.33</v>
      </c>
      <c r="M89" s="2"/>
      <c r="N89" s="19">
        <f t="shared" si="1"/>
        <v>0</v>
      </c>
      <c r="O89" s="11"/>
      <c r="P89" s="2">
        <f>-4178.41</f>
        <v>-4178.41</v>
      </c>
      <c r="Q89" s="2"/>
      <c r="R89" s="19"/>
      <c r="S89" s="2"/>
      <c r="T89" s="2"/>
      <c r="U89" s="2"/>
      <c r="V89" s="19"/>
      <c r="W89" s="2"/>
      <c r="X89" s="2">
        <f t="shared" si="2"/>
        <v>-4178.41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"4243", " - ", "SALES RETURN TAXABLE-CARDS")</f>
        <v xml:space="preserve">          4243 - SALES RETURN TAXABLE-CARDS</v>
      </c>
      <c r="C90" s="11"/>
      <c r="D90" s="2">
        <f>-159.92</f>
        <v>-159.91999999999999</v>
      </c>
      <c r="E90" s="2"/>
      <c r="F90" s="19"/>
      <c r="G90" s="2"/>
      <c r="H90" s="2"/>
      <c r="I90" s="2"/>
      <c r="J90" s="19"/>
      <c r="K90" s="2"/>
      <c r="L90" s="2">
        <f t="shared" si="0"/>
        <v>-159.91999999999999</v>
      </c>
      <c r="M90" s="2"/>
      <c r="N90" s="19">
        <f t="shared" si="1"/>
        <v>0</v>
      </c>
      <c r="O90" s="11"/>
      <c r="P90" s="2">
        <f>-2993.31</f>
        <v>-2993.31</v>
      </c>
      <c r="Q90" s="2"/>
      <c r="R90" s="19"/>
      <c r="S90" s="2"/>
      <c r="T90" s="2"/>
      <c r="U90" s="2"/>
      <c r="V90" s="19"/>
      <c r="W90" s="2"/>
      <c r="X90" s="2">
        <f t="shared" si="2"/>
        <v>-2993.31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"4244", " - ", "SALES RETURN TAXABLE-ACCESSORI")</f>
        <v xml:space="preserve">          4244 - SALES RETURN TAXABLE-ACCESSORI</v>
      </c>
      <c r="C91" s="11"/>
      <c r="D91" s="2">
        <f>-39.9</f>
        <v>-39.9</v>
      </c>
      <c r="E91" s="2"/>
      <c r="F91" s="19"/>
      <c r="G91" s="2"/>
      <c r="H91" s="2"/>
      <c r="I91" s="2"/>
      <c r="J91" s="19"/>
      <c r="K91" s="2"/>
      <c r="L91" s="2">
        <f t="shared" si="0"/>
        <v>-39.9</v>
      </c>
      <c r="M91" s="2"/>
      <c r="N91" s="19">
        <f t="shared" si="1"/>
        <v>0</v>
      </c>
      <c r="O91" s="11"/>
      <c r="P91" s="2">
        <f>-2470.7</f>
        <v>-2470.6999999999998</v>
      </c>
      <c r="Q91" s="2"/>
      <c r="R91" s="19"/>
      <c r="S91" s="2"/>
      <c r="T91" s="2"/>
      <c r="U91" s="2"/>
      <c r="V91" s="19"/>
      <c r="W91" s="2"/>
      <c r="X91" s="2">
        <f t="shared" si="2"/>
        <v>-2470.6999999999998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"4245", " - ", "SALES RETURN TAXABLE-SPECIAL O")</f>
        <v xml:space="preserve">          4245 - SALES RETURN TAXABLE-SPECIAL O</v>
      </c>
      <c r="C92" s="11"/>
      <c r="D92" s="2">
        <f>-19.98</f>
        <v>-19.98</v>
      </c>
      <c r="E92" s="2"/>
      <c r="F92" s="19"/>
      <c r="G92" s="2"/>
      <c r="H92" s="2"/>
      <c r="I92" s="2"/>
      <c r="J92" s="19"/>
      <c r="K92" s="2"/>
      <c r="L92" s="2">
        <f t="shared" si="0"/>
        <v>-19.98</v>
      </c>
      <c r="M92" s="2"/>
      <c r="N92" s="19">
        <f t="shared" si="1"/>
        <v>0</v>
      </c>
      <c r="O92" s="11"/>
      <c r="P92" s="2">
        <f>-1735.03</f>
        <v>-1735.03</v>
      </c>
      <c r="Q92" s="2"/>
      <c r="R92" s="19"/>
      <c r="S92" s="2"/>
      <c r="T92" s="2"/>
      <c r="U92" s="2"/>
      <c r="V92" s="19"/>
      <c r="W92" s="2"/>
      <c r="X92" s="2">
        <f t="shared" si="2"/>
        <v>-1735.03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"4281", " - ", "SALES RETURN TAXABLE-ELECTRONI")</f>
        <v xml:space="preserve">          4281 - SALES RETURN TAXABLE-ELECTRONI</v>
      </c>
      <c r="C93" s="11"/>
      <c r="D93" s="2">
        <f>0</f>
        <v>0</v>
      </c>
      <c r="E93" s="2"/>
      <c r="F93" s="19"/>
      <c r="G93" s="2"/>
      <c r="H93" s="2"/>
      <c r="I93" s="2"/>
      <c r="J93" s="19"/>
      <c r="K93" s="2"/>
      <c r="L93" s="2">
        <f t="shared" si="0"/>
        <v>0</v>
      </c>
      <c r="M93" s="2"/>
      <c r="N93" s="19">
        <f t="shared" si="1"/>
        <v>0</v>
      </c>
      <c r="O93" s="11"/>
      <c r="P93" s="2">
        <f>-54.97</f>
        <v>-54.97</v>
      </c>
      <c r="Q93" s="2"/>
      <c r="R93" s="19"/>
      <c r="S93" s="2"/>
      <c r="T93" s="2"/>
      <c r="U93" s="2"/>
      <c r="V93" s="19"/>
      <c r="W93" s="2"/>
      <c r="X93" s="2">
        <f t="shared" si="2"/>
        <v>-54.97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"4292", " - ", "SALES RETURN TAXABLE-GRAD MERC")</f>
        <v xml:space="preserve">          4292 - SALES RETURN TAXABLE-GRAD MERC</v>
      </c>
      <c r="C94" s="11"/>
      <c r="D94" s="2">
        <f>-94.9</f>
        <v>-94.9</v>
      </c>
      <c r="E94" s="2"/>
      <c r="F94" s="19"/>
      <c r="G94" s="2"/>
      <c r="H94" s="2"/>
      <c r="I94" s="2"/>
      <c r="J94" s="19"/>
      <c r="K94" s="2"/>
      <c r="L94" s="2">
        <f t="shared" si="0"/>
        <v>-94.9</v>
      </c>
      <c r="M94" s="2"/>
      <c r="N94" s="19">
        <f t="shared" si="1"/>
        <v>0</v>
      </c>
      <c r="O94" s="11"/>
      <c r="P94" s="2">
        <f>-513.95</f>
        <v>-513.95000000000005</v>
      </c>
      <c r="Q94" s="2"/>
      <c r="R94" s="19"/>
      <c r="S94" s="2"/>
      <c r="T94" s="2"/>
      <c r="U94" s="2"/>
      <c r="V94" s="19"/>
      <c r="W94" s="2"/>
      <c r="X94" s="2">
        <f t="shared" si="2"/>
        <v>-513.95000000000005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"4295", " - ", "SALES RETURN TAXABLE-CUSTOMER")</f>
        <v xml:space="preserve">          4295 - SALES RETURN TAXABLE-CUSTOMER</v>
      </c>
      <c r="C95" s="11"/>
      <c r="D95" s="2">
        <f t="shared" ref="D95:D98" si="7">0</f>
        <v>0</v>
      </c>
      <c r="E95" s="2"/>
      <c r="F95" s="19"/>
      <c r="G95" s="2"/>
      <c r="H95" s="2"/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--0.99</f>
        <v>0.99</v>
      </c>
      <c r="Q95" s="2"/>
      <c r="R95" s="19"/>
      <c r="S95" s="2"/>
      <c r="T95" s="2"/>
      <c r="U95" s="2"/>
      <c r="V95" s="19"/>
      <c r="W95" s="2"/>
      <c r="X95" s="2">
        <f t="shared" si="2"/>
        <v>0.99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"4301", " - ", "SALES RETURN NON TAXABLE-NEW T")</f>
        <v xml:space="preserve">          4301 - SALES RETURN NON TAXABLE-NEW T</v>
      </c>
      <c r="C96" s="11"/>
      <c r="D96" s="2">
        <f t="shared" si="7"/>
        <v>0</v>
      </c>
      <c r="E96" s="2"/>
      <c r="F96" s="19"/>
      <c r="G96" s="2"/>
      <c r="H96" s="2"/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>-15221.62</f>
        <v>-15221.62</v>
      </c>
      <c r="Q96" s="2"/>
      <c r="R96" s="19"/>
      <c r="S96" s="2"/>
      <c r="T96" s="2"/>
      <c r="U96" s="2"/>
      <c r="V96" s="19"/>
      <c r="W96" s="2"/>
      <c r="X96" s="2">
        <f t="shared" si="2"/>
        <v>-15221.62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"4302", " - ", "SALES RETURN NON TAXABLE-TEXT")</f>
        <v xml:space="preserve">          4302 - SALES RETURN NON TAXABLE-TEXT</v>
      </c>
      <c r="C97" s="11"/>
      <c r="D97" s="2">
        <f t="shared" si="7"/>
        <v>0</v>
      </c>
      <c r="E97" s="2"/>
      <c r="F97" s="19"/>
      <c r="G97" s="2"/>
      <c r="H97" s="2"/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>-1312.37</f>
        <v>-1312.37</v>
      </c>
      <c r="Q97" s="2"/>
      <c r="R97" s="19"/>
      <c r="S97" s="2"/>
      <c r="T97" s="2"/>
      <c r="U97" s="2"/>
      <c r="V97" s="19"/>
      <c r="W97" s="2"/>
      <c r="X97" s="2">
        <f t="shared" si="2"/>
        <v>-1312.37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"4303", " - ", "SALES RETURN NON-TAXABLE-RENTA")</f>
        <v xml:space="preserve">          4303 - SALES RETURN NON-TAXABLE-RENTA</v>
      </c>
      <c r="C98" s="11"/>
      <c r="D98" s="2">
        <f t="shared" si="7"/>
        <v>0</v>
      </c>
      <c r="E98" s="2"/>
      <c r="F98" s="19"/>
      <c r="G98" s="2"/>
      <c r="H98" s="2"/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-184.99</f>
        <v>-184.99</v>
      </c>
      <c r="Q98" s="2"/>
      <c r="R98" s="19"/>
      <c r="S98" s="2"/>
      <c r="T98" s="2"/>
      <c r="U98" s="2"/>
      <c r="V98" s="19"/>
      <c r="W98" s="2"/>
      <c r="X98" s="2">
        <f t="shared" si="2"/>
        <v>-184.99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"4304", " - ", "SALES RETURN NON TAXABLE-DIGIT")</f>
        <v xml:space="preserve">          4304 - SALES RETURN NON TAXABLE-DIGIT</v>
      </c>
      <c r="C99" s="11"/>
      <c r="D99" s="2">
        <f>-44.15</f>
        <v>-44.15</v>
      </c>
      <c r="E99" s="2"/>
      <c r="F99" s="19"/>
      <c r="G99" s="2"/>
      <c r="H99" s="2"/>
      <c r="I99" s="2"/>
      <c r="J99" s="19"/>
      <c r="K99" s="2"/>
      <c r="L99" s="2">
        <f t="shared" si="0"/>
        <v>-44.15</v>
      </c>
      <c r="M99" s="2"/>
      <c r="N99" s="19">
        <f t="shared" si="1"/>
        <v>0</v>
      </c>
      <c r="O99" s="11"/>
      <c r="P99" s="2">
        <f>-19036.13</f>
        <v>-19036.13</v>
      </c>
      <c r="Q99" s="2"/>
      <c r="R99" s="19"/>
      <c r="S99" s="2"/>
      <c r="T99" s="2"/>
      <c r="U99" s="2"/>
      <c r="V99" s="19"/>
      <c r="W99" s="2"/>
      <c r="X99" s="2">
        <f t="shared" si="2"/>
        <v>-19036.13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"4311", " - ", "SALES RETURN NON TAXABLE-NO VA")</f>
        <v xml:space="preserve">          4311 - SALES RETURN NON TAXABLE-NO VA</v>
      </c>
      <c r="C100" s="11"/>
      <c r="D100" s="2">
        <f>-57.9</f>
        <v>-57.9</v>
      </c>
      <c r="E100" s="2"/>
      <c r="F100" s="19"/>
      <c r="G100" s="2"/>
      <c r="H100" s="2"/>
      <c r="I100" s="2"/>
      <c r="J100" s="19"/>
      <c r="K100" s="2"/>
      <c r="L100" s="2">
        <f t="shared" si="0"/>
        <v>-57.9</v>
      </c>
      <c r="M100" s="2"/>
      <c r="N100" s="19">
        <f t="shared" si="1"/>
        <v>0</v>
      </c>
      <c r="O100" s="11"/>
      <c r="P100" s="2">
        <f>-852.66</f>
        <v>-852.66</v>
      </c>
      <c r="Q100" s="2"/>
      <c r="R100" s="19"/>
      <c r="S100" s="2"/>
      <c r="T100" s="2"/>
      <c r="U100" s="2"/>
      <c r="V100" s="19"/>
      <c r="W100" s="2"/>
      <c r="X100" s="2">
        <f t="shared" si="2"/>
        <v>-852.66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"4327", " - ", "SALES RETURN NON TAXABLE-SCHOO")</f>
        <v xml:space="preserve">          4327 - SALES RETURN NON TAXABLE-SCHOO</v>
      </c>
      <c r="C101" s="11"/>
      <c r="D101" s="2">
        <f>0</f>
        <v>0</v>
      </c>
      <c r="E101" s="2"/>
      <c r="F101" s="19"/>
      <c r="G101" s="2"/>
      <c r="H101" s="2"/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-21.87</f>
        <v>-21.87</v>
      </c>
      <c r="Q101" s="2"/>
      <c r="R101" s="19"/>
      <c r="S101" s="2"/>
      <c r="T101" s="2"/>
      <c r="U101" s="2"/>
      <c r="V101" s="19"/>
      <c r="W101" s="2"/>
      <c r="X101" s="2">
        <f t="shared" si="2"/>
        <v>-21.87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"4331", " - ", "SALES RETURN NON TAXABLE-FOOD")</f>
        <v xml:space="preserve">          4331 - SALES RETURN NON TAXABLE-FOOD</v>
      </c>
      <c r="C102" s="11"/>
      <c r="D102" s="2">
        <f>-4.99</f>
        <v>-4.99</v>
      </c>
      <c r="E102" s="2"/>
      <c r="F102" s="19"/>
      <c r="G102" s="2"/>
      <c r="H102" s="2"/>
      <c r="I102" s="2"/>
      <c r="J102" s="19"/>
      <c r="K102" s="2"/>
      <c r="L102" s="2">
        <f t="shared" si="0"/>
        <v>-4.99</v>
      </c>
      <c r="M102" s="2"/>
      <c r="N102" s="19">
        <f t="shared" si="1"/>
        <v>0</v>
      </c>
      <c r="O102" s="11"/>
      <c r="P102" s="2">
        <f>-12.57</f>
        <v>-12.57</v>
      </c>
      <c r="Q102" s="2"/>
      <c r="R102" s="19"/>
      <c r="S102" s="2"/>
      <c r="T102" s="2"/>
      <c r="U102" s="2"/>
      <c r="V102" s="19"/>
      <c r="W102" s="2"/>
      <c r="X102" s="2">
        <f t="shared" si="2"/>
        <v>-12.57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"4332", " - ", "SALES RETURN NON TAXABLE-JUICE")</f>
        <v xml:space="preserve">          4332 - SALES RETURN NON TAXABLE-JUICE</v>
      </c>
      <c r="C103" s="11"/>
      <c r="D103" s="2">
        <f>0</f>
        <v>0</v>
      </c>
      <c r="E103" s="2"/>
      <c r="F103" s="19"/>
      <c r="G103" s="2"/>
      <c r="H103" s="2"/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1"/>
      <c r="P103" s="2">
        <f>-2.79</f>
        <v>-2.79</v>
      </c>
      <c r="Q103" s="2"/>
      <c r="R103" s="19"/>
      <c r="S103" s="2"/>
      <c r="T103" s="2"/>
      <c r="U103" s="2"/>
      <c r="V103" s="19"/>
      <c r="W103" s="2"/>
      <c r="X103" s="2">
        <f t="shared" si="2"/>
        <v>-2.79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"4340", " - ", "SALES RETURN NON TAXABLE-LOGO")</f>
        <v xml:space="preserve">          4340 - SALES RETURN NON TAXABLE-LOGO</v>
      </c>
      <c r="C104" s="11"/>
      <c r="D104" s="2">
        <f>-63.8</f>
        <v>-63.8</v>
      </c>
      <c r="E104" s="2"/>
      <c r="F104" s="19"/>
      <c r="G104" s="2"/>
      <c r="H104" s="2"/>
      <c r="I104" s="2"/>
      <c r="J104" s="19"/>
      <c r="K104" s="2"/>
      <c r="L104" s="2">
        <f t="shared" si="0"/>
        <v>-63.8</v>
      </c>
      <c r="M104" s="2"/>
      <c r="N104" s="19">
        <f t="shared" si="1"/>
        <v>0</v>
      </c>
      <c r="O104" s="11"/>
      <c r="P104" s="2">
        <f>-995.45</f>
        <v>-995.45</v>
      </c>
      <c r="Q104" s="2"/>
      <c r="R104" s="19"/>
      <c r="S104" s="2"/>
      <c r="T104" s="2"/>
      <c r="U104" s="2"/>
      <c r="V104" s="19"/>
      <c r="W104" s="2"/>
      <c r="X104" s="2">
        <f t="shared" si="2"/>
        <v>-995.45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"4341", " - ", "SALES RETURN NON TAXABLE-LOGO")</f>
        <v xml:space="preserve">          4341 - SALES RETURN NON TAXABLE-LOGO</v>
      </c>
      <c r="C105" s="11"/>
      <c r="D105" s="2">
        <f t="shared" ref="D105:D107" si="8">0</f>
        <v>0</v>
      </c>
      <c r="E105" s="2"/>
      <c r="F105" s="19"/>
      <c r="G105" s="2"/>
      <c r="H105" s="2"/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-245.5</f>
        <v>-245.5</v>
      </c>
      <c r="Q105" s="2"/>
      <c r="R105" s="19"/>
      <c r="S105" s="2"/>
      <c r="T105" s="2"/>
      <c r="U105" s="2"/>
      <c r="V105" s="19"/>
      <c r="W105" s="2"/>
      <c r="X105" s="2">
        <f t="shared" si="2"/>
        <v>-245.5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"4342", " - ", "SALES RETURN NON TAXABLE-EVERY")</f>
        <v xml:space="preserve">          4342 - SALES RETURN NON TAXABLE-EVERY</v>
      </c>
      <c r="C106" s="11"/>
      <c r="D106" s="2">
        <f t="shared" si="8"/>
        <v>0</v>
      </c>
      <c r="E106" s="2"/>
      <c r="F106" s="19"/>
      <c r="G106" s="2"/>
      <c r="H106" s="2"/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>-149.22</f>
        <v>-149.22</v>
      </c>
      <c r="Q106" s="2"/>
      <c r="R106" s="19"/>
      <c r="S106" s="2"/>
      <c r="T106" s="2"/>
      <c r="U106" s="2"/>
      <c r="V106" s="19"/>
      <c r="W106" s="2"/>
      <c r="X106" s="2">
        <f t="shared" si="2"/>
        <v>-149.22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"4346", " - ", "SALES RETURN NON TAXABLE-COIN-")</f>
        <v xml:space="preserve">          4346 - SALES RETURN NON TAXABLE-COIN-</v>
      </c>
      <c r="C107" s="11"/>
      <c r="D107" s="2">
        <f t="shared" si="8"/>
        <v>0</v>
      </c>
      <c r="E107" s="2"/>
      <c r="F107" s="19"/>
      <c r="G107" s="2"/>
      <c r="H107" s="2"/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1"/>
      <c r="P107" s="2">
        <f>-8.15</f>
        <v>-8.15</v>
      </c>
      <c r="Q107" s="2"/>
      <c r="R107" s="19"/>
      <c r="S107" s="2"/>
      <c r="T107" s="2"/>
      <c r="U107" s="2"/>
      <c r="V107" s="19"/>
      <c r="W107" s="2"/>
      <c r="X107" s="2">
        <f t="shared" si="2"/>
        <v>-8.15</v>
      </c>
      <c r="Y107" s="2"/>
      <c r="Z107" s="19">
        <f t="shared" si="3"/>
        <v>0</v>
      </c>
    </row>
    <row r="108" spans="1:26" s="24" customFormat="1" hidden="1" outlineLevel="1" x14ac:dyDescent="0.25">
      <c r="A108" s="44"/>
      <c r="B108" s="11" t="str">
        <f>CONCATENATE("          ", "4347", " - ", "SALES RETURN NON TAXABLE-MISC")</f>
        <v xml:space="preserve">          4347 - SALES RETURN NON TAXABLE-MISC</v>
      </c>
      <c r="C108" s="11"/>
      <c r="D108" s="2">
        <f>-84</f>
        <v>-84</v>
      </c>
      <c r="E108" s="2"/>
      <c r="F108" s="19"/>
      <c r="G108" s="2"/>
      <c r="H108" s="2"/>
      <c r="I108" s="2"/>
      <c r="J108" s="19"/>
      <c r="K108" s="2"/>
      <c r="L108" s="2">
        <f t="shared" si="0"/>
        <v>-84</v>
      </c>
      <c r="M108" s="2"/>
      <c r="N108" s="19">
        <f t="shared" si="1"/>
        <v>0</v>
      </c>
      <c r="O108" s="11"/>
      <c r="P108" s="2">
        <f>-84</f>
        <v>-84</v>
      </c>
      <c r="Q108" s="2"/>
      <c r="R108" s="19"/>
      <c r="S108" s="2"/>
      <c r="T108" s="2"/>
      <c r="U108" s="2"/>
      <c r="V108" s="19"/>
      <c r="W108" s="2"/>
      <c r="X108" s="2">
        <f t="shared" si="2"/>
        <v>-84</v>
      </c>
      <c r="Y108" s="2"/>
      <c r="Z108" s="19">
        <f t="shared" si="3"/>
        <v>0</v>
      </c>
    </row>
    <row r="109" spans="1:26" x14ac:dyDescent="0.25">
      <c r="A109" s="9"/>
      <c r="B109" s="10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collapsed="1" x14ac:dyDescent="0.25">
      <c r="A110" s="10"/>
      <c r="B110" s="29" t="s">
        <v>8</v>
      </c>
      <c r="C110" s="10"/>
      <c r="D110" s="4">
        <f>SUM(OSRRefD16x_0)</f>
        <v>99442.199999999822</v>
      </c>
      <c r="E110" s="4"/>
      <c r="F110" s="12">
        <f t="shared" ref="F110:F161" si="9">IF(D$12=0,0,D110/D$12)</f>
        <v>0.42855308827425065</v>
      </c>
      <c r="G110" s="4"/>
      <c r="H110" s="4">
        <f>SUM(OSRRefH16x_0)</f>
        <v>384935.41777</v>
      </c>
      <c r="I110" s="4"/>
      <c r="J110" s="12">
        <f t="shared" ref="J110:J161" si="10">IF(H$12=0,0,H110/H$12)</f>
        <v>0.41166244075985259</v>
      </c>
      <c r="K110" s="4"/>
      <c r="L110" s="4">
        <f t="shared" ref="L110:L161" si="11">+D110-H110</f>
        <v>-285493.21777000016</v>
      </c>
      <c r="M110" s="4"/>
      <c r="N110" s="12">
        <f t="shared" ref="N110:N161" si="12">IF(H110=0,0,L110/H110)</f>
        <v>-0.74166523679196272</v>
      </c>
      <c r="O110" s="10"/>
      <c r="P110" s="4">
        <f>SUM(OSRRefP16x_0)</f>
        <v>5011678.2799999993</v>
      </c>
      <c r="Q110" s="4"/>
      <c r="R110" s="12">
        <f t="shared" ref="R110:R161" si="13">IF(P$12=0,0,P110/P$12)</f>
        <v>0.58286931799841091</v>
      </c>
      <c r="S110" s="4"/>
      <c r="T110" s="4">
        <f>SUM(OSRRefT16x_0)</f>
        <v>5664676.3719999995</v>
      </c>
      <c r="U110" s="4"/>
      <c r="V110" s="12">
        <f t="shared" ref="V110:V161" si="14">IF(T$12=0,0,T110/T$12)</f>
        <v>0.57054322726633178</v>
      </c>
      <c r="W110" s="4"/>
      <c r="X110" s="4">
        <f t="shared" ref="X110:X161" si="15">+P110-T110</f>
        <v>-652998.09200000018</v>
      </c>
      <c r="Y110" s="4"/>
      <c r="Z110" s="12">
        <f t="shared" ref="Z110:Z161" si="16">IF(T110=0,0,X110/T110)</f>
        <v>-0.11527544543015956</v>
      </c>
    </row>
    <row r="111" spans="1:26" s="24" customFormat="1" hidden="1" outlineLevel="1" x14ac:dyDescent="0.25">
      <c r="A111" s="44"/>
      <c r="B111" s="11" t="str">
        <f>CONCATENATE("          ", "5000", " - ", "PURCHASES @ COST")</f>
        <v xml:space="preserve">          5000 - PURCHASES @ COST</v>
      </c>
      <c r="C111" s="11"/>
      <c r="D111" s="2"/>
      <c r="E111" s="2"/>
      <c r="F111" s="19">
        <f t="shared" si="9"/>
        <v>0</v>
      </c>
      <c r="G111" s="2"/>
      <c r="H111" s="2">
        <v>384935.41777</v>
      </c>
      <c r="I111" s="2"/>
      <c r="J111" s="19">
        <f t="shared" si="10"/>
        <v>0.41166244075985259</v>
      </c>
      <c r="K111" s="2"/>
      <c r="L111" s="2">
        <f t="shared" si="11"/>
        <v>-384935.41777</v>
      </c>
      <c r="M111" s="2"/>
      <c r="N111" s="19">
        <f t="shared" si="12"/>
        <v>-1</v>
      </c>
      <c r="O111" s="11"/>
      <c r="P111" s="2"/>
      <c r="Q111" s="2"/>
      <c r="R111" s="19">
        <f t="shared" si="13"/>
        <v>0</v>
      </c>
      <c r="S111" s="2"/>
      <c r="T111" s="2">
        <v>5664676.3719999995</v>
      </c>
      <c r="U111" s="2"/>
      <c r="V111" s="19">
        <f t="shared" si="14"/>
        <v>0.57054322726633178</v>
      </c>
      <c r="W111" s="2"/>
      <c r="X111" s="2">
        <f t="shared" si="15"/>
        <v>-5664676.3719999995</v>
      </c>
      <c r="Y111" s="2"/>
      <c r="Z111" s="19">
        <f t="shared" si="16"/>
        <v>-1</v>
      </c>
    </row>
    <row r="112" spans="1:26" s="24" customFormat="1" hidden="1" outlineLevel="1" x14ac:dyDescent="0.25">
      <c r="A112" s="44"/>
      <c r="B112" s="11" t="str">
        <f>CONCATENATE("          ", "5001", " - ", "PURCHASES @ COST-NEW TEXT")</f>
        <v xml:space="preserve">          5001 - PURCHASES @ COST-NEW TEXT</v>
      </c>
      <c r="C112" s="11"/>
      <c r="D112" s="2">
        <v>-921934.35</v>
      </c>
      <c r="E112" s="2"/>
      <c r="F112" s="19">
        <f t="shared" si="9"/>
        <v>-3.973140305409721</v>
      </c>
      <c r="G112" s="2"/>
      <c r="H112" s="2"/>
      <c r="I112" s="2"/>
      <c r="J112" s="19">
        <f t="shared" si="10"/>
        <v>0</v>
      </c>
      <c r="K112" s="2"/>
      <c r="L112" s="2">
        <f t="shared" si="11"/>
        <v>-921934.35</v>
      </c>
      <c r="M112" s="2"/>
      <c r="N112" s="19">
        <f t="shared" si="12"/>
        <v>0</v>
      </c>
      <c r="O112" s="11"/>
      <c r="P112" s="2">
        <v>1594665.1199999999</v>
      </c>
      <c r="Q112" s="2"/>
      <c r="R112" s="19">
        <f t="shared" si="13"/>
        <v>0.18546309619264986</v>
      </c>
      <c r="S112" s="2"/>
      <c r="T112" s="2"/>
      <c r="U112" s="2"/>
      <c r="V112" s="19">
        <f t="shared" si="14"/>
        <v>0</v>
      </c>
      <c r="W112" s="2"/>
      <c r="X112" s="2">
        <f t="shared" si="15"/>
        <v>1594665.1199999999</v>
      </c>
      <c r="Y112" s="2"/>
      <c r="Z112" s="19">
        <f t="shared" si="16"/>
        <v>0</v>
      </c>
    </row>
    <row r="113" spans="1:26" s="24" customFormat="1" hidden="1" outlineLevel="1" x14ac:dyDescent="0.25">
      <c r="A113" s="44"/>
      <c r="B113" s="11" t="str">
        <f>CONCATENATE("          ", "5002", " - ", "PURCHASES @ COST-USED TEXT")</f>
        <v xml:space="preserve">          5002 - PURCHASES @ COST-USED TEXT</v>
      </c>
      <c r="C113" s="11"/>
      <c r="D113" s="2">
        <v>74144.739999999991</v>
      </c>
      <c r="E113" s="2"/>
      <c r="F113" s="19">
        <f t="shared" si="9"/>
        <v>0.31953192212452475</v>
      </c>
      <c r="G113" s="2"/>
      <c r="H113" s="2"/>
      <c r="I113" s="2"/>
      <c r="J113" s="19">
        <f t="shared" si="10"/>
        <v>0</v>
      </c>
      <c r="K113" s="2"/>
      <c r="L113" s="2">
        <f t="shared" si="11"/>
        <v>74144.739999999991</v>
      </c>
      <c r="M113" s="2"/>
      <c r="N113" s="19">
        <f t="shared" si="12"/>
        <v>0</v>
      </c>
      <c r="O113" s="11"/>
      <c r="P113" s="2">
        <v>598700.11</v>
      </c>
      <c r="Q113" s="2"/>
      <c r="R113" s="19">
        <f t="shared" si="13"/>
        <v>6.9630152875909193E-2</v>
      </c>
      <c r="S113" s="2"/>
      <c r="T113" s="2"/>
      <c r="U113" s="2"/>
      <c r="V113" s="19">
        <f t="shared" si="14"/>
        <v>0</v>
      </c>
      <c r="W113" s="2"/>
      <c r="X113" s="2">
        <f t="shared" si="15"/>
        <v>598700.11</v>
      </c>
      <c r="Y113" s="2"/>
      <c r="Z113" s="19">
        <f t="shared" si="16"/>
        <v>0</v>
      </c>
    </row>
    <row r="114" spans="1:26" s="24" customFormat="1" hidden="1" outlineLevel="1" x14ac:dyDescent="0.25">
      <c r="A114" s="44"/>
      <c r="B114" s="11" t="str">
        <f>CONCATENATE("          ", "5003", " - ", "PURCHASES @ COST-RENTAL TEXT")</f>
        <v xml:space="preserve">          5003 - PURCHASES @ COST-RENTAL TEXT</v>
      </c>
      <c r="C114" s="11"/>
      <c r="D114" s="2"/>
      <c r="E114" s="2"/>
      <c r="F114" s="19">
        <f t="shared" si="9"/>
        <v>0</v>
      </c>
      <c r="G114" s="2"/>
      <c r="H114" s="2"/>
      <c r="I114" s="2"/>
      <c r="J114" s="19">
        <f t="shared" si="10"/>
        <v>0</v>
      </c>
      <c r="K114" s="2"/>
      <c r="L114" s="2">
        <f t="shared" si="11"/>
        <v>0</v>
      </c>
      <c r="M114" s="2"/>
      <c r="N114" s="19">
        <f t="shared" si="12"/>
        <v>0</v>
      </c>
      <c r="O114" s="11"/>
      <c r="P114" s="2">
        <v>-78.400000000000006</v>
      </c>
      <c r="Q114" s="2"/>
      <c r="R114" s="19">
        <f t="shared" si="13"/>
        <v>-9.1180941748470383E-6</v>
      </c>
      <c r="S114" s="2"/>
      <c r="T114" s="2"/>
      <c r="U114" s="2"/>
      <c r="V114" s="19">
        <f t="shared" si="14"/>
        <v>0</v>
      </c>
      <c r="W114" s="2"/>
      <c r="X114" s="2">
        <f t="shared" si="15"/>
        <v>-78.400000000000006</v>
      </c>
      <c r="Y114" s="2"/>
      <c r="Z114" s="19">
        <f t="shared" si="16"/>
        <v>0</v>
      </c>
    </row>
    <row r="115" spans="1:26" s="24" customFormat="1" hidden="1" outlineLevel="1" x14ac:dyDescent="0.25">
      <c r="A115" s="44"/>
      <c r="B115" s="11" t="str">
        <f>CONCATENATE("          ", "5004", " - ", "PURCHASES @ COST-DIGITAL TEXT")</f>
        <v xml:space="preserve">          5004 - PURCHASES @ COST-DIGITAL TEXT</v>
      </c>
      <c r="C115" s="11"/>
      <c r="D115" s="2">
        <v>-96834.95</v>
      </c>
      <c r="E115" s="2"/>
      <c r="F115" s="19">
        <f t="shared" si="9"/>
        <v>-0.41731696277217034</v>
      </c>
      <c r="G115" s="2"/>
      <c r="H115" s="2"/>
      <c r="I115" s="2"/>
      <c r="J115" s="19">
        <f t="shared" si="10"/>
        <v>0</v>
      </c>
      <c r="K115" s="2"/>
      <c r="L115" s="2">
        <f t="shared" si="11"/>
        <v>-96834.95</v>
      </c>
      <c r="M115" s="2"/>
      <c r="N115" s="19">
        <f t="shared" si="12"/>
        <v>0</v>
      </c>
      <c r="O115" s="11"/>
      <c r="P115" s="2">
        <v>438322.88</v>
      </c>
      <c r="Q115" s="2"/>
      <c r="R115" s="19">
        <f t="shared" si="13"/>
        <v>5.0977924729976747E-2</v>
      </c>
      <c r="S115" s="2"/>
      <c r="T115" s="2"/>
      <c r="U115" s="2"/>
      <c r="V115" s="19">
        <f t="shared" si="14"/>
        <v>0</v>
      </c>
      <c r="W115" s="2"/>
      <c r="X115" s="2">
        <f t="shared" si="15"/>
        <v>438322.88</v>
      </c>
      <c r="Y115" s="2"/>
      <c r="Z115" s="19">
        <f t="shared" si="16"/>
        <v>0</v>
      </c>
    </row>
    <row r="116" spans="1:26" s="24" customFormat="1" hidden="1" outlineLevel="1" x14ac:dyDescent="0.25">
      <c r="A116" s="44"/>
      <c r="B116" s="11" t="str">
        <f>CONCATENATE("          ", "5011", " - ", "PURCHASES @ COST-NO VALUE TEXT")</f>
        <v xml:space="preserve">          5011 - PURCHASES @ COST-NO VALUE TEXT</v>
      </c>
      <c r="C116" s="11"/>
      <c r="D116" s="2">
        <v>588</v>
      </c>
      <c r="E116" s="2"/>
      <c r="F116" s="19">
        <f t="shared" si="9"/>
        <v>2.5340269614435302E-3</v>
      </c>
      <c r="G116" s="2"/>
      <c r="H116" s="2"/>
      <c r="I116" s="2"/>
      <c r="J116" s="19">
        <f t="shared" si="10"/>
        <v>0</v>
      </c>
      <c r="K116" s="2"/>
      <c r="L116" s="2">
        <f t="shared" si="11"/>
        <v>588</v>
      </c>
      <c r="M116" s="2"/>
      <c r="N116" s="19">
        <f t="shared" si="12"/>
        <v>0</v>
      </c>
      <c r="O116" s="11"/>
      <c r="P116" s="2">
        <v>6321</v>
      </c>
      <c r="Q116" s="2"/>
      <c r="R116" s="19">
        <f t="shared" si="13"/>
        <v>7.3514634284704231E-4</v>
      </c>
      <c r="S116" s="2"/>
      <c r="T116" s="2"/>
      <c r="U116" s="2"/>
      <c r="V116" s="19">
        <f t="shared" si="14"/>
        <v>0</v>
      </c>
      <c r="W116" s="2"/>
      <c r="X116" s="2">
        <f t="shared" si="15"/>
        <v>6321</v>
      </c>
      <c r="Y116" s="2"/>
      <c r="Z116" s="19">
        <f t="shared" si="16"/>
        <v>0</v>
      </c>
    </row>
    <row r="117" spans="1:26" s="24" customFormat="1" hidden="1" outlineLevel="1" x14ac:dyDescent="0.25">
      <c r="A117" s="44"/>
      <c r="B117" s="11" t="str">
        <f>CONCATENATE("          ", "5013", " - ", "PURCHASES @ COST-TRADE BOOKS")</f>
        <v xml:space="preserve">          5013 - PURCHASES @ COST-TRADE BOOKS</v>
      </c>
      <c r="C117" s="11"/>
      <c r="D117" s="2">
        <v>3297.82</v>
      </c>
      <c r="E117" s="2"/>
      <c r="F117" s="19">
        <f t="shared" si="9"/>
        <v>1.421218502378861E-2</v>
      </c>
      <c r="G117" s="2"/>
      <c r="H117" s="2"/>
      <c r="I117" s="2"/>
      <c r="J117" s="19">
        <f t="shared" si="10"/>
        <v>0</v>
      </c>
      <c r="K117" s="2"/>
      <c r="L117" s="2">
        <f t="shared" si="11"/>
        <v>3297.82</v>
      </c>
      <c r="M117" s="2"/>
      <c r="N117" s="19">
        <f t="shared" si="12"/>
        <v>0</v>
      </c>
      <c r="O117" s="11"/>
      <c r="P117" s="2">
        <v>6348.54</v>
      </c>
      <c r="Q117" s="2"/>
      <c r="R117" s="19">
        <f t="shared" si="13"/>
        <v>7.3834930603040058E-4</v>
      </c>
      <c r="S117" s="2"/>
      <c r="T117" s="2"/>
      <c r="U117" s="2"/>
      <c r="V117" s="19">
        <f t="shared" si="14"/>
        <v>0</v>
      </c>
      <c r="W117" s="2"/>
      <c r="X117" s="2">
        <f t="shared" si="15"/>
        <v>6348.54</v>
      </c>
      <c r="Y117" s="2"/>
      <c r="Z117" s="19">
        <f t="shared" si="16"/>
        <v>0</v>
      </c>
    </row>
    <row r="118" spans="1:26" s="24" customFormat="1" hidden="1" outlineLevel="1" x14ac:dyDescent="0.25">
      <c r="A118" s="44"/>
      <c r="B118" s="11" t="str">
        <f>CONCATENATE("          ", "5014", " - ", "PURCHASES @ COST-REMAINDERS")</f>
        <v xml:space="preserve">          5014 - PURCHASES @ COST-REMAINDERS</v>
      </c>
      <c r="C118" s="11"/>
      <c r="D118" s="2">
        <v>13.9</v>
      </c>
      <c r="E118" s="2"/>
      <c r="F118" s="19">
        <f t="shared" si="9"/>
        <v>5.9903018306233115E-5</v>
      </c>
      <c r="G118" s="2"/>
      <c r="H118" s="2"/>
      <c r="I118" s="2"/>
      <c r="J118" s="19">
        <f t="shared" si="10"/>
        <v>0</v>
      </c>
      <c r="K118" s="2"/>
      <c r="L118" s="2">
        <f t="shared" si="11"/>
        <v>13.9</v>
      </c>
      <c r="M118" s="2"/>
      <c r="N118" s="19">
        <f t="shared" si="12"/>
        <v>0</v>
      </c>
      <c r="O118" s="11"/>
      <c r="P118" s="2">
        <v>615.07000000000005</v>
      </c>
      <c r="Q118" s="2"/>
      <c r="R118" s="19">
        <f t="shared" si="13"/>
        <v>7.1534007450550603E-5</v>
      </c>
      <c r="S118" s="2"/>
      <c r="T118" s="2"/>
      <c r="U118" s="2"/>
      <c r="V118" s="19">
        <f t="shared" si="14"/>
        <v>0</v>
      </c>
      <c r="W118" s="2"/>
      <c r="X118" s="2">
        <f t="shared" si="15"/>
        <v>615.07000000000005</v>
      </c>
      <c r="Y118" s="2"/>
      <c r="Z118" s="19">
        <f t="shared" si="16"/>
        <v>0</v>
      </c>
    </row>
    <row r="119" spans="1:26" s="24" customFormat="1" hidden="1" outlineLevel="1" x14ac:dyDescent="0.25">
      <c r="A119" s="44"/>
      <c r="B119" s="11" t="str">
        <f>CONCATENATE("          ", "5017", " - ", "PURCHASES @ COST-DORM/HOUSEWAR")</f>
        <v xml:space="preserve">          5017 - PURCHASES @ COST-DORM/HOUSEWAR</v>
      </c>
      <c r="C119" s="11"/>
      <c r="D119" s="2">
        <v>14.46</v>
      </c>
      <c r="E119" s="2"/>
      <c r="F119" s="19">
        <f t="shared" si="9"/>
        <v>6.2316377317131713E-5</v>
      </c>
      <c r="G119" s="2"/>
      <c r="H119" s="2"/>
      <c r="I119" s="2"/>
      <c r="J119" s="19">
        <f t="shared" si="10"/>
        <v>0</v>
      </c>
      <c r="K119" s="2"/>
      <c r="L119" s="2">
        <f t="shared" si="11"/>
        <v>14.46</v>
      </c>
      <c r="M119" s="2"/>
      <c r="N119" s="19">
        <f t="shared" si="12"/>
        <v>0</v>
      </c>
      <c r="O119" s="11"/>
      <c r="P119" s="2">
        <v>14.46</v>
      </c>
      <c r="Q119" s="2"/>
      <c r="R119" s="19">
        <f t="shared" si="13"/>
        <v>1.6817301245955124E-6</v>
      </c>
      <c r="S119" s="2"/>
      <c r="T119" s="2"/>
      <c r="U119" s="2"/>
      <c r="V119" s="19">
        <f t="shared" si="14"/>
        <v>0</v>
      </c>
      <c r="W119" s="2"/>
      <c r="X119" s="2">
        <f t="shared" si="15"/>
        <v>14.46</v>
      </c>
      <c r="Y119" s="2"/>
      <c r="Z119" s="19">
        <f t="shared" si="16"/>
        <v>0</v>
      </c>
    </row>
    <row r="120" spans="1:26" s="24" customFormat="1" hidden="1" outlineLevel="1" x14ac:dyDescent="0.25">
      <c r="A120" s="44"/>
      <c r="B120" s="11" t="str">
        <f>CONCATENATE("          ", "5018", " - ", "PURCHASES @ COST-STUDY GUIDES")</f>
        <v xml:space="preserve">          5018 - PURCHASES @ COST-STUDY GUIDES</v>
      </c>
      <c r="C120" s="11"/>
      <c r="D120" s="2">
        <v>108.9</v>
      </c>
      <c r="E120" s="2"/>
      <c r="F120" s="19">
        <f t="shared" si="9"/>
        <v>4.6931213622653141E-4</v>
      </c>
      <c r="G120" s="2"/>
      <c r="H120" s="2"/>
      <c r="I120" s="2"/>
      <c r="J120" s="19">
        <f t="shared" si="10"/>
        <v>0</v>
      </c>
      <c r="K120" s="2"/>
      <c r="L120" s="2">
        <f t="shared" si="11"/>
        <v>108.9</v>
      </c>
      <c r="M120" s="2"/>
      <c r="N120" s="19">
        <f t="shared" si="12"/>
        <v>0</v>
      </c>
      <c r="O120" s="11"/>
      <c r="P120" s="2">
        <v>2377.33</v>
      </c>
      <c r="Q120" s="2"/>
      <c r="R120" s="19">
        <f t="shared" si="13"/>
        <v>2.7648876051899367E-4</v>
      </c>
      <c r="S120" s="2"/>
      <c r="T120" s="2"/>
      <c r="U120" s="2"/>
      <c r="V120" s="19">
        <f t="shared" si="14"/>
        <v>0</v>
      </c>
      <c r="W120" s="2"/>
      <c r="X120" s="2">
        <f t="shared" si="15"/>
        <v>2377.33</v>
      </c>
      <c r="Y120" s="2"/>
      <c r="Z120" s="19">
        <f t="shared" si="16"/>
        <v>0</v>
      </c>
    </row>
    <row r="121" spans="1:26" s="24" customFormat="1" hidden="1" outlineLevel="1" x14ac:dyDescent="0.25">
      <c r="A121" s="44"/>
      <c r="B121" s="11" t="str">
        <f>CONCATENATE("          ", "5025", " - ", "PURCHASES @ COST-TEST FORMS")</f>
        <v xml:space="preserve">          5025 - PURCHASES @ COST-TEST FORMS</v>
      </c>
      <c r="C121" s="11"/>
      <c r="D121" s="2">
        <v>-1</v>
      </c>
      <c r="E121" s="2"/>
      <c r="F121" s="19">
        <f t="shared" si="9"/>
        <v>-4.3095696623189287E-6</v>
      </c>
      <c r="G121" s="2"/>
      <c r="H121" s="2"/>
      <c r="I121" s="2"/>
      <c r="J121" s="19">
        <f t="shared" si="10"/>
        <v>0</v>
      </c>
      <c r="K121" s="2"/>
      <c r="L121" s="2">
        <f t="shared" si="11"/>
        <v>-1</v>
      </c>
      <c r="M121" s="2"/>
      <c r="N121" s="19">
        <f t="shared" si="12"/>
        <v>0</v>
      </c>
      <c r="O121" s="11"/>
      <c r="P121" s="2">
        <v>26400.390000000003</v>
      </c>
      <c r="Q121" s="2"/>
      <c r="R121" s="19">
        <f t="shared" si="13"/>
        <v>3.0704240085802294E-3</v>
      </c>
      <c r="S121" s="2"/>
      <c r="T121" s="2"/>
      <c r="U121" s="2"/>
      <c r="V121" s="19">
        <f t="shared" si="14"/>
        <v>0</v>
      </c>
      <c r="W121" s="2"/>
      <c r="X121" s="2">
        <f t="shared" si="15"/>
        <v>26400.390000000003</v>
      </c>
      <c r="Y121" s="2"/>
      <c r="Z121" s="19">
        <f t="shared" si="16"/>
        <v>0</v>
      </c>
    </row>
    <row r="122" spans="1:26" s="24" customFormat="1" hidden="1" outlineLevel="1" x14ac:dyDescent="0.25">
      <c r="A122" s="44"/>
      <c r="B122" s="11" t="str">
        <f>CONCATENATE("          ", "5026", " - ", "PURCHASES @ COST-WRITING INSTR")</f>
        <v xml:space="preserve">          5026 - PURCHASES @ COST-WRITING INSTR</v>
      </c>
      <c r="C122" s="11"/>
      <c r="D122" s="2">
        <v>3209.26</v>
      </c>
      <c r="E122" s="2"/>
      <c r="F122" s="19">
        <f t="shared" si="9"/>
        <v>1.3830529534493647E-2</v>
      </c>
      <c r="G122" s="2"/>
      <c r="H122" s="2"/>
      <c r="I122" s="2"/>
      <c r="J122" s="19">
        <f t="shared" si="10"/>
        <v>0</v>
      </c>
      <c r="K122" s="2"/>
      <c r="L122" s="2">
        <f t="shared" si="11"/>
        <v>3209.26</v>
      </c>
      <c r="M122" s="2"/>
      <c r="N122" s="19">
        <f t="shared" si="12"/>
        <v>0</v>
      </c>
      <c r="O122" s="11"/>
      <c r="P122" s="2">
        <v>48971.270000000004</v>
      </c>
      <c r="Q122" s="2"/>
      <c r="R122" s="19">
        <f t="shared" si="13"/>
        <v>5.6954674964523151E-3</v>
      </c>
      <c r="S122" s="2"/>
      <c r="T122" s="2"/>
      <c r="U122" s="2"/>
      <c r="V122" s="19">
        <f t="shared" si="14"/>
        <v>0</v>
      </c>
      <c r="W122" s="2"/>
      <c r="X122" s="2">
        <f t="shared" si="15"/>
        <v>48971.270000000004</v>
      </c>
      <c r="Y122" s="2"/>
      <c r="Z122" s="19">
        <f t="shared" si="16"/>
        <v>0</v>
      </c>
    </row>
    <row r="123" spans="1:26" s="24" customFormat="1" hidden="1" outlineLevel="1" x14ac:dyDescent="0.25">
      <c r="A123" s="44"/>
      <c r="B123" s="11" t="str">
        <f>CONCATENATE("          ", "5027", " - ", "PURCHASES @ COST-SCHOOL SUPPLI")</f>
        <v xml:space="preserve">          5027 - PURCHASES @ COST-SCHOOL SUPPLI</v>
      </c>
      <c r="C123" s="11"/>
      <c r="D123" s="2">
        <v>19253.84</v>
      </c>
      <c r="E123" s="2"/>
      <c r="F123" s="19">
        <f t="shared" si="9"/>
        <v>8.2975764747142688E-2</v>
      </c>
      <c r="G123" s="2"/>
      <c r="H123" s="2"/>
      <c r="I123" s="2"/>
      <c r="J123" s="19">
        <f t="shared" si="10"/>
        <v>0</v>
      </c>
      <c r="K123" s="2"/>
      <c r="L123" s="2">
        <f t="shared" si="11"/>
        <v>19253.84</v>
      </c>
      <c r="M123" s="2"/>
      <c r="N123" s="19">
        <f t="shared" si="12"/>
        <v>0</v>
      </c>
      <c r="O123" s="11"/>
      <c r="P123" s="2">
        <v>137605.04</v>
      </c>
      <c r="Q123" s="2"/>
      <c r="R123" s="19">
        <f t="shared" si="13"/>
        <v>1.6003771857826449E-2</v>
      </c>
      <c r="S123" s="2"/>
      <c r="T123" s="2"/>
      <c r="U123" s="2"/>
      <c r="V123" s="19">
        <f t="shared" si="14"/>
        <v>0</v>
      </c>
      <c r="W123" s="2"/>
      <c r="X123" s="2">
        <f t="shared" si="15"/>
        <v>137605.04</v>
      </c>
      <c r="Y123" s="2"/>
      <c r="Z123" s="19">
        <f t="shared" si="16"/>
        <v>0</v>
      </c>
    </row>
    <row r="124" spans="1:26" s="24" customFormat="1" hidden="1" outlineLevel="1" x14ac:dyDescent="0.25">
      <c r="A124" s="44"/>
      <c r="B124" s="11" t="str">
        <f>CONCATENATE("          ", "5028", " - ", "PURCHASES @ COST-ART/TECH")</f>
        <v xml:space="preserve">          5028 - PURCHASES @ COST-ART/TECH</v>
      </c>
      <c r="C124" s="11"/>
      <c r="D124" s="2">
        <v>4417.37</v>
      </c>
      <c r="E124" s="2"/>
      <c r="F124" s="19">
        <f t="shared" si="9"/>
        <v>1.9036963739237765E-2</v>
      </c>
      <c r="G124" s="2"/>
      <c r="H124" s="2"/>
      <c r="I124" s="2"/>
      <c r="J124" s="19">
        <f t="shared" si="10"/>
        <v>0</v>
      </c>
      <c r="K124" s="2"/>
      <c r="L124" s="2">
        <f t="shared" si="11"/>
        <v>4417.37</v>
      </c>
      <c r="M124" s="2"/>
      <c r="N124" s="19">
        <f t="shared" si="12"/>
        <v>0</v>
      </c>
      <c r="O124" s="11"/>
      <c r="P124" s="2">
        <v>151070.15</v>
      </c>
      <c r="Q124" s="2"/>
      <c r="R124" s="19">
        <f t="shared" si="13"/>
        <v>1.7569794065156481E-2</v>
      </c>
      <c r="S124" s="2"/>
      <c r="T124" s="2"/>
      <c r="U124" s="2"/>
      <c r="V124" s="19">
        <f t="shared" si="14"/>
        <v>0</v>
      </c>
      <c r="W124" s="2"/>
      <c r="X124" s="2">
        <f t="shared" si="15"/>
        <v>151070.15</v>
      </c>
      <c r="Y124" s="2"/>
      <c r="Z124" s="19">
        <f t="shared" si="16"/>
        <v>0</v>
      </c>
    </row>
    <row r="125" spans="1:26" s="24" customFormat="1" hidden="1" outlineLevel="1" x14ac:dyDescent="0.25">
      <c r="A125" s="44"/>
      <c r="B125" s="11" t="str">
        <f>CONCATENATE("          ", "5031", " - ", "PURCHASES @ COST-FOOD")</f>
        <v xml:space="preserve">          5031 - PURCHASES @ COST-FOOD</v>
      </c>
      <c r="C125" s="11"/>
      <c r="D125" s="2">
        <v>3113.82</v>
      </c>
      <c r="E125" s="2"/>
      <c r="F125" s="19">
        <f t="shared" si="9"/>
        <v>1.3419224205921928E-2</v>
      </c>
      <c r="G125" s="2"/>
      <c r="H125" s="2"/>
      <c r="I125" s="2"/>
      <c r="J125" s="19">
        <f t="shared" si="10"/>
        <v>0</v>
      </c>
      <c r="K125" s="2"/>
      <c r="L125" s="2">
        <f t="shared" si="11"/>
        <v>3113.82</v>
      </c>
      <c r="M125" s="2"/>
      <c r="N125" s="19">
        <f t="shared" si="12"/>
        <v>0</v>
      </c>
      <c r="O125" s="11"/>
      <c r="P125" s="2">
        <v>33239.879999999997</v>
      </c>
      <c r="Q125" s="2"/>
      <c r="R125" s="19">
        <f t="shared" si="13"/>
        <v>3.8658718903139605E-3</v>
      </c>
      <c r="S125" s="2"/>
      <c r="T125" s="2"/>
      <c r="U125" s="2"/>
      <c r="V125" s="19">
        <f t="shared" si="14"/>
        <v>0</v>
      </c>
      <c r="W125" s="2"/>
      <c r="X125" s="2">
        <f t="shared" si="15"/>
        <v>33239.879999999997</v>
      </c>
      <c r="Y125" s="2"/>
      <c r="Z125" s="19">
        <f t="shared" si="16"/>
        <v>0</v>
      </c>
    </row>
    <row r="126" spans="1:26" s="24" customFormat="1" hidden="1" outlineLevel="1" x14ac:dyDescent="0.25">
      <c r="A126" s="44"/>
      <c r="B126" s="11" t="str">
        <f>CONCATENATE("          ", "5032", " - ", "PURCHASES @ COST-JUICE")</f>
        <v xml:space="preserve">          5032 - PURCHASES @ COST-JUICE</v>
      </c>
      <c r="C126" s="11"/>
      <c r="D126" s="2">
        <v>688.97</v>
      </c>
      <c r="E126" s="2"/>
      <c r="F126" s="19">
        <f t="shared" si="9"/>
        <v>2.9691642102478728E-3</v>
      </c>
      <c r="G126" s="2"/>
      <c r="H126" s="2"/>
      <c r="I126" s="2"/>
      <c r="J126" s="19">
        <f t="shared" si="10"/>
        <v>0</v>
      </c>
      <c r="K126" s="2"/>
      <c r="L126" s="2">
        <f t="shared" si="11"/>
        <v>688.97</v>
      </c>
      <c r="M126" s="2"/>
      <c r="N126" s="19">
        <f t="shared" si="12"/>
        <v>0</v>
      </c>
      <c r="O126" s="11"/>
      <c r="P126" s="2">
        <v>7802.45</v>
      </c>
      <c r="Q126" s="2"/>
      <c r="R126" s="19">
        <f t="shared" si="13"/>
        <v>9.0744226906294982E-4</v>
      </c>
      <c r="S126" s="2"/>
      <c r="T126" s="2"/>
      <c r="U126" s="2"/>
      <c r="V126" s="19">
        <f t="shared" si="14"/>
        <v>0</v>
      </c>
      <c r="W126" s="2"/>
      <c r="X126" s="2">
        <f t="shared" si="15"/>
        <v>7802.45</v>
      </c>
      <c r="Y126" s="2"/>
      <c r="Z126" s="19">
        <f t="shared" si="16"/>
        <v>0</v>
      </c>
    </row>
    <row r="127" spans="1:26" s="24" customFormat="1" hidden="1" outlineLevel="1" x14ac:dyDescent="0.25">
      <c r="A127" s="44"/>
      <c r="B127" s="11" t="str">
        <f>CONCATENATE("          ", "5033", " - ", "PURCHASES @ COST-CANDY")</f>
        <v xml:space="preserve">          5033 - PURCHASES @ COST-CANDY</v>
      </c>
      <c r="C127" s="11"/>
      <c r="D127" s="2">
        <v>1198.55</v>
      </c>
      <c r="E127" s="2"/>
      <c r="F127" s="19">
        <f t="shared" si="9"/>
        <v>5.1652347187723519E-3</v>
      </c>
      <c r="G127" s="2"/>
      <c r="H127" s="2"/>
      <c r="I127" s="2"/>
      <c r="J127" s="19">
        <f t="shared" si="10"/>
        <v>0</v>
      </c>
      <c r="K127" s="2"/>
      <c r="L127" s="2">
        <f t="shared" si="11"/>
        <v>1198.55</v>
      </c>
      <c r="M127" s="2"/>
      <c r="N127" s="19">
        <f t="shared" si="12"/>
        <v>0</v>
      </c>
      <c r="O127" s="11"/>
      <c r="P127" s="2">
        <v>10023.61</v>
      </c>
      <c r="Q127" s="2"/>
      <c r="R127" s="19">
        <f t="shared" si="13"/>
        <v>1.1657681116318689E-3</v>
      </c>
      <c r="S127" s="2"/>
      <c r="T127" s="2"/>
      <c r="U127" s="2"/>
      <c r="V127" s="19">
        <f t="shared" si="14"/>
        <v>0</v>
      </c>
      <c r="W127" s="2"/>
      <c r="X127" s="2">
        <f t="shared" si="15"/>
        <v>10023.61</v>
      </c>
      <c r="Y127" s="2"/>
      <c r="Z127" s="19">
        <f t="shared" si="16"/>
        <v>0</v>
      </c>
    </row>
    <row r="128" spans="1:26" s="24" customFormat="1" hidden="1" outlineLevel="1" x14ac:dyDescent="0.25">
      <c r="A128" s="44"/>
      <c r="B128" s="11" t="str">
        <f>CONCATENATE("          ", "5034", " - ", "PURCHASES @ COST-SODA")</f>
        <v xml:space="preserve">          5034 - PURCHASES @ COST-SODA</v>
      </c>
      <c r="C128" s="11"/>
      <c r="D128" s="2">
        <v>271.79000000000002</v>
      </c>
      <c r="E128" s="2"/>
      <c r="F128" s="19">
        <f t="shared" si="9"/>
        <v>1.1712979385216618E-3</v>
      </c>
      <c r="G128" s="2"/>
      <c r="H128" s="2"/>
      <c r="I128" s="2"/>
      <c r="J128" s="19">
        <f t="shared" si="10"/>
        <v>0</v>
      </c>
      <c r="K128" s="2"/>
      <c r="L128" s="2">
        <f t="shared" si="11"/>
        <v>271.79000000000002</v>
      </c>
      <c r="M128" s="2"/>
      <c r="N128" s="19">
        <f t="shared" si="12"/>
        <v>0</v>
      </c>
      <c r="O128" s="11"/>
      <c r="P128" s="2">
        <v>4033.88</v>
      </c>
      <c r="Q128" s="2"/>
      <c r="R128" s="19">
        <f t="shared" si="13"/>
        <v>4.6914920574020366E-4</v>
      </c>
      <c r="S128" s="2"/>
      <c r="T128" s="2"/>
      <c r="U128" s="2"/>
      <c r="V128" s="19">
        <f t="shared" si="14"/>
        <v>0</v>
      </c>
      <c r="W128" s="2"/>
      <c r="X128" s="2">
        <f t="shared" si="15"/>
        <v>4033.88</v>
      </c>
      <c r="Y128" s="2"/>
      <c r="Z128" s="19">
        <f t="shared" si="16"/>
        <v>0</v>
      </c>
    </row>
    <row r="129" spans="1:26" s="24" customFormat="1" hidden="1" outlineLevel="1" x14ac:dyDescent="0.25">
      <c r="A129" s="44"/>
      <c r="B129" s="11" t="str">
        <f>CONCATENATE("          ", "5035", " - ", "PURCHASES @ COST-HEALTH &amp; BEAU")</f>
        <v xml:space="preserve">          5035 - PURCHASES @ COST-HEALTH &amp; BEAU</v>
      </c>
      <c r="C129" s="11"/>
      <c r="D129" s="2">
        <v>61.98</v>
      </c>
      <c r="E129" s="2"/>
      <c r="F129" s="19">
        <f t="shared" si="9"/>
        <v>2.6710712767052719E-4</v>
      </c>
      <c r="G129" s="2"/>
      <c r="H129" s="2"/>
      <c r="I129" s="2"/>
      <c r="J129" s="19">
        <f t="shared" si="10"/>
        <v>0</v>
      </c>
      <c r="K129" s="2"/>
      <c r="L129" s="2">
        <f t="shared" si="11"/>
        <v>61.98</v>
      </c>
      <c r="M129" s="2"/>
      <c r="N129" s="19">
        <f t="shared" si="12"/>
        <v>0</v>
      </c>
      <c r="O129" s="11"/>
      <c r="P129" s="2">
        <v>1117.6500000000001</v>
      </c>
      <c r="Q129" s="2"/>
      <c r="R129" s="19">
        <f t="shared" si="13"/>
        <v>1.2998517799129837E-4</v>
      </c>
      <c r="S129" s="2"/>
      <c r="T129" s="2"/>
      <c r="U129" s="2"/>
      <c r="V129" s="19">
        <f t="shared" si="14"/>
        <v>0</v>
      </c>
      <c r="W129" s="2"/>
      <c r="X129" s="2">
        <f t="shared" si="15"/>
        <v>1117.6500000000001</v>
      </c>
      <c r="Y129" s="2"/>
      <c r="Z129" s="19">
        <f t="shared" si="16"/>
        <v>0</v>
      </c>
    </row>
    <row r="130" spans="1:26" s="24" customFormat="1" hidden="1" outlineLevel="1" x14ac:dyDescent="0.25">
      <c r="A130" s="44"/>
      <c r="B130" s="11" t="str">
        <f>CONCATENATE("          ", "5037", " - ", "PURCHASES @ COST-WATER")</f>
        <v xml:space="preserve">          5037 - PURCHASES @ COST-WATER</v>
      </c>
      <c r="C130" s="11"/>
      <c r="D130" s="2">
        <v>393.84</v>
      </c>
      <c r="E130" s="2"/>
      <c r="F130" s="19">
        <f t="shared" si="9"/>
        <v>1.6972809158076869E-3</v>
      </c>
      <c r="G130" s="2"/>
      <c r="H130" s="2"/>
      <c r="I130" s="2"/>
      <c r="J130" s="19">
        <f t="shared" si="10"/>
        <v>0</v>
      </c>
      <c r="K130" s="2"/>
      <c r="L130" s="2">
        <f t="shared" si="11"/>
        <v>393.84</v>
      </c>
      <c r="M130" s="2"/>
      <c r="N130" s="19">
        <f t="shared" si="12"/>
        <v>0</v>
      </c>
      <c r="O130" s="11"/>
      <c r="P130" s="2">
        <v>5693.57</v>
      </c>
      <c r="Q130" s="2"/>
      <c r="R130" s="19">
        <f t="shared" si="13"/>
        <v>6.6217483993729395E-4</v>
      </c>
      <c r="S130" s="2"/>
      <c r="T130" s="2"/>
      <c r="U130" s="2"/>
      <c r="V130" s="19">
        <f t="shared" si="14"/>
        <v>0</v>
      </c>
      <c r="W130" s="2"/>
      <c r="X130" s="2">
        <f t="shared" si="15"/>
        <v>5693.57</v>
      </c>
      <c r="Y130" s="2"/>
      <c r="Z130" s="19">
        <f t="shared" si="16"/>
        <v>0</v>
      </c>
    </row>
    <row r="131" spans="1:26" s="24" customFormat="1" hidden="1" outlineLevel="1" x14ac:dyDescent="0.25">
      <c r="A131" s="44"/>
      <c r="B131" s="11" t="str">
        <f>CONCATENATE("          ", "5040", " - ", "PURCHASES @ COST-LOGO CLOTHING")</f>
        <v xml:space="preserve">          5040 - PURCHASES @ COST-LOGO CLOTHING</v>
      </c>
      <c r="C131" s="11"/>
      <c r="D131" s="2">
        <v>65352.979999999996</v>
      </c>
      <c r="E131" s="2"/>
      <c r="F131" s="19">
        <f t="shared" si="9"/>
        <v>0.28164321995013569</v>
      </c>
      <c r="G131" s="2"/>
      <c r="H131" s="2"/>
      <c r="I131" s="2"/>
      <c r="J131" s="19">
        <f t="shared" si="10"/>
        <v>0</v>
      </c>
      <c r="K131" s="2"/>
      <c r="L131" s="2">
        <f t="shared" si="11"/>
        <v>65352.979999999996</v>
      </c>
      <c r="M131" s="2"/>
      <c r="N131" s="19">
        <f t="shared" si="12"/>
        <v>0</v>
      </c>
      <c r="O131" s="11"/>
      <c r="P131" s="2">
        <v>966898.54</v>
      </c>
      <c r="Q131" s="2"/>
      <c r="R131" s="19">
        <f t="shared" si="13"/>
        <v>0.11245244828114929</v>
      </c>
      <c r="S131" s="2"/>
      <c r="T131" s="2"/>
      <c r="U131" s="2"/>
      <c r="V131" s="19">
        <f t="shared" si="14"/>
        <v>0</v>
      </c>
      <c r="W131" s="2"/>
      <c r="X131" s="2">
        <f t="shared" si="15"/>
        <v>966898.54</v>
      </c>
      <c r="Y131" s="2"/>
      <c r="Z131" s="19">
        <f t="shared" si="16"/>
        <v>0</v>
      </c>
    </row>
    <row r="132" spans="1:26" s="24" customFormat="1" hidden="1" outlineLevel="1" x14ac:dyDescent="0.25">
      <c r="A132" s="44"/>
      <c r="B132" s="11" t="str">
        <f>CONCATENATE("          ", "5041", " - ", "PURCHASES @ COST-LOGO GIFTS")</f>
        <v xml:space="preserve">          5041 - PURCHASES @ COST-LOGO GIFTS</v>
      </c>
      <c r="C132" s="11"/>
      <c r="D132" s="2">
        <v>15128.670000000002</v>
      </c>
      <c r="E132" s="2"/>
      <c r="F132" s="19">
        <f t="shared" si="9"/>
        <v>6.5198057263234521E-2</v>
      </c>
      <c r="G132" s="2"/>
      <c r="H132" s="2"/>
      <c r="I132" s="2"/>
      <c r="J132" s="19">
        <f t="shared" si="10"/>
        <v>0</v>
      </c>
      <c r="K132" s="2"/>
      <c r="L132" s="2">
        <f t="shared" si="11"/>
        <v>15128.670000000002</v>
      </c>
      <c r="M132" s="2"/>
      <c r="N132" s="19">
        <f t="shared" si="12"/>
        <v>0</v>
      </c>
      <c r="O132" s="11"/>
      <c r="P132" s="2">
        <v>149510.73000000001</v>
      </c>
      <c r="Q132" s="2"/>
      <c r="R132" s="19">
        <f t="shared" si="13"/>
        <v>1.7388430054721023E-2</v>
      </c>
      <c r="S132" s="2"/>
      <c r="T132" s="2"/>
      <c r="U132" s="2"/>
      <c r="V132" s="19">
        <f t="shared" si="14"/>
        <v>0</v>
      </c>
      <c r="W132" s="2"/>
      <c r="X132" s="2">
        <f t="shared" si="15"/>
        <v>149510.73000000001</v>
      </c>
      <c r="Y132" s="2"/>
      <c r="Z132" s="19">
        <f t="shared" si="16"/>
        <v>0</v>
      </c>
    </row>
    <row r="133" spans="1:26" s="24" customFormat="1" hidden="1" outlineLevel="1" x14ac:dyDescent="0.25">
      <c r="A133" s="44"/>
      <c r="B133" s="11" t="str">
        <f>CONCATENATE("          ", "5042", " - ", "PURCHASES @ COST-EVERYDAY GIFT")</f>
        <v xml:space="preserve">          5042 - PURCHASES @ COST-EVERYDAY GIFT</v>
      </c>
      <c r="C133" s="11"/>
      <c r="D133" s="2">
        <v>15355.270000000002</v>
      </c>
      <c r="E133" s="2"/>
      <c r="F133" s="19">
        <f t="shared" si="9"/>
        <v>6.6174605748715989E-2</v>
      </c>
      <c r="G133" s="2"/>
      <c r="H133" s="2"/>
      <c r="I133" s="2"/>
      <c r="J133" s="19">
        <f t="shared" si="10"/>
        <v>0</v>
      </c>
      <c r="K133" s="2"/>
      <c r="L133" s="2">
        <f t="shared" si="11"/>
        <v>15355.270000000002</v>
      </c>
      <c r="M133" s="2"/>
      <c r="N133" s="19">
        <f t="shared" si="12"/>
        <v>0</v>
      </c>
      <c r="O133" s="11"/>
      <c r="P133" s="2">
        <v>115363.23999999999</v>
      </c>
      <c r="Q133" s="2"/>
      <c r="R133" s="19">
        <f t="shared" si="13"/>
        <v>1.3417001105044396E-2</v>
      </c>
      <c r="S133" s="2"/>
      <c r="T133" s="2"/>
      <c r="U133" s="2"/>
      <c r="V133" s="19">
        <f t="shared" si="14"/>
        <v>0</v>
      </c>
      <c r="W133" s="2"/>
      <c r="X133" s="2">
        <f t="shared" si="15"/>
        <v>115363.23999999999</v>
      </c>
      <c r="Y133" s="2"/>
      <c r="Z133" s="19">
        <f t="shared" si="16"/>
        <v>0</v>
      </c>
    </row>
    <row r="134" spans="1:26" s="24" customFormat="1" hidden="1" outlineLevel="1" x14ac:dyDescent="0.25">
      <c r="A134" s="44"/>
      <c r="B134" s="11" t="str">
        <f>CONCATENATE("          ", "5043", " - ", "PURCHASES @ COST-CARDS")</f>
        <v xml:space="preserve">          5043 - PURCHASES @ COST-CARDS</v>
      </c>
      <c r="C134" s="11"/>
      <c r="D134" s="2">
        <v>-4258.25</v>
      </c>
      <c r="E134" s="2"/>
      <c r="F134" s="19">
        <f t="shared" si="9"/>
        <v>-1.835122501456958E-2</v>
      </c>
      <c r="G134" s="2"/>
      <c r="H134" s="2"/>
      <c r="I134" s="2"/>
      <c r="J134" s="19">
        <f t="shared" si="10"/>
        <v>0</v>
      </c>
      <c r="K134" s="2"/>
      <c r="L134" s="2">
        <f t="shared" si="11"/>
        <v>-4258.25</v>
      </c>
      <c r="M134" s="2"/>
      <c r="N134" s="19">
        <f t="shared" si="12"/>
        <v>0</v>
      </c>
      <c r="O134" s="11"/>
      <c r="P134" s="2">
        <v>24776.91</v>
      </c>
      <c r="Q134" s="2"/>
      <c r="R134" s="19">
        <f t="shared" si="13"/>
        <v>2.8816096778279247E-3</v>
      </c>
      <c r="S134" s="2"/>
      <c r="T134" s="2"/>
      <c r="U134" s="2"/>
      <c r="V134" s="19">
        <f t="shared" si="14"/>
        <v>0</v>
      </c>
      <c r="W134" s="2"/>
      <c r="X134" s="2">
        <f t="shared" si="15"/>
        <v>24776.91</v>
      </c>
      <c r="Y134" s="2"/>
      <c r="Z134" s="19">
        <f t="shared" si="16"/>
        <v>0</v>
      </c>
    </row>
    <row r="135" spans="1:26" s="24" customFormat="1" hidden="1" outlineLevel="1" x14ac:dyDescent="0.25">
      <c r="A135" s="44"/>
      <c r="B135" s="11" t="str">
        <f>CONCATENATE("          ", "5044", " - ", "PURCHASES @ COST-ACCESSORIES")</f>
        <v xml:space="preserve">          5044 - PURCHASES @ COST-ACCESSORIES</v>
      </c>
      <c r="C135" s="11"/>
      <c r="D135" s="2">
        <v>-1305.4100000000001</v>
      </c>
      <c r="E135" s="2"/>
      <c r="F135" s="19">
        <f t="shared" si="9"/>
        <v>-5.6257553328877535E-3</v>
      </c>
      <c r="G135" s="2"/>
      <c r="H135" s="2"/>
      <c r="I135" s="2"/>
      <c r="J135" s="19">
        <f t="shared" si="10"/>
        <v>0</v>
      </c>
      <c r="K135" s="2"/>
      <c r="L135" s="2">
        <f t="shared" si="11"/>
        <v>-1305.4100000000001</v>
      </c>
      <c r="M135" s="2"/>
      <c r="N135" s="19">
        <f t="shared" si="12"/>
        <v>0</v>
      </c>
      <c r="O135" s="11"/>
      <c r="P135" s="2">
        <v>32094.030000000002</v>
      </c>
      <c r="Q135" s="2"/>
      <c r="R135" s="19">
        <f t="shared" si="13"/>
        <v>3.7326069896730365E-3</v>
      </c>
      <c r="S135" s="2"/>
      <c r="T135" s="2"/>
      <c r="U135" s="2"/>
      <c r="V135" s="19">
        <f t="shared" si="14"/>
        <v>0</v>
      </c>
      <c r="W135" s="2"/>
      <c r="X135" s="2">
        <f t="shared" si="15"/>
        <v>32094.030000000002</v>
      </c>
      <c r="Y135" s="2"/>
      <c r="Z135" s="19">
        <f t="shared" si="16"/>
        <v>0</v>
      </c>
    </row>
    <row r="136" spans="1:26" s="24" customFormat="1" hidden="1" outlineLevel="1" x14ac:dyDescent="0.25">
      <c r="A136" s="44"/>
      <c r="B136" s="11" t="str">
        <f>CONCATENATE("          ", "5045", " - ", "PURCHASES @ COST-SPECIAL ORDER")</f>
        <v xml:space="preserve">          5045 - PURCHASES @ COST-SPECIAL ORDER</v>
      </c>
      <c r="C136" s="11"/>
      <c r="D136" s="2">
        <v>6736.47</v>
      </c>
      <c r="E136" s="2"/>
      <c r="F136" s="19">
        <f t="shared" si="9"/>
        <v>2.9031286743121595E-2</v>
      </c>
      <c r="G136" s="2"/>
      <c r="H136" s="2"/>
      <c r="I136" s="2"/>
      <c r="J136" s="19">
        <f t="shared" si="10"/>
        <v>0</v>
      </c>
      <c r="K136" s="2"/>
      <c r="L136" s="2">
        <f t="shared" si="11"/>
        <v>6736.47</v>
      </c>
      <c r="M136" s="2"/>
      <c r="N136" s="19">
        <f t="shared" si="12"/>
        <v>0</v>
      </c>
      <c r="O136" s="11"/>
      <c r="P136" s="2">
        <v>57701.25</v>
      </c>
      <c r="Q136" s="2"/>
      <c r="R136" s="19">
        <f t="shared" si="13"/>
        <v>6.7107835651325585E-3</v>
      </c>
      <c r="S136" s="2"/>
      <c r="T136" s="2"/>
      <c r="U136" s="2"/>
      <c r="V136" s="19">
        <f t="shared" si="14"/>
        <v>0</v>
      </c>
      <c r="W136" s="2"/>
      <c r="X136" s="2">
        <f t="shared" si="15"/>
        <v>57701.25</v>
      </c>
      <c r="Y136" s="2"/>
      <c r="Z136" s="19">
        <f t="shared" si="16"/>
        <v>0</v>
      </c>
    </row>
    <row r="137" spans="1:26" s="24" customFormat="1" hidden="1" outlineLevel="1" x14ac:dyDescent="0.25">
      <c r="A137" s="44"/>
      <c r="B137" s="11" t="str">
        <f>CONCATENATE("          ", "5081", " - ", "PURCHASES @ COST-ELECTRONICS")</f>
        <v xml:space="preserve">          5081 - PURCHASES @ COST-ELECTRONICS</v>
      </c>
      <c r="C137" s="11"/>
      <c r="D137" s="2">
        <v>116.82</v>
      </c>
      <c r="E137" s="2"/>
      <c r="F137" s="19">
        <f t="shared" si="9"/>
        <v>5.0344392795209723E-4</v>
      </c>
      <c r="G137" s="2"/>
      <c r="H137" s="2"/>
      <c r="I137" s="2"/>
      <c r="J137" s="19">
        <f t="shared" si="10"/>
        <v>0</v>
      </c>
      <c r="K137" s="2"/>
      <c r="L137" s="2">
        <f t="shared" si="11"/>
        <v>116.82</v>
      </c>
      <c r="M137" s="2"/>
      <c r="N137" s="19">
        <f t="shared" si="12"/>
        <v>0</v>
      </c>
      <c r="O137" s="11"/>
      <c r="P137" s="2">
        <v>2008.03</v>
      </c>
      <c r="Q137" s="2"/>
      <c r="R137" s="19">
        <f t="shared" si="13"/>
        <v>2.3353835007548592E-4</v>
      </c>
      <c r="S137" s="2"/>
      <c r="T137" s="2"/>
      <c r="U137" s="2"/>
      <c r="V137" s="19">
        <f t="shared" si="14"/>
        <v>0</v>
      </c>
      <c r="W137" s="2"/>
      <c r="X137" s="2">
        <f t="shared" si="15"/>
        <v>2008.03</v>
      </c>
      <c r="Y137" s="2"/>
      <c r="Z137" s="19">
        <f t="shared" si="16"/>
        <v>0</v>
      </c>
    </row>
    <row r="138" spans="1:26" s="24" customFormat="1" hidden="1" outlineLevel="1" x14ac:dyDescent="0.25">
      <c r="A138" s="44"/>
      <c r="B138" s="11" t="str">
        <f>CONCATENATE("          ", "5082", " - ", "PURCHASES @ COST-COMPUTER HARD")</f>
        <v xml:space="preserve">          5082 - PURCHASES @ COST-COMPUTER HARD</v>
      </c>
      <c r="C138" s="11"/>
      <c r="D138" s="2"/>
      <c r="E138" s="2"/>
      <c r="F138" s="19">
        <f t="shared" si="9"/>
        <v>0</v>
      </c>
      <c r="G138" s="2"/>
      <c r="H138" s="2"/>
      <c r="I138" s="2"/>
      <c r="J138" s="19">
        <f t="shared" si="10"/>
        <v>0</v>
      </c>
      <c r="K138" s="2"/>
      <c r="L138" s="2">
        <f t="shared" si="11"/>
        <v>0</v>
      </c>
      <c r="M138" s="2"/>
      <c r="N138" s="19">
        <f t="shared" si="12"/>
        <v>0</v>
      </c>
      <c r="O138" s="11"/>
      <c r="P138" s="2">
        <v>349.6</v>
      </c>
      <c r="Q138" s="2"/>
      <c r="R138" s="19">
        <f t="shared" si="13"/>
        <v>4.0659256677634237E-5</v>
      </c>
      <c r="S138" s="2"/>
      <c r="T138" s="2"/>
      <c r="U138" s="2"/>
      <c r="V138" s="19">
        <f t="shared" si="14"/>
        <v>0</v>
      </c>
      <c r="W138" s="2"/>
      <c r="X138" s="2">
        <f t="shared" si="15"/>
        <v>349.6</v>
      </c>
      <c r="Y138" s="2"/>
      <c r="Z138" s="19">
        <f t="shared" si="16"/>
        <v>0</v>
      </c>
    </row>
    <row r="139" spans="1:26" s="24" customFormat="1" hidden="1" outlineLevel="1" x14ac:dyDescent="0.25">
      <c r="A139" s="44"/>
      <c r="B139" s="11" t="str">
        <f>CONCATENATE("          ", "5083", " - ", "PURCHASES @ COST-COMPUTER EQUI")</f>
        <v xml:space="preserve">          5083 - PURCHASES @ COST-COMPUTER EQUI</v>
      </c>
      <c r="C139" s="11"/>
      <c r="D139" s="2"/>
      <c r="E139" s="2"/>
      <c r="F139" s="19">
        <f t="shared" si="9"/>
        <v>0</v>
      </c>
      <c r="G139" s="2"/>
      <c r="H139" s="2"/>
      <c r="I139" s="2"/>
      <c r="J139" s="19">
        <f t="shared" si="10"/>
        <v>0</v>
      </c>
      <c r="K139" s="2"/>
      <c r="L139" s="2">
        <f t="shared" si="11"/>
        <v>0</v>
      </c>
      <c r="M139" s="2"/>
      <c r="N139" s="19">
        <f t="shared" si="12"/>
        <v>0</v>
      </c>
      <c r="O139" s="11"/>
      <c r="P139" s="2">
        <v>395.06</v>
      </c>
      <c r="Q139" s="2"/>
      <c r="R139" s="19">
        <f t="shared" si="13"/>
        <v>4.5946355672386105E-5</v>
      </c>
      <c r="S139" s="2"/>
      <c r="T139" s="2"/>
      <c r="U139" s="2"/>
      <c r="V139" s="19">
        <f t="shared" si="14"/>
        <v>0</v>
      </c>
      <c r="W139" s="2"/>
      <c r="X139" s="2">
        <f t="shared" si="15"/>
        <v>395.06</v>
      </c>
      <c r="Y139" s="2"/>
      <c r="Z139" s="19">
        <f t="shared" si="16"/>
        <v>0</v>
      </c>
    </row>
    <row r="140" spans="1:26" s="24" customFormat="1" hidden="1" outlineLevel="1" x14ac:dyDescent="0.25">
      <c r="A140" s="44"/>
      <c r="B140" s="11" t="str">
        <f>CONCATENATE("          ", "5086", " - ", "PURCHASES @ COST-COMPUTER SUPP")</f>
        <v xml:space="preserve">          5086 - PURCHASES @ COST-COMPUTER SUPP</v>
      </c>
      <c r="C140" s="11"/>
      <c r="D140" s="2"/>
      <c r="E140" s="2"/>
      <c r="F140" s="19">
        <f t="shared" si="9"/>
        <v>0</v>
      </c>
      <c r="G140" s="2"/>
      <c r="H140" s="2"/>
      <c r="I140" s="2"/>
      <c r="J140" s="19">
        <f t="shared" si="10"/>
        <v>0</v>
      </c>
      <c r="K140" s="2"/>
      <c r="L140" s="2">
        <f t="shared" si="11"/>
        <v>0</v>
      </c>
      <c r="M140" s="2"/>
      <c r="N140" s="19">
        <f t="shared" si="12"/>
        <v>0</v>
      </c>
      <c r="O140" s="11"/>
      <c r="P140" s="2">
        <v>426.22</v>
      </c>
      <c r="Q140" s="2"/>
      <c r="R140" s="19">
        <f t="shared" si="13"/>
        <v>4.9570332898001328E-5</v>
      </c>
      <c r="S140" s="2"/>
      <c r="T140" s="2"/>
      <c r="U140" s="2"/>
      <c r="V140" s="19">
        <f t="shared" si="14"/>
        <v>0</v>
      </c>
      <c r="W140" s="2"/>
      <c r="X140" s="2">
        <f t="shared" si="15"/>
        <v>426.22</v>
      </c>
      <c r="Y140" s="2"/>
      <c r="Z140" s="19">
        <f t="shared" si="16"/>
        <v>0</v>
      </c>
    </row>
    <row r="141" spans="1:26" s="24" customFormat="1" hidden="1" outlineLevel="1" x14ac:dyDescent="0.25">
      <c r="A141" s="44"/>
      <c r="B141" s="11" t="str">
        <f>CONCATENATE("          ", "5092", " - ", "PURCHASES @ COST-GRAD MERCH")</f>
        <v xml:space="preserve">          5092 - PURCHASES @ COST-GRAD MERCH</v>
      </c>
      <c r="C141" s="11"/>
      <c r="D141" s="2">
        <v>1036.33</v>
      </c>
      <c r="E141" s="2"/>
      <c r="F141" s="19">
        <f t="shared" si="9"/>
        <v>4.466136328150975E-3</v>
      </c>
      <c r="G141" s="2"/>
      <c r="H141" s="2"/>
      <c r="I141" s="2"/>
      <c r="J141" s="19">
        <f t="shared" si="10"/>
        <v>0</v>
      </c>
      <c r="K141" s="2"/>
      <c r="L141" s="2">
        <f t="shared" si="11"/>
        <v>1036.33</v>
      </c>
      <c r="M141" s="2"/>
      <c r="N141" s="19">
        <f t="shared" si="12"/>
        <v>0</v>
      </c>
      <c r="O141" s="11"/>
      <c r="P141" s="2">
        <v>2946.13</v>
      </c>
      <c r="Q141" s="2"/>
      <c r="R141" s="19">
        <f t="shared" si="13"/>
        <v>3.426414641752819E-4</v>
      </c>
      <c r="S141" s="2"/>
      <c r="T141" s="2"/>
      <c r="U141" s="2"/>
      <c r="V141" s="19">
        <f t="shared" si="14"/>
        <v>0</v>
      </c>
      <c r="W141" s="2"/>
      <c r="X141" s="2">
        <f t="shared" si="15"/>
        <v>2946.13</v>
      </c>
      <c r="Y141" s="2"/>
      <c r="Z141" s="19">
        <f t="shared" si="16"/>
        <v>0</v>
      </c>
    </row>
    <row r="142" spans="1:26" s="24" customFormat="1" hidden="1" outlineLevel="1" x14ac:dyDescent="0.25">
      <c r="A142" s="44"/>
      <c r="B142" s="11" t="str">
        <f>CONCATENATE("          ", "5095", " - ", "PURCHASES @ COST-CUSTOMER SERV")</f>
        <v xml:space="preserve">          5095 - PURCHASES @ COST-CUSTOMER SERV</v>
      </c>
      <c r="C142" s="11"/>
      <c r="D142" s="2"/>
      <c r="E142" s="2"/>
      <c r="F142" s="19">
        <f t="shared" si="9"/>
        <v>0</v>
      </c>
      <c r="G142" s="2"/>
      <c r="H142" s="2"/>
      <c r="I142" s="2"/>
      <c r="J142" s="19">
        <f t="shared" si="10"/>
        <v>0</v>
      </c>
      <c r="K142" s="2"/>
      <c r="L142" s="2">
        <f t="shared" si="11"/>
        <v>0</v>
      </c>
      <c r="M142" s="2"/>
      <c r="N142" s="19">
        <f t="shared" si="12"/>
        <v>0</v>
      </c>
      <c r="O142" s="11"/>
      <c r="P142" s="2">
        <v>0</v>
      </c>
      <c r="Q142" s="2"/>
      <c r="R142" s="19">
        <f t="shared" si="13"/>
        <v>0</v>
      </c>
      <c r="S142" s="2"/>
      <c r="T142" s="2"/>
      <c r="U142" s="2"/>
      <c r="V142" s="19">
        <f t="shared" si="14"/>
        <v>0</v>
      </c>
      <c r="W142" s="2"/>
      <c r="X142" s="2">
        <f t="shared" si="15"/>
        <v>0</v>
      </c>
      <c r="Y142" s="2"/>
      <c r="Z142" s="19">
        <f t="shared" si="16"/>
        <v>0</v>
      </c>
    </row>
    <row r="143" spans="1:26" s="24" customFormat="1" hidden="1" outlineLevel="1" x14ac:dyDescent="0.25">
      <c r="A143" s="44"/>
      <c r="B143" s="11" t="str">
        <f>CONCATENATE("          ", "5200", " - ", "PURCHASES OFFSET")</f>
        <v xml:space="preserve">          5200 - PURCHASES OFFSET</v>
      </c>
      <c r="C143" s="11"/>
      <c r="D143" s="2">
        <v>806727</v>
      </c>
      <c r="E143" s="2"/>
      <c r="F143" s="19">
        <f t="shared" si="9"/>
        <v>3.4766462049735627</v>
      </c>
      <c r="G143" s="2"/>
      <c r="H143" s="2"/>
      <c r="I143" s="2"/>
      <c r="J143" s="19">
        <f t="shared" si="10"/>
        <v>0</v>
      </c>
      <c r="K143" s="2"/>
      <c r="L143" s="2">
        <f t="shared" si="11"/>
        <v>806727</v>
      </c>
      <c r="M143" s="2"/>
      <c r="N143" s="19">
        <f t="shared" si="12"/>
        <v>0</v>
      </c>
      <c r="O143" s="11"/>
      <c r="P143" s="2">
        <v>-3367613</v>
      </c>
      <c r="Q143" s="2"/>
      <c r="R143" s="19">
        <f t="shared" si="13"/>
        <v>-0.39166087344947903</v>
      </c>
      <c r="S143" s="2"/>
      <c r="T143" s="2"/>
      <c r="U143" s="2"/>
      <c r="V143" s="19">
        <f t="shared" si="14"/>
        <v>0</v>
      </c>
      <c r="W143" s="2"/>
      <c r="X143" s="2">
        <f t="shared" si="15"/>
        <v>-3367613</v>
      </c>
      <c r="Y143" s="2"/>
      <c r="Z143" s="19">
        <f t="shared" si="16"/>
        <v>0</v>
      </c>
    </row>
    <row r="144" spans="1:26" s="24" customFormat="1" hidden="1" outlineLevel="1" x14ac:dyDescent="0.25">
      <c r="A144" s="44"/>
      <c r="B144" s="11" t="str">
        <f>CONCATENATE("          ", "5300", " - ", "COG$ OFFSET")</f>
        <v xml:space="preserve">          5300 - COG$ OFFSET</v>
      </c>
      <c r="C144" s="11"/>
      <c r="D144" s="2">
        <v>96532</v>
      </c>
      <c r="E144" s="2"/>
      <c r="F144" s="19">
        <f t="shared" si="9"/>
        <v>0.41601137864297083</v>
      </c>
      <c r="G144" s="2"/>
      <c r="H144" s="2"/>
      <c r="I144" s="2"/>
      <c r="J144" s="19">
        <f t="shared" si="10"/>
        <v>0</v>
      </c>
      <c r="K144" s="2"/>
      <c r="L144" s="2">
        <f t="shared" si="11"/>
        <v>96532</v>
      </c>
      <c r="M144" s="2"/>
      <c r="N144" s="19">
        <f t="shared" si="12"/>
        <v>0</v>
      </c>
      <c r="O144" s="11"/>
      <c r="P144" s="2">
        <v>3823269.47</v>
      </c>
      <c r="Q144" s="2"/>
      <c r="R144" s="19">
        <f t="shared" si="13"/>
        <v>0.44465473320507043</v>
      </c>
      <c r="S144" s="2"/>
      <c r="T144" s="2"/>
      <c r="U144" s="2"/>
      <c r="V144" s="19">
        <f t="shared" si="14"/>
        <v>0</v>
      </c>
      <c r="W144" s="2"/>
      <c r="X144" s="2">
        <f t="shared" si="15"/>
        <v>3823269.47</v>
      </c>
      <c r="Y144" s="2"/>
      <c r="Z144" s="19">
        <f t="shared" si="16"/>
        <v>0</v>
      </c>
    </row>
    <row r="145" spans="1:26" s="24" customFormat="1" hidden="1" outlineLevel="1" x14ac:dyDescent="0.25">
      <c r="A145" s="44"/>
      <c r="B145" s="11" t="str">
        <f>CONCATENATE("          ", "5500", " - ", "FREIGHT-IN")</f>
        <v xml:space="preserve">          5500 - FREIGHT-IN</v>
      </c>
      <c r="C145" s="11"/>
      <c r="D145" s="2"/>
      <c r="E145" s="2"/>
      <c r="F145" s="19">
        <f t="shared" si="9"/>
        <v>0</v>
      </c>
      <c r="G145" s="2"/>
      <c r="H145" s="2"/>
      <c r="I145" s="2"/>
      <c r="J145" s="19">
        <f t="shared" si="10"/>
        <v>0</v>
      </c>
      <c r="K145" s="2"/>
      <c r="L145" s="2">
        <f t="shared" si="11"/>
        <v>0</v>
      </c>
      <c r="M145" s="2"/>
      <c r="N145" s="19">
        <f t="shared" si="12"/>
        <v>0</v>
      </c>
      <c r="O145" s="11"/>
      <c r="P145" s="2">
        <v>156.47999999999999</v>
      </c>
      <c r="Q145" s="2"/>
      <c r="R145" s="19">
        <f t="shared" si="13"/>
        <v>1.8198971638776332E-5</v>
      </c>
      <c r="S145" s="2"/>
      <c r="T145" s="2"/>
      <c r="U145" s="2"/>
      <c r="V145" s="19">
        <f t="shared" si="14"/>
        <v>0</v>
      </c>
      <c r="W145" s="2"/>
      <c r="X145" s="2">
        <f t="shared" si="15"/>
        <v>156.47999999999999</v>
      </c>
      <c r="Y145" s="2"/>
      <c r="Z145" s="19">
        <f t="shared" si="16"/>
        <v>0</v>
      </c>
    </row>
    <row r="146" spans="1:26" s="24" customFormat="1" hidden="1" outlineLevel="1" x14ac:dyDescent="0.25">
      <c r="A146" s="44"/>
      <c r="B146" s="11" t="str">
        <f>CONCATENATE("          ", "5501", " - ", "FREIGHT-IN-NEW TEXT")</f>
        <v xml:space="preserve">          5501 - FREIGHT-IN-NEW TEXT</v>
      </c>
      <c r="C146" s="11"/>
      <c r="D146" s="2">
        <v>1315.81</v>
      </c>
      <c r="E146" s="2"/>
      <c r="F146" s="19">
        <f t="shared" si="9"/>
        <v>5.6705748573758694E-3</v>
      </c>
      <c r="G146" s="2"/>
      <c r="H146" s="2"/>
      <c r="I146" s="2"/>
      <c r="J146" s="19">
        <f t="shared" si="10"/>
        <v>0</v>
      </c>
      <c r="K146" s="2"/>
      <c r="L146" s="2">
        <f t="shared" si="11"/>
        <v>1315.81</v>
      </c>
      <c r="M146" s="2"/>
      <c r="N146" s="19">
        <f t="shared" si="12"/>
        <v>0</v>
      </c>
      <c r="O146" s="11"/>
      <c r="P146" s="2">
        <v>67340.55</v>
      </c>
      <c r="Q146" s="2"/>
      <c r="R146" s="19">
        <f t="shared" si="13"/>
        <v>7.8318555699744344E-3</v>
      </c>
      <c r="S146" s="2"/>
      <c r="T146" s="2"/>
      <c r="U146" s="2"/>
      <c r="V146" s="19">
        <f t="shared" si="14"/>
        <v>0</v>
      </c>
      <c r="W146" s="2"/>
      <c r="X146" s="2">
        <f t="shared" si="15"/>
        <v>67340.55</v>
      </c>
      <c r="Y146" s="2"/>
      <c r="Z146" s="19">
        <f t="shared" si="16"/>
        <v>0</v>
      </c>
    </row>
    <row r="147" spans="1:26" s="24" customFormat="1" hidden="1" outlineLevel="1" x14ac:dyDescent="0.25">
      <c r="A147" s="44"/>
      <c r="B147" s="11" t="str">
        <f>CONCATENATE("          ", "5502", " - ", "FREIGHT-IN-USED TEXT")</f>
        <v xml:space="preserve">          5502 - FREIGHT-IN-USED TEXT</v>
      </c>
      <c r="C147" s="11"/>
      <c r="D147" s="2">
        <v>506.55</v>
      </c>
      <c r="E147" s="2"/>
      <c r="F147" s="19">
        <f t="shared" si="9"/>
        <v>2.1830125124476536E-3</v>
      </c>
      <c r="G147" s="2"/>
      <c r="H147" s="2"/>
      <c r="I147" s="2"/>
      <c r="J147" s="19">
        <f t="shared" si="10"/>
        <v>0</v>
      </c>
      <c r="K147" s="2"/>
      <c r="L147" s="2">
        <f t="shared" si="11"/>
        <v>506.55</v>
      </c>
      <c r="M147" s="2"/>
      <c r="N147" s="19">
        <f t="shared" si="12"/>
        <v>0</v>
      </c>
      <c r="O147" s="11"/>
      <c r="P147" s="2">
        <v>15264.64</v>
      </c>
      <c r="Q147" s="2"/>
      <c r="R147" s="19">
        <f t="shared" si="13"/>
        <v>1.7753115441981769E-3</v>
      </c>
      <c r="S147" s="2"/>
      <c r="T147" s="2"/>
      <c r="U147" s="2"/>
      <c r="V147" s="19">
        <f t="shared" si="14"/>
        <v>0</v>
      </c>
      <c r="W147" s="2"/>
      <c r="X147" s="2">
        <f t="shared" si="15"/>
        <v>15264.64</v>
      </c>
      <c r="Y147" s="2"/>
      <c r="Z147" s="19">
        <f t="shared" si="16"/>
        <v>0</v>
      </c>
    </row>
    <row r="148" spans="1:26" s="24" customFormat="1" hidden="1" outlineLevel="1" x14ac:dyDescent="0.25">
      <c r="A148" s="44"/>
      <c r="B148" s="11" t="str">
        <f>CONCATENATE("          ", "5504", " - ", "FREIGHT-IN-DIGITAL TEXT")</f>
        <v xml:space="preserve">          5504 - FREIGHT-IN-DIGITAL TEXT</v>
      </c>
      <c r="C148" s="11"/>
      <c r="D148" s="2">
        <v>12.78</v>
      </c>
      <c r="E148" s="2"/>
      <c r="F148" s="19">
        <f t="shared" si="9"/>
        <v>5.5076300284435906E-5</v>
      </c>
      <c r="G148" s="2"/>
      <c r="H148" s="2"/>
      <c r="I148" s="2"/>
      <c r="J148" s="19">
        <f t="shared" si="10"/>
        <v>0</v>
      </c>
      <c r="K148" s="2"/>
      <c r="L148" s="2">
        <f t="shared" si="11"/>
        <v>12.78</v>
      </c>
      <c r="M148" s="2"/>
      <c r="N148" s="19">
        <f t="shared" si="12"/>
        <v>0</v>
      </c>
      <c r="O148" s="11"/>
      <c r="P148" s="2">
        <v>118.75</v>
      </c>
      <c r="Q148" s="2"/>
      <c r="R148" s="19">
        <f t="shared" si="13"/>
        <v>1.3810888817131194E-5</v>
      </c>
      <c r="S148" s="2"/>
      <c r="T148" s="2"/>
      <c r="U148" s="2"/>
      <c r="V148" s="19">
        <f t="shared" si="14"/>
        <v>0</v>
      </c>
      <c r="W148" s="2"/>
      <c r="X148" s="2">
        <f t="shared" si="15"/>
        <v>118.75</v>
      </c>
      <c r="Y148" s="2"/>
      <c r="Z148" s="19">
        <f t="shared" si="16"/>
        <v>0</v>
      </c>
    </row>
    <row r="149" spans="1:26" s="24" customFormat="1" hidden="1" outlineLevel="1" x14ac:dyDescent="0.25">
      <c r="A149" s="44"/>
      <c r="B149" s="11" t="str">
        <f>CONCATENATE("          ", "5513", " - ", "FREIGHT-IN-TRADE BOOKS")</f>
        <v xml:space="preserve">          5513 - FREIGHT-IN-TRADE BOOKS</v>
      </c>
      <c r="C149" s="11"/>
      <c r="D149" s="2">
        <v>8.83</v>
      </c>
      <c r="E149" s="2"/>
      <c r="F149" s="19">
        <f t="shared" si="9"/>
        <v>3.8053500118276141E-5</v>
      </c>
      <c r="G149" s="2"/>
      <c r="H149" s="2"/>
      <c r="I149" s="2"/>
      <c r="J149" s="19">
        <f t="shared" si="10"/>
        <v>0</v>
      </c>
      <c r="K149" s="2"/>
      <c r="L149" s="2">
        <f t="shared" si="11"/>
        <v>8.83</v>
      </c>
      <c r="M149" s="2"/>
      <c r="N149" s="19">
        <f t="shared" si="12"/>
        <v>0</v>
      </c>
      <c r="O149" s="11"/>
      <c r="P149" s="2">
        <v>30.24</v>
      </c>
      <c r="Q149" s="2"/>
      <c r="R149" s="19">
        <f t="shared" si="13"/>
        <v>3.5169791817267142E-6</v>
      </c>
      <c r="S149" s="2"/>
      <c r="T149" s="2"/>
      <c r="U149" s="2"/>
      <c r="V149" s="19">
        <f t="shared" si="14"/>
        <v>0</v>
      </c>
      <c r="W149" s="2"/>
      <c r="X149" s="2">
        <f t="shared" si="15"/>
        <v>30.24</v>
      </c>
      <c r="Y149" s="2"/>
      <c r="Z149" s="19">
        <f t="shared" si="16"/>
        <v>0</v>
      </c>
    </row>
    <row r="150" spans="1:26" s="24" customFormat="1" hidden="1" outlineLevel="1" x14ac:dyDescent="0.25">
      <c r="A150" s="44"/>
      <c r="B150" s="11" t="str">
        <f>CONCATENATE("          ", "5518", " - ", "FREIGHT-IN-STUDY GUIDES")</f>
        <v xml:space="preserve">          5518 - FREIGHT-IN-STUDY GUIDES</v>
      </c>
      <c r="C150" s="11"/>
      <c r="D150" s="2"/>
      <c r="E150" s="2"/>
      <c r="F150" s="19">
        <f t="shared" si="9"/>
        <v>0</v>
      </c>
      <c r="G150" s="2"/>
      <c r="H150" s="2"/>
      <c r="I150" s="2"/>
      <c r="J150" s="19">
        <f t="shared" si="10"/>
        <v>0</v>
      </c>
      <c r="K150" s="2"/>
      <c r="L150" s="2">
        <f t="shared" si="11"/>
        <v>0</v>
      </c>
      <c r="M150" s="2"/>
      <c r="N150" s="19">
        <f t="shared" si="12"/>
        <v>0</v>
      </c>
      <c r="O150" s="11"/>
      <c r="P150" s="2">
        <v>21.13</v>
      </c>
      <c r="Q150" s="2"/>
      <c r="R150" s="19">
        <f t="shared" si="13"/>
        <v>2.4574659427872181E-6</v>
      </c>
      <c r="S150" s="2"/>
      <c r="T150" s="2"/>
      <c r="U150" s="2"/>
      <c r="V150" s="19">
        <f t="shared" si="14"/>
        <v>0</v>
      </c>
      <c r="W150" s="2"/>
      <c r="X150" s="2">
        <f t="shared" si="15"/>
        <v>21.13</v>
      </c>
      <c r="Y150" s="2"/>
      <c r="Z150" s="19">
        <f t="shared" si="16"/>
        <v>0</v>
      </c>
    </row>
    <row r="151" spans="1:26" s="24" customFormat="1" hidden="1" outlineLevel="1" x14ac:dyDescent="0.25">
      <c r="A151" s="44"/>
      <c r="B151" s="11" t="str">
        <f>CONCATENATE("          ", "5525", " - ", "FREIGHT-IN-TEST FORMS")</f>
        <v xml:space="preserve">          5525 - FREIGHT-IN-TEST FORMS</v>
      </c>
      <c r="C151" s="11"/>
      <c r="D151" s="2">
        <v>82.2</v>
      </c>
      <c r="E151" s="2"/>
      <c r="F151" s="19">
        <f t="shared" si="9"/>
        <v>3.5424662624261599E-4</v>
      </c>
      <c r="G151" s="2"/>
      <c r="H151" s="2"/>
      <c r="I151" s="2"/>
      <c r="J151" s="19">
        <f t="shared" si="10"/>
        <v>0</v>
      </c>
      <c r="K151" s="2"/>
      <c r="L151" s="2">
        <f t="shared" si="11"/>
        <v>82.2</v>
      </c>
      <c r="M151" s="2"/>
      <c r="N151" s="19">
        <f t="shared" si="12"/>
        <v>0</v>
      </c>
      <c r="O151" s="11"/>
      <c r="P151" s="2">
        <v>1237.22</v>
      </c>
      <c r="Q151" s="2"/>
      <c r="R151" s="19">
        <f t="shared" si="13"/>
        <v>1.4389143463015627E-4</v>
      </c>
      <c r="S151" s="2"/>
      <c r="T151" s="2"/>
      <c r="U151" s="2"/>
      <c r="V151" s="19">
        <f t="shared" si="14"/>
        <v>0</v>
      </c>
      <c r="W151" s="2"/>
      <c r="X151" s="2">
        <f t="shared" si="15"/>
        <v>1237.22</v>
      </c>
      <c r="Y151" s="2"/>
      <c r="Z151" s="19">
        <f t="shared" si="16"/>
        <v>0</v>
      </c>
    </row>
    <row r="152" spans="1:26" s="24" customFormat="1" hidden="1" outlineLevel="1" x14ac:dyDescent="0.25">
      <c r="A152" s="44"/>
      <c r="B152" s="11" t="str">
        <f>CONCATENATE("          ", "5526", " - ", "FREIGHT-IN-WRITING INSTRUMENTS")</f>
        <v xml:space="preserve">          5526 - FREIGHT-IN-WRITING INSTRUMENTS</v>
      </c>
      <c r="C152" s="11"/>
      <c r="D152" s="2"/>
      <c r="E152" s="2"/>
      <c r="F152" s="19">
        <f t="shared" si="9"/>
        <v>0</v>
      </c>
      <c r="G152" s="2"/>
      <c r="H152" s="2"/>
      <c r="I152" s="2"/>
      <c r="J152" s="19">
        <f t="shared" si="10"/>
        <v>0</v>
      </c>
      <c r="K152" s="2"/>
      <c r="L152" s="2">
        <f t="shared" si="11"/>
        <v>0</v>
      </c>
      <c r="M152" s="2"/>
      <c r="N152" s="19">
        <f t="shared" si="12"/>
        <v>0</v>
      </c>
      <c r="O152" s="11"/>
      <c r="P152" s="2">
        <v>260.35000000000002</v>
      </c>
      <c r="Q152" s="2"/>
      <c r="R152" s="19">
        <f t="shared" si="13"/>
        <v>3.0279283398232479E-5</v>
      </c>
      <c r="S152" s="2"/>
      <c r="T152" s="2"/>
      <c r="U152" s="2"/>
      <c r="V152" s="19">
        <f t="shared" si="14"/>
        <v>0</v>
      </c>
      <c r="W152" s="2"/>
      <c r="X152" s="2">
        <f t="shared" si="15"/>
        <v>260.35000000000002</v>
      </c>
      <c r="Y152" s="2"/>
      <c r="Z152" s="19">
        <f t="shared" si="16"/>
        <v>0</v>
      </c>
    </row>
    <row r="153" spans="1:26" s="24" customFormat="1" hidden="1" outlineLevel="1" x14ac:dyDescent="0.25">
      <c r="A153" s="44"/>
      <c r="B153" s="11" t="str">
        <f>CONCATENATE("          ", "5527", " - ", "FREIGHT-IN-SCHOOL SUPPLIES")</f>
        <v xml:space="preserve">          5527 - FREIGHT-IN-SCHOOL SUPPLIES</v>
      </c>
      <c r="C153" s="11"/>
      <c r="D153" s="2">
        <v>407.31</v>
      </c>
      <c r="E153" s="2"/>
      <c r="F153" s="19">
        <f t="shared" si="9"/>
        <v>1.755330819159123E-3</v>
      </c>
      <c r="G153" s="2"/>
      <c r="H153" s="2"/>
      <c r="I153" s="2"/>
      <c r="J153" s="19">
        <f t="shared" si="10"/>
        <v>0</v>
      </c>
      <c r="K153" s="2"/>
      <c r="L153" s="2">
        <f t="shared" si="11"/>
        <v>407.31</v>
      </c>
      <c r="M153" s="2"/>
      <c r="N153" s="19">
        <f t="shared" si="12"/>
        <v>0</v>
      </c>
      <c r="O153" s="11"/>
      <c r="P153" s="2">
        <v>2058.91</v>
      </c>
      <c r="Q153" s="2"/>
      <c r="R153" s="19">
        <f t="shared" si="13"/>
        <v>2.3945580711140705E-4</v>
      </c>
      <c r="S153" s="2"/>
      <c r="T153" s="2"/>
      <c r="U153" s="2"/>
      <c r="V153" s="19">
        <f t="shared" si="14"/>
        <v>0</v>
      </c>
      <c r="W153" s="2"/>
      <c r="X153" s="2">
        <f t="shared" si="15"/>
        <v>2058.91</v>
      </c>
      <c r="Y153" s="2"/>
      <c r="Z153" s="19">
        <f t="shared" si="16"/>
        <v>0</v>
      </c>
    </row>
    <row r="154" spans="1:26" s="24" customFormat="1" hidden="1" outlineLevel="1" x14ac:dyDescent="0.25">
      <c r="A154" s="44"/>
      <c r="B154" s="11" t="str">
        <f>CONCATENATE("          ", "5528", " - ", "FREIGHT-IN-ART/TECH")</f>
        <v xml:space="preserve">          5528 - FREIGHT-IN-ART/TECH</v>
      </c>
      <c r="C154" s="11"/>
      <c r="D154" s="2">
        <v>771.27</v>
      </c>
      <c r="E154" s="2"/>
      <c r="F154" s="19">
        <f t="shared" si="9"/>
        <v>3.3238417934567202E-3</v>
      </c>
      <c r="G154" s="2"/>
      <c r="H154" s="2"/>
      <c r="I154" s="2"/>
      <c r="J154" s="19">
        <f t="shared" si="10"/>
        <v>0</v>
      </c>
      <c r="K154" s="2"/>
      <c r="L154" s="2">
        <f t="shared" si="11"/>
        <v>771.27</v>
      </c>
      <c r="M154" s="2"/>
      <c r="N154" s="19">
        <f t="shared" si="12"/>
        <v>0</v>
      </c>
      <c r="O154" s="11"/>
      <c r="P154" s="2">
        <v>2267.52</v>
      </c>
      <c r="Q154" s="2"/>
      <c r="R154" s="19">
        <f t="shared" si="13"/>
        <v>2.6371761356312696E-4</v>
      </c>
      <c r="S154" s="2"/>
      <c r="T154" s="2"/>
      <c r="U154" s="2"/>
      <c r="V154" s="19">
        <f t="shared" si="14"/>
        <v>0</v>
      </c>
      <c r="W154" s="2"/>
      <c r="X154" s="2">
        <f t="shared" si="15"/>
        <v>2267.52</v>
      </c>
      <c r="Y154" s="2"/>
      <c r="Z154" s="19">
        <f t="shared" si="16"/>
        <v>0</v>
      </c>
    </row>
    <row r="155" spans="1:26" s="24" customFormat="1" hidden="1" outlineLevel="1" x14ac:dyDescent="0.25">
      <c r="A155" s="44"/>
      <c r="B155" s="11" t="str">
        <f>CONCATENATE("          ", "5540", " - ", "FREIGHT-IN-LOGO CLOTHING")</f>
        <v xml:space="preserve">          5540 - FREIGHT-IN-LOGO CLOTHING</v>
      </c>
      <c r="C155" s="11"/>
      <c r="D155" s="2">
        <v>2177.09</v>
      </c>
      <c r="E155" s="2"/>
      <c r="F155" s="19">
        <f t="shared" si="9"/>
        <v>9.3823210161379181E-3</v>
      </c>
      <c r="G155" s="2"/>
      <c r="H155" s="2"/>
      <c r="I155" s="2"/>
      <c r="J155" s="19">
        <f t="shared" si="10"/>
        <v>0</v>
      </c>
      <c r="K155" s="2"/>
      <c r="L155" s="2">
        <f t="shared" si="11"/>
        <v>2177.09</v>
      </c>
      <c r="M155" s="2"/>
      <c r="N155" s="19">
        <f t="shared" si="12"/>
        <v>0</v>
      </c>
      <c r="O155" s="11"/>
      <c r="P155" s="2">
        <v>30658.390000000003</v>
      </c>
      <c r="Q155" s="2"/>
      <c r="R155" s="19">
        <f t="shared" si="13"/>
        <v>3.5656388682294474E-3</v>
      </c>
      <c r="S155" s="2"/>
      <c r="T155" s="2"/>
      <c r="U155" s="2"/>
      <c r="V155" s="19">
        <f t="shared" si="14"/>
        <v>0</v>
      </c>
      <c r="W155" s="2"/>
      <c r="X155" s="2">
        <f t="shared" si="15"/>
        <v>30658.390000000003</v>
      </c>
      <c r="Y155" s="2"/>
      <c r="Z155" s="19">
        <f t="shared" si="16"/>
        <v>0</v>
      </c>
    </row>
    <row r="156" spans="1:26" s="24" customFormat="1" hidden="1" outlineLevel="1" x14ac:dyDescent="0.25">
      <c r="A156" s="44"/>
      <c r="B156" s="11" t="str">
        <f>CONCATENATE("          ", "5541", " - ", "FREIGHT-IN-LOGO GIFTS")</f>
        <v xml:space="preserve">          5541 - FREIGHT-IN-LOGO GIFTS</v>
      </c>
      <c r="C156" s="11"/>
      <c r="D156" s="2">
        <v>622.03</v>
      </c>
      <c r="E156" s="2"/>
      <c r="F156" s="19">
        <f t="shared" si="9"/>
        <v>2.6806816170522434E-3</v>
      </c>
      <c r="G156" s="2"/>
      <c r="H156" s="2"/>
      <c r="I156" s="2"/>
      <c r="J156" s="19">
        <f t="shared" si="10"/>
        <v>0</v>
      </c>
      <c r="K156" s="2"/>
      <c r="L156" s="2">
        <f t="shared" si="11"/>
        <v>622.03</v>
      </c>
      <c r="M156" s="2"/>
      <c r="N156" s="19">
        <f t="shared" si="12"/>
        <v>0</v>
      </c>
      <c r="O156" s="11"/>
      <c r="P156" s="2">
        <v>4695.95</v>
      </c>
      <c r="Q156" s="2"/>
      <c r="R156" s="19">
        <f t="shared" si="13"/>
        <v>5.4614941760679778E-4</v>
      </c>
      <c r="S156" s="2"/>
      <c r="T156" s="2"/>
      <c r="U156" s="2"/>
      <c r="V156" s="19">
        <f t="shared" si="14"/>
        <v>0</v>
      </c>
      <c r="W156" s="2"/>
      <c r="X156" s="2">
        <f t="shared" si="15"/>
        <v>4695.95</v>
      </c>
      <c r="Y156" s="2"/>
      <c r="Z156" s="19">
        <f t="shared" si="16"/>
        <v>0</v>
      </c>
    </row>
    <row r="157" spans="1:26" s="24" customFormat="1" hidden="1" outlineLevel="1" x14ac:dyDescent="0.25">
      <c r="A157" s="44"/>
      <c r="B157" s="11" t="str">
        <f>CONCATENATE("          ", "5542", " - ", "FREIGHT-IN-EVERYDAY GIFTS")</f>
        <v xml:space="preserve">          5542 - FREIGHT-IN-EVERYDAY GIFTS</v>
      </c>
      <c r="C157" s="11"/>
      <c r="D157" s="2">
        <v>42.24</v>
      </c>
      <c r="E157" s="2"/>
      <c r="F157" s="19">
        <f t="shared" si="9"/>
        <v>1.8203622253635157E-4</v>
      </c>
      <c r="G157" s="2"/>
      <c r="H157" s="2"/>
      <c r="I157" s="2"/>
      <c r="J157" s="19">
        <f t="shared" si="10"/>
        <v>0</v>
      </c>
      <c r="K157" s="2"/>
      <c r="L157" s="2">
        <f t="shared" si="11"/>
        <v>42.24</v>
      </c>
      <c r="M157" s="2"/>
      <c r="N157" s="19">
        <f t="shared" si="12"/>
        <v>0</v>
      </c>
      <c r="O157" s="11"/>
      <c r="P157" s="2">
        <v>1793.94</v>
      </c>
      <c r="Q157" s="2"/>
      <c r="R157" s="19">
        <f t="shared" si="13"/>
        <v>2.0863920744929967E-4</v>
      </c>
      <c r="S157" s="2"/>
      <c r="T157" s="2"/>
      <c r="U157" s="2"/>
      <c r="V157" s="19">
        <f t="shared" si="14"/>
        <v>0</v>
      </c>
      <c r="W157" s="2"/>
      <c r="X157" s="2">
        <f t="shared" si="15"/>
        <v>1793.94</v>
      </c>
      <c r="Y157" s="2"/>
      <c r="Z157" s="19">
        <f t="shared" si="16"/>
        <v>0</v>
      </c>
    </row>
    <row r="158" spans="1:26" s="24" customFormat="1" hidden="1" outlineLevel="1" x14ac:dyDescent="0.25">
      <c r="A158" s="44"/>
      <c r="B158" s="11" t="str">
        <f>CONCATENATE("          ", "5543", " - ", "FREIGHT-IN-CARDS")</f>
        <v xml:space="preserve">          5543 - FREIGHT-IN-CARDS</v>
      </c>
      <c r="C158" s="11"/>
      <c r="D158" s="2">
        <v>25.64</v>
      </c>
      <c r="E158" s="2"/>
      <c r="F158" s="19">
        <f t="shared" si="9"/>
        <v>1.1049736614185733E-4</v>
      </c>
      <c r="G158" s="2"/>
      <c r="H158" s="2"/>
      <c r="I158" s="2"/>
      <c r="J158" s="19">
        <f t="shared" si="10"/>
        <v>0</v>
      </c>
      <c r="K158" s="2"/>
      <c r="L158" s="2">
        <f t="shared" si="11"/>
        <v>25.64</v>
      </c>
      <c r="M158" s="2"/>
      <c r="N158" s="19">
        <f t="shared" si="12"/>
        <v>0</v>
      </c>
      <c r="O158" s="11"/>
      <c r="P158" s="2">
        <v>2926.76</v>
      </c>
      <c r="Q158" s="2"/>
      <c r="R158" s="19">
        <f t="shared" si="13"/>
        <v>3.403886901425423E-4</v>
      </c>
      <c r="S158" s="2"/>
      <c r="T158" s="2"/>
      <c r="U158" s="2"/>
      <c r="V158" s="19">
        <f t="shared" si="14"/>
        <v>0</v>
      </c>
      <c r="W158" s="2"/>
      <c r="X158" s="2">
        <f t="shared" si="15"/>
        <v>2926.76</v>
      </c>
      <c r="Y158" s="2"/>
      <c r="Z158" s="19">
        <f t="shared" si="16"/>
        <v>0</v>
      </c>
    </row>
    <row r="159" spans="1:26" s="24" customFormat="1" hidden="1" outlineLevel="1" x14ac:dyDescent="0.25">
      <c r="A159" s="44"/>
      <c r="B159" s="11" t="str">
        <f>CONCATENATE("          ", "5544", " - ", "FREIGHT-IN-ACCESSORIES")</f>
        <v xml:space="preserve">          5544 - FREIGHT-IN-ACCESSORIES</v>
      </c>
      <c r="C159" s="11"/>
      <c r="D159" s="2"/>
      <c r="E159" s="2"/>
      <c r="F159" s="19">
        <f t="shared" si="9"/>
        <v>0</v>
      </c>
      <c r="G159" s="2"/>
      <c r="H159" s="2"/>
      <c r="I159" s="2"/>
      <c r="J159" s="19">
        <f t="shared" si="10"/>
        <v>0</v>
      </c>
      <c r="K159" s="2"/>
      <c r="L159" s="2">
        <f t="shared" si="11"/>
        <v>0</v>
      </c>
      <c r="M159" s="2"/>
      <c r="N159" s="19">
        <f t="shared" si="12"/>
        <v>0</v>
      </c>
      <c r="O159" s="11"/>
      <c r="P159" s="2">
        <v>483.44</v>
      </c>
      <c r="Q159" s="2"/>
      <c r="R159" s="19">
        <f t="shared" si="13"/>
        <v>5.6225146018980251E-5</v>
      </c>
      <c r="S159" s="2"/>
      <c r="T159" s="2"/>
      <c r="U159" s="2"/>
      <c r="V159" s="19">
        <f t="shared" si="14"/>
        <v>0</v>
      </c>
      <c r="W159" s="2"/>
      <c r="X159" s="2">
        <f t="shared" si="15"/>
        <v>483.44</v>
      </c>
      <c r="Y159" s="2"/>
      <c r="Z159" s="19">
        <f t="shared" si="16"/>
        <v>0</v>
      </c>
    </row>
    <row r="160" spans="1:26" s="24" customFormat="1" hidden="1" outlineLevel="1" x14ac:dyDescent="0.25">
      <c r="A160" s="44"/>
      <c r="B160" s="11" t="str">
        <f>CONCATENATE("          ", "5545", " - ", "FREIGHT-IN-SPECIAL ORDERS")</f>
        <v xml:space="preserve">          5545 - FREIGHT-IN-SPECIAL ORDERS</v>
      </c>
      <c r="C160" s="11"/>
      <c r="D160" s="2">
        <v>28.68</v>
      </c>
      <c r="E160" s="2"/>
      <c r="F160" s="19">
        <f t="shared" si="9"/>
        <v>1.2359845791530687E-4</v>
      </c>
      <c r="G160" s="2"/>
      <c r="H160" s="2"/>
      <c r="I160" s="2"/>
      <c r="J160" s="19">
        <f t="shared" si="10"/>
        <v>0</v>
      </c>
      <c r="K160" s="2"/>
      <c r="L160" s="2">
        <f t="shared" si="11"/>
        <v>28.68</v>
      </c>
      <c r="M160" s="2"/>
      <c r="N160" s="19">
        <f t="shared" si="12"/>
        <v>0</v>
      </c>
      <c r="O160" s="11"/>
      <c r="P160" s="2">
        <v>875.07</v>
      </c>
      <c r="Q160" s="2"/>
      <c r="R160" s="19">
        <f t="shared" si="13"/>
        <v>1.017725850712168E-4</v>
      </c>
      <c r="S160" s="2"/>
      <c r="T160" s="2"/>
      <c r="U160" s="2"/>
      <c r="V160" s="19">
        <f t="shared" si="14"/>
        <v>0</v>
      </c>
      <c r="W160" s="2"/>
      <c r="X160" s="2">
        <f t="shared" si="15"/>
        <v>875.07</v>
      </c>
      <c r="Y160" s="2"/>
      <c r="Z160" s="19">
        <f t="shared" si="16"/>
        <v>0</v>
      </c>
    </row>
    <row r="161" spans="1:26" s="24" customFormat="1" hidden="1" outlineLevel="1" x14ac:dyDescent="0.25">
      <c r="A161" s="44"/>
      <c r="B161" s="11" t="str">
        <f>CONCATENATE("          ", "5592", " - ", "FREIGHT-IN-GRAD MERCH")</f>
        <v xml:space="preserve">          5592 - FREIGHT-IN-GRAD MERCH</v>
      </c>
      <c r="C161" s="11"/>
      <c r="D161" s="2">
        <v>12.95</v>
      </c>
      <c r="E161" s="2"/>
      <c r="F161" s="19">
        <f t="shared" si="9"/>
        <v>5.5808927127030128E-5</v>
      </c>
      <c r="G161" s="2"/>
      <c r="H161" s="2"/>
      <c r="I161" s="2"/>
      <c r="J161" s="19">
        <f t="shared" si="10"/>
        <v>0</v>
      </c>
      <c r="K161" s="2"/>
      <c r="L161" s="2">
        <f t="shared" si="11"/>
        <v>12.95</v>
      </c>
      <c r="M161" s="2"/>
      <c r="N161" s="19">
        <f t="shared" si="12"/>
        <v>0</v>
      </c>
      <c r="O161" s="11"/>
      <c r="P161" s="2">
        <v>118.73</v>
      </c>
      <c r="Q161" s="2"/>
      <c r="R161" s="19">
        <f t="shared" si="13"/>
        <v>1.3808562772698836E-5</v>
      </c>
      <c r="S161" s="2"/>
      <c r="T161" s="2"/>
      <c r="U161" s="2"/>
      <c r="V161" s="19">
        <f t="shared" si="14"/>
        <v>0</v>
      </c>
      <c r="W161" s="2"/>
      <c r="X161" s="2">
        <f t="shared" si="15"/>
        <v>118.73</v>
      </c>
      <c r="Y161" s="2"/>
      <c r="Z161" s="19">
        <f t="shared" si="16"/>
        <v>0</v>
      </c>
    </row>
    <row r="162" spans="1:26" x14ac:dyDescent="0.25">
      <c r="A162" s="9"/>
      <c r="B162" s="10"/>
      <c r="C162" s="10"/>
      <c r="D162" s="3"/>
      <c r="E162" s="3"/>
      <c r="F162" s="8"/>
      <c r="G162" s="3"/>
      <c r="H162" s="3"/>
      <c r="I162" s="3"/>
      <c r="J162" s="8"/>
      <c r="K162" s="3"/>
      <c r="L162" s="3"/>
      <c r="M162" s="3"/>
      <c r="N162" s="8"/>
      <c r="O162" s="10"/>
      <c r="P162" s="3"/>
      <c r="Q162" s="3"/>
      <c r="R162" s="8"/>
      <c r="S162" s="3"/>
      <c r="T162" s="3"/>
      <c r="U162" s="3"/>
      <c r="V162" s="8"/>
      <c r="W162" s="3"/>
      <c r="X162" s="3"/>
      <c r="Y162" s="3"/>
      <c r="Z162" s="8"/>
    </row>
    <row r="163" spans="1:26" s="23" customFormat="1" x14ac:dyDescent="0.25">
      <c r="A163" s="10"/>
      <c r="B163" s="28" t="s">
        <v>6</v>
      </c>
      <c r="C163" s="28"/>
      <c r="D163" s="20">
        <f>D12-D110</f>
        <v>132599.53000000014</v>
      </c>
      <c r="E163" s="14"/>
      <c r="F163" s="22">
        <f>IF(D$12=0,0,D163/D$12)</f>
        <v>0.57144691172574935</v>
      </c>
      <c r="G163" s="14"/>
      <c r="H163" s="20">
        <f>H12-H110</f>
        <v>550139.97326999996</v>
      </c>
      <c r="I163" s="14"/>
      <c r="J163" s="22">
        <f>IF(H$12=0,0,H163/H$12)</f>
        <v>0.5883375592401473</v>
      </c>
      <c r="K163" s="16"/>
      <c r="L163" s="20">
        <f>+D163-H163</f>
        <v>-417540.44326999981</v>
      </c>
      <c r="M163" s="16"/>
      <c r="N163" s="22">
        <f>IF(H163=0,0,L163/H163)</f>
        <v>-0.75897128650398504</v>
      </c>
      <c r="O163" s="29"/>
      <c r="P163" s="20">
        <f>P12-P110</f>
        <v>3586609.75</v>
      </c>
      <c r="Q163" s="14"/>
      <c r="R163" s="22">
        <f>IF(P$12=0,0,P163/P$12)</f>
        <v>0.41713068200158915</v>
      </c>
      <c r="S163" s="14"/>
      <c r="T163" s="20">
        <f>T12-T110</f>
        <v>4263890.1261800006</v>
      </c>
      <c r="U163" s="14"/>
      <c r="V163" s="22">
        <f>IF(T$12=0,0,T163/T$12)</f>
        <v>0.42945677273366822</v>
      </c>
      <c r="W163" s="16"/>
      <c r="X163" s="20">
        <f>+P163-T163</f>
        <v>-677280.3761800006</v>
      </c>
      <c r="Y163" s="16"/>
      <c r="Z163" s="22">
        <f>IF(T163=0,0,X163/T163)</f>
        <v>-0.15884095418442992</v>
      </c>
    </row>
    <row r="164" spans="1:26" x14ac:dyDescent="0.25">
      <c r="A164" s="9"/>
      <c r="B164" s="10"/>
      <c r="C164" s="9"/>
      <c r="D164" s="1"/>
      <c r="E164" s="1"/>
      <c r="F164" s="5"/>
      <c r="G164" s="1"/>
      <c r="H164" s="1"/>
      <c r="I164" s="1"/>
      <c r="J164" s="5"/>
      <c r="K164" s="1"/>
      <c r="L164" s="1"/>
      <c r="M164" s="1"/>
      <c r="N164" s="5"/>
      <c r="O164" s="36"/>
      <c r="P164" s="1"/>
      <c r="Q164" s="1"/>
      <c r="R164" s="5"/>
      <c r="S164" s="1"/>
      <c r="T164" s="1"/>
      <c r="U164" s="1"/>
      <c r="V164" s="5"/>
      <c r="W164" s="1"/>
      <c r="X164" s="1"/>
      <c r="Y164" s="1"/>
      <c r="Z164" s="5"/>
    </row>
    <row r="165" spans="1:26" s="23" customFormat="1" x14ac:dyDescent="0.25">
      <c r="A165" s="10"/>
      <c r="B165" s="29" t="s">
        <v>9</v>
      </c>
      <c r="C165" s="10"/>
      <c r="D165" s="21">
        <f>SUM(OSRRefD22x_0)</f>
        <v>314936.58</v>
      </c>
      <c r="E165" s="21"/>
      <c r="F165" s="30">
        <f t="shared" ref="F165:F176" si="17">IF(D$12=0,0,D165/D$12)</f>
        <v>1.3572411307224783</v>
      </c>
      <c r="G165" s="21"/>
      <c r="H165" s="21">
        <f>SUM(OSRRefH22x_0)</f>
        <v>388315.92561626696</v>
      </c>
      <c r="I165" s="21"/>
      <c r="J165" s="30">
        <f t="shared" ref="J165:J176" si="18">IF(H$12=0,0,H165/H$12)</f>
        <v>0.41527766566969343</v>
      </c>
      <c r="K165" s="4"/>
      <c r="L165" s="21">
        <f t="shared" ref="L165:L176" si="19">+D165-H165</f>
        <v>-73379.345616266946</v>
      </c>
      <c r="M165" s="4"/>
      <c r="N165" s="30">
        <f t="shared" ref="N165:N176" si="20">IF(H165=0,0,L165/H165)</f>
        <v>-0.188968159108623</v>
      </c>
      <c r="O165" s="10"/>
      <c r="P165" s="21">
        <f>SUM(OSRRefP22x_0)</f>
        <v>3395980.1700000004</v>
      </c>
      <c r="Q165" s="21"/>
      <c r="R165" s="30">
        <f t="shared" ref="R165:R176" si="21">IF(P$12=0,0,P165/P$12)</f>
        <v>0.39496003834149301</v>
      </c>
      <c r="S165" s="21"/>
      <c r="T165" s="21">
        <f>SUM(OSRRefT22x_0)</f>
        <v>3678554.1709306682</v>
      </c>
      <c r="U165" s="21"/>
      <c r="V165" s="30">
        <f t="shared" ref="V165:V176" si="22">IF(T$12=0,0,T165/T$12)</f>
        <v>0.37050204292885403</v>
      </c>
      <c r="W165" s="4"/>
      <c r="X165" s="21">
        <f t="shared" ref="X165:X176" si="23">+P165-T165</f>
        <v>-282574.00093066785</v>
      </c>
      <c r="Y165" s="4"/>
      <c r="Z165" s="30">
        <f t="shared" ref="Z165:Z176" si="24">IF(T165=0,0,X165/T165)</f>
        <v>-7.6816593639880276E-2</v>
      </c>
    </row>
    <row r="166" spans="1:26" s="27" customFormat="1" outlineLevel="1" collapsed="1" x14ac:dyDescent="0.25">
      <c r="A166" s="26"/>
      <c r="B166" s="13" t="str">
        <f>CONCATENATE("     ","*Benefits                                         ")</f>
        <v xml:space="preserve">     *Benefits                                         </v>
      </c>
      <c r="C166" s="13"/>
      <c r="D166" s="1">
        <f>SUM(OSRRefD22_0x_0)</f>
        <v>32934.76</v>
      </c>
      <c r="E166" s="1"/>
      <c r="F166" s="5">
        <f t="shared" si="17"/>
        <v>0.14193464253175497</v>
      </c>
      <c r="G166" s="1"/>
      <c r="H166" s="1">
        <f>SUM(OSRRefH22_0x_0)</f>
        <v>46936.341445301063</v>
      </c>
      <c r="I166" s="1"/>
      <c r="J166" s="5">
        <f t="shared" si="18"/>
        <v>5.0195248313719396E-2</v>
      </c>
      <c r="K166" s="1"/>
      <c r="L166" s="1">
        <f t="shared" si="19"/>
        <v>-14001.581445301061</v>
      </c>
      <c r="M166" s="1"/>
      <c r="N166" s="5">
        <f t="shared" si="20"/>
        <v>-0.2983100304402358</v>
      </c>
      <c r="O166" s="13"/>
      <c r="P166" s="1">
        <f>SUM(OSRRefP22_0x_0)</f>
        <v>426594.0199999999</v>
      </c>
      <c r="Q166" s="1"/>
      <c r="R166" s="5">
        <f t="shared" si="21"/>
        <v>4.9613832254930865E-2</v>
      </c>
      <c r="S166" s="1"/>
      <c r="T166" s="1">
        <f>SUM(OSRRefT22_0x_0)</f>
        <v>440974.84922311583</v>
      </c>
      <c r="U166" s="1"/>
      <c r="V166" s="5">
        <f t="shared" si="22"/>
        <v>4.4414755071031722E-2</v>
      </c>
      <c r="W166" s="1"/>
      <c r="X166" s="1">
        <f t="shared" si="23"/>
        <v>-14380.829223115928</v>
      </c>
      <c r="Y166" s="1"/>
      <c r="Z166" s="5">
        <f t="shared" si="24"/>
        <v>-3.261144994652472E-2</v>
      </c>
    </row>
    <row r="167" spans="1:26" s="24" customFormat="1" hidden="1" outlineLevel="2" x14ac:dyDescent="0.25">
      <c r="A167" s="25"/>
      <c r="B167" s="11" t="str">
        <f>CONCATENATE("          ", "6111", " - ", "F.I.C.A.")</f>
        <v xml:space="preserve">          6111 - F.I.C.A.</v>
      </c>
      <c r="C167" s="11"/>
      <c r="D167" s="6">
        <v>10558.14</v>
      </c>
      <c r="E167" s="2"/>
      <c r="F167" s="7">
        <f t="shared" si="17"/>
        <v>4.5501039834515977E-2</v>
      </c>
      <c r="G167" s="2"/>
      <c r="H167" s="6">
        <v>8543.8937285623833</v>
      </c>
      <c r="I167" s="2"/>
      <c r="J167" s="7">
        <f t="shared" si="18"/>
        <v>9.137117509915197E-3</v>
      </c>
      <c r="K167" s="2"/>
      <c r="L167" s="6">
        <f t="shared" si="19"/>
        <v>2014.2462714376161</v>
      </c>
      <c r="M167" s="2"/>
      <c r="N167" s="7">
        <f t="shared" si="20"/>
        <v>0.2357527300116054</v>
      </c>
      <c r="O167" s="11"/>
      <c r="P167" s="6">
        <v>85557.119999999995</v>
      </c>
      <c r="Q167" s="2"/>
      <c r="R167" s="7">
        <f t="shared" si="21"/>
        <v>9.9504831312332773E-3</v>
      </c>
      <c r="S167" s="2"/>
      <c r="T167" s="6">
        <v>82647.818205394462</v>
      </c>
      <c r="U167" s="2"/>
      <c r="V167" s="7">
        <f t="shared" si="22"/>
        <v>8.3242448162627082E-3</v>
      </c>
      <c r="W167" s="2"/>
      <c r="X167" s="6">
        <f t="shared" si="23"/>
        <v>2909.3017946055334</v>
      </c>
      <c r="Y167" s="2"/>
      <c r="Z167" s="7">
        <f t="shared" si="24"/>
        <v>3.520119293863757E-2</v>
      </c>
    </row>
    <row r="168" spans="1:26" s="24" customFormat="1" hidden="1" outlineLevel="2" x14ac:dyDescent="0.25">
      <c r="A168" s="25"/>
      <c r="B168" s="11" t="str">
        <f>CONCATENATE("          ", "6112", " - ", "COMPENSATION INSURANCE")</f>
        <v xml:space="preserve">          6112 - COMPENSATION INSURANCE</v>
      </c>
      <c r="C168" s="11"/>
      <c r="D168" s="6">
        <v>3334.8</v>
      </c>
      <c r="E168" s="2"/>
      <c r="F168" s="7">
        <f t="shared" si="17"/>
        <v>1.4371552909901166E-2</v>
      </c>
      <c r="G168" s="2"/>
      <c r="H168" s="6">
        <v>3330.6200482923077</v>
      </c>
      <c r="I168" s="2"/>
      <c r="J168" s="7">
        <f t="shared" si="18"/>
        <v>3.5618732780337203E-3</v>
      </c>
      <c r="K168" s="2"/>
      <c r="L168" s="6">
        <f t="shared" si="19"/>
        <v>4.1799517076924531</v>
      </c>
      <c r="M168" s="2"/>
      <c r="N168" s="7">
        <f t="shared" si="20"/>
        <v>1.2550070698804624E-3</v>
      </c>
      <c r="O168" s="11"/>
      <c r="P168" s="6">
        <v>23161.190000000002</v>
      </c>
      <c r="Q168" s="2"/>
      <c r="R168" s="7">
        <f t="shared" si="21"/>
        <v>2.6936978523153759E-3</v>
      </c>
      <c r="S168" s="2"/>
      <c r="T168" s="6">
        <v>31783.29715412499</v>
      </c>
      <c r="U168" s="2"/>
      <c r="V168" s="7">
        <f t="shared" si="22"/>
        <v>3.2011969864885496E-3</v>
      </c>
      <c r="W168" s="2"/>
      <c r="X168" s="6">
        <f t="shared" si="23"/>
        <v>-8622.1071541249876</v>
      </c>
      <c r="Y168" s="2"/>
      <c r="Z168" s="7">
        <f t="shared" si="24"/>
        <v>-0.27127793294428448</v>
      </c>
    </row>
    <row r="169" spans="1:26" s="24" customFormat="1" hidden="1" outlineLevel="2" x14ac:dyDescent="0.25">
      <c r="A169" s="25"/>
      <c r="B169" s="11" t="str">
        <f>CONCATENATE("          ", "6113", " - ", "GROUP INSURANCE")</f>
        <v xml:space="preserve">          6113 - GROUP INSURANCE</v>
      </c>
      <c r="C169" s="11"/>
      <c r="D169" s="6">
        <v>17381.59</v>
      </c>
      <c r="E169" s="2"/>
      <c r="F169" s="7">
        <f t="shared" si="17"/>
        <v>7.4907172946866066E-2</v>
      </c>
      <c r="G169" s="2"/>
      <c r="H169" s="6">
        <v>18510.81923076923</v>
      </c>
      <c r="I169" s="2"/>
      <c r="J169" s="7">
        <f t="shared" si="18"/>
        <v>1.9796071427119172E-2</v>
      </c>
      <c r="K169" s="2"/>
      <c r="L169" s="6">
        <f t="shared" si="19"/>
        <v>-1129.2292307692296</v>
      </c>
      <c r="M169" s="2"/>
      <c r="N169" s="7">
        <f t="shared" si="20"/>
        <v>-6.100374147094427E-2</v>
      </c>
      <c r="O169" s="11"/>
      <c r="P169" s="6">
        <v>163202.53</v>
      </c>
      <c r="Q169" s="2"/>
      <c r="R169" s="7">
        <f t="shared" si="21"/>
        <v>1.8980816812669627E-2</v>
      </c>
      <c r="S169" s="2"/>
      <c r="T169" s="6">
        <v>168012.44999999998</v>
      </c>
      <c r="U169" s="2"/>
      <c r="V169" s="7">
        <f t="shared" si="22"/>
        <v>1.6922125669480911E-2</v>
      </c>
      <c r="W169" s="2"/>
      <c r="X169" s="6">
        <f t="shared" si="23"/>
        <v>-4809.9199999999837</v>
      </c>
      <c r="Y169" s="2"/>
      <c r="Z169" s="7">
        <f t="shared" si="24"/>
        <v>-2.8628354624910143E-2</v>
      </c>
    </row>
    <row r="170" spans="1:26" s="24" customFormat="1" hidden="1" outlineLevel="2" x14ac:dyDescent="0.25">
      <c r="A170" s="25"/>
      <c r="B170" s="11" t="str">
        <f>CONCATENATE("          ", "6114", " - ", "STATE UNEMPLOYMENT INSURANCE")</f>
        <v xml:space="preserve">          6114 - STATE UNEMPLOYMENT INSURANCE</v>
      </c>
      <c r="C170" s="11"/>
      <c r="D170" s="6">
        <v>552.45000000000005</v>
      </c>
      <c r="E170" s="2"/>
      <c r="F170" s="7">
        <f t="shared" si="17"/>
        <v>2.3808217599480923E-3</v>
      </c>
      <c r="G170" s="2"/>
      <c r="H170" s="6">
        <v>473.2252695270314</v>
      </c>
      <c r="I170" s="2"/>
      <c r="J170" s="7">
        <f t="shared" si="18"/>
        <v>5.060824764094215E-4</v>
      </c>
      <c r="K170" s="2"/>
      <c r="L170" s="6">
        <f t="shared" si="19"/>
        <v>79.224730472968645</v>
      </c>
      <c r="M170" s="2"/>
      <c r="N170" s="7">
        <f t="shared" si="20"/>
        <v>0.16741441248932121</v>
      </c>
      <c r="O170" s="11"/>
      <c r="P170" s="6">
        <v>4542.4799999999996</v>
      </c>
      <c r="Q170" s="2"/>
      <c r="R170" s="7">
        <f t="shared" si="21"/>
        <v>5.2830051565509143E-4</v>
      </c>
      <c r="S170" s="2"/>
      <c r="T170" s="6">
        <v>4513.3195003715064</v>
      </c>
      <c r="U170" s="2"/>
      <c r="V170" s="7">
        <f t="shared" si="22"/>
        <v>4.5457916822119694E-4</v>
      </c>
      <c r="W170" s="2"/>
      <c r="X170" s="6">
        <f t="shared" si="23"/>
        <v>29.160499628493199</v>
      </c>
      <c r="Y170" s="2"/>
      <c r="Z170" s="7">
        <f t="shared" si="24"/>
        <v>6.4609872237258855E-3</v>
      </c>
    </row>
    <row r="171" spans="1:26" s="24" customFormat="1" hidden="1" outlineLevel="2" x14ac:dyDescent="0.25">
      <c r="A171" s="25"/>
      <c r="B171" s="11" t="str">
        <f>CONCATENATE("          ", "6115", " - ", "P.E.R.S.")</f>
        <v xml:space="preserve">          6115 - P.E.R.S.</v>
      </c>
      <c r="C171" s="11"/>
      <c r="D171" s="6">
        <v>8401.3799999999992</v>
      </c>
      <c r="E171" s="2"/>
      <c r="F171" s="7">
        <f t="shared" si="17"/>
        <v>3.6206332369613001E-2</v>
      </c>
      <c r="G171" s="2"/>
      <c r="H171" s="6">
        <v>6067.9547279230692</v>
      </c>
      <c r="I171" s="2"/>
      <c r="J171" s="7">
        <f t="shared" si="18"/>
        <v>6.4892679093759816E-3</v>
      </c>
      <c r="K171" s="2"/>
      <c r="L171" s="6">
        <f t="shared" si="19"/>
        <v>2333.42527207693</v>
      </c>
      <c r="M171" s="2"/>
      <c r="N171" s="7">
        <f t="shared" si="20"/>
        <v>0.38454889278246335</v>
      </c>
      <c r="O171" s="11"/>
      <c r="P171" s="6">
        <v>65030.79</v>
      </c>
      <c r="Q171" s="2"/>
      <c r="R171" s="7">
        <f t="shared" si="21"/>
        <v>7.5632253505701656E-3</v>
      </c>
      <c r="S171" s="2"/>
      <c r="T171" s="6">
        <v>58776.177797249933</v>
      </c>
      <c r="U171" s="2"/>
      <c r="V171" s="7">
        <f t="shared" si="22"/>
        <v>5.9199057394664339E-3</v>
      </c>
      <c r="W171" s="2"/>
      <c r="X171" s="6">
        <f t="shared" si="23"/>
        <v>6254.6122027500678</v>
      </c>
      <c r="Y171" s="2"/>
      <c r="Z171" s="7">
        <f t="shared" si="24"/>
        <v>0.10641406837180749</v>
      </c>
    </row>
    <row r="172" spans="1:26" s="24" customFormat="1" hidden="1" outlineLevel="2" x14ac:dyDescent="0.25">
      <c r="A172" s="25"/>
      <c r="B172" s="11" t="str">
        <f>CONCATENATE("          ", "6116", " - ", "EDUCATIONAL BENEFITS")</f>
        <v xml:space="preserve">          6116 - EDUCATIONAL BENEFITS</v>
      </c>
      <c r="C172" s="11"/>
      <c r="D172" s="6"/>
      <c r="E172" s="2"/>
      <c r="F172" s="7">
        <f t="shared" si="17"/>
        <v>0</v>
      </c>
      <c r="G172" s="2"/>
      <c r="H172" s="6">
        <v>0</v>
      </c>
      <c r="I172" s="2"/>
      <c r="J172" s="7">
        <f t="shared" si="18"/>
        <v>0</v>
      </c>
      <c r="K172" s="2"/>
      <c r="L172" s="6">
        <f t="shared" si="19"/>
        <v>0</v>
      </c>
      <c r="M172" s="2"/>
      <c r="N172" s="7">
        <f t="shared" si="20"/>
        <v>0</v>
      </c>
      <c r="O172" s="11"/>
      <c r="P172" s="6"/>
      <c r="Q172" s="2"/>
      <c r="R172" s="7">
        <f t="shared" si="21"/>
        <v>0</v>
      </c>
      <c r="S172" s="2"/>
      <c r="T172" s="6">
        <v>0</v>
      </c>
      <c r="U172" s="2"/>
      <c r="V172" s="7">
        <f t="shared" si="22"/>
        <v>0</v>
      </c>
      <c r="W172" s="2"/>
      <c r="X172" s="6">
        <f t="shared" si="23"/>
        <v>0</v>
      </c>
      <c r="Y172" s="2"/>
      <c r="Z172" s="7">
        <f t="shared" si="24"/>
        <v>0</v>
      </c>
    </row>
    <row r="173" spans="1:26" s="24" customFormat="1" hidden="1" outlineLevel="2" x14ac:dyDescent="0.25">
      <c r="A173" s="25"/>
      <c r="B173" s="11" t="str">
        <f>CONCATENATE("          ", "6117", " - ", "RETIREMENT STAFF HOURLY")</f>
        <v xml:space="preserve">          6117 - RETIREMENT STAFF HOURLY</v>
      </c>
      <c r="C173" s="11"/>
      <c r="D173" s="6">
        <v>110.54</v>
      </c>
      <c r="E173" s="2"/>
      <c r="F173" s="7">
        <f t="shared" si="17"/>
        <v>4.7637983047273445E-4</v>
      </c>
      <c r="G173" s="2"/>
      <c r="H173" s="6"/>
      <c r="I173" s="2"/>
      <c r="J173" s="7">
        <f t="shared" si="18"/>
        <v>0</v>
      </c>
      <c r="K173" s="2"/>
      <c r="L173" s="6">
        <f t="shared" si="19"/>
        <v>110.54</v>
      </c>
      <c r="M173" s="2"/>
      <c r="N173" s="7">
        <f t="shared" si="20"/>
        <v>0</v>
      </c>
      <c r="O173" s="11"/>
      <c r="P173" s="6">
        <v>1174.1099999999999</v>
      </c>
      <c r="Q173" s="2"/>
      <c r="R173" s="7">
        <f t="shared" si="21"/>
        <v>1.3655160142384763E-4</v>
      </c>
      <c r="S173" s="2"/>
      <c r="T173" s="6"/>
      <c r="U173" s="2"/>
      <c r="V173" s="7">
        <f t="shared" si="22"/>
        <v>0</v>
      </c>
      <c r="W173" s="2"/>
      <c r="X173" s="6">
        <f t="shared" si="23"/>
        <v>1174.1099999999999</v>
      </c>
      <c r="Y173" s="2"/>
      <c r="Z173" s="7">
        <f t="shared" si="24"/>
        <v>0</v>
      </c>
    </row>
    <row r="174" spans="1:26" s="24" customFormat="1" hidden="1" outlineLevel="2" x14ac:dyDescent="0.25">
      <c r="A174" s="25"/>
      <c r="B174" s="11" t="str">
        <f>CONCATENATE("          ", "6118", " - ", "VACATION")</f>
        <v xml:space="preserve">          6118 - VACATION</v>
      </c>
      <c r="C174" s="11"/>
      <c r="D174" s="6">
        <v>10248.99</v>
      </c>
      <c r="E174" s="2"/>
      <c r="F174" s="7">
        <f t="shared" si="17"/>
        <v>4.4168736373410081E-2</v>
      </c>
      <c r="G174" s="2"/>
      <c r="H174" s="6">
        <v>4420.3785989384578</v>
      </c>
      <c r="I174" s="2"/>
      <c r="J174" s="7">
        <f t="shared" si="18"/>
        <v>4.7272964739474852E-3</v>
      </c>
      <c r="K174" s="2"/>
      <c r="L174" s="6">
        <f t="shared" si="19"/>
        <v>5828.611401061542</v>
      </c>
      <c r="M174" s="2"/>
      <c r="N174" s="7">
        <f t="shared" si="20"/>
        <v>1.3185774183372592</v>
      </c>
      <c r="O174" s="11"/>
      <c r="P174" s="6">
        <v>51993.79</v>
      </c>
      <c r="Q174" s="2"/>
      <c r="R174" s="7">
        <f t="shared" si="21"/>
        <v>6.0469932873369915E-3</v>
      </c>
      <c r="S174" s="2"/>
      <c r="T174" s="6">
        <v>42814.147339649971</v>
      </c>
      <c r="U174" s="2"/>
      <c r="V174" s="7">
        <f t="shared" si="22"/>
        <v>4.3122184202017688E-3</v>
      </c>
      <c r="W174" s="2"/>
      <c r="X174" s="6">
        <f t="shared" si="23"/>
        <v>9179.6426603500295</v>
      </c>
      <c r="Y174" s="2"/>
      <c r="Z174" s="7">
        <f t="shared" si="24"/>
        <v>0.21440676109994156</v>
      </c>
    </row>
    <row r="175" spans="1:26" s="24" customFormat="1" hidden="1" outlineLevel="2" x14ac:dyDescent="0.25">
      <c r="A175" s="25"/>
      <c r="B175" s="11" t="str">
        <f>CONCATENATE("          ", "6119", " - ", "SICK LEAVE")</f>
        <v xml:space="preserve">          6119 - SICK LEAVE</v>
      </c>
      <c r="C175" s="11"/>
      <c r="D175" s="6">
        <v>-18939.36</v>
      </c>
      <c r="E175" s="2"/>
      <c r="F175" s="7">
        <f t="shared" si="17"/>
        <v>-8.1620491279736626E-2</v>
      </c>
      <c r="G175" s="2"/>
      <c r="H175" s="6">
        <v>4039.449841288581</v>
      </c>
      <c r="I175" s="2"/>
      <c r="J175" s="7">
        <f t="shared" si="18"/>
        <v>4.3199188856802928E-3</v>
      </c>
      <c r="K175" s="2"/>
      <c r="L175" s="6">
        <f t="shared" si="19"/>
        <v>-22978.809841288581</v>
      </c>
      <c r="M175" s="2"/>
      <c r="N175" s="7">
        <f t="shared" si="20"/>
        <v>-5.688598879583652</v>
      </c>
      <c r="O175" s="11"/>
      <c r="P175" s="6">
        <v>14091.12</v>
      </c>
      <c r="Q175" s="2"/>
      <c r="R175" s="7">
        <f t="shared" si="21"/>
        <v>1.6388285610850839E-3</v>
      </c>
      <c r="S175" s="2"/>
      <c r="T175" s="6">
        <v>38477.639226325002</v>
      </c>
      <c r="U175" s="2"/>
      <c r="V175" s="7">
        <f t="shared" si="22"/>
        <v>3.8754476019653306E-3</v>
      </c>
      <c r="W175" s="2"/>
      <c r="X175" s="6">
        <f t="shared" si="23"/>
        <v>-24386.519226324999</v>
      </c>
      <c r="Y175" s="2"/>
      <c r="Z175" s="7">
        <f t="shared" si="24"/>
        <v>-0.63378418522206603</v>
      </c>
    </row>
    <row r="176" spans="1:26" s="24" customFormat="1" hidden="1" outlineLevel="2" x14ac:dyDescent="0.25">
      <c r="A176" s="25"/>
      <c r="B176" s="11" t="str">
        <f>CONCATENATE("          ", "6156", " - ", "EMPLOYEE MEALS")</f>
        <v xml:space="preserve">          6156 - EMPLOYEE MEALS</v>
      </c>
      <c r="C176" s="11"/>
      <c r="D176" s="6">
        <v>1286.23</v>
      </c>
      <c r="E176" s="2"/>
      <c r="F176" s="7">
        <f t="shared" si="17"/>
        <v>5.5430977867644759E-3</v>
      </c>
      <c r="G176" s="2"/>
      <c r="H176" s="6">
        <v>1550</v>
      </c>
      <c r="I176" s="2"/>
      <c r="J176" s="7">
        <f t="shared" si="18"/>
        <v>1.6576203532381222E-3</v>
      </c>
      <c r="K176" s="2"/>
      <c r="L176" s="6">
        <f t="shared" si="19"/>
        <v>-263.77</v>
      </c>
      <c r="M176" s="2"/>
      <c r="N176" s="7">
        <f t="shared" si="20"/>
        <v>-0.17017419354838709</v>
      </c>
      <c r="O176" s="11"/>
      <c r="P176" s="6">
        <v>17840.89</v>
      </c>
      <c r="Q176" s="2"/>
      <c r="R176" s="7">
        <f t="shared" si="21"/>
        <v>2.0749351426414125E-3</v>
      </c>
      <c r="S176" s="2"/>
      <c r="T176" s="6">
        <v>13950</v>
      </c>
      <c r="U176" s="2"/>
      <c r="V176" s="7">
        <f t="shared" si="22"/>
        <v>1.4050366689448237E-3</v>
      </c>
      <c r="W176" s="2"/>
      <c r="X176" s="6">
        <f t="shared" si="23"/>
        <v>3890.8899999999994</v>
      </c>
      <c r="Y176" s="2"/>
      <c r="Z176" s="7">
        <f t="shared" si="24"/>
        <v>0.27891684587813614</v>
      </c>
    </row>
    <row r="177" spans="1:26" s="27" customFormat="1" outlineLevel="1" collapsed="1" x14ac:dyDescent="0.25">
      <c r="A177" s="26"/>
      <c r="B177" s="13" t="str">
        <f>CONCATENATE("     ","*Payroll                                          ")</f>
        <v xml:space="preserve">     *Payroll                                          </v>
      </c>
      <c r="C177" s="13"/>
      <c r="D177" s="1">
        <f>SUM(OSRRefD22_1x_0)</f>
        <v>164282.28</v>
      </c>
      <c r="E177" s="1"/>
      <c r="F177" s="5">
        <f t="shared" ref="F177:F187" si="25">IF(D$12=0,0,D177/D$12)</f>
        <v>0.70798592994458376</v>
      </c>
      <c r="G177" s="1"/>
      <c r="H177" s="1">
        <f>SUM(OSRRefH22_1x_0)</f>
        <v>174511.08417096594</v>
      </c>
      <c r="I177" s="1"/>
      <c r="J177" s="5">
        <f t="shared" ref="J177:J187" si="26">IF(H$12=0,0,H177/H$12)</f>
        <v>0.18662782257254468</v>
      </c>
      <c r="K177" s="1"/>
      <c r="L177" s="1">
        <f t="shared" ref="L177:L187" si="27">+D177-H177</f>
        <v>-10228.804170965945</v>
      </c>
      <c r="M177" s="1"/>
      <c r="N177" s="5">
        <f t="shared" ref="N177:N187" si="28">IF(H177=0,0,L177/H177)</f>
        <v>-5.8614065803092114E-2</v>
      </c>
      <c r="O177" s="13"/>
      <c r="P177" s="1">
        <f>SUM(OSRRefP22_1x_0)</f>
        <v>1624894.25</v>
      </c>
      <c r="Q177" s="1"/>
      <c r="R177" s="5">
        <f t="shared" ref="R177:R187" si="29">IF(P$12=0,0,P177/P$12)</f>
        <v>0.18897881116922763</v>
      </c>
      <c r="S177" s="1"/>
      <c r="T177" s="1">
        <f>SUM(OSRRefT22_1x_0)</f>
        <v>1664900.8217075528</v>
      </c>
      <c r="U177" s="1"/>
      <c r="V177" s="5">
        <f t="shared" ref="V177:V187" si="30">IF(T$12=0,0,T177/T$12)</f>
        <v>0.16768793581759711</v>
      </c>
      <c r="W177" s="1"/>
      <c r="X177" s="1">
        <f t="shared" ref="X177:X187" si="31">+P177-T177</f>
        <v>-40006.571707552765</v>
      </c>
      <c r="Y177" s="1"/>
      <c r="Z177" s="5">
        <f t="shared" ref="Z177:Z187" si="32">IF(T177=0,0,X177/T177)</f>
        <v>-2.4029402343931389E-2</v>
      </c>
    </row>
    <row r="178" spans="1:26" s="24" customFormat="1" hidden="1" outlineLevel="2" x14ac:dyDescent="0.25">
      <c r="A178" s="25"/>
      <c r="B178" s="11" t="str">
        <f>CONCATENATE("          ", "6001", " - ", "ADMINISTRATIVE SALARIES")</f>
        <v xml:space="preserve">          6001 - ADMINISTRATIVE SALARIES</v>
      </c>
      <c r="C178" s="11"/>
      <c r="D178" s="6">
        <v>4822.2</v>
      </c>
      <c r="E178" s="2"/>
      <c r="F178" s="7">
        <f t="shared" si="25"/>
        <v>2.078160682563434E-2</v>
      </c>
      <c r="G178" s="2"/>
      <c r="H178" s="6">
        <v>24506.560901846147</v>
      </c>
      <c r="I178" s="2"/>
      <c r="J178" s="7">
        <f t="shared" si="26"/>
        <v>2.6208112347593397E-2</v>
      </c>
      <c r="K178" s="2"/>
      <c r="L178" s="6">
        <f t="shared" si="27"/>
        <v>-19684.360901846147</v>
      </c>
      <c r="M178" s="2"/>
      <c r="N178" s="7">
        <f t="shared" si="28"/>
        <v>-0.80322820409955076</v>
      </c>
      <c r="O178" s="11"/>
      <c r="P178" s="6">
        <v>93238.31</v>
      </c>
      <c r="Q178" s="2"/>
      <c r="R178" s="7">
        <f t="shared" si="29"/>
        <v>1.0843822592902834E-2</v>
      </c>
      <c r="S178" s="2"/>
      <c r="T178" s="6">
        <v>238938.96879299998</v>
      </c>
      <c r="U178" s="2"/>
      <c r="V178" s="7">
        <f t="shared" si="30"/>
        <v>2.4065807368747517E-2</v>
      </c>
      <c r="W178" s="2"/>
      <c r="X178" s="6">
        <f t="shared" si="31"/>
        <v>-145700.65879299998</v>
      </c>
      <c r="Y178" s="2"/>
      <c r="Z178" s="7">
        <f t="shared" si="32"/>
        <v>-0.60978190175092306</v>
      </c>
    </row>
    <row r="179" spans="1:26" s="24" customFormat="1" hidden="1" outlineLevel="2" x14ac:dyDescent="0.25">
      <c r="A179" s="25"/>
      <c r="B179" s="11" t="str">
        <f>CONCATENATE("          ", "6002", " - ", "STAFF SALARIES")</f>
        <v xml:space="preserve">          6002 - STAFF SALARIES</v>
      </c>
      <c r="C179" s="11"/>
      <c r="D179" s="6">
        <v>54721.43</v>
      </c>
      <c r="E179" s="2"/>
      <c r="F179" s="7">
        <f t="shared" si="25"/>
        <v>0.2358258146067089</v>
      </c>
      <c r="G179" s="2"/>
      <c r="H179" s="6">
        <v>39749.506545646182</v>
      </c>
      <c r="I179" s="2"/>
      <c r="J179" s="7">
        <f t="shared" si="26"/>
        <v>4.2509413600796818E-2</v>
      </c>
      <c r="K179" s="2"/>
      <c r="L179" s="6">
        <f t="shared" si="27"/>
        <v>14971.923454353819</v>
      </c>
      <c r="M179" s="2"/>
      <c r="N179" s="7">
        <f t="shared" si="28"/>
        <v>0.37665683817133355</v>
      </c>
      <c r="O179" s="11"/>
      <c r="P179" s="6">
        <v>521949.59</v>
      </c>
      <c r="Q179" s="2"/>
      <c r="R179" s="7">
        <f t="shared" si="29"/>
        <v>6.0703896889576524E-2</v>
      </c>
      <c r="S179" s="2"/>
      <c r="T179" s="6">
        <v>383544.12082005019</v>
      </c>
      <c r="U179" s="2"/>
      <c r="V179" s="7">
        <f t="shared" si="30"/>
        <v>3.8630362287482026E-2</v>
      </c>
      <c r="W179" s="2"/>
      <c r="X179" s="6">
        <f t="shared" si="31"/>
        <v>138405.46917994984</v>
      </c>
      <c r="Y179" s="2"/>
      <c r="Z179" s="7">
        <f t="shared" si="32"/>
        <v>0.36085931622163075</v>
      </c>
    </row>
    <row r="180" spans="1:26" s="24" customFormat="1" hidden="1" outlineLevel="2" x14ac:dyDescent="0.25">
      <c r="A180" s="25"/>
      <c r="B180" s="11" t="str">
        <f>CONCATENATE("          ", "6003", " - ", "STAFF HOURLY-9 MONTH")</f>
        <v xml:space="preserve">          6003 - STAFF HOURLY-9 MONTH</v>
      </c>
      <c r="C180" s="11"/>
      <c r="D180" s="6"/>
      <c r="E180" s="2"/>
      <c r="F180" s="7">
        <f t="shared" si="25"/>
        <v>0</v>
      </c>
      <c r="G180" s="2"/>
      <c r="H180" s="6">
        <v>0</v>
      </c>
      <c r="I180" s="2"/>
      <c r="J180" s="7">
        <f t="shared" si="26"/>
        <v>0</v>
      </c>
      <c r="K180" s="2"/>
      <c r="L180" s="6">
        <f t="shared" si="27"/>
        <v>0</v>
      </c>
      <c r="M180" s="2"/>
      <c r="N180" s="7">
        <f t="shared" si="28"/>
        <v>0</v>
      </c>
      <c r="O180" s="11"/>
      <c r="P180" s="6"/>
      <c r="Q180" s="2"/>
      <c r="R180" s="7">
        <f t="shared" si="29"/>
        <v>0</v>
      </c>
      <c r="S180" s="2"/>
      <c r="T180" s="6">
        <v>0</v>
      </c>
      <c r="U180" s="2"/>
      <c r="V180" s="7">
        <f t="shared" si="30"/>
        <v>0</v>
      </c>
      <c r="W180" s="2"/>
      <c r="X180" s="6">
        <f t="shared" si="31"/>
        <v>0</v>
      </c>
      <c r="Y180" s="2"/>
      <c r="Z180" s="7">
        <f t="shared" si="32"/>
        <v>0</v>
      </c>
    </row>
    <row r="181" spans="1:26" s="24" customFormat="1" hidden="1" outlineLevel="2" x14ac:dyDescent="0.25">
      <c r="A181" s="25"/>
      <c r="B181" s="11" t="str">
        <f>CONCATENATE("          ", "6004", " - ", "STAFF HOURLY")</f>
        <v xml:space="preserve">          6004 - STAFF HOURLY</v>
      </c>
      <c r="C181" s="11"/>
      <c r="D181" s="6">
        <v>9353.7000000000007</v>
      </c>
      <c r="E181" s="2"/>
      <c r="F181" s="7">
        <f t="shared" si="25"/>
        <v>4.0310421750432569E-2</v>
      </c>
      <c r="G181" s="2"/>
      <c r="H181" s="6">
        <v>21701.512381999997</v>
      </c>
      <c r="I181" s="2"/>
      <c r="J181" s="7">
        <f t="shared" si="26"/>
        <v>2.3208302335775689E-2</v>
      </c>
      <c r="K181" s="2"/>
      <c r="L181" s="6">
        <f t="shared" si="27"/>
        <v>-12347.812381999996</v>
      </c>
      <c r="M181" s="2"/>
      <c r="N181" s="7">
        <f t="shared" si="28"/>
        <v>-0.56898395672375857</v>
      </c>
      <c r="O181" s="11"/>
      <c r="P181" s="6">
        <v>38523.630000000005</v>
      </c>
      <c r="Q181" s="2"/>
      <c r="R181" s="7">
        <f t="shared" si="29"/>
        <v>4.4803837537877884E-3</v>
      </c>
      <c r="S181" s="2"/>
      <c r="T181" s="6">
        <v>207996.76291200001</v>
      </c>
      <c r="U181" s="2"/>
      <c r="V181" s="7">
        <f t="shared" si="30"/>
        <v>2.0949324653274749E-2</v>
      </c>
      <c r="W181" s="2"/>
      <c r="X181" s="6">
        <f t="shared" si="31"/>
        <v>-169473.132912</v>
      </c>
      <c r="Y181" s="2"/>
      <c r="Z181" s="7">
        <f t="shared" si="32"/>
        <v>-0.81478735793451407</v>
      </c>
    </row>
    <row r="182" spans="1:26" s="24" customFormat="1" hidden="1" outlineLevel="2" x14ac:dyDescent="0.25">
      <c r="A182" s="25"/>
      <c r="B182" s="11" t="str">
        <f>CONCATENATE("          ", "6005", " - ", "TEMPORARY WAGES-HOURLY")</f>
        <v xml:space="preserve">          6005 - TEMPORARY WAGES-HOURLY</v>
      </c>
      <c r="C182" s="11"/>
      <c r="D182" s="6">
        <v>19921.510000000002</v>
      </c>
      <c r="E182" s="2"/>
      <c r="F182" s="7">
        <f t="shared" si="25"/>
        <v>8.5853135123583169E-2</v>
      </c>
      <c r="G182" s="2"/>
      <c r="H182" s="6">
        <v>2792</v>
      </c>
      <c r="I182" s="2"/>
      <c r="J182" s="7">
        <f t="shared" si="26"/>
        <v>2.9858555008005399E-3</v>
      </c>
      <c r="K182" s="2"/>
      <c r="L182" s="6">
        <f t="shared" si="27"/>
        <v>17129.510000000002</v>
      </c>
      <c r="M182" s="2"/>
      <c r="N182" s="7">
        <f t="shared" si="28"/>
        <v>6.135211318051577</v>
      </c>
      <c r="O182" s="11"/>
      <c r="P182" s="6">
        <v>166536.03</v>
      </c>
      <c r="Q182" s="2"/>
      <c r="R182" s="7">
        <f t="shared" si="29"/>
        <v>1.9368510268433052E-2</v>
      </c>
      <c r="S182" s="2"/>
      <c r="T182" s="6">
        <v>30125.68</v>
      </c>
      <c r="U182" s="2"/>
      <c r="V182" s="7">
        <f t="shared" si="30"/>
        <v>3.0342426578421288E-3</v>
      </c>
      <c r="W182" s="2"/>
      <c r="X182" s="6">
        <f t="shared" si="31"/>
        <v>136410.35</v>
      </c>
      <c r="Y182" s="2"/>
      <c r="Z182" s="7">
        <f t="shared" si="32"/>
        <v>4.5280421885912618</v>
      </c>
    </row>
    <row r="183" spans="1:26" s="24" customFormat="1" hidden="1" outlineLevel="2" x14ac:dyDescent="0.25">
      <c r="A183" s="25"/>
      <c r="B183" s="11" t="str">
        <f>CONCATENATE("          ", "6006", " - ", "TEMPORARY PART TIME")</f>
        <v xml:space="preserve">          6006 - TEMPORARY PART TIME</v>
      </c>
      <c r="C183" s="11"/>
      <c r="D183" s="6">
        <v>4638.62</v>
      </c>
      <c r="E183" s="2"/>
      <c r="F183" s="7">
        <f t="shared" si="25"/>
        <v>1.999045602702583E-2</v>
      </c>
      <c r="G183" s="2"/>
      <c r="H183" s="6">
        <v>0</v>
      </c>
      <c r="I183" s="2"/>
      <c r="J183" s="7">
        <f t="shared" si="26"/>
        <v>0</v>
      </c>
      <c r="K183" s="2"/>
      <c r="L183" s="6">
        <f t="shared" si="27"/>
        <v>4638.62</v>
      </c>
      <c r="M183" s="2"/>
      <c r="N183" s="7">
        <f t="shared" si="28"/>
        <v>0</v>
      </c>
      <c r="O183" s="11"/>
      <c r="P183" s="6">
        <v>29846.700000000004</v>
      </c>
      <c r="Q183" s="2"/>
      <c r="R183" s="7">
        <f t="shared" si="29"/>
        <v>3.4712375179643761E-3</v>
      </c>
      <c r="S183" s="2"/>
      <c r="T183" s="6">
        <v>0</v>
      </c>
      <c r="U183" s="2"/>
      <c r="V183" s="7">
        <f t="shared" si="30"/>
        <v>0</v>
      </c>
      <c r="W183" s="2"/>
      <c r="X183" s="6">
        <f t="shared" si="31"/>
        <v>29846.700000000004</v>
      </c>
      <c r="Y183" s="2"/>
      <c r="Z183" s="7">
        <f t="shared" si="32"/>
        <v>0</v>
      </c>
    </row>
    <row r="184" spans="1:26" s="24" customFormat="1" hidden="1" outlineLevel="2" x14ac:dyDescent="0.25">
      <c r="A184" s="25"/>
      <c r="B184" s="11" t="str">
        <f>CONCATENATE("          ", "6007", " - ", "STUDENT HOURLY")</f>
        <v xml:space="preserve">          6007 - STUDENT HOURLY</v>
      </c>
      <c r="C184" s="11"/>
      <c r="D184" s="6">
        <v>69088.479999999996</v>
      </c>
      <c r="E184" s="2"/>
      <c r="F184" s="7">
        <f t="shared" si="25"/>
        <v>0.29774161742372807</v>
      </c>
      <c r="G184" s="2"/>
      <c r="H184" s="6">
        <v>18184.889808</v>
      </c>
      <c r="I184" s="2"/>
      <c r="J184" s="7">
        <f t="shared" si="26"/>
        <v>1.9447511914279538E-2</v>
      </c>
      <c r="K184" s="2"/>
      <c r="L184" s="6">
        <f t="shared" si="27"/>
        <v>50903.590191999996</v>
      </c>
      <c r="M184" s="2"/>
      <c r="N184" s="7">
        <f t="shared" si="28"/>
        <v>2.7992245611302082</v>
      </c>
      <c r="O184" s="11"/>
      <c r="P184" s="6">
        <v>759476.07000000007</v>
      </c>
      <c r="Q184" s="2"/>
      <c r="R184" s="7">
        <f t="shared" si="29"/>
        <v>8.8328754206667359E-2</v>
      </c>
      <c r="S184" s="2"/>
      <c r="T184" s="6">
        <v>178520.1493932</v>
      </c>
      <c r="U184" s="2"/>
      <c r="V184" s="7">
        <f t="shared" si="30"/>
        <v>1.7980455630319286E-2</v>
      </c>
      <c r="W184" s="2"/>
      <c r="X184" s="6">
        <f t="shared" si="31"/>
        <v>580955.92060680012</v>
      </c>
      <c r="Y184" s="2"/>
      <c r="Z184" s="7">
        <f t="shared" si="32"/>
        <v>3.2542876677030681</v>
      </c>
    </row>
    <row r="185" spans="1:26" s="24" customFormat="1" hidden="1" outlineLevel="2" x14ac:dyDescent="0.25">
      <c r="A185" s="25"/>
      <c r="B185" s="11" t="str">
        <f>CONCATENATE("          ", "6008", " - ", "STUDENT HOURLY-FICA EXEMPT")</f>
        <v xml:space="preserve">          6008 - STUDENT HOURLY-FICA EXEMPT</v>
      </c>
      <c r="C185" s="11"/>
      <c r="D185" s="6">
        <v>1736.34</v>
      </c>
      <c r="E185" s="2"/>
      <c r="F185" s="7">
        <f t="shared" si="25"/>
        <v>7.4828781874708488E-3</v>
      </c>
      <c r="G185" s="2"/>
      <c r="H185" s="6">
        <v>67576.614533473607</v>
      </c>
      <c r="I185" s="2"/>
      <c r="J185" s="7">
        <f t="shared" si="26"/>
        <v>7.2268626873298672E-2</v>
      </c>
      <c r="K185" s="2"/>
      <c r="L185" s="6">
        <f t="shared" si="27"/>
        <v>-65840.27453347361</v>
      </c>
      <c r="M185" s="2"/>
      <c r="N185" s="7">
        <f t="shared" si="28"/>
        <v>-0.97430560835302116</v>
      </c>
      <c r="O185" s="11"/>
      <c r="P185" s="6">
        <v>15323.92</v>
      </c>
      <c r="Q185" s="2"/>
      <c r="R185" s="7">
        <f t="shared" si="29"/>
        <v>1.7822059398956889E-3</v>
      </c>
      <c r="S185" s="2"/>
      <c r="T185" s="6">
        <v>625775.13978930237</v>
      </c>
      <c r="U185" s="2"/>
      <c r="V185" s="7">
        <f t="shared" si="30"/>
        <v>6.3027743219931376E-2</v>
      </c>
      <c r="W185" s="2"/>
      <c r="X185" s="6">
        <f t="shared" si="31"/>
        <v>-610451.21978930233</v>
      </c>
      <c r="Y185" s="2"/>
      <c r="Z185" s="7">
        <f t="shared" si="32"/>
        <v>-0.9755120984749257</v>
      </c>
    </row>
    <row r="186" spans="1:26" s="24" customFormat="1" hidden="1" outlineLevel="2" x14ac:dyDescent="0.25">
      <c r="A186" s="25"/>
      <c r="B186" s="11" t="str">
        <f>CONCATENATE("          ", "6009", " - ", "TEMPORARY-SEASONAL")</f>
        <v xml:space="preserve">          6009 - TEMPORARY-SEASONAL</v>
      </c>
      <c r="C186" s="11"/>
      <c r="D186" s="6"/>
      <c r="E186" s="2"/>
      <c r="F186" s="7">
        <f t="shared" si="25"/>
        <v>0</v>
      </c>
      <c r="G186" s="2"/>
      <c r="H186" s="6">
        <v>0</v>
      </c>
      <c r="I186" s="2"/>
      <c r="J186" s="7">
        <f t="shared" si="26"/>
        <v>0</v>
      </c>
      <c r="K186" s="2"/>
      <c r="L186" s="6">
        <f t="shared" si="27"/>
        <v>0</v>
      </c>
      <c r="M186" s="2"/>
      <c r="N186" s="7">
        <f t="shared" si="28"/>
        <v>0</v>
      </c>
      <c r="O186" s="11"/>
      <c r="P186" s="6"/>
      <c r="Q186" s="2"/>
      <c r="R186" s="7">
        <f t="shared" si="29"/>
        <v>0</v>
      </c>
      <c r="S186" s="2"/>
      <c r="T186" s="6">
        <v>0</v>
      </c>
      <c r="U186" s="2"/>
      <c r="V186" s="7">
        <f t="shared" si="30"/>
        <v>0</v>
      </c>
      <c r="W186" s="2"/>
      <c r="X186" s="6">
        <f t="shared" si="31"/>
        <v>0</v>
      </c>
      <c r="Y186" s="2"/>
      <c r="Z186" s="7">
        <f t="shared" si="32"/>
        <v>0</v>
      </c>
    </row>
    <row r="187" spans="1:26" s="24" customFormat="1" hidden="1" outlineLevel="2" x14ac:dyDescent="0.25">
      <c r="A187" s="25"/>
      <c r="B187" s="11" t="str">
        <f>CONCATENATE("          ", "6010", " - ", "GRATUITY")</f>
        <v xml:space="preserve">          6010 - GRATUITY</v>
      </c>
      <c r="C187" s="11"/>
      <c r="D187" s="6"/>
      <c r="E187" s="2"/>
      <c r="F187" s="7">
        <f t="shared" si="25"/>
        <v>0</v>
      </c>
      <c r="G187" s="2"/>
      <c r="H187" s="6">
        <v>0</v>
      </c>
      <c r="I187" s="2"/>
      <c r="J187" s="7">
        <f t="shared" si="26"/>
        <v>0</v>
      </c>
      <c r="K187" s="2"/>
      <c r="L187" s="6">
        <f t="shared" si="27"/>
        <v>0</v>
      </c>
      <c r="M187" s="2"/>
      <c r="N187" s="7">
        <f t="shared" si="28"/>
        <v>0</v>
      </c>
      <c r="O187" s="11"/>
      <c r="P187" s="6"/>
      <c r="Q187" s="2"/>
      <c r="R187" s="7">
        <f t="shared" si="29"/>
        <v>0</v>
      </c>
      <c r="S187" s="2"/>
      <c r="T187" s="6">
        <v>0</v>
      </c>
      <c r="U187" s="2"/>
      <c r="V187" s="7">
        <f t="shared" si="30"/>
        <v>0</v>
      </c>
      <c r="W187" s="2"/>
      <c r="X187" s="6">
        <f t="shared" si="31"/>
        <v>0</v>
      </c>
      <c r="Y187" s="2"/>
      <c r="Z187" s="7">
        <f t="shared" si="32"/>
        <v>0</v>
      </c>
    </row>
    <row r="188" spans="1:26" s="27" customFormat="1" outlineLevel="1" collapsed="1" x14ac:dyDescent="0.25">
      <c r="A188" s="26"/>
      <c r="B188" s="13" t="str">
        <f>CONCATENATE("     ","Advertising/Promo                                 ")</f>
        <v xml:space="preserve">     Advertising/Promo                                 </v>
      </c>
      <c r="C188" s="13"/>
      <c r="D188" s="1">
        <f>SUM(OSRRefD22_2x_0)</f>
        <v>472.13</v>
      </c>
      <c r="E188" s="1"/>
      <c r="F188" s="5">
        <f t="shared" ref="F188:F192" si="33">IF(D$12=0,0,D188/D$12)</f>
        <v>2.0346771246706357E-3</v>
      </c>
      <c r="G188" s="1"/>
      <c r="H188" s="1">
        <f>SUM(OSRRefH22_2x_0)</f>
        <v>2470</v>
      </c>
      <c r="I188" s="1"/>
      <c r="J188" s="5">
        <f t="shared" ref="J188:J192" si="34">IF(H$12=0,0,H188/H$12)</f>
        <v>2.6414982403213947E-3</v>
      </c>
      <c r="K188" s="1"/>
      <c r="L188" s="1">
        <f t="shared" ref="L188:L192" si="35">+D188-H188</f>
        <v>-1997.87</v>
      </c>
      <c r="M188" s="1"/>
      <c r="N188" s="5">
        <f t="shared" ref="N188:N192" si="36">IF(H188=0,0,L188/H188)</f>
        <v>-0.8088542510121457</v>
      </c>
      <c r="O188" s="13"/>
      <c r="P188" s="1">
        <f>SUM(OSRRefP22_2x_0)</f>
        <v>43642.990000000005</v>
      </c>
      <c r="Q188" s="1"/>
      <c r="R188" s="5">
        <f t="shared" ref="R188:R192" si="37">IF(P$12=0,0,P188/P$12)</f>
        <v>5.0757766950498412E-3</v>
      </c>
      <c r="S188" s="1"/>
      <c r="T188" s="1">
        <f>SUM(OSRRefT22_2x_0)</f>
        <v>56080</v>
      </c>
      <c r="U188" s="1"/>
      <c r="V188" s="5">
        <f t="shared" ref="V188:V192" si="38">IF(T$12=0,0,T188/T$12)</f>
        <v>5.6483481286326671E-3</v>
      </c>
      <c r="W188" s="1"/>
      <c r="X188" s="1">
        <f t="shared" ref="X188:X192" si="39">+P188-T188</f>
        <v>-12437.009999999995</v>
      </c>
      <c r="Y188" s="1"/>
      <c r="Z188" s="5">
        <f t="shared" ref="Z188:Z192" si="40">IF(T188=0,0,X188/T188)</f>
        <v>-0.22177264621968606</v>
      </c>
    </row>
    <row r="189" spans="1:26" s="24" customFormat="1" hidden="1" outlineLevel="2" x14ac:dyDescent="0.25">
      <c r="A189" s="25"/>
      <c r="B189" s="11" t="str">
        <f>CONCATENATE("          ", "6362", " - ", "ADVERTISING EXPENSE")</f>
        <v xml:space="preserve">          6362 - ADVERTISING EXPENSE</v>
      </c>
      <c r="C189" s="11"/>
      <c r="D189" s="6">
        <v>472.13</v>
      </c>
      <c r="E189" s="2"/>
      <c r="F189" s="7">
        <f t="shared" si="33"/>
        <v>2.0346771246706357E-3</v>
      </c>
      <c r="G189" s="2"/>
      <c r="H189" s="6">
        <v>2470</v>
      </c>
      <c r="I189" s="2"/>
      <c r="J189" s="7">
        <f t="shared" si="34"/>
        <v>2.6414982403213947E-3</v>
      </c>
      <c r="K189" s="2"/>
      <c r="L189" s="6">
        <f t="shared" si="35"/>
        <v>-1997.87</v>
      </c>
      <c r="M189" s="2"/>
      <c r="N189" s="7">
        <f t="shared" si="36"/>
        <v>-0.8088542510121457</v>
      </c>
      <c r="O189" s="11"/>
      <c r="P189" s="6">
        <v>43642.990000000005</v>
      </c>
      <c r="Q189" s="2"/>
      <c r="R189" s="7">
        <f t="shared" si="37"/>
        <v>5.0757766950498412E-3</v>
      </c>
      <c r="S189" s="2"/>
      <c r="T189" s="6">
        <v>56080</v>
      </c>
      <c r="U189" s="2"/>
      <c r="V189" s="7">
        <f t="shared" si="38"/>
        <v>5.6483481286326671E-3</v>
      </c>
      <c r="W189" s="2"/>
      <c r="X189" s="6">
        <f t="shared" si="39"/>
        <v>-12437.009999999995</v>
      </c>
      <c r="Y189" s="2"/>
      <c r="Z189" s="7">
        <f t="shared" si="40"/>
        <v>-0.22177264621968606</v>
      </c>
    </row>
    <row r="190" spans="1:26" s="27" customFormat="1" outlineLevel="1" collapsed="1" x14ac:dyDescent="0.25">
      <c r="A190" s="26"/>
      <c r="B190" s="13" t="str">
        <f>CONCATENATE("     ","Bad Debts/Over/Short                              ")</f>
        <v xml:space="preserve">     Bad Debts/Over/Short                              </v>
      </c>
      <c r="C190" s="13"/>
      <c r="D190" s="1">
        <f>SUM(OSRRefD22_3x_0)</f>
        <v>-50.56</v>
      </c>
      <c r="E190" s="1"/>
      <c r="F190" s="5">
        <f t="shared" si="33"/>
        <v>-2.1789184212684507E-4</v>
      </c>
      <c r="G190" s="1"/>
      <c r="H190" s="1">
        <f>SUM(OSRRefH22_3x_0)</f>
        <v>135</v>
      </c>
      <c r="I190" s="1"/>
      <c r="J190" s="5">
        <f t="shared" si="34"/>
        <v>1.4437338560461063E-4</v>
      </c>
      <c r="K190" s="1"/>
      <c r="L190" s="1">
        <f t="shared" si="35"/>
        <v>-185.56</v>
      </c>
      <c r="M190" s="1"/>
      <c r="N190" s="5">
        <f t="shared" si="36"/>
        <v>-1.3745185185185185</v>
      </c>
      <c r="O190" s="13"/>
      <c r="P190" s="1">
        <f>SUM(OSRRefP22_3x_0)</f>
        <v>-31.019999999999996</v>
      </c>
      <c r="Q190" s="1"/>
      <c r="R190" s="5">
        <f t="shared" si="37"/>
        <v>-3.6076949145887122E-6</v>
      </c>
      <c r="S190" s="1"/>
      <c r="T190" s="1">
        <f>SUM(OSRRefT22_3x_0)</f>
        <v>1215</v>
      </c>
      <c r="U190" s="1"/>
      <c r="V190" s="5">
        <f t="shared" si="38"/>
        <v>1.223741614887427E-4</v>
      </c>
      <c r="W190" s="1"/>
      <c r="X190" s="1">
        <f t="shared" si="39"/>
        <v>-1246.02</v>
      </c>
      <c r="Y190" s="1"/>
      <c r="Z190" s="5">
        <f t="shared" si="40"/>
        <v>-1.0255308641975309</v>
      </c>
    </row>
    <row r="191" spans="1:26" s="24" customFormat="1" hidden="1" outlineLevel="2" x14ac:dyDescent="0.25">
      <c r="A191" s="25"/>
      <c r="B191" s="11" t="str">
        <f>CONCATENATE("          ", "6272", " - ", "CASH (OVER/SHORT)")</f>
        <v xml:space="preserve">          6272 - CASH (OVER/SHORT)</v>
      </c>
      <c r="C191" s="11"/>
      <c r="D191" s="6">
        <v>-50.56</v>
      </c>
      <c r="E191" s="2"/>
      <c r="F191" s="7">
        <f t="shared" si="33"/>
        <v>-2.1789184212684507E-4</v>
      </c>
      <c r="G191" s="2"/>
      <c r="H191" s="6">
        <v>125</v>
      </c>
      <c r="I191" s="2"/>
      <c r="J191" s="7">
        <f t="shared" si="34"/>
        <v>1.3367906074500984E-4</v>
      </c>
      <c r="K191" s="2"/>
      <c r="L191" s="6">
        <f t="shared" si="35"/>
        <v>-175.56</v>
      </c>
      <c r="M191" s="2"/>
      <c r="N191" s="7">
        <f t="shared" si="36"/>
        <v>-1.40448</v>
      </c>
      <c r="O191" s="11"/>
      <c r="P191" s="6">
        <v>-75.819999999999993</v>
      </c>
      <c r="Q191" s="2"/>
      <c r="R191" s="7">
        <f t="shared" si="37"/>
        <v>-8.8180344430727337E-6</v>
      </c>
      <c r="S191" s="2"/>
      <c r="T191" s="6">
        <v>1125</v>
      </c>
      <c r="U191" s="2"/>
      <c r="V191" s="7">
        <f t="shared" si="38"/>
        <v>1.1330940878587288E-4</v>
      </c>
      <c r="W191" s="2"/>
      <c r="X191" s="6">
        <f t="shared" si="39"/>
        <v>-1200.82</v>
      </c>
      <c r="Y191" s="2"/>
      <c r="Z191" s="7">
        <f t="shared" si="40"/>
        <v>-1.0673955555555554</v>
      </c>
    </row>
    <row r="192" spans="1:26" s="24" customFormat="1" hidden="1" outlineLevel="2" x14ac:dyDescent="0.25">
      <c r="A192" s="25"/>
      <c r="B192" s="11" t="str">
        <f>CONCATENATE("          ", "6342", " - ", "BAD DEBT")</f>
        <v xml:space="preserve">          6342 - BAD DEBT</v>
      </c>
      <c r="C192" s="11"/>
      <c r="D192" s="6"/>
      <c r="E192" s="2"/>
      <c r="F192" s="7">
        <f t="shared" si="33"/>
        <v>0</v>
      </c>
      <c r="G192" s="2"/>
      <c r="H192" s="6">
        <v>10</v>
      </c>
      <c r="I192" s="2"/>
      <c r="J192" s="7">
        <f t="shared" si="34"/>
        <v>1.0694324859600788E-5</v>
      </c>
      <c r="K192" s="2"/>
      <c r="L192" s="6">
        <f t="shared" si="35"/>
        <v>-10</v>
      </c>
      <c r="M192" s="2"/>
      <c r="N192" s="7">
        <f t="shared" si="36"/>
        <v>-1</v>
      </c>
      <c r="O192" s="11"/>
      <c r="P192" s="6">
        <v>44.8</v>
      </c>
      <c r="Q192" s="2"/>
      <c r="R192" s="7">
        <f t="shared" si="37"/>
        <v>5.210339528484021E-6</v>
      </c>
      <c r="S192" s="2"/>
      <c r="T192" s="6">
        <v>90</v>
      </c>
      <c r="U192" s="2"/>
      <c r="V192" s="7">
        <f t="shared" si="38"/>
        <v>9.0647527028698306E-6</v>
      </c>
      <c r="W192" s="2"/>
      <c r="X192" s="6">
        <f t="shared" si="39"/>
        <v>-45.2</v>
      </c>
      <c r="Y192" s="2"/>
      <c r="Z192" s="7">
        <f t="shared" si="40"/>
        <v>-0.50222222222222224</v>
      </c>
    </row>
    <row r="193" spans="1:26" s="27" customFormat="1" outlineLevel="1" collapsed="1" x14ac:dyDescent="0.25">
      <c r="A193" s="26"/>
      <c r="B193" s="13" t="str">
        <f>CONCATENATE("     ","Bank/card Fees                                    ")</f>
        <v xml:space="preserve">     Bank/card Fees                                    </v>
      </c>
      <c r="C193" s="13"/>
      <c r="D193" s="1">
        <f>SUM(OSRRefD22_4x_0)</f>
        <v>5912.23</v>
      </c>
      <c r="E193" s="1"/>
      <c r="F193" s="5">
        <f t="shared" ref="F193:F199" si="41">IF(D$12=0,0,D193/D$12)</f>
        <v>2.5479167044651838E-2</v>
      </c>
      <c r="G193" s="1"/>
      <c r="H193" s="1">
        <f>SUM(OSRRefH22_4x_0)</f>
        <v>13700</v>
      </c>
      <c r="I193" s="1"/>
      <c r="J193" s="5">
        <f t="shared" ref="J193:J199" si="42">IF(H$12=0,0,H193/H$12)</f>
        <v>1.4651225057653079E-2</v>
      </c>
      <c r="K193" s="1"/>
      <c r="L193" s="1">
        <f t="shared" ref="L193:L199" si="43">+D193-H193</f>
        <v>-7787.77</v>
      </c>
      <c r="M193" s="1"/>
      <c r="N193" s="5">
        <f t="shared" ref="N193:N199" si="44">IF(H193=0,0,L193/H193)</f>
        <v>-0.56845036496350365</v>
      </c>
      <c r="O193" s="13"/>
      <c r="P193" s="1">
        <f>SUM(OSRRefP22_4x_0)</f>
        <v>137147.91</v>
      </c>
      <c r="Q193" s="1"/>
      <c r="R193" s="5">
        <f t="shared" ref="R193:R199" si="45">IF(P$12=0,0,P193/P$12)</f>
        <v>1.5950606623258236E-2</v>
      </c>
      <c r="S193" s="1"/>
      <c r="T193" s="1">
        <f>SUM(OSRRefT22_4x_0)</f>
        <v>155685</v>
      </c>
      <c r="U193" s="1"/>
      <c r="V193" s="5">
        <f t="shared" ref="V193:V199" si="46">IF(T$12=0,0,T193/T$12)</f>
        <v>1.568051138384766E-2</v>
      </c>
      <c r="W193" s="1"/>
      <c r="X193" s="1">
        <f t="shared" ref="X193:X199" si="47">+P193-T193</f>
        <v>-18537.089999999997</v>
      </c>
      <c r="Y193" s="1"/>
      <c r="Z193" s="5">
        <f t="shared" ref="Z193:Z199" si="48">IF(T193=0,0,X193/T193)</f>
        <v>-0.11906792561903842</v>
      </c>
    </row>
    <row r="194" spans="1:26" s="24" customFormat="1" hidden="1" outlineLevel="2" x14ac:dyDescent="0.25">
      <c r="A194" s="25"/>
      <c r="B194" s="11" t="str">
        <f>CONCATENATE("          ", "6381", " - ", "BANK/CREDIT CARD FEES")</f>
        <v xml:space="preserve">          6381 - BANK/CREDIT CARD FEES</v>
      </c>
      <c r="C194" s="11"/>
      <c r="D194" s="6">
        <v>5912.23</v>
      </c>
      <c r="E194" s="2"/>
      <c r="F194" s="7">
        <f t="shared" si="41"/>
        <v>2.5479167044651838E-2</v>
      </c>
      <c r="G194" s="2"/>
      <c r="H194" s="6">
        <v>13700</v>
      </c>
      <c r="I194" s="2"/>
      <c r="J194" s="7">
        <f t="shared" si="42"/>
        <v>1.4651225057653079E-2</v>
      </c>
      <c r="K194" s="2"/>
      <c r="L194" s="6">
        <f t="shared" si="43"/>
        <v>-7787.77</v>
      </c>
      <c r="M194" s="2"/>
      <c r="N194" s="7">
        <f t="shared" si="44"/>
        <v>-0.56845036496350365</v>
      </c>
      <c r="O194" s="11"/>
      <c r="P194" s="6">
        <v>137147.91</v>
      </c>
      <c r="Q194" s="2"/>
      <c r="R194" s="7">
        <f t="shared" si="45"/>
        <v>1.5950606623258236E-2</v>
      </c>
      <c r="S194" s="2"/>
      <c r="T194" s="6">
        <v>155685</v>
      </c>
      <c r="U194" s="2"/>
      <c r="V194" s="7">
        <f t="shared" si="46"/>
        <v>1.568051138384766E-2</v>
      </c>
      <c r="W194" s="2"/>
      <c r="X194" s="6">
        <f t="shared" si="47"/>
        <v>-18537.089999999997</v>
      </c>
      <c r="Y194" s="2"/>
      <c r="Z194" s="7">
        <f t="shared" si="48"/>
        <v>-0.11906792561903842</v>
      </c>
    </row>
    <row r="195" spans="1:26" s="27" customFormat="1" outlineLevel="1" collapsed="1" x14ac:dyDescent="0.25">
      <c r="A195" s="26"/>
      <c r="B195" s="13" t="str">
        <f>CONCATENATE("     ","Depreciation                                      ")</f>
        <v xml:space="preserve">     Depreciation                                      </v>
      </c>
      <c r="C195" s="13"/>
      <c r="D195" s="1">
        <f>SUM(OSRRefD22_5x_0)</f>
        <v>30443.48</v>
      </c>
      <c r="E195" s="1"/>
      <c r="F195" s="5">
        <f t="shared" si="41"/>
        <v>0.13119829782341305</v>
      </c>
      <c r="G195" s="1"/>
      <c r="H195" s="1">
        <f>SUM(OSRRefH22_5x_0)</f>
        <v>31271</v>
      </c>
      <c r="I195" s="1"/>
      <c r="J195" s="5">
        <f t="shared" si="42"/>
        <v>3.3442223268457624E-2</v>
      </c>
      <c r="K195" s="1"/>
      <c r="L195" s="1">
        <f t="shared" si="43"/>
        <v>-827.52000000000044</v>
      </c>
      <c r="M195" s="1"/>
      <c r="N195" s="5">
        <f t="shared" si="44"/>
        <v>-2.6462856960122811E-2</v>
      </c>
      <c r="O195" s="13"/>
      <c r="P195" s="1">
        <f>SUM(OSRRefP22_5x_0)</f>
        <v>268333.45999999996</v>
      </c>
      <c r="Q195" s="1"/>
      <c r="R195" s="5">
        <f t="shared" si="45"/>
        <v>3.1207777532430484E-2</v>
      </c>
      <c r="S195" s="1"/>
      <c r="T195" s="1">
        <f>SUM(OSRRefT22_5x_0)</f>
        <v>275856</v>
      </c>
      <c r="U195" s="1"/>
      <c r="V195" s="5">
        <f t="shared" si="46"/>
        <v>2.7784071351142886E-2</v>
      </c>
      <c r="W195" s="1"/>
      <c r="X195" s="1">
        <f t="shared" si="47"/>
        <v>-7522.5400000000373</v>
      </c>
      <c r="Y195" s="1"/>
      <c r="Z195" s="5">
        <f t="shared" si="48"/>
        <v>-2.726980743576372E-2</v>
      </c>
    </row>
    <row r="196" spans="1:26" s="24" customFormat="1" hidden="1" outlineLevel="2" x14ac:dyDescent="0.25">
      <c r="A196" s="25"/>
      <c r="B196" s="11" t="str">
        <f>CONCATENATE("          ", "6321", " - ", "BUILDING DEPRECIATION")</f>
        <v xml:space="preserve">          6321 - BUILDING DEPRECIATION</v>
      </c>
      <c r="C196" s="11"/>
      <c r="D196" s="6">
        <v>16396.52</v>
      </c>
      <c r="E196" s="2"/>
      <c r="F196" s="7">
        <f t="shared" si="41"/>
        <v>7.0661945159605569E-2</v>
      </c>
      <c r="G196" s="2"/>
      <c r="H196" s="6">
        <v>16397</v>
      </c>
      <c r="I196" s="2"/>
      <c r="J196" s="7">
        <f t="shared" si="42"/>
        <v>1.7535484472287411E-2</v>
      </c>
      <c r="K196" s="2"/>
      <c r="L196" s="6">
        <f t="shared" si="43"/>
        <v>-0.47999999999956344</v>
      </c>
      <c r="M196" s="2"/>
      <c r="N196" s="7">
        <f t="shared" si="44"/>
        <v>-2.927364761844017E-5</v>
      </c>
      <c r="O196" s="11"/>
      <c r="P196" s="6">
        <v>147568.68</v>
      </c>
      <c r="Q196" s="2"/>
      <c r="R196" s="7">
        <f t="shared" si="45"/>
        <v>1.7162565325227887E-2</v>
      </c>
      <c r="S196" s="2"/>
      <c r="T196" s="6">
        <v>147741</v>
      </c>
      <c r="U196" s="2"/>
      <c r="V196" s="7">
        <f t="shared" si="46"/>
        <v>1.4880395878607684E-2</v>
      </c>
      <c r="W196" s="2"/>
      <c r="X196" s="6">
        <f t="shared" si="47"/>
        <v>-172.32000000000698</v>
      </c>
      <c r="Y196" s="2"/>
      <c r="Z196" s="7">
        <f t="shared" si="48"/>
        <v>-1.1663654638861723E-3</v>
      </c>
    </row>
    <row r="197" spans="1:26" s="24" customFormat="1" hidden="1" outlineLevel="2" x14ac:dyDescent="0.25">
      <c r="A197" s="25"/>
      <c r="B197" s="11" t="str">
        <f>CONCATENATE("          ", "6322", " - ", "EQUIPMENT DEPRECIATION EXPENSE")</f>
        <v xml:space="preserve">          6322 - EQUIPMENT DEPRECIATION EXPENSE</v>
      </c>
      <c r="C197" s="11"/>
      <c r="D197" s="6">
        <v>14046.96</v>
      </c>
      <c r="E197" s="2"/>
      <c r="F197" s="7">
        <f t="shared" si="41"/>
        <v>6.0536352663807497E-2</v>
      </c>
      <c r="G197" s="2"/>
      <c r="H197" s="6">
        <v>13049</v>
      </c>
      <c r="I197" s="2"/>
      <c r="J197" s="7">
        <f t="shared" si="42"/>
        <v>1.3955024509293068E-2</v>
      </c>
      <c r="K197" s="2"/>
      <c r="L197" s="6">
        <f t="shared" si="43"/>
        <v>997.95999999999913</v>
      </c>
      <c r="M197" s="2"/>
      <c r="N197" s="7">
        <f t="shared" si="44"/>
        <v>7.64778910261322E-2</v>
      </c>
      <c r="O197" s="11"/>
      <c r="P197" s="6">
        <v>120764.78</v>
      </c>
      <c r="Q197" s="2"/>
      <c r="R197" s="7">
        <f t="shared" si="45"/>
        <v>1.4045212207202602E-2</v>
      </c>
      <c r="S197" s="2"/>
      <c r="T197" s="6">
        <v>117441</v>
      </c>
      <c r="U197" s="2"/>
      <c r="V197" s="7">
        <f t="shared" si="46"/>
        <v>1.1828595801974841E-2</v>
      </c>
      <c r="W197" s="2"/>
      <c r="X197" s="6">
        <f t="shared" si="47"/>
        <v>3323.7799999999988</v>
      </c>
      <c r="Y197" s="2"/>
      <c r="Z197" s="7">
        <f t="shared" si="48"/>
        <v>2.8301700428300158E-2</v>
      </c>
    </row>
    <row r="198" spans="1:26" s="24" customFormat="1" hidden="1" outlineLevel="2" x14ac:dyDescent="0.25">
      <c r="A198" s="25"/>
      <c r="B198" s="11" t="str">
        <f>CONCATENATE("          ", "6324", " - ", "FURNITURE + FIXT DEPRECIATION")</f>
        <v xml:space="preserve">          6324 - FURNITURE + FIXT DEPRECIATION</v>
      </c>
      <c r="C198" s="11"/>
      <c r="D198" s="6"/>
      <c r="E198" s="2"/>
      <c r="F198" s="7">
        <f t="shared" si="41"/>
        <v>0</v>
      </c>
      <c r="G198" s="2"/>
      <c r="H198" s="6">
        <v>1492</v>
      </c>
      <c r="I198" s="2"/>
      <c r="J198" s="7">
        <f t="shared" si="42"/>
        <v>1.5955932690524376E-3</v>
      </c>
      <c r="K198" s="2"/>
      <c r="L198" s="6">
        <f t="shared" si="43"/>
        <v>-1492</v>
      </c>
      <c r="M198" s="2"/>
      <c r="N198" s="7">
        <f t="shared" si="44"/>
        <v>-1</v>
      </c>
      <c r="O198" s="11"/>
      <c r="P198" s="6"/>
      <c r="Q198" s="2"/>
      <c r="R198" s="7">
        <f t="shared" si="45"/>
        <v>0</v>
      </c>
      <c r="S198" s="2"/>
      <c r="T198" s="6">
        <v>8676</v>
      </c>
      <c r="U198" s="2"/>
      <c r="V198" s="7">
        <f t="shared" si="46"/>
        <v>8.7384216055665163E-4</v>
      </c>
      <c r="W198" s="2"/>
      <c r="X198" s="6">
        <f t="shared" si="47"/>
        <v>-8676</v>
      </c>
      <c r="Y198" s="2"/>
      <c r="Z198" s="7">
        <f t="shared" si="48"/>
        <v>-1</v>
      </c>
    </row>
    <row r="199" spans="1:26" s="24" customFormat="1" hidden="1" outlineLevel="2" x14ac:dyDescent="0.25">
      <c r="A199" s="25"/>
      <c r="B199" s="11" t="str">
        <f>CONCATENATE("          ", "6326", " - ", "VEHICLES DEPRECIATION EXPENSE")</f>
        <v xml:space="preserve">          6326 - VEHICLES DEPRECIATION EXPENSE</v>
      </c>
      <c r="C199" s="11"/>
      <c r="D199" s="6"/>
      <c r="E199" s="2"/>
      <c r="F199" s="7">
        <f t="shared" si="41"/>
        <v>0</v>
      </c>
      <c r="G199" s="2"/>
      <c r="H199" s="6">
        <v>333</v>
      </c>
      <c r="I199" s="2"/>
      <c r="J199" s="7">
        <f t="shared" si="42"/>
        <v>3.5612101782470622E-4</v>
      </c>
      <c r="K199" s="2"/>
      <c r="L199" s="6">
        <f t="shared" si="43"/>
        <v>-333</v>
      </c>
      <c r="M199" s="2"/>
      <c r="N199" s="7">
        <f t="shared" si="44"/>
        <v>-1</v>
      </c>
      <c r="O199" s="11"/>
      <c r="P199" s="6"/>
      <c r="Q199" s="2"/>
      <c r="R199" s="7">
        <f t="shared" si="45"/>
        <v>0</v>
      </c>
      <c r="S199" s="2"/>
      <c r="T199" s="6">
        <v>1998</v>
      </c>
      <c r="U199" s="2"/>
      <c r="V199" s="7">
        <f t="shared" si="46"/>
        <v>2.0123751000371024E-4</v>
      </c>
      <c r="W199" s="2"/>
      <c r="X199" s="6">
        <f t="shared" si="47"/>
        <v>-1998</v>
      </c>
      <c r="Y199" s="2"/>
      <c r="Z199" s="7">
        <f t="shared" si="48"/>
        <v>-1</v>
      </c>
    </row>
    <row r="200" spans="1:26" s="27" customFormat="1" outlineLevel="1" collapsed="1" x14ac:dyDescent="0.25">
      <c r="A200" s="26"/>
      <c r="B200" s="13" t="str">
        <f>CONCATENATE("     ","Discounts and Markdowns                           ")</f>
        <v xml:space="preserve">     Discounts and Markdowns                           </v>
      </c>
      <c r="C200" s="13"/>
      <c r="D200" s="1">
        <f>SUM(OSRRefD22_6x_0)</f>
        <v>13183.68</v>
      </c>
      <c r="E200" s="1"/>
      <c r="F200" s="5">
        <f t="shared" ref="F200:F202" si="49">IF(D$12=0,0,D200/D$12)</f>
        <v>5.681598736572082E-2</v>
      </c>
      <c r="G200" s="1"/>
      <c r="H200" s="1">
        <f>SUM(OSRRefH22_6x_0)</f>
        <v>31025</v>
      </c>
      <c r="I200" s="1"/>
      <c r="J200" s="5">
        <f t="shared" ref="J200:J202" si="50">IF(H$12=0,0,H200/H$12)</f>
        <v>3.3179142876911441E-2</v>
      </c>
      <c r="K200" s="1"/>
      <c r="L200" s="1">
        <f t="shared" ref="L200:L202" si="51">+D200-H200</f>
        <v>-17841.32</v>
      </c>
      <c r="M200" s="1"/>
      <c r="N200" s="5">
        <f t="shared" ref="N200:N202" si="52">IF(H200=0,0,L200/H200)</f>
        <v>-0.57506269137792099</v>
      </c>
      <c r="O200" s="13"/>
      <c r="P200" s="1">
        <f>SUM(OSRRefP22_6x_0)</f>
        <v>272050.72000000003</v>
      </c>
      <c r="Q200" s="1"/>
      <c r="R200" s="5">
        <f t="shared" ref="R200:R202" si="53">IF(P$12=0,0,P200/P$12)</f>
        <v>3.1640103128762025E-2</v>
      </c>
      <c r="S200" s="1"/>
      <c r="T200" s="1">
        <f>SUM(OSRRefT22_6x_0)</f>
        <v>287725</v>
      </c>
      <c r="U200" s="1"/>
      <c r="V200" s="5">
        <f t="shared" ref="V200:V202" si="54">IF(T$12=0,0,T200/T$12)</f>
        <v>2.8979510793702465E-2</v>
      </c>
      <c r="W200" s="1"/>
      <c r="X200" s="1">
        <f t="shared" ref="X200:X202" si="55">+P200-T200</f>
        <v>-15674.27999999997</v>
      </c>
      <c r="Y200" s="1"/>
      <c r="Z200" s="5">
        <f t="shared" ref="Z200:Z202" si="56">IF(T200=0,0,X200/T200)</f>
        <v>-5.4476600921018227E-2</v>
      </c>
    </row>
    <row r="201" spans="1:26" s="24" customFormat="1" hidden="1" outlineLevel="2" x14ac:dyDescent="0.25">
      <c r="A201" s="25"/>
      <c r="B201" s="11" t="str">
        <f>CONCATENATE("          ", "6382", " - ", "DISCOUNTS/MARK DOWNS")</f>
        <v xml:space="preserve">          6382 - DISCOUNTS/MARK DOWNS</v>
      </c>
      <c r="C201" s="11"/>
      <c r="D201" s="6">
        <v>13319.39</v>
      </c>
      <c r="E201" s="2"/>
      <c r="F201" s="7">
        <f t="shared" si="49"/>
        <v>5.7400839064594117E-2</v>
      </c>
      <c r="G201" s="2"/>
      <c r="H201" s="6">
        <v>31025</v>
      </c>
      <c r="I201" s="2"/>
      <c r="J201" s="7">
        <f t="shared" si="50"/>
        <v>3.3179142876911441E-2</v>
      </c>
      <c r="K201" s="2"/>
      <c r="L201" s="6">
        <f t="shared" si="51"/>
        <v>-17705.61</v>
      </c>
      <c r="M201" s="2"/>
      <c r="N201" s="7">
        <f t="shared" si="52"/>
        <v>-0.57068847703464953</v>
      </c>
      <c r="O201" s="11"/>
      <c r="P201" s="6">
        <v>275282.2</v>
      </c>
      <c r="Q201" s="2"/>
      <c r="R201" s="7">
        <f t="shared" si="53"/>
        <v>3.2015931431875984E-2</v>
      </c>
      <c r="S201" s="2"/>
      <c r="T201" s="6">
        <v>287725</v>
      </c>
      <c r="U201" s="2"/>
      <c r="V201" s="7">
        <f t="shared" si="54"/>
        <v>2.8979510793702465E-2</v>
      </c>
      <c r="W201" s="2"/>
      <c r="X201" s="6">
        <f t="shared" si="55"/>
        <v>-12442.799999999988</v>
      </c>
      <c r="Y201" s="2"/>
      <c r="Z201" s="7">
        <f t="shared" si="56"/>
        <v>-4.3245460074724087E-2</v>
      </c>
    </row>
    <row r="202" spans="1:26" s="24" customFormat="1" hidden="1" outlineLevel="2" x14ac:dyDescent="0.25">
      <c r="A202" s="25"/>
      <c r="B202" s="11" t="str">
        <f>CONCATENATE("          ", "9175", " - ", "EARNED DISCOUNTS")</f>
        <v xml:space="preserve">          9175 - EARNED DISCOUNTS</v>
      </c>
      <c r="C202" s="11"/>
      <c r="D202" s="6">
        <v>-135.71</v>
      </c>
      <c r="E202" s="2"/>
      <c r="F202" s="7">
        <f t="shared" si="49"/>
        <v>-5.8485169887330184E-4</v>
      </c>
      <c r="G202" s="2"/>
      <c r="H202" s="6"/>
      <c r="I202" s="2"/>
      <c r="J202" s="7">
        <f t="shared" si="50"/>
        <v>0</v>
      </c>
      <c r="K202" s="2"/>
      <c r="L202" s="6">
        <f t="shared" si="51"/>
        <v>-135.71</v>
      </c>
      <c r="M202" s="2"/>
      <c r="N202" s="7">
        <f t="shared" si="52"/>
        <v>0</v>
      </c>
      <c r="O202" s="11"/>
      <c r="P202" s="6">
        <v>-3231.48</v>
      </c>
      <c r="Q202" s="2"/>
      <c r="R202" s="7">
        <f t="shared" si="53"/>
        <v>-3.7582830311396305E-4</v>
      </c>
      <c r="S202" s="2"/>
      <c r="T202" s="6"/>
      <c r="U202" s="2"/>
      <c r="V202" s="7">
        <f t="shared" si="54"/>
        <v>0</v>
      </c>
      <c r="W202" s="2"/>
      <c r="X202" s="6">
        <f t="shared" si="55"/>
        <v>-3231.48</v>
      </c>
      <c r="Y202" s="2"/>
      <c r="Z202" s="7">
        <f t="shared" si="56"/>
        <v>0</v>
      </c>
    </row>
    <row r="203" spans="1:26" s="27" customFormat="1" outlineLevel="1" collapsed="1" x14ac:dyDescent="0.25">
      <c r="A203" s="26"/>
      <c r="B203" s="13" t="str">
        <f>CONCATENATE("     ","Donations                                         ")</f>
        <v xml:space="preserve">     Donations                                         </v>
      </c>
      <c r="C203" s="13"/>
      <c r="D203" s="1">
        <f>SUM(OSRRefD22_7x_0)</f>
        <v>769.23</v>
      </c>
      <c r="E203" s="1"/>
      <c r="F203" s="5">
        <f t="shared" ref="F203:F205" si="57">IF(D$12=0,0,D203/D$12)</f>
        <v>3.3150502713455896E-3</v>
      </c>
      <c r="G203" s="1"/>
      <c r="H203" s="1">
        <f>SUM(OSRRefH22_7x_0)</f>
        <v>1025</v>
      </c>
      <c r="I203" s="1"/>
      <c r="J203" s="5">
        <f t="shared" ref="J203:J205" si="58">IF(H$12=0,0,H203/H$12)</f>
        <v>1.0961682981090808E-3</v>
      </c>
      <c r="K203" s="1"/>
      <c r="L203" s="1">
        <f t="shared" ref="L203:L205" si="59">+D203-H203</f>
        <v>-255.76999999999998</v>
      </c>
      <c r="M203" s="1"/>
      <c r="N203" s="5">
        <f t="shared" ref="N203:N205" si="60">IF(H203=0,0,L203/H203)</f>
        <v>-0.24953170731707316</v>
      </c>
      <c r="O203" s="13"/>
      <c r="P203" s="1">
        <f>SUM(OSRRefP22_7x_0)</f>
        <v>12371.45</v>
      </c>
      <c r="Q203" s="1"/>
      <c r="R203" s="5">
        <f t="shared" ref="R203:R205" si="61">IF(P$12=0,0,P203/P$12)</f>
        <v>1.4388271196353493E-3</v>
      </c>
      <c r="S203" s="1"/>
      <c r="T203" s="1">
        <f>SUM(OSRRefT22_7x_0)</f>
        <v>9300</v>
      </c>
      <c r="U203" s="1"/>
      <c r="V203" s="5">
        <f t="shared" ref="V203:V205" si="62">IF(T$12=0,0,T203/T$12)</f>
        <v>9.3669111262988244E-4</v>
      </c>
      <c r="W203" s="1"/>
      <c r="X203" s="1">
        <f t="shared" ref="X203:X205" si="63">+P203-T203</f>
        <v>3071.4500000000007</v>
      </c>
      <c r="Y203" s="1"/>
      <c r="Z203" s="5">
        <f t="shared" ref="Z203:Z205" si="64">IF(T203=0,0,X203/T203)</f>
        <v>0.33026344086021514</v>
      </c>
    </row>
    <row r="204" spans="1:26" s="24" customFormat="1" hidden="1" outlineLevel="2" x14ac:dyDescent="0.25">
      <c r="A204" s="25"/>
      <c r="B204" s="11" t="str">
        <f>CONCATENATE("          ", "6395", " - ", "DONATION-OFF CAMPUS")</f>
        <v xml:space="preserve">          6395 - DONATION-OFF CAMPUS</v>
      </c>
      <c r="C204" s="11"/>
      <c r="D204" s="6"/>
      <c r="E204" s="2"/>
      <c r="F204" s="7">
        <f t="shared" si="57"/>
        <v>0</v>
      </c>
      <c r="G204" s="2"/>
      <c r="H204" s="6">
        <v>1025</v>
      </c>
      <c r="I204" s="2"/>
      <c r="J204" s="7">
        <f t="shared" si="58"/>
        <v>1.0961682981090808E-3</v>
      </c>
      <c r="K204" s="2"/>
      <c r="L204" s="6">
        <f t="shared" si="59"/>
        <v>-1025</v>
      </c>
      <c r="M204" s="2"/>
      <c r="N204" s="7">
        <f t="shared" si="60"/>
        <v>-1</v>
      </c>
      <c r="O204" s="11"/>
      <c r="P204" s="6"/>
      <c r="Q204" s="2"/>
      <c r="R204" s="7">
        <f t="shared" si="61"/>
        <v>0</v>
      </c>
      <c r="S204" s="2"/>
      <c r="T204" s="6">
        <v>9300</v>
      </c>
      <c r="U204" s="2"/>
      <c r="V204" s="7">
        <f t="shared" si="62"/>
        <v>9.3669111262988244E-4</v>
      </c>
      <c r="W204" s="2"/>
      <c r="X204" s="6">
        <f t="shared" si="63"/>
        <v>-9300</v>
      </c>
      <c r="Y204" s="2"/>
      <c r="Z204" s="7">
        <f t="shared" si="64"/>
        <v>-1</v>
      </c>
    </row>
    <row r="205" spans="1:26" s="24" customFormat="1" hidden="1" outlineLevel="2" x14ac:dyDescent="0.25">
      <c r="A205" s="25"/>
      <c r="B205" s="11" t="str">
        <f>CONCATENATE("          ", "6399", " - ", "DONATION-ON CAMPUS")</f>
        <v xml:space="preserve">          6399 - DONATION-ON CAMPUS</v>
      </c>
      <c r="C205" s="11"/>
      <c r="D205" s="6">
        <v>769.23</v>
      </c>
      <c r="E205" s="2"/>
      <c r="F205" s="7">
        <f t="shared" si="57"/>
        <v>3.3150502713455896E-3</v>
      </c>
      <c r="G205" s="2"/>
      <c r="H205" s="6"/>
      <c r="I205" s="2"/>
      <c r="J205" s="7">
        <f t="shared" si="58"/>
        <v>0</v>
      </c>
      <c r="K205" s="2"/>
      <c r="L205" s="6">
        <f t="shared" si="59"/>
        <v>769.23</v>
      </c>
      <c r="M205" s="2"/>
      <c r="N205" s="7">
        <f t="shared" si="60"/>
        <v>0</v>
      </c>
      <c r="O205" s="11"/>
      <c r="P205" s="6">
        <v>12371.45</v>
      </c>
      <c r="Q205" s="2"/>
      <c r="R205" s="7">
        <f t="shared" si="61"/>
        <v>1.4388271196353493E-3</v>
      </c>
      <c r="S205" s="2"/>
      <c r="T205" s="6"/>
      <c r="U205" s="2"/>
      <c r="V205" s="7">
        <f t="shared" si="62"/>
        <v>0</v>
      </c>
      <c r="W205" s="2"/>
      <c r="X205" s="6">
        <f t="shared" si="63"/>
        <v>12371.45</v>
      </c>
      <c r="Y205" s="2"/>
      <c r="Z205" s="7">
        <f t="shared" si="64"/>
        <v>0</v>
      </c>
    </row>
    <row r="206" spans="1:26" s="27" customFormat="1" outlineLevel="1" collapsed="1" x14ac:dyDescent="0.25">
      <c r="A206" s="26"/>
      <c r="B206" s="13" t="str">
        <f>CONCATENATE("     ","Employees' Appreciation                           ")</f>
        <v xml:space="preserve">     Employees' Appreciation                           </v>
      </c>
      <c r="C206" s="13"/>
      <c r="D206" s="1">
        <f>SUM(OSRRefD22_8x_0)</f>
        <v>239.54</v>
      </c>
      <c r="E206" s="1"/>
      <c r="F206" s="5">
        <f t="shared" ref="F206:F212" si="65">IF(D$12=0,0,D206/D$12)</f>
        <v>1.0323143169118762E-3</v>
      </c>
      <c r="G206" s="1"/>
      <c r="H206" s="1">
        <f>SUM(OSRRefH22_8x_0)</f>
        <v>700</v>
      </c>
      <c r="I206" s="1"/>
      <c r="J206" s="5">
        <f t="shared" ref="J206:J212" si="66">IF(H$12=0,0,H206/H$12)</f>
        <v>7.4860274017205517E-4</v>
      </c>
      <c r="K206" s="1"/>
      <c r="L206" s="1">
        <f t="shared" ref="L206:L212" si="67">+D206-H206</f>
        <v>-460.46000000000004</v>
      </c>
      <c r="M206" s="1"/>
      <c r="N206" s="5">
        <f t="shared" ref="N206:N212" si="68">IF(H206=0,0,L206/H206)</f>
        <v>-0.65780000000000005</v>
      </c>
      <c r="O206" s="13"/>
      <c r="P206" s="1">
        <f>SUM(OSRRefP22_8x_0)</f>
        <v>1524.12</v>
      </c>
      <c r="Q206" s="1"/>
      <c r="R206" s="5">
        <f t="shared" ref="R206:R212" si="69">IF(P$12=0,0,P206/P$12)</f>
        <v>1.7725854201234521E-4</v>
      </c>
      <c r="S206" s="1"/>
      <c r="T206" s="1">
        <f>SUM(OSRRefT22_8x_0)</f>
        <v>6475</v>
      </c>
      <c r="U206" s="1"/>
      <c r="V206" s="5">
        <f t="shared" ref="V206:V212" si="70">IF(T$12=0,0,T206/T$12)</f>
        <v>6.5215859723424612E-4</v>
      </c>
      <c r="W206" s="1"/>
      <c r="X206" s="1">
        <f t="shared" ref="X206:X212" si="71">+P206-T206</f>
        <v>-4950.88</v>
      </c>
      <c r="Y206" s="1"/>
      <c r="Z206" s="5">
        <f t="shared" ref="Z206:Z212" si="72">IF(T206=0,0,X206/T206)</f>
        <v>-0.7646146718146718</v>
      </c>
    </row>
    <row r="207" spans="1:26" s="24" customFormat="1" hidden="1" outlineLevel="2" x14ac:dyDescent="0.25">
      <c r="A207" s="25"/>
      <c r="B207" s="11" t="str">
        <f>CONCATENATE("          ", "6277", " - ", "EMPLOYEE APPRECIATION")</f>
        <v xml:space="preserve">          6277 - EMPLOYEE APPRECIATION</v>
      </c>
      <c r="C207" s="11"/>
      <c r="D207" s="6">
        <v>239.54</v>
      </c>
      <c r="E207" s="2"/>
      <c r="F207" s="7">
        <f t="shared" si="65"/>
        <v>1.0323143169118762E-3</v>
      </c>
      <c r="G207" s="2"/>
      <c r="H207" s="6">
        <v>700</v>
      </c>
      <c r="I207" s="2"/>
      <c r="J207" s="7">
        <f t="shared" si="66"/>
        <v>7.4860274017205517E-4</v>
      </c>
      <c r="K207" s="2"/>
      <c r="L207" s="6">
        <f t="shared" si="67"/>
        <v>-460.46000000000004</v>
      </c>
      <c r="M207" s="2"/>
      <c r="N207" s="7">
        <f t="shared" si="68"/>
        <v>-0.65780000000000005</v>
      </c>
      <c r="O207" s="11"/>
      <c r="P207" s="6">
        <v>1524.12</v>
      </c>
      <c r="Q207" s="2"/>
      <c r="R207" s="7">
        <f t="shared" si="69"/>
        <v>1.7725854201234521E-4</v>
      </c>
      <c r="S207" s="2"/>
      <c r="T207" s="6">
        <v>6475</v>
      </c>
      <c r="U207" s="2"/>
      <c r="V207" s="7">
        <f t="shared" si="70"/>
        <v>6.5215859723424612E-4</v>
      </c>
      <c r="W207" s="2"/>
      <c r="X207" s="6">
        <f t="shared" si="71"/>
        <v>-4950.88</v>
      </c>
      <c r="Y207" s="2"/>
      <c r="Z207" s="7">
        <f t="shared" si="72"/>
        <v>-0.7646146718146718</v>
      </c>
    </row>
    <row r="208" spans="1:26" s="27" customFormat="1" outlineLevel="1" collapsed="1" x14ac:dyDescent="0.25">
      <c r="A208" s="26"/>
      <c r="B208" s="13" t="str">
        <f>CONCATENATE("     ","Equipment Rental                                  ")</f>
        <v xml:space="preserve">     Equipment Rental                                  </v>
      </c>
      <c r="C208" s="13"/>
      <c r="D208" s="1">
        <f>SUM(OSRRefD22_9x_0)</f>
        <v>1388.16</v>
      </c>
      <c r="E208" s="1"/>
      <c r="F208" s="5">
        <f t="shared" si="65"/>
        <v>5.9823722224446449E-3</v>
      </c>
      <c r="G208" s="1"/>
      <c r="H208" s="1">
        <f>SUM(OSRRefH22_9x_0)</f>
        <v>3225</v>
      </c>
      <c r="I208" s="1"/>
      <c r="J208" s="5">
        <f t="shared" si="66"/>
        <v>3.4489197672212539E-3</v>
      </c>
      <c r="K208" s="1"/>
      <c r="L208" s="1">
        <f t="shared" si="67"/>
        <v>-1836.84</v>
      </c>
      <c r="M208" s="1"/>
      <c r="N208" s="5">
        <f t="shared" si="68"/>
        <v>-0.56956279069767435</v>
      </c>
      <c r="O208" s="13"/>
      <c r="P208" s="1">
        <f>SUM(OSRRefP22_9x_0)</f>
        <v>15254.62</v>
      </c>
      <c r="Q208" s="1"/>
      <c r="R208" s="5">
        <f t="shared" si="69"/>
        <v>1.7741461959375653E-3</v>
      </c>
      <c r="S208" s="1"/>
      <c r="T208" s="1">
        <f>SUM(OSRRefT22_9x_0)</f>
        <v>29025</v>
      </c>
      <c r="U208" s="1"/>
      <c r="V208" s="5">
        <f t="shared" si="70"/>
        <v>2.92338274667552E-3</v>
      </c>
      <c r="W208" s="1"/>
      <c r="X208" s="1">
        <f t="shared" si="71"/>
        <v>-13770.38</v>
      </c>
      <c r="Y208" s="1"/>
      <c r="Z208" s="5">
        <f t="shared" si="72"/>
        <v>-0.47443169681309211</v>
      </c>
    </row>
    <row r="209" spans="1:26" s="24" customFormat="1" hidden="1" outlineLevel="2" x14ac:dyDescent="0.25">
      <c r="A209" s="25"/>
      <c r="B209" s="11" t="str">
        <f>CONCATENATE("          ", "6351", " - ", "EQUIPMENT RENTAL")</f>
        <v xml:space="preserve">          6351 - EQUIPMENT RENTAL</v>
      </c>
      <c r="C209" s="11"/>
      <c r="D209" s="6">
        <v>1388.16</v>
      </c>
      <c r="E209" s="2"/>
      <c r="F209" s="7">
        <f t="shared" si="65"/>
        <v>5.9823722224446449E-3</v>
      </c>
      <c r="G209" s="2"/>
      <c r="H209" s="6">
        <v>3225</v>
      </c>
      <c r="I209" s="2"/>
      <c r="J209" s="7">
        <f t="shared" si="66"/>
        <v>3.4489197672212539E-3</v>
      </c>
      <c r="K209" s="2"/>
      <c r="L209" s="6">
        <f t="shared" si="67"/>
        <v>-1836.84</v>
      </c>
      <c r="M209" s="2"/>
      <c r="N209" s="7">
        <f t="shared" si="68"/>
        <v>-0.56956279069767435</v>
      </c>
      <c r="O209" s="11"/>
      <c r="P209" s="6">
        <v>15254.62</v>
      </c>
      <c r="Q209" s="2"/>
      <c r="R209" s="7">
        <f t="shared" si="69"/>
        <v>1.7741461959375653E-3</v>
      </c>
      <c r="S209" s="2"/>
      <c r="T209" s="6">
        <v>29025</v>
      </c>
      <c r="U209" s="2"/>
      <c r="V209" s="7">
        <f t="shared" si="70"/>
        <v>2.92338274667552E-3</v>
      </c>
      <c r="W209" s="2"/>
      <c r="X209" s="6">
        <f t="shared" si="71"/>
        <v>-13770.38</v>
      </c>
      <c r="Y209" s="2"/>
      <c r="Z209" s="7">
        <f t="shared" si="72"/>
        <v>-0.47443169681309211</v>
      </c>
    </row>
    <row r="210" spans="1:26" s="27" customFormat="1" outlineLevel="1" collapsed="1" x14ac:dyDescent="0.25">
      <c r="A210" s="26"/>
      <c r="B210" s="13" t="str">
        <f>CONCATENATE("     ","Freight out/Postage                               ")</f>
        <v xml:space="preserve">     Freight out/Postage                               </v>
      </c>
      <c r="C210" s="13"/>
      <c r="D210" s="1">
        <f>SUM(OSRRefD22_10x_0)</f>
        <v>2109.1600000000003</v>
      </c>
      <c r="E210" s="1"/>
      <c r="F210" s="5">
        <f t="shared" si="65"/>
        <v>9.0895719489765929E-3</v>
      </c>
      <c r="G210" s="1"/>
      <c r="H210" s="1">
        <f>SUM(OSRRefH22_10x_0)</f>
        <v>-710</v>
      </c>
      <c r="I210" s="1"/>
      <c r="J210" s="5">
        <f t="shared" si="66"/>
        <v>-7.5929706503165598E-4</v>
      </c>
      <c r="K210" s="1"/>
      <c r="L210" s="1">
        <f t="shared" si="67"/>
        <v>2819.1600000000003</v>
      </c>
      <c r="M210" s="1"/>
      <c r="N210" s="5">
        <f t="shared" si="68"/>
        <v>-3.9706478873239441</v>
      </c>
      <c r="O210" s="13"/>
      <c r="P210" s="1">
        <f>SUM(OSRRefP22_10x_0)</f>
        <v>871.33000000000175</v>
      </c>
      <c r="Q210" s="1"/>
      <c r="R210" s="5">
        <f t="shared" si="69"/>
        <v>1.0133761476236587E-4</v>
      </c>
      <c r="S210" s="1"/>
      <c r="T210" s="1">
        <f>SUM(OSRRefT22_10x_0)</f>
        <v>-55090</v>
      </c>
      <c r="U210" s="1"/>
      <c r="V210" s="5">
        <f t="shared" si="70"/>
        <v>-5.5486358489010993E-3</v>
      </c>
      <c r="W210" s="1"/>
      <c r="X210" s="1">
        <f t="shared" si="71"/>
        <v>55961.33</v>
      </c>
      <c r="Y210" s="1"/>
      <c r="Z210" s="5">
        <f t="shared" si="72"/>
        <v>-1.015816482120167</v>
      </c>
    </row>
    <row r="211" spans="1:26" s="24" customFormat="1" hidden="1" outlineLevel="2" x14ac:dyDescent="0.25">
      <c r="A211" s="25"/>
      <c r="B211" s="11" t="str">
        <f>CONCATENATE("          ", "6305", " - ", "FREIGHT OUT")</f>
        <v xml:space="preserve">          6305 - FREIGHT OUT</v>
      </c>
      <c r="C211" s="11"/>
      <c r="D211" s="6">
        <v>5757.68</v>
      </c>
      <c r="E211" s="2"/>
      <c r="F211" s="7">
        <f t="shared" si="65"/>
        <v>2.4813123053340453E-2</v>
      </c>
      <c r="G211" s="2"/>
      <c r="H211" s="6">
        <v>-750</v>
      </c>
      <c r="I211" s="2"/>
      <c r="J211" s="7">
        <f t="shared" si="66"/>
        <v>-8.0207436447005912E-4</v>
      </c>
      <c r="K211" s="2"/>
      <c r="L211" s="6">
        <f t="shared" si="67"/>
        <v>6507.68</v>
      </c>
      <c r="M211" s="2"/>
      <c r="N211" s="7">
        <f t="shared" si="68"/>
        <v>-8.6769066666666674</v>
      </c>
      <c r="O211" s="11"/>
      <c r="P211" s="6">
        <v>51742.48</v>
      </c>
      <c r="Q211" s="2"/>
      <c r="R211" s="7">
        <f t="shared" si="69"/>
        <v>6.0177653760221852E-3</v>
      </c>
      <c r="S211" s="2"/>
      <c r="T211" s="6">
        <v>-55450</v>
      </c>
      <c r="U211" s="2"/>
      <c r="V211" s="7">
        <f t="shared" si="70"/>
        <v>-5.5848948597125789E-3</v>
      </c>
      <c r="W211" s="2"/>
      <c r="X211" s="6">
        <f t="shared" si="71"/>
        <v>107192.48000000001</v>
      </c>
      <c r="Y211" s="2"/>
      <c r="Z211" s="7">
        <f t="shared" si="72"/>
        <v>-1.9331376014427415</v>
      </c>
    </row>
    <row r="212" spans="1:26" s="24" customFormat="1" hidden="1" outlineLevel="2" x14ac:dyDescent="0.25">
      <c r="A212" s="25"/>
      <c r="B212" s="11" t="str">
        <f>CONCATENATE("          ", "6307", " - ", "POSTAGE")</f>
        <v xml:space="preserve">          6307 - POSTAGE</v>
      </c>
      <c r="C212" s="11"/>
      <c r="D212" s="6">
        <v>-3648.52</v>
      </c>
      <c r="E212" s="2"/>
      <c r="F212" s="7">
        <f t="shared" si="65"/>
        <v>-1.572355110436386E-2</v>
      </c>
      <c r="G212" s="2"/>
      <c r="H212" s="6">
        <v>40</v>
      </c>
      <c r="I212" s="2"/>
      <c r="J212" s="7">
        <f t="shared" si="66"/>
        <v>4.2777299438403151E-5</v>
      </c>
      <c r="K212" s="2"/>
      <c r="L212" s="6">
        <f t="shared" si="67"/>
        <v>-3688.52</v>
      </c>
      <c r="M212" s="2"/>
      <c r="N212" s="7">
        <f t="shared" si="68"/>
        <v>-92.212999999999994</v>
      </c>
      <c r="O212" s="11"/>
      <c r="P212" s="6">
        <v>-50871.15</v>
      </c>
      <c r="Q212" s="2"/>
      <c r="R212" s="7">
        <f t="shared" si="69"/>
        <v>-5.9164277612598201E-3</v>
      </c>
      <c r="S212" s="2"/>
      <c r="T212" s="6">
        <v>360</v>
      </c>
      <c r="U212" s="2"/>
      <c r="V212" s="7">
        <f t="shared" si="70"/>
        <v>3.6259010811479322E-5</v>
      </c>
      <c r="W212" s="2"/>
      <c r="X212" s="6">
        <f t="shared" si="71"/>
        <v>-51231.15</v>
      </c>
      <c r="Y212" s="2"/>
      <c r="Z212" s="7">
        <f t="shared" si="72"/>
        <v>-142.30875</v>
      </c>
    </row>
    <row r="213" spans="1:26" s="27" customFormat="1" outlineLevel="1" collapsed="1" x14ac:dyDescent="0.25">
      <c r="A213" s="26"/>
      <c r="B213" s="13" t="str">
        <f>CONCATENATE("     ","General                                           ")</f>
        <v xml:space="preserve">     General                                           </v>
      </c>
      <c r="C213" s="13"/>
      <c r="D213" s="1">
        <f>SUM(OSRRefD22_11x_0)</f>
        <v>0</v>
      </c>
      <c r="E213" s="1"/>
      <c r="F213" s="5">
        <f t="shared" ref="F213:F227" si="73">IF(D$12=0,0,D213/D$12)</f>
        <v>0</v>
      </c>
      <c r="G213" s="1"/>
      <c r="H213" s="1">
        <f>SUM(OSRRefH22_11x_0)</f>
        <v>480</v>
      </c>
      <c r="I213" s="1"/>
      <c r="J213" s="5">
        <f t="shared" ref="J213:J227" si="74">IF(H$12=0,0,H213/H$12)</f>
        <v>5.1332759326083786E-4</v>
      </c>
      <c r="K213" s="1"/>
      <c r="L213" s="1">
        <f t="shared" ref="L213:L227" si="75">+D213-H213</f>
        <v>-480</v>
      </c>
      <c r="M213" s="1"/>
      <c r="N213" s="5">
        <f t="shared" ref="N213:N227" si="76">IF(H213=0,0,L213/H213)</f>
        <v>-1</v>
      </c>
      <c r="O213" s="13"/>
      <c r="P213" s="1">
        <f>SUM(OSRRefP22_11x_0)</f>
        <v>-1031.5899999999999</v>
      </c>
      <c r="Q213" s="1"/>
      <c r="R213" s="5">
        <f t="shared" ref="R213:R227" si="77">IF(P$12=0,0,P213/P$12)</f>
        <v>-1.1997620879885783E-4</v>
      </c>
      <c r="S213" s="1"/>
      <c r="T213" s="1">
        <f>SUM(OSRRefT22_11x_0)</f>
        <v>19085</v>
      </c>
      <c r="U213" s="1"/>
      <c r="V213" s="5">
        <f t="shared" ref="V213:V227" si="78">IF(T$12=0,0,T213/T$12)</f>
        <v>1.9222311703807856E-3</v>
      </c>
      <c r="W213" s="1"/>
      <c r="X213" s="1">
        <f t="shared" ref="X213:X227" si="79">+P213-T213</f>
        <v>-20116.59</v>
      </c>
      <c r="Y213" s="1"/>
      <c r="Z213" s="5">
        <f t="shared" ref="Z213:Z227" si="80">IF(T213=0,0,X213/T213)</f>
        <v>-1.0540523971705529</v>
      </c>
    </row>
    <row r="214" spans="1:26" s="24" customFormat="1" hidden="1" outlineLevel="2" x14ac:dyDescent="0.25">
      <c r="A214" s="25"/>
      <c r="B214" s="11" t="str">
        <f>CONCATENATE("          ", "6279", " - ", "GENERAL EXPENSE")</f>
        <v xml:space="preserve">          6279 - GENERAL EXPENSE</v>
      </c>
      <c r="C214" s="11"/>
      <c r="D214" s="6"/>
      <c r="E214" s="2"/>
      <c r="F214" s="7">
        <f t="shared" si="73"/>
        <v>0</v>
      </c>
      <c r="G214" s="2"/>
      <c r="H214" s="6">
        <v>480</v>
      </c>
      <c r="I214" s="2"/>
      <c r="J214" s="7">
        <f t="shared" si="74"/>
        <v>5.1332759326083786E-4</v>
      </c>
      <c r="K214" s="2"/>
      <c r="L214" s="6">
        <f t="shared" si="75"/>
        <v>-480</v>
      </c>
      <c r="M214" s="2"/>
      <c r="N214" s="7">
        <f t="shared" si="76"/>
        <v>-1</v>
      </c>
      <c r="O214" s="11"/>
      <c r="P214" s="6">
        <v>-1031.5899999999999</v>
      </c>
      <c r="Q214" s="2"/>
      <c r="R214" s="7">
        <f t="shared" si="77"/>
        <v>-1.1997620879885783E-4</v>
      </c>
      <c r="S214" s="2"/>
      <c r="T214" s="6">
        <v>19085</v>
      </c>
      <c r="U214" s="2"/>
      <c r="V214" s="7">
        <f t="shared" si="78"/>
        <v>1.9222311703807856E-3</v>
      </c>
      <c r="W214" s="2"/>
      <c r="X214" s="6">
        <f t="shared" si="79"/>
        <v>-20116.59</v>
      </c>
      <c r="Y214" s="2"/>
      <c r="Z214" s="7">
        <f t="shared" si="80"/>
        <v>-1.0540523971705529</v>
      </c>
    </row>
    <row r="215" spans="1:26" s="27" customFormat="1" outlineLevel="1" collapsed="1" x14ac:dyDescent="0.25">
      <c r="A215" s="26"/>
      <c r="B215" s="13" t="str">
        <f>CONCATENATE("     ","Insurance                                         ")</f>
        <v xml:space="preserve">     Insurance                                         </v>
      </c>
      <c r="C215" s="13"/>
      <c r="D215" s="1">
        <f>SUM(OSRRefD22_12x_0)</f>
        <v>4044.74</v>
      </c>
      <c r="E215" s="1"/>
      <c r="F215" s="5">
        <f t="shared" si="73"/>
        <v>1.7431088795967865E-2</v>
      </c>
      <c r="G215" s="1"/>
      <c r="H215" s="1">
        <f>SUM(OSRRefH22_12x_0)</f>
        <v>3815</v>
      </c>
      <c r="I215" s="1"/>
      <c r="J215" s="5">
        <f t="shared" si="74"/>
        <v>4.0798849339377004E-3</v>
      </c>
      <c r="K215" s="1"/>
      <c r="L215" s="1">
        <f t="shared" si="75"/>
        <v>229.73999999999978</v>
      </c>
      <c r="M215" s="1"/>
      <c r="N215" s="5">
        <f t="shared" si="76"/>
        <v>6.0220183486238477E-2</v>
      </c>
      <c r="O215" s="13"/>
      <c r="P215" s="1">
        <f>SUM(OSRRefP22_12x_0)</f>
        <v>36402.659999999996</v>
      </c>
      <c r="Q215" s="1"/>
      <c r="R215" s="5">
        <f t="shared" si="77"/>
        <v>4.2337102308027709E-3</v>
      </c>
      <c r="S215" s="1"/>
      <c r="T215" s="1">
        <f>SUM(OSRRefT22_12x_0)</f>
        <v>34335</v>
      </c>
      <c r="U215" s="1"/>
      <c r="V215" s="5">
        <f t="shared" si="78"/>
        <v>3.4582031561448401E-3</v>
      </c>
      <c r="W215" s="1"/>
      <c r="X215" s="1">
        <f t="shared" si="79"/>
        <v>2067.6599999999962</v>
      </c>
      <c r="Y215" s="1"/>
      <c r="Z215" s="5">
        <f t="shared" si="80"/>
        <v>6.0220183486238421E-2</v>
      </c>
    </row>
    <row r="216" spans="1:26" s="24" customFormat="1" hidden="1" outlineLevel="2" x14ac:dyDescent="0.25">
      <c r="A216" s="25"/>
      <c r="B216" s="11" t="str">
        <f>CONCATENATE("          ", "6314", " - ", "LIABILITY INSURANCE")</f>
        <v xml:space="preserve">          6314 - LIABILITY INSURANCE</v>
      </c>
      <c r="C216" s="11"/>
      <c r="D216" s="6">
        <v>4044.74</v>
      </c>
      <c r="E216" s="2"/>
      <c r="F216" s="7">
        <f t="shared" si="73"/>
        <v>1.7431088795967865E-2</v>
      </c>
      <c r="G216" s="2"/>
      <c r="H216" s="6">
        <v>3815</v>
      </c>
      <c r="I216" s="2"/>
      <c r="J216" s="7">
        <f t="shared" si="74"/>
        <v>4.0798849339377004E-3</v>
      </c>
      <c r="K216" s="2"/>
      <c r="L216" s="6">
        <f t="shared" si="75"/>
        <v>229.73999999999978</v>
      </c>
      <c r="M216" s="2"/>
      <c r="N216" s="7">
        <f t="shared" si="76"/>
        <v>6.0220183486238477E-2</v>
      </c>
      <c r="O216" s="11"/>
      <c r="P216" s="6">
        <v>36402.659999999996</v>
      </c>
      <c r="Q216" s="2"/>
      <c r="R216" s="7">
        <f t="shared" si="77"/>
        <v>4.2337102308027709E-3</v>
      </c>
      <c r="S216" s="2"/>
      <c r="T216" s="6">
        <v>34335</v>
      </c>
      <c r="U216" s="2"/>
      <c r="V216" s="7">
        <f t="shared" si="78"/>
        <v>3.4582031561448401E-3</v>
      </c>
      <c r="W216" s="2"/>
      <c r="X216" s="6">
        <f t="shared" si="79"/>
        <v>2067.6599999999962</v>
      </c>
      <c r="Y216" s="2"/>
      <c r="Z216" s="7">
        <f t="shared" si="80"/>
        <v>6.0220183486238421E-2</v>
      </c>
    </row>
    <row r="217" spans="1:26" s="27" customFormat="1" outlineLevel="1" collapsed="1" x14ac:dyDescent="0.25">
      <c r="A217" s="26"/>
      <c r="B217" s="13" t="str">
        <f>CONCATENATE("     ","Inventory Adjustment                              ")</f>
        <v xml:space="preserve">     Inventory Adjustment                              </v>
      </c>
      <c r="C217" s="13"/>
      <c r="D217" s="1">
        <f>SUM(OSRRefD22_13x_0)</f>
        <v>4550</v>
      </c>
      <c r="E217" s="1"/>
      <c r="F217" s="5">
        <f t="shared" si="73"/>
        <v>1.9608541963551128E-2</v>
      </c>
      <c r="G217" s="1"/>
      <c r="H217" s="1">
        <f>SUM(OSRRefH22_13x_0)</f>
        <v>4550</v>
      </c>
      <c r="I217" s="1"/>
      <c r="J217" s="5">
        <f t="shared" si="74"/>
        <v>4.8659178111183582E-3</v>
      </c>
      <c r="K217" s="1"/>
      <c r="L217" s="1">
        <f t="shared" si="75"/>
        <v>0</v>
      </c>
      <c r="M217" s="1"/>
      <c r="N217" s="5">
        <f t="shared" si="76"/>
        <v>0</v>
      </c>
      <c r="O217" s="13"/>
      <c r="P217" s="1">
        <f>SUM(OSRRefP22_13x_0)</f>
        <v>44250</v>
      </c>
      <c r="Q217" s="1"/>
      <c r="R217" s="5">
        <f t="shared" si="77"/>
        <v>5.1463733065941503E-3</v>
      </c>
      <c r="S217" s="1"/>
      <c r="T217" s="1">
        <f>SUM(OSRRefT22_13x_0)</f>
        <v>44250</v>
      </c>
      <c r="U217" s="1"/>
      <c r="V217" s="5">
        <f t="shared" si="78"/>
        <v>4.4568367455776661E-3</v>
      </c>
      <c r="W217" s="1"/>
      <c r="X217" s="1">
        <f t="shared" si="79"/>
        <v>0</v>
      </c>
      <c r="Y217" s="1"/>
      <c r="Z217" s="5">
        <f t="shared" si="80"/>
        <v>0</v>
      </c>
    </row>
    <row r="218" spans="1:26" s="24" customFormat="1" hidden="1" outlineLevel="2" x14ac:dyDescent="0.25">
      <c r="A218" s="25"/>
      <c r="B218" s="11" t="str">
        <f>CONCATENATE("          ", "6408", " - ", "INVENTORY ADJUSTMENT")</f>
        <v xml:space="preserve">          6408 - INVENTORY ADJUSTMENT</v>
      </c>
      <c r="C218" s="11"/>
      <c r="D218" s="6">
        <v>4550</v>
      </c>
      <c r="E218" s="2"/>
      <c r="F218" s="7">
        <f t="shared" si="73"/>
        <v>1.9608541963551128E-2</v>
      </c>
      <c r="G218" s="2"/>
      <c r="H218" s="6">
        <v>4550</v>
      </c>
      <c r="I218" s="2"/>
      <c r="J218" s="7">
        <f t="shared" si="74"/>
        <v>4.8659178111183582E-3</v>
      </c>
      <c r="K218" s="2"/>
      <c r="L218" s="6">
        <f t="shared" si="75"/>
        <v>0</v>
      </c>
      <c r="M218" s="2"/>
      <c r="N218" s="7">
        <f t="shared" si="76"/>
        <v>0</v>
      </c>
      <c r="O218" s="11"/>
      <c r="P218" s="6">
        <v>44250</v>
      </c>
      <c r="Q218" s="2"/>
      <c r="R218" s="7">
        <f t="shared" si="77"/>
        <v>5.1463733065941503E-3</v>
      </c>
      <c r="S218" s="2"/>
      <c r="T218" s="6">
        <v>44250</v>
      </c>
      <c r="U218" s="2"/>
      <c r="V218" s="7">
        <f t="shared" si="78"/>
        <v>4.4568367455776661E-3</v>
      </c>
      <c r="W218" s="2"/>
      <c r="X218" s="6">
        <f t="shared" si="79"/>
        <v>0</v>
      </c>
      <c r="Y218" s="2"/>
      <c r="Z218" s="7">
        <f t="shared" si="80"/>
        <v>0</v>
      </c>
    </row>
    <row r="219" spans="1:26" s="27" customFormat="1" outlineLevel="1" collapsed="1" x14ac:dyDescent="0.25">
      <c r="A219" s="26"/>
      <c r="B219" s="13" t="str">
        <f>CONCATENATE("     ","Professional Services                             ")</f>
        <v xml:space="preserve">     Professional Services                             </v>
      </c>
      <c r="C219" s="13"/>
      <c r="D219" s="1">
        <f>SUM(OSRRefD22_14x_0)</f>
        <v>0</v>
      </c>
      <c r="E219" s="1"/>
      <c r="F219" s="5">
        <f t="shared" si="73"/>
        <v>0</v>
      </c>
      <c r="G219" s="1"/>
      <c r="H219" s="1">
        <f>SUM(OSRRefH22_14x_0)</f>
        <v>1015</v>
      </c>
      <c r="I219" s="1"/>
      <c r="J219" s="5">
        <f t="shared" si="74"/>
        <v>1.0854739732494799E-3</v>
      </c>
      <c r="K219" s="1"/>
      <c r="L219" s="1">
        <f t="shared" si="75"/>
        <v>-1015</v>
      </c>
      <c r="M219" s="1"/>
      <c r="N219" s="5">
        <f t="shared" si="76"/>
        <v>-1</v>
      </c>
      <c r="O219" s="13"/>
      <c r="P219" s="1">
        <f>SUM(OSRRefP22_14x_0)</f>
        <v>6199.56</v>
      </c>
      <c r="Q219" s="1"/>
      <c r="R219" s="5">
        <f t="shared" si="77"/>
        <v>7.2102260105375894E-4</v>
      </c>
      <c r="S219" s="1"/>
      <c r="T219" s="1">
        <f>SUM(OSRRefT22_14x_0)</f>
        <v>12035</v>
      </c>
      <c r="U219" s="1"/>
      <c r="V219" s="5">
        <f t="shared" si="78"/>
        <v>1.2121588753226489E-3</v>
      </c>
      <c r="W219" s="1"/>
      <c r="X219" s="1">
        <f t="shared" si="79"/>
        <v>-5835.44</v>
      </c>
      <c r="Y219" s="1"/>
      <c r="Z219" s="5">
        <f t="shared" si="80"/>
        <v>-0.48487245533859574</v>
      </c>
    </row>
    <row r="220" spans="1:26" s="24" customFormat="1" hidden="1" outlineLevel="2" x14ac:dyDescent="0.25">
      <c r="A220" s="25"/>
      <c r="B220" s="11" t="str">
        <f>CONCATENATE("          ", "6336", " - ", "PROFESSIONAL SERVICES")</f>
        <v xml:space="preserve">          6336 - PROFESSIONAL SERVICES</v>
      </c>
      <c r="C220" s="11"/>
      <c r="D220" s="6"/>
      <c r="E220" s="2"/>
      <c r="F220" s="7">
        <f t="shared" si="73"/>
        <v>0</v>
      </c>
      <c r="G220" s="2"/>
      <c r="H220" s="6">
        <v>1015</v>
      </c>
      <c r="I220" s="2"/>
      <c r="J220" s="7">
        <f t="shared" si="74"/>
        <v>1.0854739732494799E-3</v>
      </c>
      <c r="K220" s="2"/>
      <c r="L220" s="6">
        <f t="shared" si="75"/>
        <v>-1015</v>
      </c>
      <c r="M220" s="2"/>
      <c r="N220" s="7">
        <f t="shared" si="76"/>
        <v>-1</v>
      </c>
      <c r="O220" s="11"/>
      <c r="P220" s="6">
        <v>6199.56</v>
      </c>
      <c r="Q220" s="2"/>
      <c r="R220" s="7">
        <f t="shared" si="77"/>
        <v>7.2102260105375894E-4</v>
      </c>
      <c r="S220" s="2"/>
      <c r="T220" s="6">
        <v>12035</v>
      </c>
      <c r="U220" s="2"/>
      <c r="V220" s="7">
        <f t="shared" si="78"/>
        <v>1.2121588753226489E-3</v>
      </c>
      <c r="W220" s="2"/>
      <c r="X220" s="6">
        <f t="shared" si="79"/>
        <v>-5835.44</v>
      </c>
      <c r="Y220" s="2"/>
      <c r="Z220" s="7">
        <f t="shared" si="80"/>
        <v>-0.48487245533859574</v>
      </c>
    </row>
    <row r="221" spans="1:26" s="27" customFormat="1" outlineLevel="1" collapsed="1" x14ac:dyDescent="0.25">
      <c r="A221" s="26"/>
      <c r="B221" s="13" t="str">
        <f>CONCATENATE("     ","Rent                                              ")</f>
        <v xml:space="preserve">     Rent                                              </v>
      </c>
      <c r="C221" s="13"/>
      <c r="D221" s="1">
        <f>SUM(OSRRefD22_15x_0)</f>
        <v>6100</v>
      </c>
      <c r="E221" s="1"/>
      <c r="F221" s="5">
        <f t="shared" si="73"/>
        <v>2.6288374940145468E-2</v>
      </c>
      <c r="G221" s="1"/>
      <c r="H221" s="1">
        <f>SUM(OSRRefH22_15x_0)</f>
        <v>6400</v>
      </c>
      <c r="I221" s="1"/>
      <c r="J221" s="5">
        <f t="shared" si="74"/>
        <v>6.8443679101445045E-3</v>
      </c>
      <c r="K221" s="1"/>
      <c r="L221" s="1">
        <f t="shared" si="75"/>
        <v>-300</v>
      </c>
      <c r="M221" s="1"/>
      <c r="N221" s="5">
        <f t="shared" si="76"/>
        <v>-4.6875E-2</v>
      </c>
      <c r="O221" s="13"/>
      <c r="P221" s="1">
        <f>SUM(OSRRefP22_15x_0)</f>
        <v>56500</v>
      </c>
      <c r="Q221" s="1"/>
      <c r="R221" s="5">
        <f t="shared" si="77"/>
        <v>6.5710755214139997E-3</v>
      </c>
      <c r="S221" s="1"/>
      <c r="T221" s="1">
        <f>SUM(OSRRefT22_15x_0)</f>
        <v>57600</v>
      </c>
      <c r="U221" s="1"/>
      <c r="V221" s="5">
        <f t="shared" si="78"/>
        <v>5.8014417298366911E-3</v>
      </c>
      <c r="W221" s="1"/>
      <c r="X221" s="1">
        <f t="shared" si="79"/>
        <v>-1100</v>
      </c>
      <c r="Y221" s="1"/>
      <c r="Z221" s="5">
        <f t="shared" si="80"/>
        <v>-1.9097222222222224E-2</v>
      </c>
    </row>
    <row r="222" spans="1:26" s="24" customFormat="1" hidden="1" outlineLevel="2" x14ac:dyDescent="0.25">
      <c r="A222" s="25"/>
      <c r="B222" s="11" t="str">
        <f>CONCATENATE("          ", "6273", " - ", "RENT")</f>
        <v xml:space="preserve">          6273 - RENT</v>
      </c>
      <c r="C222" s="11"/>
      <c r="D222" s="6">
        <v>6100</v>
      </c>
      <c r="E222" s="2"/>
      <c r="F222" s="7">
        <f t="shared" si="73"/>
        <v>2.6288374940145468E-2</v>
      </c>
      <c r="G222" s="2"/>
      <c r="H222" s="6">
        <v>6400</v>
      </c>
      <c r="I222" s="2"/>
      <c r="J222" s="7">
        <f t="shared" si="74"/>
        <v>6.8443679101445045E-3</v>
      </c>
      <c r="K222" s="2"/>
      <c r="L222" s="6">
        <f t="shared" si="75"/>
        <v>-300</v>
      </c>
      <c r="M222" s="2"/>
      <c r="N222" s="7">
        <f t="shared" si="76"/>
        <v>-4.6875E-2</v>
      </c>
      <c r="O222" s="11"/>
      <c r="P222" s="6">
        <v>56500</v>
      </c>
      <c r="Q222" s="2"/>
      <c r="R222" s="7">
        <f t="shared" si="77"/>
        <v>6.5710755214139997E-3</v>
      </c>
      <c r="S222" s="2"/>
      <c r="T222" s="6">
        <v>57600</v>
      </c>
      <c r="U222" s="2"/>
      <c r="V222" s="7">
        <f t="shared" si="78"/>
        <v>5.8014417298366911E-3</v>
      </c>
      <c r="W222" s="2"/>
      <c r="X222" s="6">
        <f t="shared" si="79"/>
        <v>-1100</v>
      </c>
      <c r="Y222" s="2"/>
      <c r="Z222" s="7">
        <f t="shared" si="80"/>
        <v>-1.9097222222222224E-2</v>
      </c>
    </row>
    <row r="223" spans="1:26" s="27" customFormat="1" outlineLevel="1" collapsed="1" x14ac:dyDescent="0.25">
      <c r="A223" s="26"/>
      <c r="B223" s="13" t="str">
        <f>CONCATENATE("     ","Repair and Maintenance                            ")</f>
        <v xml:space="preserve">     Repair and Maintenance                            </v>
      </c>
      <c r="C223" s="13"/>
      <c r="D223" s="1">
        <f>SUM(OSRRefD22_16x_0)</f>
        <v>12901.489999999998</v>
      </c>
      <c r="E223" s="1"/>
      <c r="F223" s="5">
        <f t="shared" si="73"/>
        <v>5.5599869902711027E-2</v>
      </c>
      <c r="G223" s="1"/>
      <c r="H223" s="1">
        <f>SUM(OSRRefH22_16x_0)</f>
        <v>14540</v>
      </c>
      <c r="I223" s="1"/>
      <c r="J223" s="5">
        <f t="shared" si="74"/>
        <v>1.5549548345859546E-2</v>
      </c>
      <c r="K223" s="1"/>
      <c r="L223" s="1">
        <f t="shared" si="75"/>
        <v>-1638.510000000002</v>
      </c>
      <c r="M223" s="1"/>
      <c r="N223" s="5">
        <f t="shared" si="76"/>
        <v>-0.11268982118294374</v>
      </c>
      <c r="O223" s="13"/>
      <c r="P223" s="1">
        <f>SUM(OSRRefP22_16x_0)</f>
        <v>121057.11</v>
      </c>
      <c r="Q223" s="1"/>
      <c r="R223" s="5">
        <f t="shared" si="77"/>
        <v>1.4079210835648176E-2</v>
      </c>
      <c r="S223" s="1"/>
      <c r="T223" s="1">
        <f>SUM(OSRRefT22_16x_0)</f>
        <v>175495</v>
      </c>
      <c r="U223" s="1"/>
      <c r="V223" s="5">
        <f t="shared" si="78"/>
        <v>1.7675764173223786E-2</v>
      </c>
      <c r="W223" s="1"/>
      <c r="X223" s="1">
        <f t="shared" si="79"/>
        <v>-54437.89</v>
      </c>
      <c r="Y223" s="1"/>
      <c r="Z223" s="5">
        <f t="shared" si="80"/>
        <v>-0.31019624490726233</v>
      </c>
    </row>
    <row r="224" spans="1:26" s="24" customFormat="1" hidden="1" outlineLevel="2" x14ac:dyDescent="0.25">
      <c r="A224" s="25"/>
      <c r="B224" s="11" t="str">
        <f>CONCATENATE("          ", "6371", " - ", "COMPUTER SOFTWARE MAINTENANCE")</f>
        <v xml:space="preserve">          6371 - COMPUTER SOFTWARE MAINTENANCE</v>
      </c>
      <c r="C224" s="11"/>
      <c r="D224" s="6">
        <v>631.04999999999995</v>
      </c>
      <c r="E224" s="2"/>
      <c r="F224" s="7">
        <f t="shared" si="73"/>
        <v>2.71955393540636E-3</v>
      </c>
      <c r="G224" s="2"/>
      <c r="H224" s="6"/>
      <c r="I224" s="2"/>
      <c r="J224" s="7">
        <f t="shared" si="74"/>
        <v>0</v>
      </c>
      <c r="K224" s="2"/>
      <c r="L224" s="6">
        <f t="shared" si="75"/>
        <v>631.04999999999995</v>
      </c>
      <c r="M224" s="2"/>
      <c r="N224" s="7">
        <f t="shared" si="76"/>
        <v>0</v>
      </c>
      <c r="O224" s="11"/>
      <c r="P224" s="6">
        <v>15786.449999999999</v>
      </c>
      <c r="Q224" s="2"/>
      <c r="R224" s="7">
        <f t="shared" si="77"/>
        <v>1.8359992064606377E-3</v>
      </c>
      <c r="S224" s="2"/>
      <c r="T224" s="6">
        <v>48535</v>
      </c>
      <c r="U224" s="2"/>
      <c r="V224" s="7">
        <f t="shared" si="78"/>
        <v>4.8884196937087464E-3</v>
      </c>
      <c r="W224" s="2"/>
      <c r="X224" s="6">
        <f t="shared" si="79"/>
        <v>-32748.550000000003</v>
      </c>
      <c r="Y224" s="2"/>
      <c r="Z224" s="7">
        <f t="shared" si="80"/>
        <v>-0.67474090862264346</v>
      </c>
    </row>
    <row r="225" spans="1:26" s="24" customFormat="1" hidden="1" outlineLevel="2" x14ac:dyDescent="0.25">
      <c r="A225" s="25"/>
      <c r="B225" s="11" t="str">
        <f>CONCATENATE("          ", "6372", " - ", "COMPUTER HARDWARE MAINTENANCE")</f>
        <v xml:space="preserve">          6372 - COMPUTER HARDWARE MAINTENANCE</v>
      </c>
      <c r="C225" s="11"/>
      <c r="D225" s="6"/>
      <c r="E225" s="2"/>
      <c r="F225" s="7">
        <f t="shared" si="73"/>
        <v>0</v>
      </c>
      <c r="G225" s="2"/>
      <c r="H225" s="6"/>
      <c r="I225" s="2"/>
      <c r="J225" s="7">
        <f t="shared" si="74"/>
        <v>0</v>
      </c>
      <c r="K225" s="2"/>
      <c r="L225" s="6">
        <f t="shared" si="75"/>
        <v>0</v>
      </c>
      <c r="M225" s="2"/>
      <c r="N225" s="7">
        <f t="shared" si="76"/>
        <v>0</v>
      </c>
      <c r="O225" s="11"/>
      <c r="P225" s="6">
        <v>52.32</v>
      </c>
      <c r="Q225" s="2"/>
      <c r="R225" s="7">
        <f t="shared" si="77"/>
        <v>6.0849322350509822E-6</v>
      </c>
      <c r="S225" s="2"/>
      <c r="T225" s="6">
        <v>2000</v>
      </c>
      <c r="U225" s="2"/>
      <c r="V225" s="7">
        <f t="shared" si="78"/>
        <v>2.0143894895266289E-4</v>
      </c>
      <c r="W225" s="2"/>
      <c r="X225" s="6">
        <f t="shared" si="79"/>
        <v>-1947.68</v>
      </c>
      <c r="Y225" s="2"/>
      <c r="Z225" s="7">
        <f t="shared" si="80"/>
        <v>-0.97384000000000004</v>
      </c>
    </row>
    <row r="226" spans="1:26" s="24" customFormat="1" hidden="1" outlineLevel="2" x14ac:dyDescent="0.25">
      <c r="A226" s="25"/>
      <c r="B226" s="11" t="str">
        <f>CONCATENATE("          ", "6373", " - ", "MAINTENANCE CONTRACTS")</f>
        <v xml:space="preserve">          6373 - MAINTENANCE CONTRACTS</v>
      </c>
      <c r="C226" s="11"/>
      <c r="D226" s="6">
        <v>11994.48</v>
      </c>
      <c r="E226" s="2"/>
      <c r="F226" s="7">
        <f t="shared" si="73"/>
        <v>5.1691047123291145E-2</v>
      </c>
      <c r="G226" s="2"/>
      <c r="H226" s="6">
        <v>7040</v>
      </c>
      <c r="I226" s="2"/>
      <c r="J226" s="7">
        <f t="shared" si="74"/>
        <v>7.5288047011589547E-3</v>
      </c>
      <c r="K226" s="2"/>
      <c r="L226" s="6">
        <f t="shared" si="75"/>
        <v>4954.4799999999996</v>
      </c>
      <c r="M226" s="2"/>
      <c r="N226" s="7">
        <f t="shared" si="76"/>
        <v>0.70376136363636355</v>
      </c>
      <c r="O226" s="11"/>
      <c r="P226" s="6">
        <v>69448.56</v>
      </c>
      <c r="Q226" s="2"/>
      <c r="R226" s="7">
        <f t="shared" si="77"/>
        <v>8.0770218161672815E-3</v>
      </c>
      <c r="S226" s="2"/>
      <c r="T226" s="6">
        <v>63435.000000000007</v>
      </c>
      <c r="U226" s="2"/>
      <c r="V226" s="7">
        <f t="shared" si="78"/>
        <v>6.3891398634060856E-3</v>
      </c>
      <c r="W226" s="2"/>
      <c r="X226" s="6">
        <f t="shared" si="79"/>
        <v>6013.5599999999904</v>
      </c>
      <c r="Y226" s="2"/>
      <c r="Z226" s="7">
        <f t="shared" si="80"/>
        <v>9.4798770394892248E-2</v>
      </c>
    </row>
    <row r="227" spans="1:26" s="24" customFormat="1" hidden="1" outlineLevel="2" x14ac:dyDescent="0.25">
      <c r="A227" s="25"/>
      <c r="B227" s="11" t="str">
        <f>CONCATENATE("          ", "6375", " - ", "OUTSIDE REPAIRS &amp; MAINTENANCE")</f>
        <v xml:space="preserve">          6375 - OUTSIDE REPAIRS &amp; MAINTENANCE</v>
      </c>
      <c r="C227" s="11"/>
      <c r="D227" s="6">
        <v>275.95999999999998</v>
      </c>
      <c r="E227" s="2"/>
      <c r="F227" s="7">
        <f t="shared" si="73"/>
        <v>1.1892688440135316E-3</v>
      </c>
      <c r="G227" s="2"/>
      <c r="H227" s="6">
        <v>7500</v>
      </c>
      <c r="I227" s="2"/>
      <c r="J227" s="7">
        <f t="shared" si="74"/>
        <v>8.0207436447005901E-3</v>
      </c>
      <c r="K227" s="2"/>
      <c r="L227" s="6">
        <f t="shared" si="75"/>
        <v>-7224.04</v>
      </c>
      <c r="M227" s="2"/>
      <c r="N227" s="7">
        <f t="shared" si="76"/>
        <v>-0.96320533333333336</v>
      </c>
      <c r="O227" s="11"/>
      <c r="P227" s="6">
        <v>35769.78</v>
      </c>
      <c r="Q227" s="2"/>
      <c r="R227" s="7">
        <f t="shared" si="77"/>
        <v>4.1601048807852047E-3</v>
      </c>
      <c r="S227" s="2"/>
      <c r="T227" s="6">
        <v>61524.999999999993</v>
      </c>
      <c r="U227" s="2"/>
      <c r="V227" s="7">
        <f t="shared" si="78"/>
        <v>6.1967656671562911E-3</v>
      </c>
      <c r="W227" s="2"/>
      <c r="X227" s="6">
        <f t="shared" si="79"/>
        <v>-25755.219999999994</v>
      </c>
      <c r="Y227" s="2"/>
      <c r="Z227" s="7">
        <f t="shared" si="80"/>
        <v>-0.41861389678992272</v>
      </c>
    </row>
    <row r="228" spans="1:26" s="27" customFormat="1" outlineLevel="1" collapsed="1" x14ac:dyDescent="0.25">
      <c r="A228" s="26"/>
      <c r="B228" s="13" t="str">
        <f>CONCATENATE("     ","Royalty &amp; Commissions                             ")</f>
        <v xml:space="preserve">     Royalty &amp; Commissions                             </v>
      </c>
      <c r="C228" s="13"/>
      <c r="D228" s="1">
        <f>SUM(OSRRefD22_17x_0)</f>
        <v>6708.88</v>
      </c>
      <c r="E228" s="1"/>
      <c r="F228" s="5">
        <f t="shared" ref="F228:F232" si="81">IF(D$12=0,0,D228/D$12)</f>
        <v>2.8912385716138217E-2</v>
      </c>
      <c r="G228" s="1"/>
      <c r="H228" s="1">
        <f>SUM(OSRRefH22_17x_0)</f>
        <v>16485</v>
      </c>
      <c r="I228" s="1"/>
      <c r="J228" s="5">
        <f t="shared" ref="J228:J232" si="82">IF(H$12=0,0,H228/H$12)</f>
        <v>1.7629594531051899E-2</v>
      </c>
      <c r="K228" s="1"/>
      <c r="L228" s="1">
        <f t="shared" ref="L228:L232" si="83">+D228-H228</f>
        <v>-9776.119999999999</v>
      </c>
      <c r="M228" s="1"/>
      <c r="N228" s="5">
        <f t="shared" ref="N228:N232" si="84">IF(H228=0,0,L228/H228)</f>
        <v>-0.59303124052168632</v>
      </c>
      <c r="O228" s="13"/>
      <c r="P228" s="1">
        <f>SUM(OSRRefP22_17x_0)</f>
        <v>103111.94999999998</v>
      </c>
      <c r="Q228" s="1"/>
      <c r="R228" s="5">
        <f t="shared" ref="R228:R232" si="85">IF(P$12=0,0,P228/P$12)</f>
        <v>1.1992148860358659E-2</v>
      </c>
      <c r="S228" s="1"/>
      <c r="T228" s="1">
        <f>SUM(OSRRefT22_17x_0)</f>
        <v>148365</v>
      </c>
      <c r="U228" s="1"/>
      <c r="V228" s="5">
        <f t="shared" ref="V228:V232" si="86">IF(T$12=0,0,T228/T$12)</f>
        <v>1.4943244830680914E-2</v>
      </c>
      <c r="W228" s="1"/>
      <c r="X228" s="1">
        <f t="shared" ref="X228:X232" si="87">+P228-T228</f>
        <v>-45253.050000000017</v>
      </c>
      <c r="Y228" s="1"/>
      <c r="Z228" s="5">
        <f t="shared" ref="Z228:Z232" si="88">IF(T228=0,0,X228/T228)</f>
        <v>-0.30501162673137205</v>
      </c>
    </row>
    <row r="229" spans="1:26" s="24" customFormat="1" hidden="1" outlineLevel="2" x14ac:dyDescent="0.25">
      <c r="A229" s="25"/>
      <c r="B229" s="11" t="str">
        <f>CONCATENATE("          ", "6252", " - ", "ROYALTY DUE CSTV")</f>
        <v xml:space="preserve">          6252 - ROYALTY DUE CSTV</v>
      </c>
      <c r="C229" s="11"/>
      <c r="D229" s="6"/>
      <c r="E229" s="2"/>
      <c r="F229" s="7">
        <f t="shared" si="81"/>
        <v>0</v>
      </c>
      <c r="G229" s="2"/>
      <c r="H229" s="6">
        <v>1085</v>
      </c>
      <c r="I229" s="2"/>
      <c r="J229" s="7">
        <f t="shared" si="82"/>
        <v>1.1603342472666855E-3</v>
      </c>
      <c r="K229" s="2"/>
      <c r="L229" s="6">
        <f t="shared" si="83"/>
        <v>-1085</v>
      </c>
      <c r="M229" s="2"/>
      <c r="N229" s="7">
        <f t="shared" si="84"/>
        <v>-1</v>
      </c>
      <c r="O229" s="11"/>
      <c r="P229" s="6"/>
      <c r="Q229" s="2"/>
      <c r="R229" s="7">
        <f t="shared" si="85"/>
        <v>0</v>
      </c>
      <c r="S229" s="2"/>
      <c r="T229" s="6">
        <v>9765</v>
      </c>
      <c r="U229" s="2"/>
      <c r="V229" s="7">
        <f t="shared" si="86"/>
        <v>9.8352566826137664E-4</v>
      </c>
      <c r="W229" s="2"/>
      <c r="X229" s="6">
        <f t="shared" si="87"/>
        <v>-9765</v>
      </c>
      <c r="Y229" s="2"/>
      <c r="Z229" s="7">
        <f t="shared" si="88"/>
        <v>-1</v>
      </c>
    </row>
    <row r="230" spans="1:26" s="24" customFormat="1" hidden="1" outlineLevel="2" x14ac:dyDescent="0.25">
      <c r="A230" s="25"/>
      <c r="B230" s="11" t="str">
        <f>CONCATENATE("          ", "6253", " - ", "ROYALTY DUE ATHLETICS-LRG")</f>
        <v xml:space="preserve">          6253 - ROYALTY DUE ATHLETICS-LRG</v>
      </c>
      <c r="C230" s="11"/>
      <c r="D230" s="6">
        <v>1669.49</v>
      </c>
      <c r="E230" s="2"/>
      <c r="F230" s="7">
        <f t="shared" si="81"/>
        <v>7.194783455544829E-3</v>
      </c>
      <c r="G230" s="2"/>
      <c r="H230" s="6">
        <v>3700</v>
      </c>
      <c r="I230" s="2"/>
      <c r="J230" s="7">
        <f t="shared" si="82"/>
        <v>3.9569001980522918E-3</v>
      </c>
      <c r="K230" s="2"/>
      <c r="L230" s="6">
        <f t="shared" si="83"/>
        <v>-2030.51</v>
      </c>
      <c r="M230" s="2"/>
      <c r="N230" s="7">
        <f t="shared" si="84"/>
        <v>-0.54878648648648654</v>
      </c>
      <c r="O230" s="11"/>
      <c r="P230" s="6">
        <v>18314.929999999997</v>
      </c>
      <c r="Q230" s="2"/>
      <c r="R230" s="7">
        <f t="shared" si="85"/>
        <v>2.1300670477771839E-3</v>
      </c>
      <c r="S230" s="2"/>
      <c r="T230" s="6">
        <v>33300</v>
      </c>
      <c r="U230" s="2"/>
      <c r="V230" s="7">
        <f t="shared" si="86"/>
        <v>3.3539585000618372E-3</v>
      </c>
      <c r="W230" s="2"/>
      <c r="X230" s="6">
        <f t="shared" si="87"/>
        <v>-14985.070000000003</v>
      </c>
      <c r="Y230" s="2"/>
      <c r="Z230" s="7">
        <f t="shared" si="88"/>
        <v>-0.45000210210210217</v>
      </c>
    </row>
    <row r="231" spans="1:26" s="24" customFormat="1" hidden="1" outlineLevel="2" x14ac:dyDescent="0.25">
      <c r="A231" s="25"/>
      <c r="B231" s="11" t="str">
        <f>CONCATENATE("          ", "6254", " - ", "ROYALTY &amp; COMMISSIONS")</f>
        <v xml:space="preserve">          6254 - ROYALTY &amp; COMMISSIONS</v>
      </c>
      <c r="C231" s="11"/>
      <c r="D231" s="6">
        <v>1175.47</v>
      </c>
      <c r="E231" s="2"/>
      <c r="F231" s="7">
        <f t="shared" si="81"/>
        <v>5.0657698509660315E-3</v>
      </c>
      <c r="G231" s="2"/>
      <c r="H231" s="6">
        <v>11700</v>
      </c>
      <c r="I231" s="2"/>
      <c r="J231" s="7">
        <f t="shared" si="82"/>
        <v>1.2512360085732923E-2</v>
      </c>
      <c r="K231" s="2"/>
      <c r="L231" s="6">
        <f t="shared" si="83"/>
        <v>-10524.53</v>
      </c>
      <c r="M231" s="2"/>
      <c r="N231" s="7">
        <f t="shared" si="84"/>
        <v>-0.89953247863247865</v>
      </c>
      <c r="O231" s="11"/>
      <c r="P231" s="6">
        <v>7971.22</v>
      </c>
      <c r="Q231" s="2"/>
      <c r="R231" s="7">
        <f t="shared" si="85"/>
        <v>9.2707059500541072E-4</v>
      </c>
      <c r="S231" s="2"/>
      <c r="T231" s="6">
        <v>105300</v>
      </c>
      <c r="U231" s="2"/>
      <c r="V231" s="7">
        <f t="shared" si="86"/>
        <v>1.06057606623577E-2</v>
      </c>
      <c r="W231" s="2"/>
      <c r="X231" s="6">
        <f t="shared" si="87"/>
        <v>-97328.78</v>
      </c>
      <c r="Y231" s="2"/>
      <c r="Z231" s="7">
        <f t="shared" si="88"/>
        <v>-0.92429990503323833</v>
      </c>
    </row>
    <row r="232" spans="1:26" s="24" customFormat="1" hidden="1" outlineLevel="2" x14ac:dyDescent="0.25">
      <c r="A232" s="25"/>
      <c r="B232" s="11" t="str">
        <f>CONCATENATE("          ", "6259", " - ", "ROYALTY &amp; COMMISSIONS")</f>
        <v xml:space="preserve">          6259 - ROYALTY &amp; COMMISSIONS</v>
      </c>
      <c r="C232" s="11"/>
      <c r="D232" s="6">
        <v>3863.92</v>
      </c>
      <c r="E232" s="2"/>
      <c r="F232" s="7">
        <f t="shared" si="81"/>
        <v>1.6651832409627355E-2</v>
      </c>
      <c r="G232" s="2"/>
      <c r="H232" s="6"/>
      <c r="I232" s="2"/>
      <c r="J232" s="7">
        <f t="shared" si="82"/>
        <v>0</v>
      </c>
      <c r="K232" s="2"/>
      <c r="L232" s="6">
        <f t="shared" si="83"/>
        <v>3863.92</v>
      </c>
      <c r="M232" s="2"/>
      <c r="N232" s="7">
        <f t="shared" si="84"/>
        <v>0</v>
      </c>
      <c r="O232" s="11"/>
      <c r="P232" s="6">
        <v>76825.799999999988</v>
      </c>
      <c r="Q232" s="2"/>
      <c r="R232" s="7">
        <f t="shared" si="85"/>
        <v>8.9350112175760645E-3</v>
      </c>
      <c r="S232" s="2"/>
      <c r="T232" s="6"/>
      <c r="U232" s="2"/>
      <c r="V232" s="7">
        <f t="shared" si="86"/>
        <v>0</v>
      </c>
      <c r="W232" s="2"/>
      <c r="X232" s="6">
        <f t="shared" si="87"/>
        <v>76825.799999999988</v>
      </c>
      <c r="Y232" s="2"/>
      <c r="Z232" s="7">
        <f t="shared" si="88"/>
        <v>0</v>
      </c>
    </row>
    <row r="233" spans="1:26" s="27" customFormat="1" outlineLevel="1" collapsed="1" x14ac:dyDescent="0.25">
      <c r="A233" s="26"/>
      <c r="B233" s="13" t="str">
        <f>CONCATENATE("     ","Services                                          ")</f>
        <v xml:space="preserve">     Services                                          </v>
      </c>
      <c r="C233" s="13"/>
      <c r="D233" s="1">
        <f>SUM(OSRRefD22_18x_0)</f>
        <v>4580.8599999999997</v>
      </c>
      <c r="E233" s="1"/>
      <c r="F233" s="5">
        <f t="shared" ref="F233:F237" si="89">IF(D$12=0,0,D233/D$12)</f>
        <v>1.9741535283330287E-2</v>
      </c>
      <c r="G233" s="1"/>
      <c r="H233" s="1">
        <f>SUM(OSRRefH22_18x_0)</f>
        <v>4442.5</v>
      </c>
      <c r="I233" s="1"/>
      <c r="J233" s="5">
        <f t="shared" ref="J233:J237" si="90">IF(H$12=0,0,H233/H$12)</f>
        <v>4.7509538188776502E-3</v>
      </c>
      <c r="K233" s="1"/>
      <c r="L233" s="1">
        <f t="shared" ref="L233:L237" si="91">+D233-H233</f>
        <v>138.35999999999967</v>
      </c>
      <c r="M233" s="1"/>
      <c r="N233" s="5">
        <f t="shared" ref="N233:N237" si="92">IF(H233=0,0,L233/H233)</f>
        <v>3.1144625773775952E-2</v>
      </c>
      <c r="O233" s="13"/>
      <c r="P233" s="1">
        <f>SUM(OSRRefP22_18x_0)</f>
        <v>41600.92</v>
      </c>
      <c r="Q233" s="1"/>
      <c r="R233" s="5">
        <f t="shared" ref="R233:R237" si="93">IF(P$12=0,0,P233/P$12)</f>
        <v>4.8382794173504797E-3</v>
      </c>
      <c r="S233" s="1"/>
      <c r="T233" s="1">
        <f>SUM(OSRRefT22_18x_0)</f>
        <v>40247.5</v>
      </c>
      <c r="U233" s="1"/>
      <c r="V233" s="5">
        <f t="shared" ref="V233:V237" si="94">IF(T$12=0,0,T233/T$12)</f>
        <v>4.0537070489861495E-3</v>
      </c>
      <c r="W233" s="1"/>
      <c r="X233" s="1">
        <f t="shared" ref="X233:X237" si="95">+P233-T233</f>
        <v>1353.4199999999983</v>
      </c>
      <c r="Y233" s="1"/>
      <c r="Z233" s="5">
        <f t="shared" ref="Z233:Z237" si="96">IF(T233=0,0,X233/T233)</f>
        <v>3.3627430275172329E-2</v>
      </c>
    </row>
    <row r="234" spans="1:26" s="24" customFormat="1" hidden="1" outlineLevel="2" x14ac:dyDescent="0.25">
      <c r="A234" s="25"/>
      <c r="B234" s="11" t="str">
        <f>CONCATENATE("          ", "6282", " - ", "JANITORIAL/EXTERMINATOR EXPENS")</f>
        <v xml:space="preserve">          6282 - JANITORIAL/EXTERMINATOR EXPENS</v>
      </c>
      <c r="C234" s="11"/>
      <c r="D234" s="6">
        <v>222.5</v>
      </c>
      <c r="E234" s="2"/>
      <c r="F234" s="7">
        <f t="shared" si="89"/>
        <v>9.5887924986596173E-4</v>
      </c>
      <c r="G234" s="2"/>
      <c r="H234" s="6">
        <v>50</v>
      </c>
      <c r="I234" s="2"/>
      <c r="J234" s="7">
        <f t="shared" si="90"/>
        <v>5.3471624298003942E-5</v>
      </c>
      <c r="K234" s="2"/>
      <c r="L234" s="6">
        <f t="shared" si="91"/>
        <v>172.5</v>
      </c>
      <c r="M234" s="2"/>
      <c r="N234" s="7">
        <f t="shared" si="92"/>
        <v>3.45</v>
      </c>
      <c r="O234" s="11"/>
      <c r="P234" s="6">
        <v>2375.52</v>
      </c>
      <c r="Q234" s="2"/>
      <c r="R234" s="7">
        <f t="shared" si="93"/>
        <v>2.762782534978652E-4</v>
      </c>
      <c r="S234" s="2"/>
      <c r="T234" s="6">
        <v>450</v>
      </c>
      <c r="U234" s="2"/>
      <c r="V234" s="7">
        <f t="shared" si="94"/>
        <v>4.532376351434915E-5</v>
      </c>
      <c r="W234" s="2"/>
      <c r="X234" s="6">
        <f t="shared" si="95"/>
        <v>1925.52</v>
      </c>
      <c r="Y234" s="2"/>
      <c r="Z234" s="7">
        <f t="shared" si="96"/>
        <v>4.2789333333333337</v>
      </c>
    </row>
    <row r="235" spans="1:26" s="24" customFormat="1" hidden="1" outlineLevel="2" x14ac:dyDescent="0.25">
      <c r="A235" s="25"/>
      <c r="B235" s="11" t="str">
        <f>CONCATENATE("          ", "6283", " - ", "PLANT SERVICE")</f>
        <v xml:space="preserve">          6283 - PLANT SERVICE</v>
      </c>
      <c r="C235" s="11"/>
      <c r="D235" s="6"/>
      <c r="E235" s="2"/>
      <c r="F235" s="7">
        <f t="shared" si="89"/>
        <v>0</v>
      </c>
      <c r="G235" s="2"/>
      <c r="H235" s="6">
        <v>60</v>
      </c>
      <c r="I235" s="2"/>
      <c r="J235" s="7">
        <f t="shared" si="90"/>
        <v>6.4165949157604733E-5</v>
      </c>
      <c r="K235" s="2"/>
      <c r="L235" s="6">
        <f t="shared" si="91"/>
        <v>-60</v>
      </c>
      <c r="M235" s="2"/>
      <c r="N235" s="7">
        <f t="shared" si="92"/>
        <v>-1</v>
      </c>
      <c r="O235" s="11"/>
      <c r="P235" s="6">
        <v>541.98</v>
      </c>
      <c r="Q235" s="2"/>
      <c r="R235" s="7">
        <f t="shared" si="93"/>
        <v>6.3033478072494858E-5</v>
      </c>
      <c r="S235" s="2"/>
      <c r="T235" s="6">
        <v>540</v>
      </c>
      <c r="U235" s="2"/>
      <c r="V235" s="7">
        <f t="shared" si="94"/>
        <v>5.4388516217218984E-5</v>
      </c>
      <c r="W235" s="2"/>
      <c r="X235" s="6">
        <f t="shared" si="95"/>
        <v>1.9800000000000182</v>
      </c>
      <c r="Y235" s="2"/>
      <c r="Z235" s="7">
        <f t="shared" si="96"/>
        <v>3.6666666666667004E-3</v>
      </c>
    </row>
    <row r="236" spans="1:26" s="24" customFormat="1" hidden="1" outlineLevel="2" x14ac:dyDescent="0.25">
      <c r="A236" s="25"/>
      <c r="B236" s="11" t="str">
        <f>CONCATENATE("          ", "6284", " - ", "TRASH REMOVAL EXPENSE")</f>
        <v xml:space="preserve">          6284 - TRASH REMOVAL EXPENSE</v>
      </c>
      <c r="C236" s="11"/>
      <c r="D236" s="6">
        <v>134.82</v>
      </c>
      <c r="E236" s="2"/>
      <c r="F236" s="7">
        <f t="shared" si="89"/>
        <v>5.8101618187383799E-4</v>
      </c>
      <c r="G236" s="2"/>
      <c r="H236" s="6">
        <v>62.5</v>
      </c>
      <c r="I236" s="2"/>
      <c r="J236" s="7">
        <f t="shared" si="90"/>
        <v>6.6839530372504922E-5</v>
      </c>
      <c r="K236" s="2"/>
      <c r="L236" s="6">
        <f t="shared" si="91"/>
        <v>72.319999999999993</v>
      </c>
      <c r="M236" s="2"/>
      <c r="N236" s="7">
        <f t="shared" si="92"/>
        <v>1.1571199999999999</v>
      </c>
      <c r="O236" s="11"/>
      <c r="P236" s="6">
        <v>1213.3800000000001</v>
      </c>
      <c r="Q236" s="2"/>
      <c r="R236" s="7">
        <f t="shared" si="93"/>
        <v>1.4111878966678444E-4</v>
      </c>
      <c r="S236" s="2"/>
      <c r="T236" s="6">
        <v>562.5</v>
      </c>
      <c r="U236" s="2"/>
      <c r="V236" s="7">
        <f t="shared" si="94"/>
        <v>5.6654704392936439E-5</v>
      </c>
      <c r="W236" s="2"/>
      <c r="X236" s="6">
        <f t="shared" si="95"/>
        <v>650.88000000000011</v>
      </c>
      <c r="Y236" s="2"/>
      <c r="Z236" s="7">
        <f t="shared" si="96"/>
        <v>1.1571200000000001</v>
      </c>
    </row>
    <row r="237" spans="1:26" s="24" customFormat="1" hidden="1" outlineLevel="2" x14ac:dyDescent="0.25">
      <c r="A237" s="25"/>
      <c r="B237" s="11" t="str">
        <f>CONCATENATE("          ", "6285", " - ", "JANITORIAL SERVICES")</f>
        <v xml:space="preserve">          6285 - JANITORIAL SERVICES</v>
      </c>
      <c r="C237" s="11"/>
      <c r="D237" s="6">
        <v>4223.54</v>
      </c>
      <c r="E237" s="2"/>
      <c r="F237" s="7">
        <f t="shared" si="89"/>
        <v>1.8201639851590488E-2</v>
      </c>
      <c r="G237" s="2"/>
      <c r="H237" s="6">
        <v>4270</v>
      </c>
      <c r="I237" s="2"/>
      <c r="J237" s="7">
        <f t="shared" si="90"/>
        <v>4.5664767150495368E-3</v>
      </c>
      <c r="K237" s="2"/>
      <c r="L237" s="6">
        <f t="shared" si="91"/>
        <v>-46.460000000000036</v>
      </c>
      <c r="M237" s="2"/>
      <c r="N237" s="7">
        <f t="shared" si="92"/>
        <v>-1.0880562060889939E-2</v>
      </c>
      <c r="O237" s="11"/>
      <c r="P237" s="6">
        <v>37470.04</v>
      </c>
      <c r="Q237" s="2"/>
      <c r="R237" s="7">
        <f t="shared" si="93"/>
        <v>4.3578488961133355E-3</v>
      </c>
      <c r="S237" s="2"/>
      <c r="T237" s="6">
        <v>38695</v>
      </c>
      <c r="U237" s="2"/>
      <c r="V237" s="7">
        <f t="shared" si="94"/>
        <v>3.8973400648616451E-3</v>
      </c>
      <c r="W237" s="2"/>
      <c r="X237" s="6">
        <f t="shared" si="95"/>
        <v>-1224.9599999999991</v>
      </c>
      <c r="Y237" s="2"/>
      <c r="Z237" s="7">
        <f t="shared" si="96"/>
        <v>-3.1656803204548369E-2</v>
      </c>
    </row>
    <row r="238" spans="1:26" s="27" customFormat="1" outlineLevel="1" collapsed="1" x14ac:dyDescent="0.25">
      <c r="A238" s="26"/>
      <c r="B238" s="13" t="str">
        <f>CONCATENATE("     ","Subscriptions &amp; Dues                              ")</f>
        <v xml:space="preserve">     Subscriptions &amp; Dues                              </v>
      </c>
      <c r="C238" s="13"/>
      <c r="D238" s="1">
        <f>SUM(OSRRefD22_19x_0)</f>
        <v>616.54</v>
      </c>
      <c r="E238" s="1"/>
      <c r="F238" s="5">
        <f t="shared" ref="F238:F240" si="97">IF(D$12=0,0,D238/D$12)</f>
        <v>2.6570220796061123E-3</v>
      </c>
      <c r="G238" s="1"/>
      <c r="H238" s="1">
        <f>SUM(OSRRefH22_19x_0)</f>
        <v>1715</v>
      </c>
      <c r="I238" s="1"/>
      <c r="J238" s="5">
        <f t="shared" ref="J238:J240" si="98">IF(H$12=0,0,H238/H$12)</f>
        <v>1.8340767134215352E-3</v>
      </c>
      <c r="K238" s="1"/>
      <c r="L238" s="1">
        <f t="shared" ref="L238:L240" si="99">+D238-H238</f>
        <v>-1098.46</v>
      </c>
      <c r="M238" s="1"/>
      <c r="N238" s="5">
        <f t="shared" ref="N238:N240" si="100">IF(H238=0,0,L238/H238)</f>
        <v>-0.64050145772594758</v>
      </c>
      <c r="O238" s="13"/>
      <c r="P238" s="1">
        <f>SUM(OSRRefP22_19x_0)</f>
        <v>4921.7699999999995</v>
      </c>
      <c r="Q238" s="1"/>
      <c r="R238" s="5">
        <f t="shared" ref="R238:R240" si="101">IF(P$12=0,0,P238/P$12)</f>
        <v>5.7241278529256243E-4</v>
      </c>
      <c r="S238" s="1"/>
      <c r="T238" s="1">
        <f>SUM(OSRRefT22_19x_0)</f>
        <v>19450</v>
      </c>
      <c r="U238" s="1"/>
      <c r="V238" s="5">
        <f t="shared" ref="V238:V240" si="102">IF(T$12=0,0,T238/T$12)</f>
        <v>1.9589937785646468E-3</v>
      </c>
      <c r="W238" s="1"/>
      <c r="X238" s="1">
        <f t="shared" ref="X238:X240" si="103">+P238-T238</f>
        <v>-14528.23</v>
      </c>
      <c r="Y238" s="1"/>
      <c r="Z238" s="5">
        <f t="shared" ref="Z238:Z240" si="104">IF(T238=0,0,X238/T238)</f>
        <v>-0.74695269922879171</v>
      </c>
    </row>
    <row r="239" spans="1:26" s="24" customFormat="1" hidden="1" outlineLevel="2" x14ac:dyDescent="0.25">
      <c r="A239" s="25"/>
      <c r="B239" s="11" t="str">
        <f>CONCATENATE("          ", "6258", " - ", "MEMBERSHIP DUES")</f>
        <v xml:space="preserve">          6258 - MEMBERSHIP DUES</v>
      </c>
      <c r="C239" s="11"/>
      <c r="D239" s="6">
        <v>616.54</v>
      </c>
      <c r="E239" s="2"/>
      <c r="F239" s="7">
        <f t="shared" si="97"/>
        <v>2.6570220796061123E-3</v>
      </c>
      <c r="G239" s="2"/>
      <c r="H239" s="6">
        <v>400</v>
      </c>
      <c r="I239" s="2"/>
      <c r="J239" s="7">
        <f t="shared" si="98"/>
        <v>4.2777299438403153E-4</v>
      </c>
      <c r="K239" s="2"/>
      <c r="L239" s="6">
        <f t="shared" si="99"/>
        <v>216.53999999999996</v>
      </c>
      <c r="M239" s="2"/>
      <c r="N239" s="7">
        <f t="shared" si="100"/>
        <v>0.54134999999999989</v>
      </c>
      <c r="O239" s="11"/>
      <c r="P239" s="6">
        <v>4056.41</v>
      </c>
      <c r="Q239" s="2"/>
      <c r="R239" s="7">
        <f t="shared" si="101"/>
        <v>4.7176949479325598E-4</v>
      </c>
      <c r="S239" s="2"/>
      <c r="T239" s="6">
        <v>14640</v>
      </c>
      <c r="U239" s="2"/>
      <c r="V239" s="7">
        <f t="shared" si="102"/>
        <v>1.4745331063334925E-3</v>
      </c>
      <c r="W239" s="2"/>
      <c r="X239" s="6">
        <f t="shared" si="103"/>
        <v>-10583.59</v>
      </c>
      <c r="Y239" s="2"/>
      <c r="Z239" s="7">
        <f t="shared" si="104"/>
        <v>-0.72292281420765026</v>
      </c>
    </row>
    <row r="240" spans="1:26" s="24" customFormat="1" hidden="1" outlineLevel="2" x14ac:dyDescent="0.25">
      <c r="A240" s="25"/>
      <c r="B240" s="11" t="str">
        <f>CONCATENATE("          ", "6275", " - ", "SUBSCRIPTIONS")</f>
        <v xml:space="preserve">          6275 - SUBSCRIPTIONS</v>
      </c>
      <c r="C240" s="11"/>
      <c r="D240" s="6"/>
      <c r="E240" s="2"/>
      <c r="F240" s="7">
        <f t="shared" si="97"/>
        <v>0</v>
      </c>
      <c r="G240" s="2"/>
      <c r="H240" s="6">
        <v>1315</v>
      </c>
      <c r="I240" s="2"/>
      <c r="J240" s="7">
        <f t="shared" si="98"/>
        <v>1.4063037190375036E-3</v>
      </c>
      <c r="K240" s="2"/>
      <c r="L240" s="6">
        <f t="shared" si="99"/>
        <v>-1315</v>
      </c>
      <c r="M240" s="2"/>
      <c r="N240" s="7">
        <f t="shared" si="100"/>
        <v>-1</v>
      </c>
      <c r="O240" s="11"/>
      <c r="P240" s="6">
        <v>865.36</v>
      </c>
      <c r="Q240" s="2"/>
      <c r="R240" s="7">
        <f t="shared" si="101"/>
        <v>1.0064329049930653E-4</v>
      </c>
      <c r="S240" s="2"/>
      <c r="T240" s="6">
        <v>4810</v>
      </c>
      <c r="U240" s="2"/>
      <c r="V240" s="7">
        <f t="shared" si="102"/>
        <v>4.8446067223115424E-4</v>
      </c>
      <c r="W240" s="2"/>
      <c r="X240" s="6">
        <f t="shared" si="103"/>
        <v>-3944.64</v>
      </c>
      <c r="Y240" s="2"/>
      <c r="Z240" s="7">
        <f t="shared" si="104"/>
        <v>-0.82009147609147603</v>
      </c>
    </row>
    <row r="241" spans="1:26" s="27" customFormat="1" outlineLevel="1" collapsed="1" x14ac:dyDescent="0.25">
      <c r="A241" s="26"/>
      <c r="B241" s="13" t="str">
        <f>CONCATENATE("     ","Supplies                                          ")</f>
        <v xml:space="preserve">     Supplies                                          </v>
      </c>
      <c r="C241" s="13"/>
      <c r="D241" s="1">
        <f>SUM(OSRRefD22_20x_0)</f>
        <v>11870.29</v>
      </c>
      <c r="E241" s="1"/>
      <c r="F241" s="5">
        <f t="shared" ref="F241:F248" si="105">IF(D$12=0,0,D241/D$12)</f>
        <v>5.1155841666927764E-2</v>
      </c>
      <c r="G241" s="1"/>
      <c r="H241" s="1">
        <f>SUM(OSRRefH22_20x_0)</f>
        <v>18770</v>
      </c>
      <c r="I241" s="1"/>
      <c r="J241" s="5">
        <f t="shared" ref="J241:J248" si="106">IF(H$12=0,0,H241/H$12)</f>
        <v>2.0073247761470681E-2</v>
      </c>
      <c r="K241" s="1"/>
      <c r="L241" s="1">
        <f t="shared" ref="L241:L248" si="107">+D241-H241</f>
        <v>-6899.7099999999991</v>
      </c>
      <c r="M241" s="1"/>
      <c r="N241" s="5">
        <f t="shared" ref="N241:N248" si="108">IF(H241=0,0,L241/H241)</f>
        <v>-0.36759243473628123</v>
      </c>
      <c r="O241" s="13"/>
      <c r="P241" s="1">
        <f>SUM(OSRRefP22_20x_0)</f>
        <v>83146.36</v>
      </c>
      <c r="Q241" s="1"/>
      <c r="R241" s="5">
        <f t="shared" ref="R241:R248" si="109">IF(P$12=0,0,P241/P$12)</f>
        <v>9.6701063874455959E-3</v>
      </c>
      <c r="S241" s="1"/>
      <c r="T241" s="1">
        <f>SUM(OSRRefT22_20x_0)</f>
        <v>155075</v>
      </c>
      <c r="U241" s="1"/>
      <c r="V241" s="5">
        <f t="shared" ref="V241:V248" si="110">IF(T$12=0,0,T241/T$12)</f>
        <v>1.56190725044171E-2</v>
      </c>
      <c r="W241" s="1"/>
      <c r="X241" s="1">
        <f t="shared" ref="X241:X248" si="111">+P241-T241</f>
        <v>-71928.639999999999</v>
      </c>
      <c r="Y241" s="1"/>
      <c r="Z241" s="5">
        <f t="shared" ref="Z241:Z248" si="112">IF(T241=0,0,X241/T241)</f>
        <v>-0.46383130743188777</v>
      </c>
    </row>
    <row r="242" spans="1:26" s="24" customFormat="1" hidden="1" outlineLevel="2" x14ac:dyDescent="0.25">
      <c r="A242" s="25"/>
      <c r="B242" s="11" t="str">
        <f>CONCATENATE("          ", "6234", " - ", "EXPENDABLE SUPPLIES &amp; EQUIPMEN")</f>
        <v xml:space="preserve">          6234 - EXPENDABLE SUPPLIES &amp; EQUIPMEN</v>
      </c>
      <c r="C242" s="11"/>
      <c r="D242" s="6">
        <v>140.75</v>
      </c>
      <c r="E242" s="2"/>
      <c r="F242" s="7">
        <f t="shared" si="105"/>
        <v>6.0657192997138926E-4</v>
      </c>
      <c r="G242" s="2"/>
      <c r="H242" s="6">
        <v>300</v>
      </c>
      <c r="I242" s="2"/>
      <c r="J242" s="7">
        <f t="shared" si="106"/>
        <v>3.2082974578802364E-4</v>
      </c>
      <c r="K242" s="2"/>
      <c r="L242" s="6">
        <f t="shared" si="107"/>
        <v>-159.25</v>
      </c>
      <c r="M242" s="2"/>
      <c r="N242" s="7">
        <f t="shared" si="108"/>
        <v>-0.53083333333333338</v>
      </c>
      <c r="O242" s="11"/>
      <c r="P242" s="6">
        <v>3301.7</v>
      </c>
      <c r="Q242" s="2"/>
      <c r="R242" s="7">
        <f t="shared" si="109"/>
        <v>3.8399504511597529E-4</v>
      </c>
      <c r="S242" s="2"/>
      <c r="T242" s="6">
        <v>6550</v>
      </c>
      <c r="U242" s="2"/>
      <c r="V242" s="7">
        <f t="shared" si="110"/>
        <v>6.59712557819971E-4</v>
      </c>
      <c r="W242" s="2"/>
      <c r="X242" s="6">
        <f t="shared" si="111"/>
        <v>-3248.3</v>
      </c>
      <c r="Y242" s="2"/>
      <c r="Z242" s="7">
        <f t="shared" si="112"/>
        <v>-0.49592366412213745</v>
      </c>
    </row>
    <row r="243" spans="1:26" s="24" customFormat="1" hidden="1" outlineLevel="2" x14ac:dyDescent="0.25">
      <c r="A243" s="25"/>
      <c r="B243" s="11" t="str">
        <f>CONCATENATE("          ", "6237", " - ", "JANITORIAL SUPPLIES")</f>
        <v xml:space="preserve">          6237 - JANITORIAL SUPPLIES</v>
      </c>
      <c r="C243" s="11"/>
      <c r="D243" s="6">
        <v>470.52</v>
      </c>
      <c r="E243" s="2"/>
      <c r="F243" s="7">
        <f t="shared" si="105"/>
        <v>2.0277387175143022E-3</v>
      </c>
      <c r="G243" s="2"/>
      <c r="H243" s="6">
        <v>45</v>
      </c>
      <c r="I243" s="2"/>
      <c r="J243" s="7">
        <f t="shared" si="106"/>
        <v>4.8124461868203543E-5</v>
      </c>
      <c r="K243" s="2"/>
      <c r="L243" s="6">
        <f t="shared" si="107"/>
        <v>425.52</v>
      </c>
      <c r="M243" s="2"/>
      <c r="N243" s="7">
        <f t="shared" si="108"/>
        <v>9.4559999999999995</v>
      </c>
      <c r="O243" s="11"/>
      <c r="P243" s="6">
        <v>4822.6499999999996</v>
      </c>
      <c r="Q243" s="2"/>
      <c r="R243" s="7">
        <f t="shared" si="109"/>
        <v>5.6088490908579155E-4</v>
      </c>
      <c r="S243" s="2"/>
      <c r="T243" s="6">
        <v>400</v>
      </c>
      <c r="U243" s="2"/>
      <c r="V243" s="7">
        <f t="shared" si="110"/>
        <v>4.0287789790532577E-5</v>
      </c>
      <c r="W243" s="2"/>
      <c r="X243" s="6">
        <f t="shared" si="111"/>
        <v>4422.6499999999996</v>
      </c>
      <c r="Y243" s="2"/>
      <c r="Z243" s="7">
        <f t="shared" si="112"/>
        <v>11.056624999999999</v>
      </c>
    </row>
    <row r="244" spans="1:26" s="24" customFormat="1" hidden="1" outlineLevel="2" x14ac:dyDescent="0.25">
      <c r="A244" s="25"/>
      <c r="B244" s="11" t="str">
        <f>CONCATENATE("          ", "6241", " - ", "OFFICE EXPENSE")</f>
        <v xml:space="preserve">          6241 - OFFICE EXPENSE</v>
      </c>
      <c r="C244" s="11"/>
      <c r="D244" s="6">
        <v>671.31</v>
      </c>
      <c r="E244" s="2"/>
      <c r="F244" s="7">
        <f t="shared" si="105"/>
        <v>2.8930572100113201E-3</v>
      </c>
      <c r="G244" s="2"/>
      <c r="H244" s="6">
        <v>1000</v>
      </c>
      <c r="I244" s="2"/>
      <c r="J244" s="7">
        <f t="shared" si="106"/>
        <v>1.0694324859600788E-3</v>
      </c>
      <c r="K244" s="2"/>
      <c r="L244" s="6">
        <f t="shared" si="107"/>
        <v>-328.69000000000005</v>
      </c>
      <c r="M244" s="2"/>
      <c r="N244" s="7">
        <f t="shared" si="108"/>
        <v>-0.32869000000000004</v>
      </c>
      <c r="O244" s="11"/>
      <c r="P244" s="6">
        <v>22405.84</v>
      </c>
      <c r="Q244" s="2"/>
      <c r="R244" s="7">
        <f t="shared" si="109"/>
        <v>2.6058489692162594E-3</v>
      </c>
      <c r="S244" s="2"/>
      <c r="T244" s="6">
        <v>14750</v>
      </c>
      <c r="U244" s="2"/>
      <c r="V244" s="7">
        <f t="shared" si="110"/>
        <v>1.4856122485258888E-3</v>
      </c>
      <c r="W244" s="2"/>
      <c r="X244" s="6">
        <f t="shared" si="111"/>
        <v>7655.84</v>
      </c>
      <c r="Y244" s="2"/>
      <c r="Z244" s="7">
        <f t="shared" si="112"/>
        <v>0.51904000000000006</v>
      </c>
    </row>
    <row r="245" spans="1:26" s="24" customFormat="1" hidden="1" outlineLevel="2" x14ac:dyDescent="0.25">
      <c r="A245" s="25"/>
      <c r="B245" s="11" t="str">
        <f>CONCATENATE("          ", "6243", " - ", "PAPER SUPPLIES")</f>
        <v xml:space="preserve">          6243 - PAPER SUPPLIES</v>
      </c>
      <c r="C245" s="11"/>
      <c r="D245" s="6">
        <v>5529.37</v>
      </c>
      <c r="E245" s="2"/>
      <c r="F245" s="7">
        <f t="shared" si="105"/>
        <v>2.3829205203736416E-2</v>
      </c>
      <c r="G245" s="2"/>
      <c r="H245" s="6">
        <v>250</v>
      </c>
      <c r="I245" s="2"/>
      <c r="J245" s="7">
        <f t="shared" si="106"/>
        <v>2.6735812149001969E-4</v>
      </c>
      <c r="K245" s="2"/>
      <c r="L245" s="6">
        <f t="shared" si="107"/>
        <v>5279.37</v>
      </c>
      <c r="M245" s="2"/>
      <c r="N245" s="7">
        <f t="shared" si="108"/>
        <v>21.11748</v>
      </c>
      <c r="O245" s="11"/>
      <c r="P245" s="6">
        <v>17096.919999999998</v>
      </c>
      <c r="Q245" s="2"/>
      <c r="R245" s="7">
        <f t="shared" si="109"/>
        <v>1.9884097788243084E-3</v>
      </c>
      <c r="S245" s="2"/>
      <c r="T245" s="6">
        <v>3250</v>
      </c>
      <c r="U245" s="2"/>
      <c r="V245" s="7">
        <f t="shared" si="110"/>
        <v>3.2733829204807717E-4</v>
      </c>
      <c r="W245" s="2"/>
      <c r="X245" s="6">
        <f t="shared" si="111"/>
        <v>13846.919999999998</v>
      </c>
      <c r="Y245" s="2"/>
      <c r="Z245" s="7">
        <f t="shared" si="112"/>
        <v>4.2605907692307685</v>
      </c>
    </row>
    <row r="246" spans="1:26" s="24" customFormat="1" hidden="1" outlineLevel="2" x14ac:dyDescent="0.25">
      <c r="A246" s="25"/>
      <c r="B246" s="11" t="str">
        <f>CONCATENATE("          ", "6245", " - ", "PRINTING")</f>
        <v xml:space="preserve">          6245 - PRINTING</v>
      </c>
      <c r="C246" s="11"/>
      <c r="D246" s="6">
        <v>289.75</v>
      </c>
      <c r="E246" s="2"/>
      <c r="F246" s="7">
        <f t="shared" si="105"/>
        <v>1.2486978096569097E-3</v>
      </c>
      <c r="G246" s="2"/>
      <c r="H246" s="6">
        <v>100</v>
      </c>
      <c r="I246" s="2"/>
      <c r="J246" s="7">
        <f t="shared" si="106"/>
        <v>1.0694324859600788E-4</v>
      </c>
      <c r="K246" s="2"/>
      <c r="L246" s="6">
        <f t="shared" si="107"/>
        <v>189.75</v>
      </c>
      <c r="M246" s="2"/>
      <c r="N246" s="7">
        <f t="shared" si="108"/>
        <v>1.8975</v>
      </c>
      <c r="O246" s="11"/>
      <c r="P246" s="6">
        <v>10076.35</v>
      </c>
      <c r="Q246" s="2"/>
      <c r="R246" s="7">
        <f t="shared" si="109"/>
        <v>1.1719018907999992E-3</v>
      </c>
      <c r="S246" s="2"/>
      <c r="T246" s="6">
        <v>2100</v>
      </c>
      <c r="U246" s="2"/>
      <c r="V246" s="7">
        <f t="shared" si="110"/>
        <v>2.1151089640029604E-4</v>
      </c>
      <c r="W246" s="2"/>
      <c r="X246" s="6">
        <f t="shared" si="111"/>
        <v>7976.35</v>
      </c>
      <c r="Y246" s="2"/>
      <c r="Z246" s="7">
        <f t="shared" si="112"/>
        <v>3.7982619047619051</v>
      </c>
    </row>
    <row r="247" spans="1:26" s="24" customFormat="1" hidden="1" outlineLevel="2" x14ac:dyDescent="0.25">
      <c r="A247" s="25"/>
      <c r="B247" s="11" t="str">
        <f>CONCATENATE("          ", "6247", " - ", "STORE SUPPLIES")</f>
        <v xml:space="preserve">          6247 - STORE SUPPLIES</v>
      </c>
      <c r="C247" s="11"/>
      <c r="D247" s="6">
        <v>4768.59</v>
      </c>
      <c r="E247" s="2"/>
      <c r="F247" s="7">
        <f t="shared" si="105"/>
        <v>2.0550570796037421E-2</v>
      </c>
      <c r="G247" s="2"/>
      <c r="H247" s="6">
        <v>16075</v>
      </c>
      <c r="I247" s="2"/>
      <c r="J247" s="7">
        <f t="shared" si="106"/>
        <v>1.7191127211808266E-2</v>
      </c>
      <c r="K247" s="2"/>
      <c r="L247" s="6">
        <f t="shared" si="107"/>
        <v>-11306.41</v>
      </c>
      <c r="M247" s="2"/>
      <c r="N247" s="7">
        <f t="shared" si="108"/>
        <v>-0.7033536547433904</v>
      </c>
      <c r="O247" s="11"/>
      <c r="P247" s="6">
        <v>25442.9</v>
      </c>
      <c r="Q247" s="2"/>
      <c r="R247" s="7">
        <f t="shared" si="109"/>
        <v>2.9590657944032614E-3</v>
      </c>
      <c r="S247" s="2"/>
      <c r="T247" s="6">
        <v>118525</v>
      </c>
      <c r="U247" s="2"/>
      <c r="V247" s="7">
        <f t="shared" si="110"/>
        <v>1.1937775712307185E-2</v>
      </c>
      <c r="W247" s="2"/>
      <c r="X247" s="6">
        <f t="shared" si="111"/>
        <v>-93082.1</v>
      </c>
      <c r="Y247" s="2"/>
      <c r="Z247" s="7">
        <f t="shared" si="112"/>
        <v>-0.78533727061801317</v>
      </c>
    </row>
    <row r="248" spans="1:26" s="24" customFormat="1" hidden="1" outlineLevel="2" x14ac:dyDescent="0.25">
      <c r="A248" s="25"/>
      <c r="B248" s="11" t="str">
        <f>CONCATENATE("          ", "6248", " - ", "UNIFORMS")</f>
        <v xml:space="preserve">          6248 - UNIFORMS</v>
      </c>
      <c r="C248" s="11"/>
      <c r="D248" s="6"/>
      <c r="E248" s="2"/>
      <c r="F248" s="7">
        <f t="shared" si="105"/>
        <v>0</v>
      </c>
      <c r="G248" s="2"/>
      <c r="H248" s="6">
        <v>1000</v>
      </c>
      <c r="I248" s="2"/>
      <c r="J248" s="7">
        <f t="shared" si="106"/>
        <v>1.0694324859600788E-3</v>
      </c>
      <c r="K248" s="2"/>
      <c r="L248" s="6">
        <f t="shared" si="107"/>
        <v>-1000</v>
      </c>
      <c r="M248" s="2"/>
      <c r="N248" s="7">
        <f t="shared" si="108"/>
        <v>-1</v>
      </c>
      <c r="O248" s="11"/>
      <c r="P248" s="6"/>
      <c r="Q248" s="2"/>
      <c r="R248" s="7">
        <f t="shared" si="109"/>
        <v>0</v>
      </c>
      <c r="S248" s="2"/>
      <c r="T248" s="6">
        <v>9500</v>
      </c>
      <c r="U248" s="2"/>
      <c r="V248" s="7">
        <f t="shared" si="110"/>
        <v>9.5683500752514875E-4</v>
      </c>
      <c r="W248" s="2"/>
      <c r="X248" s="6">
        <f t="shared" si="111"/>
        <v>-9500</v>
      </c>
      <c r="Y248" s="2"/>
      <c r="Z248" s="7">
        <f t="shared" si="112"/>
        <v>-1</v>
      </c>
    </row>
    <row r="249" spans="1:26" s="27" customFormat="1" outlineLevel="1" collapsed="1" x14ac:dyDescent="0.25">
      <c r="A249" s="26"/>
      <c r="B249" s="13" t="str">
        <f>CONCATENATE("     ","Telephone/Data Lines                              ")</f>
        <v xml:space="preserve">     Telephone/Data Lines                              </v>
      </c>
      <c r="C249" s="13"/>
      <c r="D249" s="1">
        <f>SUM(OSRRefD22_21x_0)</f>
        <v>1100.8599999999999</v>
      </c>
      <c r="E249" s="1"/>
      <c r="F249" s="5">
        <f t="shared" ref="F249:F251" si="113">IF(D$12=0,0,D249/D$12)</f>
        <v>4.7442328584604157E-3</v>
      </c>
      <c r="G249" s="1"/>
      <c r="H249" s="1">
        <f>SUM(OSRRefH22_21x_0)</f>
        <v>2340</v>
      </c>
      <c r="I249" s="1"/>
      <c r="J249" s="5">
        <f t="shared" ref="J249:J251" si="114">IF(H$12=0,0,H249/H$12)</f>
        <v>2.5024720171465844E-3</v>
      </c>
      <c r="K249" s="1"/>
      <c r="L249" s="1">
        <f t="shared" ref="L249:L251" si="115">+D249-H249</f>
        <v>-1239.1400000000001</v>
      </c>
      <c r="M249" s="1"/>
      <c r="N249" s="5">
        <f t="shared" ref="N249:N251" si="116">IF(H249=0,0,L249/H249)</f>
        <v>-0.52954700854700854</v>
      </c>
      <c r="O249" s="13"/>
      <c r="P249" s="1">
        <f>SUM(OSRRefP22_21x_0)</f>
        <v>22564.06</v>
      </c>
      <c r="Q249" s="1"/>
      <c r="R249" s="5">
        <f t="shared" ref="R249:R251" si="117">IF(P$12=0,0,P249/P$12)</f>
        <v>2.6242503067206513E-3</v>
      </c>
      <c r="S249" s="1"/>
      <c r="T249" s="1">
        <f>SUM(OSRRefT22_21x_0)</f>
        <v>26335</v>
      </c>
      <c r="U249" s="1"/>
      <c r="V249" s="5">
        <f t="shared" ref="V249:V251" si="118">IF(T$12=0,0,T249/T$12)</f>
        <v>2.6524473603341888E-3</v>
      </c>
      <c r="W249" s="1"/>
      <c r="X249" s="1">
        <f t="shared" ref="X249:X251" si="119">+P249-T249</f>
        <v>-3770.9399999999987</v>
      </c>
      <c r="Y249" s="1"/>
      <c r="Z249" s="5">
        <f t="shared" ref="Z249:Z251" si="120">IF(T249=0,0,X249/T249)</f>
        <v>-0.14319119043098533</v>
      </c>
    </row>
    <row r="250" spans="1:26" s="24" customFormat="1" hidden="1" outlineLevel="2" x14ac:dyDescent="0.25">
      <c r="A250" s="25"/>
      <c r="B250" s="11" t="str">
        <f>CONCATENATE("          ", "6303", " - ", "DATA PHONE LINES")</f>
        <v xml:space="preserve">          6303 - DATA PHONE LINES</v>
      </c>
      <c r="C250" s="11"/>
      <c r="D250" s="6"/>
      <c r="E250" s="2"/>
      <c r="F250" s="7">
        <f t="shared" si="113"/>
        <v>0</v>
      </c>
      <c r="G250" s="2"/>
      <c r="H250" s="6">
        <v>750</v>
      </c>
      <c r="I250" s="2"/>
      <c r="J250" s="7">
        <f t="shared" si="114"/>
        <v>8.0207436447005912E-4</v>
      </c>
      <c r="K250" s="2"/>
      <c r="L250" s="6">
        <f t="shared" si="115"/>
        <v>-750</v>
      </c>
      <c r="M250" s="2"/>
      <c r="N250" s="7">
        <f t="shared" si="116"/>
        <v>-1</v>
      </c>
      <c r="O250" s="11"/>
      <c r="P250" s="6">
        <v>2360</v>
      </c>
      <c r="Q250" s="2"/>
      <c r="R250" s="7">
        <f t="shared" si="117"/>
        <v>2.7447324301835469E-4</v>
      </c>
      <c r="S250" s="2"/>
      <c r="T250" s="6">
        <v>9475</v>
      </c>
      <c r="U250" s="2"/>
      <c r="V250" s="7">
        <f t="shared" si="118"/>
        <v>9.5431702066324042E-4</v>
      </c>
      <c r="W250" s="2"/>
      <c r="X250" s="6">
        <f t="shared" si="119"/>
        <v>-7115</v>
      </c>
      <c r="Y250" s="2"/>
      <c r="Z250" s="7">
        <f t="shared" si="120"/>
        <v>-0.7509234828496042</v>
      </c>
    </row>
    <row r="251" spans="1:26" s="24" customFormat="1" hidden="1" outlineLevel="2" x14ac:dyDescent="0.25">
      <c r="A251" s="25"/>
      <c r="B251" s="11" t="str">
        <f>CONCATENATE("          ", "6309", " - ", "TELEPHONE")</f>
        <v xml:space="preserve">          6309 - TELEPHONE</v>
      </c>
      <c r="C251" s="11"/>
      <c r="D251" s="6">
        <v>1100.8599999999999</v>
      </c>
      <c r="E251" s="2"/>
      <c r="F251" s="7">
        <f t="shared" si="113"/>
        <v>4.7442328584604157E-3</v>
      </c>
      <c r="G251" s="2"/>
      <c r="H251" s="6">
        <v>1590</v>
      </c>
      <c r="I251" s="2"/>
      <c r="J251" s="7">
        <f t="shared" si="114"/>
        <v>1.7003976526765252E-3</v>
      </c>
      <c r="K251" s="2"/>
      <c r="L251" s="6">
        <f t="shared" si="115"/>
        <v>-489.1400000000001</v>
      </c>
      <c r="M251" s="2"/>
      <c r="N251" s="7">
        <f t="shared" si="116"/>
        <v>-0.3076352201257862</v>
      </c>
      <c r="O251" s="11"/>
      <c r="P251" s="6">
        <v>20204.060000000001</v>
      </c>
      <c r="Q251" s="2"/>
      <c r="R251" s="7">
        <f t="shared" si="117"/>
        <v>2.3497770637022964E-3</v>
      </c>
      <c r="S251" s="2"/>
      <c r="T251" s="6">
        <v>16860</v>
      </c>
      <c r="U251" s="2"/>
      <c r="V251" s="7">
        <f t="shared" si="118"/>
        <v>1.6981303396709482E-3</v>
      </c>
      <c r="W251" s="2"/>
      <c r="X251" s="6">
        <f t="shared" si="119"/>
        <v>3344.0600000000013</v>
      </c>
      <c r="Y251" s="2"/>
      <c r="Z251" s="7">
        <f t="shared" si="120"/>
        <v>0.19834282325029665</v>
      </c>
    </row>
    <row r="252" spans="1:26" s="27" customFormat="1" outlineLevel="1" collapsed="1" x14ac:dyDescent="0.25">
      <c r="A252" s="26"/>
      <c r="B252" s="13" t="str">
        <f>CONCATENATE("     ","Training                                          ")</f>
        <v xml:space="preserve">     Training                                          </v>
      </c>
      <c r="C252" s="13"/>
      <c r="D252" s="1">
        <f>SUM(OSRRefD22_22x_0)</f>
        <v>4473.1499999999996</v>
      </c>
      <c r="E252" s="1"/>
      <c r="F252" s="5">
        <f t="shared" ref="F252:F257" si="121">IF(D$12=0,0,D252/D$12)</f>
        <v>1.9277351535001916E-2</v>
      </c>
      <c r="G252" s="1"/>
      <c r="H252" s="1">
        <f>SUM(OSRRefH22_22x_0)</f>
        <v>4150</v>
      </c>
      <c r="I252" s="1"/>
      <c r="J252" s="5">
        <f t="shared" ref="J252:J257" si="122">IF(H$12=0,0,H252/H$12)</f>
        <v>4.4381448167343266E-3</v>
      </c>
      <c r="K252" s="1"/>
      <c r="L252" s="1">
        <f t="shared" ref="L252:L257" si="123">+D252-H252</f>
        <v>323.14999999999964</v>
      </c>
      <c r="M252" s="1"/>
      <c r="N252" s="5">
        <f t="shared" ref="N252:N257" si="124">IF(H252=0,0,L252/H252)</f>
        <v>7.7867469879517981E-2</v>
      </c>
      <c r="O252" s="13"/>
      <c r="P252" s="1">
        <f>SUM(OSRRefP22_22x_0)</f>
        <v>20366.88</v>
      </c>
      <c r="Q252" s="1"/>
      <c r="R252" s="5">
        <f t="shared" ref="R252:R257" si="125">IF(P$12=0,0,P252/P$12)</f>
        <v>2.3687133914261304E-3</v>
      </c>
      <c r="S252" s="1"/>
      <c r="T252" s="1">
        <f>SUM(OSRRefT22_22x_0)</f>
        <v>23800</v>
      </c>
      <c r="U252" s="1"/>
      <c r="V252" s="5">
        <f t="shared" ref="V252:V257" si="126">IF(T$12=0,0,T252/T$12)</f>
        <v>2.3971234925366882E-3</v>
      </c>
      <c r="W252" s="1"/>
      <c r="X252" s="1">
        <f t="shared" ref="X252:X257" si="127">+P252-T252</f>
        <v>-3433.119999999999</v>
      </c>
      <c r="Y252" s="1"/>
      <c r="Z252" s="5">
        <f t="shared" ref="Z252:Z257" si="128">IF(T252=0,0,X252/T252)</f>
        <v>-0.14424873949579828</v>
      </c>
    </row>
    <row r="253" spans="1:26" s="24" customFormat="1" hidden="1" outlineLevel="2" x14ac:dyDescent="0.25">
      <c r="A253" s="25"/>
      <c r="B253" s="11" t="str">
        <f>CONCATENATE("          ", "6376", " - ", "TRAINING")</f>
        <v xml:space="preserve">          6376 - TRAINING</v>
      </c>
      <c r="C253" s="11"/>
      <c r="D253" s="6">
        <v>4473.1499999999996</v>
      </c>
      <c r="E253" s="2"/>
      <c r="F253" s="7">
        <f t="shared" si="121"/>
        <v>1.9277351535001916E-2</v>
      </c>
      <c r="G253" s="2"/>
      <c r="H253" s="6">
        <v>4150</v>
      </c>
      <c r="I253" s="2"/>
      <c r="J253" s="7">
        <f t="shared" si="122"/>
        <v>4.4381448167343266E-3</v>
      </c>
      <c r="K253" s="2"/>
      <c r="L253" s="6">
        <f t="shared" si="123"/>
        <v>323.14999999999964</v>
      </c>
      <c r="M253" s="2"/>
      <c r="N253" s="7">
        <f t="shared" si="124"/>
        <v>7.7867469879517981E-2</v>
      </c>
      <c r="O253" s="11"/>
      <c r="P253" s="6">
        <v>20366.88</v>
      </c>
      <c r="Q253" s="2"/>
      <c r="R253" s="7">
        <f t="shared" si="125"/>
        <v>2.3687133914261304E-3</v>
      </c>
      <c r="S253" s="2"/>
      <c r="T253" s="6">
        <v>23800</v>
      </c>
      <c r="U253" s="2"/>
      <c r="V253" s="7">
        <f t="shared" si="126"/>
        <v>2.3971234925366882E-3</v>
      </c>
      <c r="W253" s="2"/>
      <c r="X253" s="6">
        <f t="shared" si="127"/>
        <v>-3433.119999999999</v>
      </c>
      <c r="Y253" s="2"/>
      <c r="Z253" s="7">
        <f t="shared" si="128"/>
        <v>-0.14424873949579828</v>
      </c>
    </row>
    <row r="254" spans="1:26" s="27" customFormat="1" outlineLevel="1" collapsed="1" x14ac:dyDescent="0.25">
      <c r="A254" s="26"/>
      <c r="B254" s="13" t="str">
        <f>CONCATENATE("     ","Travel                                            ")</f>
        <v xml:space="preserve">     Travel                                            </v>
      </c>
      <c r="C254" s="13"/>
      <c r="D254" s="1">
        <f>SUM(OSRRefD22_23x_0)</f>
        <v>160.16999999999999</v>
      </c>
      <c r="E254" s="1"/>
      <c r="F254" s="5">
        <f t="shared" si="121"/>
        <v>6.9026377281362276E-4</v>
      </c>
      <c r="G254" s="1"/>
      <c r="H254" s="1">
        <f>SUM(OSRRefH22_23x_0)</f>
        <v>125</v>
      </c>
      <c r="I254" s="1"/>
      <c r="J254" s="5">
        <f t="shared" si="122"/>
        <v>1.3367906074500984E-4</v>
      </c>
      <c r="K254" s="1"/>
      <c r="L254" s="1">
        <f t="shared" si="123"/>
        <v>35.169999999999987</v>
      </c>
      <c r="M254" s="1"/>
      <c r="N254" s="5">
        <f t="shared" si="124"/>
        <v>0.28135999999999989</v>
      </c>
      <c r="O254" s="13"/>
      <c r="P254" s="1">
        <f>SUM(OSRRefP22_23x_0)</f>
        <v>1232.3399999999999</v>
      </c>
      <c r="Q254" s="1"/>
      <c r="R254" s="5">
        <f t="shared" si="125"/>
        <v>1.4332387978866068E-4</v>
      </c>
      <c r="S254" s="1"/>
      <c r="T254" s="1">
        <f>SUM(OSRRefT22_23x_0)</f>
        <v>1460</v>
      </c>
      <c r="U254" s="1"/>
      <c r="V254" s="5">
        <f t="shared" si="126"/>
        <v>1.4705043273544391E-4</v>
      </c>
      <c r="W254" s="1"/>
      <c r="X254" s="1">
        <f t="shared" si="127"/>
        <v>-227.66000000000008</v>
      </c>
      <c r="Y254" s="1"/>
      <c r="Z254" s="5">
        <f t="shared" si="128"/>
        <v>-0.15593150684931512</v>
      </c>
    </row>
    <row r="255" spans="1:26" s="24" customFormat="1" hidden="1" outlineLevel="2" x14ac:dyDescent="0.25">
      <c r="A255" s="25"/>
      <c r="B255" s="11" t="str">
        <f>CONCATENATE("          ", "6292", " - ", "TRAVEL/CONFERENCE")</f>
        <v xml:space="preserve">          6292 - TRAVEL/CONFERENCE</v>
      </c>
      <c r="C255" s="11"/>
      <c r="D255" s="6">
        <v>91.1</v>
      </c>
      <c r="E255" s="2"/>
      <c r="F255" s="7">
        <f t="shared" si="121"/>
        <v>3.9260179623725442E-4</v>
      </c>
      <c r="G255" s="2"/>
      <c r="H255" s="6"/>
      <c r="I255" s="2"/>
      <c r="J255" s="7">
        <f t="shared" si="122"/>
        <v>0</v>
      </c>
      <c r="K255" s="2"/>
      <c r="L255" s="6">
        <f t="shared" si="123"/>
        <v>91.1</v>
      </c>
      <c r="M255" s="2"/>
      <c r="N255" s="7">
        <f t="shared" si="124"/>
        <v>0</v>
      </c>
      <c r="O255" s="11"/>
      <c r="P255" s="6">
        <v>504.66</v>
      </c>
      <c r="Q255" s="2"/>
      <c r="R255" s="7">
        <f t="shared" si="125"/>
        <v>5.8693079161713089E-5</v>
      </c>
      <c r="S255" s="2"/>
      <c r="T255" s="6"/>
      <c r="U255" s="2"/>
      <c r="V255" s="7">
        <f t="shared" si="126"/>
        <v>0</v>
      </c>
      <c r="W255" s="2"/>
      <c r="X255" s="6">
        <f t="shared" si="127"/>
        <v>504.66</v>
      </c>
      <c r="Y255" s="2"/>
      <c r="Z255" s="7">
        <f t="shared" si="128"/>
        <v>0</v>
      </c>
    </row>
    <row r="256" spans="1:26" s="24" customFormat="1" hidden="1" outlineLevel="2" x14ac:dyDescent="0.25">
      <c r="A256" s="25"/>
      <c r="B256" s="11" t="str">
        <f>CONCATENATE("          ", "6294", " - ", "TRAVEL OPERATIONAL")</f>
        <v xml:space="preserve">          6294 - TRAVEL OPERATIONAL</v>
      </c>
      <c r="C256" s="11"/>
      <c r="D256" s="6">
        <v>14.13</v>
      </c>
      <c r="E256" s="2"/>
      <c r="F256" s="7">
        <f t="shared" si="121"/>
        <v>6.0894219328566468E-5</v>
      </c>
      <c r="G256" s="2"/>
      <c r="H256" s="6">
        <v>125</v>
      </c>
      <c r="I256" s="2"/>
      <c r="J256" s="7">
        <f t="shared" si="122"/>
        <v>1.3367906074500984E-4</v>
      </c>
      <c r="K256" s="2"/>
      <c r="L256" s="6">
        <f t="shared" si="123"/>
        <v>-110.87</v>
      </c>
      <c r="M256" s="2"/>
      <c r="N256" s="7">
        <f t="shared" si="124"/>
        <v>-0.88696000000000008</v>
      </c>
      <c r="O256" s="11"/>
      <c r="P256" s="6">
        <v>361.61</v>
      </c>
      <c r="Q256" s="2"/>
      <c r="R256" s="7">
        <f t="shared" si="125"/>
        <v>4.2056046359265783E-5</v>
      </c>
      <c r="S256" s="2"/>
      <c r="T256" s="6">
        <v>910</v>
      </c>
      <c r="U256" s="2"/>
      <c r="V256" s="7">
        <f t="shared" si="126"/>
        <v>9.165472177346161E-5</v>
      </c>
      <c r="W256" s="2"/>
      <c r="X256" s="6">
        <f t="shared" si="127"/>
        <v>-548.39</v>
      </c>
      <c r="Y256" s="2"/>
      <c r="Z256" s="7">
        <f t="shared" si="128"/>
        <v>-0.60262637362637361</v>
      </c>
    </row>
    <row r="257" spans="1:26" s="24" customFormat="1" hidden="1" outlineLevel="2" x14ac:dyDescent="0.25">
      <c r="A257" s="25"/>
      <c r="B257" s="11" t="str">
        <f>CONCATENATE("          ", "6298", " - ", "VEHICLE MILEAGE")</f>
        <v xml:space="preserve">          6298 - VEHICLE MILEAGE</v>
      </c>
      <c r="C257" s="11"/>
      <c r="D257" s="6">
        <v>54.94</v>
      </c>
      <c r="E257" s="2"/>
      <c r="F257" s="7">
        <f t="shared" si="121"/>
        <v>2.3676775724780196E-4</v>
      </c>
      <c r="G257" s="2"/>
      <c r="H257" s="6"/>
      <c r="I257" s="2"/>
      <c r="J257" s="7">
        <f t="shared" si="122"/>
        <v>0</v>
      </c>
      <c r="K257" s="2"/>
      <c r="L257" s="6">
        <f t="shared" si="123"/>
        <v>54.94</v>
      </c>
      <c r="M257" s="2"/>
      <c r="N257" s="7">
        <f t="shared" si="124"/>
        <v>0</v>
      </c>
      <c r="O257" s="11"/>
      <c r="P257" s="6">
        <v>366.07</v>
      </c>
      <c r="Q257" s="2"/>
      <c r="R257" s="7">
        <f t="shared" si="125"/>
        <v>4.2574754267681824E-5</v>
      </c>
      <c r="S257" s="2"/>
      <c r="T257" s="6">
        <v>550</v>
      </c>
      <c r="U257" s="2"/>
      <c r="V257" s="7">
        <f t="shared" si="126"/>
        <v>5.5395710961982294E-5</v>
      </c>
      <c r="W257" s="2"/>
      <c r="X257" s="6">
        <f t="shared" si="127"/>
        <v>-183.93</v>
      </c>
      <c r="Y257" s="2"/>
      <c r="Z257" s="7">
        <f t="shared" si="128"/>
        <v>-0.33441818181818184</v>
      </c>
    </row>
    <row r="258" spans="1:26" s="27" customFormat="1" outlineLevel="1" collapsed="1" x14ac:dyDescent="0.25">
      <c r="A258" s="26"/>
      <c r="B258" s="13" t="str">
        <f>CONCATENATE("     ","Utilities                                         ")</f>
        <v xml:space="preserve">     Utilities                                         </v>
      </c>
      <c r="C258" s="13"/>
      <c r="D258" s="1">
        <f>SUM(OSRRefD22_24x_0)</f>
        <v>6145.51</v>
      </c>
      <c r="E258" s="1"/>
      <c r="F258" s="5">
        <f t="shared" ref="F258:F259" si="129">IF(D$12=0,0,D258/D$12)</f>
        <v>2.6484503455477603E-2</v>
      </c>
      <c r="G258" s="1"/>
      <c r="H258" s="1">
        <f>SUM(OSRRefH22_24x_0)</f>
        <v>5200</v>
      </c>
      <c r="I258" s="1"/>
      <c r="J258" s="5">
        <f t="shared" ref="J258:J259" si="130">IF(H$12=0,0,H258/H$12)</f>
        <v>5.5610489269924098E-3</v>
      </c>
      <c r="K258" s="1"/>
      <c r="L258" s="1">
        <f t="shared" ref="L258:L259" si="131">+D258-H258</f>
        <v>945.51000000000022</v>
      </c>
      <c r="M258" s="1"/>
      <c r="N258" s="5">
        <f t="shared" ref="N258:N259" si="132">IF(H258=0,0,L258/H258)</f>
        <v>0.1818288461538462</v>
      </c>
      <c r="O258" s="13"/>
      <c r="P258" s="1">
        <f>SUM(OSRRefP22_24x_0)</f>
        <v>53004.3</v>
      </c>
      <c r="Q258" s="1"/>
      <c r="R258" s="5">
        <f t="shared" ref="R258:R259" si="133">IF(P$12=0,0,P258/P$12)</f>
        <v>6.1645178453041431E-3</v>
      </c>
      <c r="S258" s="1"/>
      <c r="T258" s="1">
        <f>SUM(OSRRefT22_24x_0)</f>
        <v>48875</v>
      </c>
      <c r="U258" s="1"/>
      <c r="V258" s="5">
        <f t="shared" ref="V258:V259" si="134">IF(T$12=0,0,T258/T$12)</f>
        <v>4.9226643150306996E-3</v>
      </c>
      <c r="W258" s="1"/>
      <c r="X258" s="1">
        <f t="shared" ref="X258:X259" si="135">+P258-T258</f>
        <v>4129.3000000000029</v>
      </c>
      <c r="Y258" s="1"/>
      <c r="Z258" s="5">
        <f t="shared" ref="Z258:Z259" si="136">IF(T258=0,0,X258/T258)</f>
        <v>8.4486956521739195E-2</v>
      </c>
    </row>
    <row r="259" spans="1:26" s="24" customFormat="1" hidden="1" outlineLevel="2" x14ac:dyDescent="0.25">
      <c r="A259" s="25"/>
      <c r="B259" s="11" t="str">
        <f>CONCATENATE("          ", "6274", " - ", "UTILITIES")</f>
        <v xml:space="preserve">          6274 - UTILITIES</v>
      </c>
      <c r="C259" s="11"/>
      <c r="D259" s="6">
        <v>6145.51</v>
      </c>
      <c r="E259" s="2"/>
      <c r="F259" s="7">
        <f t="shared" si="129"/>
        <v>2.6484503455477603E-2</v>
      </c>
      <c r="G259" s="2"/>
      <c r="H259" s="6">
        <v>5200</v>
      </c>
      <c r="I259" s="2"/>
      <c r="J259" s="7">
        <f t="shared" si="130"/>
        <v>5.5610489269924098E-3</v>
      </c>
      <c r="K259" s="2"/>
      <c r="L259" s="6">
        <f t="shared" si="131"/>
        <v>945.51000000000022</v>
      </c>
      <c r="M259" s="2"/>
      <c r="N259" s="7">
        <f t="shared" si="132"/>
        <v>0.1818288461538462</v>
      </c>
      <c r="O259" s="11"/>
      <c r="P259" s="6">
        <v>53004.3</v>
      </c>
      <c r="Q259" s="2"/>
      <c r="R259" s="7">
        <f t="shared" si="133"/>
        <v>6.1645178453041431E-3</v>
      </c>
      <c r="S259" s="2"/>
      <c r="T259" s="6">
        <v>48875</v>
      </c>
      <c r="U259" s="2"/>
      <c r="V259" s="7">
        <f t="shared" si="134"/>
        <v>4.9226643150306996E-3</v>
      </c>
      <c r="W259" s="2"/>
      <c r="X259" s="6">
        <f t="shared" si="135"/>
        <v>4129.3000000000029</v>
      </c>
      <c r="Y259" s="2"/>
      <c r="Z259" s="7">
        <f t="shared" si="136"/>
        <v>8.4486956521739195E-2</v>
      </c>
    </row>
    <row r="260" spans="1:26" s="56" customFormat="1" x14ac:dyDescent="0.25">
      <c r="A260" s="36"/>
      <c r="B260" s="36"/>
      <c r="C260" s="36"/>
      <c r="D260" s="1"/>
      <c r="E260" s="1"/>
      <c r="F260" s="5"/>
      <c r="G260" s="1"/>
      <c r="H260" s="1"/>
      <c r="I260" s="1"/>
      <c r="J260" s="5"/>
      <c r="K260" s="1"/>
      <c r="L260" s="1"/>
      <c r="M260" s="1"/>
      <c r="N260" s="5"/>
      <c r="O260" s="36"/>
      <c r="P260" s="1"/>
      <c r="Q260" s="1"/>
      <c r="R260" s="5"/>
      <c r="S260" s="1"/>
      <c r="T260" s="1"/>
      <c r="U260" s="1"/>
      <c r="V260" s="5"/>
      <c r="W260" s="1"/>
      <c r="X260" s="1"/>
      <c r="Y260" s="1"/>
      <c r="Z260" s="5"/>
    </row>
    <row r="261" spans="1:26" s="23" customFormat="1" collapsed="1" x14ac:dyDescent="0.25">
      <c r="A261" s="10"/>
      <c r="B261" s="29" t="s">
        <v>0</v>
      </c>
      <c r="C261" s="10"/>
      <c r="D261" s="4">
        <f>SUM(OSRRefD25x_0)</f>
        <v>33096.89</v>
      </c>
      <c r="E261" s="4"/>
      <c r="F261" s="12">
        <f t="shared" ref="F261:F270" si="137">IF(D$12=0,0,D261/D$12)</f>
        <v>0.14263335306110672</v>
      </c>
      <c r="G261" s="4"/>
      <c r="H261" s="4">
        <f>SUM(OSRRefH25x_0)</f>
        <v>58975</v>
      </c>
      <c r="I261" s="4"/>
      <c r="J261" s="12">
        <f t="shared" ref="J261:J270" si="138">IF(H$12=0,0,H261/H$12)</f>
        <v>6.3069780859495647E-2</v>
      </c>
      <c r="K261" s="4"/>
      <c r="L261" s="4">
        <f t="shared" ref="L261:L270" si="139">+D261-H261</f>
        <v>-25878.11</v>
      </c>
      <c r="M261" s="4"/>
      <c r="N261" s="12">
        <f t="shared" ref="N261:N270" si="140">IF(H261=0,0,L261/H261)</f>
        <v>-0.43879796523950826</v>
      </c>
      <c r="O261" s="10"/>
      <c r="P261" s="4">
        <f>SUM(OSRRefP25x_0)</f>
        <v>670466.38</v>
      </c>
      <c r="Q261" s="4"/>
      <c r="R261" s="12">
        <f t="shared" ref="R261:R270" si="141">IF(P$12=0,0,P261/P$12)</f>
        <v>7.7976729514142598E-2</v>
      </c>
      <c r="S261" s="4"/>
      <c r="T261" s="4">
        <f>SUM(OSRRefT25x_0)</f>
        <v>701125</v>
      </c>
      <c r="U261" s="4"/>
      <c r="V261" s="12">
        <f t="shared" ref="V261:V270" si="142">IF(T$12=0,0,T261/T$12)</f>
        <v>7.0616941542217884E-2</v>
      </c>
      <c r="W261" s="4"/>
      <c r="X261" s="4">
        <f t="shared" ref="X261:X270" si="143">+P261-T261</f>
        <v>-30658.619999999995</v>
      </c>
      <c r="Y261" s="4"/>
      <c r="Z261" s="12">
        <f t="shared" ref="Z261:Z270" si="144">IF(T261=0,0,X261/T261)</f>
        <v>-4.3727751827420211E-2</v>
      </c>
    </row>
    <row r="262" spans="1:26" s="24" customFormat="1" hidden="1" outlineLevel="1" x14ac:dyDescent="0.25">
      <c r="A262" s="44"/>
      <c r="B262" s="11" t="str">
        <f>CONCATENATE("          ", "4098", " - ", "TAXABLE SALES-GRAD RENTALS")</f>
        <v xml:space="preserve">          4098 - TAXABLE SALES-GRAD RENTALS</v>
      </c>
      <c r="C262" s="11"/>
      <c r="D262" s="2">
        <f>--42</f>
        <v>42</v>
      </c>
      <c r="E262" s="2"/>
      <c r="F262" s="19">
        <f t="shared" si="137"/>
        <v>1.8100192581739502E-4</v>
      </c>
      <c r="G262" s="2"/>
      <c r="H262" s="2"/>
      <c r="I262" s="2"/>
      <c r="J262" s="19">
        <f t="shared" si="138"/>
        <v>0</v>
      </c>
      <c r="K262" s="2"/>
      <c r="L262" s="2">
        <f t="shared" si="139"/>
        <v>42</v>
      </c>
      <c r="M262" s="2"/>
      <c r="N262" s="19">
        <f t="shared" si="140"/>
        <v>0</v>
      </c>
      <c r="O262" s="11"/>
      <c r="P262" s="2">
        <f>--2098.85</f>
        <v>2098.85</v>
      </c>
      <c r="Q262" s="2"/>
      <c r="R262" s="19">
        <f t="shared" si="141"/>
        <v>2.4410091784282783E-4</v>
      </c>
      <c r="S262" s="2"/>
      <c r="T262" s="2"/>
      <c r="U262" s="2"/>
      <c r="V262" s="19">
        <f t="shared" si="142"/>
        <v>0</v>
      </c>
      <c r="W262" s="2"/>
      <c r="X262" s="2">
        <f t="shared" si="143"/>
        <v>2098.85</v>
      </c>
      <c r="Y262" s="2"/>
      <c r="Z262" s="19">
        <f t="shared" si="144"/>
        <v>0</v>
      </c>
    </row>
    <row r="263" spans="1:26" s="24" customFormat="1" hidden="1" outlineLevel="1" x14ac:dyDescent="0.25">
      <c r="A263" s="44"/>
      <c r="B263" s="11" t="str">
        <f>CONCATENATE("          ", "4197", " - ", "NON-TAXABLE SALES-RETURNED CHE")</f>
        <v xml:space="preserve">          4197 - NON-TAXABLE SALES-RETURNED CHE</v>
      </c>
      <c r="C263" s="11"/>
      <c r="D263" s="2">
        <f t="shared" ref="D263:D264" si="145">0</f>
        <v>0</v>
      </c>
      <c r="E263" s="2"/>
      <c r="F263" s="19">
        <f t="shared" si="137"/>
        <v>0</v>
      </c>
      <c r="G263" s="2"/>
      <c r="H263" s="2"/>
      <c r="I263" s="2"/>
      <c r="J263" s="19">
        <f t="shared" si="138"/>
        <v>0</v>
      </c>
      <c r="K263" s="2"/>
      <c r="L263" s="2">
        <f t="shared" si="139"/>
        <v>0</v>
      </c>
      <c r="M263" s="2"/>
      <c r="N263" s="19">
        <f t="shared" si="140"/>
        <v>0</v>
      </c>
      <c r="O263" s="11"/>
      <c r="P263" s="2">
        <f>--30</f>
        <v>30</v>
      </c>
      <c r="Q263" s="2"/>
      <c r="R263" s="19">
        <f t="shared" si="141"/>
        <v>3.4890666485384071E-6</v>
      </c>
      <c r="S263" s="2"/>
      <c r="T263" s="2"/>
      <c r="U263" s="2"/>
      <c r="V263" s="19">
        <f t="shared" si="142"/>
        <v>0</v>
      </c>
      <c r="W263" s="2"/>
      <c r="X263" s="2">
        <f t="shared" si="143"/>
        <v>30</v>
      </c>
      <c r="Y263" s="2"/>
      <c r="Z263" s="19">
        <f t="shared" si="144"/>
        <v>0</v>
      </c>
    </row>
    <row r="264" spans="1:26" s="24" customFormat="1" hidden="1" outlineLevel="1" x14ac:dyDescent="0.25">
      <c r="A264" s="44"/>
      <c r="B264" s="11" t="str">
        <f>CONCATENATE("          ", "4198", " - ", "NON-TAXABLE SALES-GRAD RENTALS")</f>
        <v xml:space="preserve">          4198 - NON-TAXABLE SALES-GRAD RENTALS</v>
      </c>
      <c r="C264" s="11"/>
      <c r="D264" s="2">
        <f t="shared" si="145"/>
        <v>0</v>
      </c>
      <c r="E264" s="2"/>
      <c r="F264" s="19">
        <f t="shared" si="137"/>
        <v>0</v>
      </c>
      <c r="G264" s="2"/>
      <c r="H264" s="2"/>
      <c r="I264" s="2"/>
      <c r="J264" s="19">
        <f t="shared" si="138"/>
        <v>0</v>
      </c>
      <c r="K264" s="2"/>
      <c r="L264" s="2">
        <f t="shared" si="139"/>
        <v>0</v>
      </c>
      <c r="M264" s="2"/>
      <c r="N264" s="19">
        <f t="shared" si="140"/>
        <v>0</v>
      </c>
      <c r="O264" s="11"/>
      <c r="P264" s="2">
        <f>--3732.1</f>
        <v>3732.1</v>
      </c>
      <c r="Q264" s="2"/>
      <c r="R264" s="19">
        <f t="shared" si="141"/>
        <v>4.3405152130033961E-4</v>
      </c>
      <c r="S264" s="2"/>
      <c r="T264" s="2"/>
      <c r="U264" s="2"/>
      <c r="V264" s="19">
        <f t="shared" si="142"/>
        <v>0</v>
      </c>
      <c r="W264" s="2"/>
      <c r="X264" s="2">
        <f t="shared" si="143"/>
        <v>3732.1</v>
      </c>
      <c r="Y264" s="2"/>
      <c r="Z264" s="19">
        <f t="shared" si="144"/>
        <v>0</v>
      </c>
    </row>
    <row r="265" spans="1:26" s="24" customFormat="1" hidden="1" outlineLevel="1" x14ac:dyDescent="0.25">
      <c r="A265" s="44"/>
      <c r="B265" s="11" t="str">
        <f>CONCATENATE("          ", "9150", " - ", "MISC. INCOME")</f>
        <v xml:space="preserve">          9150 - MISC. INCOME</v>
      </c>
      <c r="C265" s="11"/>
      <c r="D265" s="2">
        <f>--19739.85</f>
        <v>19739.849999999999</v>
      </c>
      <c r="E265" s="2"/>
      <c r="F265" s="19">
        <f t="shared" si="137"/>
        <v>8.5070258698726309E-2</v>
      </c>
      <c r="G265" s="2"/>
      <c r="H265" s="2">
        <v>29225</v>
      </c>
      <c r="I265" s="2"/>
      <c r="J265" s="19">
        <f t="shared" si="138"/>
        <v>3.1254164402183301E-2</v>
      </c>
      <c r="K265" s="2"/>
      <c r="L265" s="2">
        <f t="shared" si="139"/>
        <v>-9485.1500000000015</v>
      </c>
      <c r="M265" s="2"/>
      <c r="N265" s="19">
        <f t="shared" si="140"/>
        <v>-0.32455603079555179</v>
      </c>
      <c r="O265" s="11"/>
      <c r="P265" s="2">
        <f>--383147.99</f>
        <v>383147.99</v>
      </c>
      <c r="Q265" s="2"/>
      <c r="R265" s="19">
        <f t="shared" si="141"/>
        <v>4.4560962445450901E-2</v>
      </c>
      <c r="S265" s="2"/>
      <c r="T265" s="2">
        <v>275275</v>
      </c>
      <c r="U265" s="2"/>
      <c r="V265" s="19">
        <f t="shared" si="142"/>
        <v>2.7725553336472138E-2</v>
      </c>
      <c r="W265" s="2"/>
      <c r="X265" s="2">
        <f t="shared" si="143"/>
        <v>107872.98999999999</v>
      </c>
      <c r="Y265" s="2"/>
      <c r="Z265" s="19">
        <f t="shared" si="144"/>
        <v>0.39187354463718099</v>
      </c>
    </row>
    <row r="266" spans="1:26" s="24" customFormat="1" hidden="1" outlineLevel="1" x14ac:dyDescent="0.25">
      <c r="A266" s="44"/>
      <c r="B266" s="11" t="str">
        <f>CONCATENATE("          ", "9151", " - ", "MISC. INCOME")</f>
        <v xml:space="preserve">          9151 - MISC. INCOME</v>
      </c>
      <c r="C266" s="11"/>
      <c r="D266" s="2">
        <f>--13315.04</f>
        <v>13315.04</v>
      </c>
      <c r="E266" s="2"/>
      <c r="F266" s="19">
        <f t="shared" si="137"/>
        <v>5.7382092436563038E-2</v>
      </c>
      <c r="G266" s="2"/>
      <c r="H266" s="2">
        <v>12850</v>
      </c>
      <c r="I266" s="2"/>
      <c r="J266" s="19">
        <f t="shared" si="138"/>
        <v>1.3742207444587012E-2</v>
      </c>
      <c r="K266" s="2"/>
      <c r="L266" s="2">
        <f t="shared" si="139"/>
        <v>465.04000000000087</v>
      </c>
      <c r="M266" s="2"/>
      <c r="N266" s="19">
        <f t="shared" si="140"/>
        <v>3.6189883268482562E-2</v>
      </c>
      <c r="O266" s="11"/>
      <c r="P266" s="2">
        <f>--169392.7</f>
        <v>169392.7</v>
      </c>
      <c r="Q266" s="2"/>
      <c r="R266" s="19">
        <f t="shared" si="141"/>
        <v>1.9700747335862395E-2</v>
      </c>
      <c r="S266" s="2"/>
      <c r="T266" s="2">
        <v>103400</v>
      </c>
      <c r="U266" s="2"/>
      <c r="V266" s="19">
        <f t="shared" si="142"/>
        <v>1.0414393660852672E-2</v>
      </c>
      <c r="W266" s="2"/>
      <c r="X266" s="2">
        <f t="shared" si="143"/>
        <v>65992.700000000012</v>
      </c>
      <c r="Y266" s="2"/>
      <c r="Z266" s="19">
        <f t="shared" si="144"/>
        <v>0.63822727272727287</v>
      </c>
    </row>
    <row r="267" spans="1:26" s="24" customFormat="1" hidden="1" outlineLevel="1" x14ac:dyDescent="0.25">
      <c r="A267" s="44"/>
      <c r="B267" s="11" t="str">
        <f>CONCATENATE("          ", "9152", " - ", "MISC. INCOME")</f>
        <v xml:space="preserve">          9152 - MISC. INCOME</v>
      </c>
      <c r="C267" s="11"/>
      <c r="D267" s="2">
        <f t="shared" ref="D267:D270" si="146">0</f>
        <v>0</v>
      </c>
      <c r="E267" s="2"/>
      <c r="F267" s="19">
        <f t="shared" si="137"/>
        <v>0</v>
      </c>
      <c r="G267" s="2"/>
      <c r="H267" s="2"/>
      <c r="I267" s="2"/>
      <c r="J267" s="19">
        <f t="shared" si="138"/>
        <v>0</v>
      </c>
      <c r="K267" s="2"/>
      <c r="L267" s="2">
        <f t="shared" si="139"/>
        <v>0</v>
      </c>
      <c r="M267" s="2"/>
      <c r="N267" s="19">
        <f t="shared" si="140"/>
        <v>0</v>
      </c>
      <c r="O267" s="11"/>
      <c r="P267" s="2">
        <f>--4699.86</f>
        <v>4699.8599999999997</v>
      </c>
      <c r="Q267" s="2"/>
      <c r="R267" s="19">
        <f t="shared" si="141"/>
        <v>5.4660415929332388E-4</v>
      </c>
      <c r="S267" s="2"/>
      <c r="T267" s="2"/>
      <c r="U267" s="2"/>
      <c r="V267" s="19">
        <f t="shared" si="142"/>
        <v>0</v>
      </c>
      <c r="W267" s="2"/>
      <c r="X267" s="2">
        <f t="shared" si="143"/>
        <v>4699.8599999999997</v>
      </c>
      <c r="Y267" s="2"/>
      <c r="Z267" s="19">
        <f t="shared" si="144"/>
        <v>0</v>
      </c>
    </row>
    <row r="268" spans="1:26" s="24" customFormat="1" hidden="1" outlineLevel="1" x14ac:dyDescent="0.25">
      <c r="A268" s="44"/>
      <c r="B268" s="11" t="str">
        <f>CONCATENATE("          ", "9153", " - ", "MISC. INCOME")</f>
        <v xml:space="preserve">          9153 - MISC. INCOME</v>
      </c>
      <c r="C268" s="11"/>
      <c r="D268" s="2">
        <f t="shared" si="146"/>
        <v>0</v>
      </c>
      <c r="E268" s="2"/>
      <c r="F268" s="19">
        <f t="shared" si="137"/>
        <v>0</v>
      </c>
      <c r="G268" s="2"/>
      <c r="H268" s="2"/>
      <c r="I268" s="2"/>
      <c r="J268" s="19">
        <f t="shared" si="138"/>
        <v>0</v>
      </c>
      <c r="K268" s="2"/>
      <c r="L268" s="2">
        <f t="shared" si="139"/>
        <v>0</v>
      </c>
      <c r="M268" s="2"/>
      <c r="N268" s="19">
        <f t="shared" si="140"/>
        <v>0</v>
      </c>
      <c r="O268" s="11"/>
      <c r="P268" s="2">
        <f>--450</f>
        <v>450</v>
      </c>
      <c r="Q268" s="2"/>
      <c r="R268" s="19">
        <f t="shared" si="141"/>
        <v>5.2335999728076107E-5</v>
      </c>
      <c r="S268" s="2"/>
      <c r="T268" s="2"/>
      <c r="U268" s="2"/>
      <c r="V268" s="19">
        <f t="shared" si="142"/>
        <v>0</v>
      </c>
      <c r="W268" s="2"/>
      <c r="X268" s="2">
        <f t="shared" si="143"/>
        <v>450</v>
      </c>
      <c r="Y268" s="2"/>
      <c r="Z268" s="19">
        <f t="shared" si="144"/>
        <v>0</v>
      </c>
    </row>
    <row r="269" spans="1:26" s="24" customFormat="1" hidden="1" outlineLevel="1" x14ac:dyDescent="0.25">
      <c r="A269" s="44"/>
      <c r="B269" s="11" t="str">
        <f>CONCATENATE("          ", "9160", " - ", "MISC. INCOME")</f>
        <v xml:space="preserve">          9160 - MISC. INCOME</v>
      </c>
      <c r="C269" s="11"/>
      <c r="D269" s="2">
        <f t="shared" si="146"/>
        <v>0</v>
      </c>
      <c r="E269" s="2"/>
      <c r="F269" s="19">
        <f t="shared" si="137"/>
        <v>0</v>
      </c>
      <c r="G269" s="2"/>
      <c r="H269" s="2">
        <v>16900</v>
      </c>
      <c r="I269" s="2"/>
      <c r="J269" s="19">
        <f t="shared" si="138"/>
        <v>1.807340901272533E-2</v>
      </c>
      <c r="K269" s="2"/>
      <c r="L269" s="2">
        <f t="shared" si="139"/>
        <v>-16900</v>
      </c>
      <c r="M269" s="2"/>
      <c r="N269" s="19">
        <f t="shared" si="140"/>
        <v>-1</v>
      </c>
      <c r="O269" s="11"/>
      <c r="P269" s="2">
        <f>--22475</f>
        <v>22475</v>
      </c>
      <c r="Q269" s="2"/>
      <c r="R269" s="19">
        <f t="shared" si="141"/>
        <v>2.6138924308633568E-3</v>
      </c>
      <c r="S269" s="2"/>
      <c r="T269" s="2">
        <v>322450</v>
      </c>
      <c r="U269" s="2"/>
      <c r="V269" s="19">
        <f t="shared" si="142"/>
        <v>3.2476994544893077E-2</v>
      </c>
      <c r="W269" s="2"/>
      <c r="X269" s="2">
        <f t="shared" si="143"/>
        <v>-299975</v>
      </c>
      <c r="Y269" s="2"/>
      <c r="Z269" s="19">
        <f t="shared" si="144"/>
        <v>-0.93029927120483791</v>
      </c>
    </row>
    <row r="270" spans="1:26" s="24" customFormat="1" hidden="1" outlineLevel="1" x14ac:dyDescent="0.25">
      <c r="A270" s="44"/>
      <c r="B270" s="11" t="str">
        <f>CONCATENATE("          ", "9163", " - ", "MISC. INCOME")</f>
        <v xml:space="preserve">          9163 - MISC. INCOME</v>
      </c>
      <c r="C270" s="11"/>
      <c r="D270" s="2">
        <f t="shared" si="146"/>
        <v>0</v>
      </c>
      <c r="E270" s="2"/>
      <c r="F270" s="19">
        <f t="shared" si="137"/>
        <v>0</v>
      </c>
      <c r="G270" s="2"/>
      <c r="H270" s="2"/>
      <c r="I270" s="2"/>
      <c r="J270" s="19">
        <f t="shared" si="138"/>
        <v>0</v>
      </c>
      <c r="K270" s="2"/>
      <c r="L270" s="2">
        <f t="shared" si="139"/>
        <v>0</v>
      </c>
      <c r="M270" s="2"/>
      <c r="N270" s="19">
        <f t="shared" si="140"/>
        <v>0</v>
      </c>
      <c r="O270" s="11"/>
      <c r="P270" s="2">
        <f>--84439.88</f>
        <v>84439.88</v>
      </c>
      <c r="Q270" s="2"/>
      <c r="R270" s="19">
        <f t="shared" si="141"/>
        <v>9.8205456371528426E-3</v>
      </c>
      <c r="S270" s="2"/>
      <c r="T270" s="2"/>
      <c r="U270" s="2"/>
      <c r="V270" s="19">
        <f t="shared" si="142"/>
        <v>0</v>
      </c>
      <c r="W270" s="2"/>
      <c r="X270" s="2">
        <f t="shared" si="143"/>
        <v>84439.88</v>
      </c>
      <c r="Y270" s="2"/>
      <c r="Z270" s="19">
        <f t="shared" si="144"/>
        <v>0</v>
      </c>
    </row>
    <row r="271" spans="1:26" x14ac:dyDescent="0.25">
      <c r="A271" s="9"/>
      <c r="B271" s="10"/>
      <c r="C271" s="10"/>
      <c r="D271" s="3"/>
      <c r="E271" s="3"/>
      <c r="F271" s="8"/>
      <c r="G271" s="3"/>
      <c r="H271" s="3"/>
      <c r="I271" s="3"/>
      <c r="J271" s="8"/>
      <c r="K271" s="3"/>
      <c r="L271" s="3"/>
      <c r="M271" s="3"/>
      <c r="N271" s="8"/>
      <c r="O271" s="10"/>
      <c r="P271" s="3"/>
      <c r="Q271" s="3"/>
      <c r="R271" s="8"/>
      <c r="S271" s="3"/>
      <c r="T271" s="3"/>
      <c r="U271" s="3"/>
      <c r="V271" s="8"/>
      <c r="W271" s="3"/>
      <c r="X271" s="3"/>
      <c r="Y271" s="3"/>
      <c r="Z271" s="8"/>
    </row>
    <row r="272" spans="1:26" s="23" customFormat="1" x14ac:dyDescent="0.25">
      <c r="A272" s="10"/>
      <c r="B272" s="28" t="s">
        <v>3</v>
      </c>
      <c r="C272" s="28"/>
      <c r="D272" s="20">
        <f>+D163-D165+D261</f>
        <v>-149240.15999999986</v>
      </c>
      <c r="E272" s="14"/>
      <c r="F272" s="22">
        <f>IF(D$12=0,0,D272/D$12)</f>
        <v>-0.64316086593562227</v>
      </c>
      <c r="G272" s="14"/>
      <c r="H272" s="20">
        <f>+H163-H165+H261</f>
        <v>220799.047653733</v>
      </c>
      <c r="I272" s="14"/>
      <c r="J272" s="22">
        <f>IF(H$12=0,0,H272/H$12)</f>
        <v>0.23612967442994959</v>
      </c>
      <c r="K272" s="16"/>
      <c r="L272" s="20">
        <f>+D272-H272</f>
        <v>-370039.20765373285</v>
      </c>
      <c r="M272" s="16"/>
      <c r="N272" s="22">
        <f>IF(H272=0,0,L272/H272)</f>
        <v>-1.6759094370463272</v>
      </c>
      <c r="O272" s="29"/>
      <c r="P272" s="20">
        <f>+P163-P165+P261</f>
        <v>861095.95999999961</v>
      </c>
      <c r="Q272" s="14"/>
      <c r="R272" s="22">
        <f>IF(P$12=0,0,P272/P$12)</f>
        <v>0.10014737317423869</v>
      </c>
      <c r="S272" s="14"/>
      <c r="T272" s="20">
        <f>+T163-T165+T261</f>
        <v>1286460.9552493324</v>
      </c>
      <c r="U272" s="14"/>
      <c r="V272" s="22">
        <f>IF(T$12=0,0,T272/T$12)</f>
        <v>0.1295716713470321</v>
      </c>
      <c r="W272" s="16"/>
      <c r="X272" s="20">
        <f>+P272-T272</f>
        <v>-425364.99524933274</v>
      </c>
      <c r="Y272" s="16"/>
      <c r="Z272" s="22">
        <f>IF(T272=0,0,X272/T272)</f>
        <v>-0.33064741958444566</v>
      </c>
    </row>
    <row r="273" spans="1:26" x14ac:dyDescent="0.25">
      <c r="A273" s="9"/>
      <c r="B273" s="10"/>
      <c r="C273" s="9"/>
      <c r="D273" s="3"/>
      <c r="E273" s="3"/>
      <c r="F273" s="8"/>
      <c r="G273" s="3"/>
      <c r="H273" s="3"/>
      <c r="I273" s="3"/>
      <c r="J273" s="8"/>
      <c r="K273" s="3"/>
      <c r="L273" s="3"/>
      <c r="M273" s="3"/>
      <c r="N273" s="8"/>
      <c r="P273" s="3"/>
      <c r="Q273" s="3"/>
      <c r="R273" s="8"/>
      <c r="S273" s="3"/>
      <c r="T273" s="3"/>
      <c r="U273" s="3"/>
      <c r="V273" s="8"/>
      <c r="W273" s="3"/>
      <c r="X273" s="3"/>
      <c r="Y273" s="3"/>
      <c r="Z273" s="8"/>
    </row>
    <row r="274" spans="1:26" s="23" customFormat="1" x14ac:dyDescent="0.25">
      <c r="A274" s="52"/>
      <c r="B274" s="10" t="s">
        <v>14</v>
      </c>
      <c r="C274" s="10"/>
      <c r="D274" s="4">
        <v>68641.459999999992</v>
      </c>
      <c r="E274" s="4"/>
      <c r="F274" s="12">
        <f>IF(D$12=0,0,D274/D$12)</f>
        <v>0.29581515359327826</v>
      </c>
      <c r="G274" s="4"/>
      <c r="H274" s="4">
        <v>79082</v>
      </c>
      <c r="I274" s="4"/>
      <c r="J274" s="12">
        <f>IF(H$12=0,0,H274/H$12)</f>
        <v>8.4572859854694954E-2</v>
      </c>
      <c r="K274" s="4"/>
      <c r="L274" s="4">
        <f>+D274-H274</f>
        <v>-10440.540000000008</v>
      </c>
      <c r="M274" s="4"/>
      <c r="N274" s="12">
        <f>IF(H274=0,0,L274/H274)</f>
        <v>-0.13202169899597896</v>
      </c>
      <c r="O274" s="10"/>
      <c r="P274" s="4">
        <v>921327.4</v>
      </c>
      <c r="Q274" s="4"/>
      <c r="R274" s="12">
        <f>IF(P$12=0,0,P274/P$12)</f>
        <v>0.10715242345748681</v>
      </c>
      <c r="S274" s="4"/>
      <c r="T274" s="4">
        <v>1160556</v>
      </c>
      <c r="U274" s="4"/>
      <c r="V274" s="12">
        <f>IF(T$12=0,0,T274/T$12)</f>
        <v>0.11689059042035331</v>
      </c>
      <c r="W274" s="4"/>
      <c r="X274" s="4">
        <f>+P274-T274</f>
        <v>-239228.59999999998</v>
      </c>
      <c r="Y274" s="4"/>
      <c r="Z274" s="12">
        <f>IF(T274=0,0,X274/T274)</f>
        <v>-0.20613275016457627</v>
      </c>
    </row>
    <row r="275" spans="1:26" x14ac:dyDescent="0.25">
      <c r="A275" s="9"/>
      <c r="B275" s="10"/>
      <c r="C275" s="10"/>
      <c r="D275" s="3"/>
      <c r="E275" s="3"/>
      <c r="F275" s="8"/>
      <c r="G275" s="3"/>
      <c r="H275" s="3"/>
      <c r="I275" s="3"/>
      <c r="J275" s="8"/>
      <c r="K275" s="3"/>
      <c r="L275" s="3"/>
      <c r="M275" s="3"/>
      <c r="N275" s="8"/>
      <c r="O275" s="10"/>
      <c r="P275" s="3"/>
      <c r="Q275" s="3"/>
      <c r="R275" s="8"/>
      <c r="S275" s="3"/>
      <c r="T275" s="3"/>
      <c r="U275" s="3"/>
      <c r="V275" s="8"/>
      <c r="W275" s="3"/>
      <c r="X275" s="3"/>
      <c r="Y275" s="3"/>
      <c r="Z275" s="8"/>
    </row>
    <row r="276" spans="1:26" s="23" customFormat="1" ht="15.75" thickBot="1" x14ac:dyDescent="0.3">
      <c r="A276" s="10"/>
      <c r="B276" s="28" t="s">
        <v>4</v>
      </c>
      <c r="C276" s="28"/>
      <c r="D276" s="31">
        <f>+D272-D274</f>
        <v>-217881.61999999985</v>
      </c>
      <c r="E276" s="14"/>
      <c r="F276" s="34">
        <f>IF(D$12=0,0,D276/D$12)</f>
        <v>-0.93897601952890053</v>
      </c>
      <c r="G276" s="14"/>
      <c r="H276" s="31">
        <f>+H272-H274</f>
        <v>141717.047653733</v>
      </c>
      <c r="I276" s="14"/>
      <c r="J276" s="34">
        <f>IF(H$12=0,0,H276/H$12)</f>
        <v>0.15155681457525463</v>
      </c>
      <c r="K276" s="16"/>
      <c r="L276" s="31">
        <f>D276-H276</f>
        <v>-359598.66765373282</v>
      </c>
      <c r="M276" s="16"/>
      <c r="N276" s="34">
        <f>IF(H276=0,0,L276/H276)</f>
        <v>-2.5374411449239682</v>
      </c>
      <c r="O276" s="29"/>
      <c r="P276" s="31">
        <f>+P272-P274</f>
        <v>-60231.44000000041</v>
      </c>
      <c r="Q276" s="14"/>
      <c r="R276" s="34">
        <f>IF(P$12=0,0,P276/P$12)</f>
        <v>-7.005050283248119E-3</v>
      </c>
      <c r="S276" s="14"/>
      <c r="T276" s="31">
        <f>+T272-T274</f>
        <v>125904.95524933236</v>
      </c>
      <c r="U276" s="14"/>
      <c r="V276" s="34">
        <f>IF(T$12=0,0,T276/T$12)</f>
        <v>1.2681080926678783E-2</v>
      </c>
      <c r="W276" s="16"/>
      <c r="X276" s="31">
        <f>P276-T276</f>
        <v>-186136.39524933277</v>
      </c>
      <c r="Y276" s="16"/>
      <c r="Z276" s="34">
        <f>IF(T276=0,0,X276/T276)</f>
        <v>-1.4783881609800247</v>
      </c>
    </row>
    <row r="277" spans="1:26" ht="15.75" thickTop="1" x14ac:dyDescent="0.25">
      <c r="A277" s="9"/>
      <c r="B277" s="9"/>
      <c r="C277" s="9"/>
      <c r="D277" s="3"/>
      <c r="E277" s="3"/>
      <c r="F277" s="8"/>
      <c r="G277" s="3"/>
      <c r="H277" s="3"/>
      <c r="I277" s="3"/>
      <c r="J277" s="8"/>
      <c r="K277" s="3"/>
      <c r="L277" s="3"/>
      <c r="M277" s="3"/>
      <c r="N277" s="8"/>
      <c r="P277" s="3"/>
      <c r="Q277" s="3"/>
      <c r="R277" s="8"/>
      <c r="S277" s="3"/>
      <c r="T277" s="3"/>
      <c r="U277" s="3"/>
      <c r="V277" s="8"/>
      <c r="W277" s="3"/>
      <c r="X277" s="3"/>
      <c r="Y277" s="3"/>
      <c r="Z277" s="8"/>
    </row>
    <row r="278" spans="1:26" x14ac:dyDescent="0.25">
      <c r="A278" s="9"/>
      <c r="B278" s="9"/>
      <c r="C278" s="9"/>
      <c r="D278" s="3"/>
      <c r="E278" s="3"/>
      <c r="F278" s="8"/>
      <c r="G278" s="3"/>
      <c r="H278" s="3"/>
      <c r="I278" s="3"/>
      <c r="J278" s="8"/>
      <c r="K278" s="3"/>
      <c r="L278" s="3"/>
      <c r="M278" s="3"/>
      <c r="N278" s="8"/>
      <c r="P278" s="3"/>
      <c r="Q278" s="3"/>
      <c r="R278" s="8"/>
      <c r="S278" s="3"/>
      <c r="T278" s="3"/>
      <c r="U278" s="3"/>
      <c r="V278" s="8"/>
      <c r="W278" s="3"/>
      <c r="X278" s="3"/>
      <c r="Y278" s="3"/>
      <c r="Z278" s="8"/>
    </row>
    <row r="279" spans="1:26" s="23" customFormat="1" ht="15.75" thickBot="1" x14ac:dyDescent="0.3">
      <c r="A279" s="10"/>
      <c r="B279" s="28" t="s">
        <v>5</v>
      </c>
      <c r="C279" s="28"/>
      <c r="D279" s="32">
        <f>SUM(D276:D278)</f>
        <v>-217881.61999999985</v>
      </c>
      <c r="E279" s="14"/>
      <c r="F279" s="35">
        <f>IF(D$12=0,0,D279/D$12)</f>
        <v>-0.93897601952890053</v>
      </c>
      <c r="G279" s="14"/>
      <c r="H279" s="32">
        <f>SUM(H276:H278)</f>
        <v>141717.047653733</v>
      </c>
      <c r="I279" s="14"/>
      <c r="J279" s="35">
        <f>IF(H$12=0,0,H279/H$12)</f>
        <v>0.15155681457525463</v>
      </c>
      <c r="K279" s="16"/>
      <c r="L279" s="32">
        <f>+D279-H279</f>
        <v>-359598.66765373282</v>
      </c>
      <c r="M279" s="16"/>
      <c r="N279" s="35">
        <f>IF(H279=0,0,L279/H279)</f>
        <v>-2.5374411449239682</v>
      </c>
      <c r="O279" s="29"/>
      <c r="P279" s="32">
        <f>SUM(P276:P278)</f>
        <v>-60231.44000000041</v>
      </c>
      <c r="Q279" s="14"/>
      <c r="R279" s="35">
        <f>IF(P$12=0,0,P279/P$12)</f>
        <v>-7.005050283248119E-3</v>
      </c>
      <c r="S279" s="14"/>
      <c r="T279" s="32">
        <f>SUM(T276:T278)</f>
        <v>125904.95524933236</v>
      </c>
      <c r="U279" s="14"/>
      <c r="V279" s="35">
        <f>IF(T$12=0,0,T279/T$12)</f>
        <v>1.2681080926678783E-2</v>
      </c>
      <c r="W279" s="16"/>
      <c r="X279" s="32">
        <f>+P279-T279</f>
        <v>-186136.39524933277</v>
      </c>
      <c r="Y279" s="16"/>
      <c r="Z279" s="35">
        <f>IF(T279=0,0,X279/T279)</f>
        <v>-1.4783881609800247</v>
      </c>
    </row>
    <row r="280" spans="1:26" ht="15.75" thickTop="1" x14ac:dyDescent="0.25">
      <c r="A280" s="9"/>
      <c r="C280" s="9"/>
      <c r="D280" s="18"/>
      <c r="E280" s="18"/>
      <c r="G280" s="18"/>
      <c r="H280" s="18"/>
      <c r="I280" s="18"/>
      <c r="J280" s="42"/>
      <c r="K280" s="18"/>
      <c r="L280" s="18"/>
      <c r="M280" s="18"/>
      <c r="P280" s="18"/>
      <c r="Q280" s="18"/>
      <c r="R280" s="42"/>
      <c r="S280" s="18"/>
      <c r="T280" s="18"/>
      <c r="U280" s="18"/>
      <c r="V280" s="42"/>
      <c r="W280" s="18"/>
      <c r="X280" s="18"/>
    </row>
    <row r="281" spans="1:26" x14ac:dyDescent="0.25">
      <c r="A281" s="9"/>
      <c r="B281" s="57">
        <v>43934.465888275467</v>
      </c>
      <c r="D281" s="18"/>
      <c r="E281" s="18"/>
      <c r="G281" s="18"/>
      <c r="H281" s="18"/>
      <c r="I281" s="18"/>
      <c r="J281" s="42"/>
      <c r="K281" s="18"/>
      <c r="L281" s="18"/>
      <c r="M281" s="18"/>
      <c r="P281" s="18"/>
      <c r="Q281" s="18"/>
      <c r="R281" s="42"/>
      <c r="S281" s="18"/>
      <c r="T281" s="18"/>
      <c r="U281" s="18"/>
      <c r="V281" s="42"/>
      <c r="W281" s="18"/>
      <c r="X281" s="18"/>
    </row>
    <row r="282" spans="1:26" x14ac:dyDescent="0.25">
      <c r="A282" s="9"/>
      <c r="B282" s="62" t="s">
        <v>314</v>
      </c>
      <c r="D282" s="18"/>
      <c r="E282" s="18"/>
      <c r="G282" s="18"/>
      <c r="H282" s="18"/>
      <c r="I282" s="18"/>
      <c r="J282" s="42"/>
      <c r="K282" s="18"/>
      <c r="L282" s="18"/>
      <c r="M282" s="18"/>
      <c r="P282" s="18"/>
      <c r="Q282" s="18"/>
      <c r="R282" s="42"/>
      <c r="S282" s="18"/>
      <c r="T282" s="18"/>
      <c r="U282" s="18"/>
      <c r="V282" s="42"/>
      <c r="W282" s="18"/>
      <c r="X282" s="18"/>
    </row>
    <row r="283" spans="1:26" x14ac:dyDescent="0.25">
      <c r="A283" s="9"/>
      <c r="B283" s="60"/>
      <c r="D283" s="18"/>
      <c r="E283" s="18"/>
      <c r="G283" s="18"/>
      <c r="H283" s="18"/>
      <c r="I283" s="18"/>
      <c r="J283" s="42"/>
      <c r="K283" s="18"/>
      <c r="L283" s="18"/>
      <c r="M283" s="18"/>
      <c r="P283" s="18"/>
      <c r="Q283" s="18"/>
      <c r="R283" s="42"/>
      <c r="S283" s="18"/>
      <c r="T283" s="18"/>
      <c r="U283" s="18"/>
      <c r="V283" s="42"/>
      <c r="W283" s="18"/>
      <c r="X283" s="18"/>
    </row>
    <row r="284" spans="1:26" x14ac:dyDescent="0.25">
      <c r="D284" s="18"/>
      <c r="E284" s="18"/>
      <c r="G284" s="18"/>
      <c r="H284" s="18"/>
      <c r="I284" s="18"/>
      <c r="J284" s="42"/>
      <c r="K284" s="18"/>
      <c r="L284" s="18"/>
      <c r="M284" s="18"/>
      <c r="P284" s="18"/>
      <c r="Q284" s="18"/>
      <c r="R284" s="42"/>
      <c r="S284" s="18"/>
      <c r="T284" s="18"/>
      <c r="U284" s="18"/>
      <c r="V284" s="42"/>
      <c r="W284" s="18"/>
      <c r="X284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297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31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312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346343.60000000015</v>
      </c>
      <c r="E12" s="4"/>
      <c r="F12" s="12"/>
      <c r="G12" s="4"/>
      <c r="H12" s="4">
        <f>SUM(OSRRefH13x_0)</f>
        <v>1099105.3910400001</v>
      </c>
      <c r="I12" s="4"/>
      <c r="J12" s="12"/>
      <c r="K12" s="4"/>
      <c r="L12" s="4">
        <f t="shared" ref="L12:L126" si="0">+D12-H12</f>
        <v>-752761.79104000004</v>
      </c>
      <c r="M12" s="4"/>
      <c r="N12" s="12">
        <f t="shared" ref="N12:N126" si="1">IF(H12=0,0,L12/H12)</f>
        <v>-0.68488590555244078</v>
      </c>
      <c r="O12" s="10"/>
      <c r="P12" s="4">
        <f>SUM(OSRRefP13x_0)</f>
        <v>10636622.48</v>
      </c>
      <c r="Q12" s="4"/>
      <c r="R12" s="12"/>
      <c r="S12" s="4"/>
      <c r="T12" s="4">
        <f>SUM(OSRRefT13x_0)</f>
        <v>11987147.49818</v>
      </c>
      <c r="U12" s="4"/>
      <c r="V12" s="12"/>
      <c r="W12" s="4"/>
      <c r="X12" s="4">
        <f t="shared" ref="X12:X126" si="2">+P12-T12</f>
        <v>-1350525.0181799997</v>
      </c>
      <c r="Y12" s="4"/>
      <c r="Z12" s="12">
        <f t="shared" ref="Z12:Z126" si="3">IF(T12=0,0,X12/T12)</f>
        <v>-0.11266441982006552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772422.39104000002</v>
      </c>
      <c r="I13" s="2"/>
      <c r="J13" s="19"/>
      <c r="K13" s="2"/>
      <c r="L13" s="2">
        <f t="shared" si="0"/>
        <v>-772422.39104000002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5914764.4981800001</v>
      </c>
      <c r="U13" s="2"/>
      <c r="V13" s="19"/>
      <c r="W13" s="2"/>
      <c r="X13" s="2">
        <f t="shared" si="2"/>
        <v>-5914764.4981800001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--6131.56</f>
        <v>6131.56</v>
      </c>
      <c r="E14" s="2"/>
      <c r="F14" s="19"/>
      <c r="G14" s="2"/>
      <c r="H14" s="2"/>
      <c r="I14" s="2"/>
      <c r="J14" s="19"/>
      <c r="K14" s="2"/>
      <c r="L14" s="2">
        <f t="shared" si="0"/>
        <v>6131.56</v>
      </c>
      <c r="M14" s="2"/>
      <c r="N14" s="19">
        <f t="shared" si="1"/>
        <v>0</v>
      </c>
      <c r="O14" s="11"/>
      <c r="P14" s="2">
        <f>--2396893.28</f>
        <v>2396893.2799999998</v>
      </c>
      <c r="Q14" s="2"/>
      <c r="R14" s="19"/>
      <c r="S14" s="2"/>
      <c r="T14" s="2"/>
      <c r="U14" s="2"/>
      <c r="V14" s="19"/>
      <c r="W14" s="2"/>
      <c r="X14" s="2">
        <f t="shared" si="2"/>
        <v>2396893.2799999998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--4341.5</f>
        <v>4341.5</v>
      </c>
      <c r="E15" s="2"/>
      <c r="F15" s="19"/>
      <c r="G15" s="2"/>
      <c r="H15" s="2"/>
      <c r="I15" s="2"/>
      <c r="J15" s="19"/>
      <c r="K15" s="2"/>
      <c r="L15" s="2">
        <f t="shared" si="0"/>
        <v>4341.5</v>
      </c>
      <c r="M15" s="2"/>
      <c r="N15" s="19">
        <f t="shared" si="1"/>
        <v>0</v>
      </c>
      <c r="O15" s="11"/>
      <c r="P15" s="2">
        <f>--1244314.69</f>
        <v>1244314.69</v>
      </c>
      <c r="Q15" s="2"/>
      <c r="R15" s="19"/>
      <c r="S15" s="2"/>
      <c r="T15" s="2"/>
      <c r="U15" s="2"/>
      <c r="V15" s="19"/>
      <c r="W15" s="2"/>
      <c r="X15" s="2">
        <f t="shared" si="2"/>
        <v>1244314.69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--78</f>
        <v>78</v>
      </c>
      <c r="E16" s="2"/>
      <c r="F16" s="19"/>
      <c r="G16" s="2"/>
      <c r="H16" s="2"/>
      <c r="I16" s="2"/>
      <c r="J16" s="19"/>
      <c r="K16" s="2"/>
      <c r="L16" s="2">
        <f t="shared" si="0"/>
        <v>78</v>
      </c>
      <c r="M16" s="2"/>
      <c r="N16" s="19">
        <f t="shared" si="1"/>
        <v>0</v>
      </c>
      <c r="O16" s="11"/>
      <c r="P16" s="2">
        <f>--33694.89</f>
        <v>33694.89</v>
      </c>
      <c r="Q16" s="2"/>
      <c r="R16" s="19"/>
      <c r="S16" s="2"/>
      <c r="T16" s="2"/>
      <c r="U16" s="2"/>
      <c r="V16" s="19"/>
      <c r="W16" s="2"/>
      <c r="X16" s="2">
        <f t="shared" si="2"/>
        <v>33694.89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/>
      <c r="U17" s="2"/>
      <c r="V17" s="19"/>
      <c r="W17" s="2"/>
      <c r="X17" s="2">
        <f t="shared" si="2"/>
        <v>42195.3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--253.6</f>
        <v>253.6</v>
      </c>
      <c r="E18" s="2"/>
      <c r="F18" s="19"/>
      <c r="G18" s="2"/>
      <c r="H18" s="2"/>
      <c r="I18" s="2"/>
      <c r="J18" s="19"/>
      <c r="K18" s="2"/>
      <c r="L18" s="2">
        <f t="shared" si="0"/>
        <v>253.6</v>
      </c>
      <c r="M18" s="2"/>
      <c r="N18" s="19">
        <f t="shared" si="1"/>
        <v>0</v>
      </c>
      <c r="O18" s="11"/>
      <c r="P18" s="2">
        <f>--1052.48</f>
        <v>1052.48</v>
      </c>
      <c r="Q18" s="2"/>
      <c r="R18" s="19"/>
      <c r="S18" s="2"/>
      <c r="T18" s="2"/>
      <c r="U18" s="2"/>
      <c r="V18" s="19"/>
      <c r="W18" s="2"/>
      <c r="X18" s="2">
        <f t="shared" si="2"/>
        <v>1052.48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--412.75</f>
        <v>412.75</v>
      </c>
      <c r="E19" s="2"/>
      <c r="F19" s="19"/>
      <c r="G19" s="2"/>
      <c r="H19" s="2"/>
      <c r="I19" s="2"/>
      <c r="J19" s="19"/>
      <c r="K19" s="2"/>
      <c r="L19" s="2">
        <f t="shared" si="0"/>
        <v>412.75</v>
      </c>
      <c r="M19" s="2"/>
      <c r="N19" s="19">
        <f t="shared" si="1"/>
        <v>0</v>
      </c>
      <c r="O19" s="11"/>
      <c r="P19" s="2">
        <f>--2695</f>
        <v>2695</v>
      </c>
      <c r="Q19" s="2"/>
      <c r="R19" s="19"/>
      <c r="S19" s="2"/>
      <c r="T19" s="2"/>
      <c r="U19" s="2"/>
      <c r="V19" s="19"/>
      <c r="W19" s="2"/>
      <c r="X19" s="2">
        <f t="shared" si="2"/>
        <v>2695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--67.24</f>
        <v>67.239999999999995</v>
      </c>
      <c r="E20" s="2"/>
      <c r="F20" s="19"/>
      <c r="G20" s="2"/>
      <c r="H20" s="2"/>
      <c r="I20" s="2"/>
      <c r="J20" s="19"/>
      <c r="K20" s="2"/>
      <c r="L20" s="2">
        <f t="shared" si="0"/>
        <v>67.239999999999995</v>
      </c>
      <c r="M20" s="2"/>
      <c r="N20" s="19">
        <f t="shared" si="1"/>
        <v>0</v>
      </c>
      <c r="O20" s="11"/>
      <c r="P20" s="2">
        <f>--1219.18</f>
        <v>1219.18</v>
      </c>
      <c r="Q20" s="2"/>
      <c r="R20" s="19"/>
      <c r="S20" s="2"/>
      <c r="T20" s="2"/>
      <c r="U20" s="2"/>
      <c r="V20" s="19"/>
      <c r="W20" s="2"/>
      <c r="X20" s="2">
        <f t="shared" si="2"/>
        <v>1219.18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--10.98</f>
        <v>10.98</v>
      </c>
      <c r="E21" s="2"/>
      <c r="F21" s="19"/>
      <c r="G21" s="2"/>
      <c r="H21" s="2"/>
      <c r="I21" s="2"/>
      <c r="J21" s="19"/>
      <c r="K21" s="2"/>
      <c r="L21" s="2">
        <f t="shared" si="0"/>
        <v>10.98</v>
      </c>
      <c r="M21" s="2"/>
      <c r="N21" s="19">
        <f t="shared" si="1"/>
        <v>0</v>
      </c>
      <c r="O21" s="11"/>
      <c r="P21" s="2">
        <f>--282.57</f>
        <v>282.57</v>
      </c>
      <c r="Q21" s="2"/>
      <c r="R21" s="19"/>
      <c r="S21" s="2"/>
      <c r="T21" s="2"/>
      <c r="U21" s="2"/>
      <c r="V21" s="19"/>
      <c r="W21" s="2"/>
      <c r="X21" s="2">
        <f t="shared" si="2"/>
        <v>282.57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--56.6</f>
        <v>56.6</v>
      </c>
      <c r="E22" s="2"/>
      <c r="F22" s="19"/>
      <c r="G22" s="2"/>
      <c r="H22" s="2"/>
      <c r="I22" s="2"/>
      <c r="J22" s="19"/>
      <c r="K22" s="2"/>
      <c r="L22" s="2">
        <f t="shared" si="0"/>
        <v>56.6</v>
      </c>
      <c r="M22" s="2"/>
      <c r="N22" s="19">
        <f t="shared" si="1"/>
        <v>0</v>
      </c>
      <c r="O22" s="11"/>
      <c r="P22" s="2">
        <f>--4154.31</f>
        <v>4154.3100000000004</v>
      </c>
      <c r="Q22" s="2"/>
      <c r="R22" s="19"/>
      <c r="S22" s="2"/>
      <c r="T22" s="2"/>
      <c r="U22" s="2"/>
      <c r="V22" s="19"/>
      <c r="W22" s="2"/>
      <c r="X22" s="2">
        <f t="shared" si="2"/>
        <v>4154.3100000000004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/>
      <c r="U23" s="2"/>
      <c r="V23" s="19"/>
      <c r="W23" s="2"/>
      <c r="X23" s="2">
        <f t="shared" si="2"/>
        <v>42.85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--2919.17</f>
        <v>2919.17</v>
      </c>
      <c r="E24" s="2"/>
      <c r="F24" s="19"/>
      <c r="G24" s="2"/>
      <c r="H24" s="2"/>
      <c r="I24" s="2"/>
      <c r="J24" s="19"/>
      <c r="K24" s="2"/>
      <c r="L24" s="2">
        <f t="shared" si="0"/>
        <v>2919.17</v>
      </c>
      <c r="M24" s="2"/>
      <c r="N24" s="19">
        <f t="shared" si="1"/>
        <v>0</v>
      </c>
      <c r="O24" s="11"/>
      <c r="P24" s="2">
        <f>--54702.86</f>
        <v>54702.86</v>
      </c>
      <c r="Q24" s="2"/>
      <c r="R24" s="19"/>
      <c r="S24" s="2"/>
      <c r="T24" s="2"/>
      <c r="U24" s="2"/>
      <c r="V24" s="19"/>
      <c r="W24" s="2"/>
      <c r="X24" s="2">
        <f t="shared" si="2"/>
        <v>54702.86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--4393.86</f>
        <v>4393.8599999999997</v>
      </c>
      <c r="E25" s="2"/>
      <c r="F25" s="19"/>
      <c r="G25" s="2"/>
      <c r="H25" s="2"/>
      <c r="I25" s="2"/>
      <c r="J25" s="19"/>
      <c r="K25" s="2"/>
      <c r="L25" s="2">
        <f t="shared" si="0"/>
        <v>4393.8599999999997</v>
      </c>
      <c r="M25" s="2"/>
      <c r="N25" s="19">
        <f t="shared" si="1"/>
        <v>0</v>
      </c>
      <c r="O25" s="11"/>
      <c r="P25" s="2">
        <f>--79868.06</f>
        <v>79868.06</v>
      </c>
      <c r="Q25" s="2"/>
      <c r="R25" s="19"/>
      <c r="S25" s="2"/>
      <c r="T25" s="2"/>
      <c r="U25" s="2"/>
      <c r="V25" s="19"/>
      <c r="W25" s="2"/>
      <c r="X25" s="2">
        <f t="shared" si="2"/>
        <v>79868.06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--8153.25</f>
        <v>8153.25</v>
      </c>
      <c r="E26" s="2"/>
      <c r="F26" s="19"/>
      <c r="G26" s="2"/>
      <c r="H26" s="2"/>
      <c r="I26" s="2"/>
      <c r="J26" s="19"/>
      <c r="K26" s="2"/>
      <c r="L26" s="2">
        <f t="shared" si="0"/>
        <v>8153.25</v>
      </c>
      <c r="M26" s="2"/>
      <c r="N26" s="19">
        <f t="shared" si="1"/>
        <v>0</v>
      </c>
      <c r="O26" s="11"/>
      <c r="P26" s="2">
        <f>--269846.58</f>
        <v>269846.58</v>
      </c>
      <c r="Q26" s="2"/>
      <c r="R26" s="19"/>
      <c r="S26" s="2"/>
      <c r="T26" s="2"/>
      <c r="U26" s="2"/>
      <c r="V26" s="19"/>
      <c r="W26" s="2"/>
      <c r="X26" s="2">
        <f t="shared" si="2"/>
        <v>269846.58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--17260.82</f>
        <v>17260.82</v>
      </c>
      <c r="E27" s="2"/>
      <c r="F27" s="19"/>
      <c r="G27" s="2"/>
      <c r="H27" s="2"/>
      <c r="I27" s="2"/>
      <c r="J27" s="19"/>
      <c r="K27" s="2"/>
      <c r="L27" s="2">
        <f t="shared" si="0"/>
        <v>17260.82</v>
      </c>
      <c r="M27" s="2"/>
      <c r="N27" s="19">
        <f t="shared" si="1"/>
        <v>0</v>
      </c>
      <c r="O27" s="11"/>
      <c r="P27" s="2">
        <f>--292597.05</f>
        <v>292597.05</v>
      </c>
      <c r="Q27" s="2"/>
      <c r="R27" s="19"/>
      <c r="S27" s="2"/>
      <c r="T27" s="2"/>
      <c r="U27" s="2"/>
      <c r="V27" s="19"/>
      <c r="W27" s="2"/>
      <c r="X27" s="2">
        <f t="shared" si="2"/>
        <v>292597.05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--44.3</f>
        <v>44.3</v>
      </c>
      <c r="E28" s="2"/>
      <c r="F28" s="19"/>
      <c r="G28" s="2"/>
      <c r="H28" s="2"/>
      <c r="I28" s="2"/>
      <c r="J28" s="19"/>
      <c r="K28" s="2"/>
      <c r="L28" s="2">
        <f t="shared" si="0"/>
        <v>44.3</v>
      </c>
      <c r="M28" s="2"/>
      <c r="N28" s="19">
        <f t="shared" si="1"/>
        <v>0</v>
      </c>
      <c r="O28" s="11"/>
      <c r="P28" s="2">
        <f>--486.34</f>
        <v>486.34</v>
      </c>
      <c r="Q28" s="2"/>
      <c r="R28" s="19"/>
      <c r="S28" s="2"/>
      <c r="T28" s="2"/>
      <c r="U28" s="2"/>
      <c r="V28" s="19"/>
      <c r="W28" s="2"/>
      <c r="X28" s="2">
        <f t="shared" si="2"/>
        <v>486.34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--240.81</f>
        <v>240.81</v>
      </c>
      <c r="E29" s="2"/>
      <c r="F29" s="19"/>
      <c r="G29" s="2"/>
      <c r="H29" s="2"/>
      <c r="I29" s="2"/>
      <c r="J29" s="19"/>
      <c r="K29" s="2"/>
      <c r="L29" s="2">
        <f t="shared" si="0"/>
        <v>240.81</v>
      </c>
      <c r="M29" s="2"/>
      <c r="N29" s="19">
        <f t="shared" si="1"/>
        <v>0</v>
      </c>
      <c r="O29" s="11"/>
      <c r="P29" s="2">
        <f>--1905.06</f>
        <v>1905.06</v>
      </c>
      <c r="Q29" s="2"/>
      <c r="R29" s="19"/>
      <c r="S29" s="2"/>
      <c r="T29" s="2"/>
      <c r="U29" s="2"/>
      <c r="V29" s="19"/>
      <c r="W29" s="2"/>
      <c r="X29" s="2">
        <f t="shared" si="2"/>
        <v>1905.06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--25.55</f>
        <v>25.55</v>
      </c>
      <c r="E30" s="2"/>
      <c r="F30" s="19"/>
      <c r="G30" s="2"/>
      <c r="H30" s="2"/>
      <c r="I30" s="2"/>
      <c r="J30" s="19"/>
      <c r="K30" s="2"/>
      <c r="L30" s="2">
        <f t="shared" si="0"/>
        <v>25.55</v>
      </c>
      <c r="M30" s="2"/>
      <c r="N30" s="19">
        <f t="shared" si="1"/>
        <v>0</v>
      </c>
      <c r="O30" s="11"/>
      <c r="P30" s="2">
        <f>--205.53</f>
        <v>205.53</v>
      </c>
      <c r="Q30" s="2"/>
      <c r="R30" s="19"/>
      <c r="S30" s="2"/>
      <c r="T30" s="2"/>
      <c r="U30" s="2"/>
      <c r="V30" s="19"/>
      <c r="W30" s="2"/>
      <c r="X30" s="2">
        <f t="shared" si="2"/>
        <v>205.53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--600.08</f>
        <v>600.08000000000004</v>
      </c>
      <c r="E31" s="2"/>
      <c r="F31" s="19"/>
      <c r="G31" s="2"/>
      <c r="H31" s="2"/>
      <c r="I31" s="2"/>
      <c r="J31" s="19"/>
      <c r="K31" s="2"/>
      <c r="L31" s="2">
        <f t="shared" si="0"/>
        <v>600.08000000000004</v>
      </c>
      <c r="M31" s="2"/>
      <c r="N31" s="19">
        <f t="shared" si="1"/>
        <v>0</v>
      </c>
      <c r="O31" s="11"/>
      <c r="P31" s="2">
        <f>--7803.51</f>
        <v>7803.51</v>
      </c>
      <c r="Q31" s="2"/>
      <c r="R31" s="19"/>
      <c r="S31" s="2"/>
      <c r="T31" s="2"/>
      <c r="U31" s="2"/>
      <c r="V31" s="19"/>
      <c r="W31" s="2"/>
      <c r="X31" s="2">
        <f t="shared" si="2"/>
        <v>7803.51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--101.32</f>
        <v>101.32</v>
      </c>
      <c r="E32" s="2"/>
      <c r="F32" s="19"/>
      <c r="G32" s="2"/>
      <c r="H32" s="2"/>
      <c r="I32" s="2"/>
      <c r="J32" s="19"/>
      <c r="K32" s="2"/>
      <c r="L32" s="2">
        <f t="shared" si="0"/>
        <v>101.32</v>
      </c>
      <c r="M32" s="2"/>
      <c r="N32" s="19">
        <f t="shared" si="1"/>
        <v>0</v>
      </c>
      <c r="O32" s="11"/>
      <c r="P32" s="2">
        <f>--1981.84</f>
        <v>1981.84</v>
      </c>
      <c r="Q32" s="2"/>
      <c r="R32" s="19"/>
      <c r="S32" s="2"/>
      <c r="T32" s="2"/>
      <c r="U32" s="2"/>
      <c r="V32" s="19"/>
      <c r="W32" s="2"/>
      <c r="X32" s="2">
        <f t="shared" si="2"/>
        <v>1981.84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--24.8</f>
        <v>24.8</v>
      </c>
      <c r="E33" s="2"/>
      <c r="F33" s="19"/>
      <c r="G33" s="2"/>
      <c r="H33" s="2"/>
      <c r="I33" s="2"/>
      <c r="J33" s="19"/>
      <c r="K33" s="2"/>
      <c r="L33" s="2">
        <f t="shared" si="0"/>
        <v>24.8</v>
      </c>
      <c r="M33" s="2"/>
      <c r="N33" s="19">
        <f t="shared" si="1"/>
        <v>0</v>
      </c>
      <c r="O33" s="11"/>
      <c r="P33" s="2">
        <f>--513.51</f>
        <v>513.51</v>
      </c>
      <c r="Q33" s="2"/>
      <c r="R33" s="19"/>
      <c r="S33" s="2"/>
      <c r="T33" s="2"/>
      <c r="U33" s="2"/>
      <c r="V33" s="19"/>
      <c r="W33" s="2"/>
      <c r="X33" s="2">
        <f t="shared" si="2"/>
        <v>513.51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--93833.27</f>
        <v>93833.27</v>
      </c>
      <c r="E34" s="2"/>
      <c r="F34" s="19"/>
      <c r="G34" s="2"/>
      <c r="H34" s="2"/>
      <c r="I34" s="2"/>
      <c r="J34" s="19"/>
      <c r="K34" s="2"/>
      <c r="L34" s="2">
        <f t="shared" si="0"/>
        <v>93833.27</v>
      </c>
      <c r="M34" s="2"/>
      <c r="N34" s="19">
        <f t="shared" si="1"/>
        <v>0</v>
      </c>
      <c r="O34" s="11"/>
      <c r="P34" s="2">
        <f>--1776128.49</f>
        <v>1776128.49</v>
      </c>
      <c r="Q34" s="2"/>
      <c r="R34" s="19"/>
      <c r="S34" s="2"/>
      <c r="T34" s="2"/>
      <c r="U34" s="2"/>
      <c r="V34" s="19"/>
      <c r="W34" s="2"/>
      <c r="X34" s="2">
        <f t="shared" si="2"/>
        <v>1776128.49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--25196.53</f>
        <v>25196.53</v>
      </c>
      <c r="E35" s="2"/>
      <c r="F35" s="19"/>
      <c r="G35" s="2"/>
      <c r="H35" s="2"/>
      <c r="I35" s="2"/>
      <c r="J35" s="19"/>
      <c r="K35" s="2"/>
      <c r="L35" s="2">
        <f t="shared" si="0"/>
        <v>25196.53</v>
      </c>
      <c r="M35" s="2"/>
      <c r="N35" s="19">
        <f t="shared" si="1"/>
        <v>0</v>
      </c>
      <c r="O35" s="11"/>
      <c r="P35" s="2">
        <f>--467017.72</f>
        <v>467017.72</v>
      </c>
      <c r="Q35" s="2"/>
      <c r="R35" s="19"/>
      <c r="S35" s="2"/>
      <c r="T35" s="2"/>
      <c r="U35" s="2"/>
      <c r="V35" s="19"/>
      <c r="W35" s="2"/>
      <c r="X35" s="2">
        <f t="shared" si="2"/>
        <v>467017.72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--18014.27</f>
        <v>18014.27</v>
      </c>
      <c r="E36" s="2"/>
      <c r="F36" s="19"/>
      <c r="G36" s="2"/>
      <c r="H36" s="2"/>
      <c r="I36" s="2"/>
      <c r="J36" s="19"/>
      <c r="K36" s="2"/>
      <c r="L36" s="2">
        <f t="shared" si="0"/>
        <v>18014.27</v>
      </c>
      <c r="M36" s="2"/>
      <c r="N36" s="19">
        <f t="shared" si="1"/>
        <v>0</v>
      </c>
      <c r="O36" s="11"/>
      <c r="P36" s="2">
        <f>--277580.41</f>
        <v>277580.40999999997</v>
      </c>
      <c r="Q36" s="2"/>
      <c r="R36" s="19"/>
      <c r="S36" s="2"/>
      <c r="T36" s="2"/>
      <c r="U36" s="2"/>
      <c r="V36" s="19"/>
      <c r="W36" s="2"/>
      <c r="X36" s="2">
        <f t="shared" si="2"/>
        <v>277580.40999999997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--666.52</f>
        <v>666.52</v>
      </c>
      <c r="E37" s="2"/>
      <c r="F37" s="19"/>
      <c r="G37" s="2"/>
      <c r="H37" s="2"/>
      <c r="I37" s="2"/>
      <c r="J37" s="19"/>
      <c r="K37" s="2"/>
      <c r="L37" s="2">
        <f t="shared" si="0"/>
        <v>666.52</v>
      </c>
      <c r="M37" s="2"/>
      <c r="N37" s="19">
        <f t="shared" si="1"/>
        <v>0</v>
      </c>
      <c r="O37" s="11"/>
      <c r="P37" s="2">
        <f>--76568.23</f>
        <v>76568.23</v>
      </c>
      <c r="Q37" s="2"/>
      <c r="R37" s="19"/>
      <c r="S37" s="2"/>
      <c r="T37" s="2"/>
      <c r="U37" s="2"/>
      <c r="V37" s="19"/>
      <c r="W37" s="2"/>
      <c r="X37" s="2">
        <f t="shared" si="2"/>
        <v>76568.23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--3732.24</f>
        <v>3732.24</v>
      </c>
      <c r="E38" s="2"/>
      <c r="F38" s="19"/>
      <c r="G38" s="2"/>
      <c r="H38" s="2"/>
      <c r="I38" s="2"/>
      <c r="J38" s="19"/>
      <c r="K38" s="2"/>
      <c r="L38" s="2">
        <f t="shared" si="0"/>
        <v>3732.24</v>
      </c>
      <c r="M38" s="2"/>
      <c r="N38" s="19">
        <f t="shared" si="1"/>
        <v>0</v>
      </c>
      <c r="O38" s="11"/>
      <c r="P38" s="2">
        <f>--66666.73</f>
        <v>66666.73</v>
      </c>
      <c r="Q38" s="2"/>
      <c r="R38" s="19"/>
      <c r="S38" s="2"/>
      <c r="T38" s="2"/>
      <c r="U38" s="2"/>
      <c r="V38" s="19"/>
      <c r="W38" s="2"/>
      <c r="X38" s="2">
        <f t="shared" si="2"/>
        <v>66666.73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--3847.78</f>
        <v>3847.78</v>
      </c>
      <c r="E39" s="2"/>
      <c r="F39" s="19"/>
      <c r="G39" s="2"/>
      <c r="H39" s="2"/>
      <c r="I39" s="2"/>
      <c r="J39" s="19"/>
      <c r="K39" s="2"/>
      <c r="L39" s="2">
        <f t="shared" si="0"/>
        <v>3847.78</v>
      </c>
      <c r="M39" s="2"/>
      <c r="N39" s="19">
        <f t="shared" si="1"/>
        <v>0</v>
      </c>
      <c r="O39" s="11"/>
      <c r="P39" s="2">
        <f>--74400.82</f>
        <v>74400.820000000007</v>
      </c>
      <c r="Q39" s="2"/>
      <c r="R39" s="19"/>
      <c r="S39" s="2"/>
      <c r="T39" s="2"/>
      <c r="U39" s="2"/>
      <c r="V39" s="19"/>
      <c r="W39" s="2"/>
      <c r="X39" s="2">
        <f t="shared" si="2"/>
        <v>74400.820000000007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--490.15</f>
        <v>490.15</v>
      </c>
      <c r="E40" s="2"/>
      <c r="F40" s="19"/>
      <c r="G40" s="2"/>
      <c r="H40" s="2"/>
      <c r="I40" s="2"/>
      <c r="J40" s="19"/>
      <c r="K40" s="2"/>
      <c r="L40" s="2">
        <f t="shared" si="0"/>
        <v>490.15</v>
      </c>
      <c r="M40" s="2"/>
      <c r="N40" s="19">
        <f t="shared" si="1"/>
        <v>0</v>
      </c>
      <c r="O40" s="11"/>
      <c r="P40" s="2">
        <f>--2676.14</f>
        <v>2676.14</v>
      </c>
      <c r="Q40" s="2"/>
      <c r="R40" s="19"/>
      <c r="S40" s="2"/>
      <c r="T40" s="2"/>
      <c r="U40" s="2"/>
      <c r="V40" s="19"/>
      <c r="W40" s="2"/>
      <c r="X40" s="2">
        <f t="shared" si="2"/>
        <v>2676.14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--15039.9</f>
        <v>15039.9</v>
      </c>
      <c r="E41" s="2"/>
      <c r="F41" s="19"/>
      <c r="G41" s="2"/>
      <c r="H41" s="2"/>
      <c r="I41" s="2"/>
      <c r="J41" s="19"/>
      <c r="K41" s="2"/>
      <c r="L41" s="2">
        <f t="shared" si="0"/>
        <v>15039.9</v>
      </c>
      <c r="M41" s="2"/>
      <c r="N41" s="19">
        <f t="shared" si="1"/>
        <v>0</v>
      </c>
      <c r="O41" s="11"/>
      <c r="P41" s="2">
        <f>--314372.05</f>
        <v>314372.05</v>
      </c>
      <c r="Q41" s="2"/>
      <c r="R41" s="19"/>
      <c r="S41" s="2"/>
      <c r="T41" s="2"/>
      <c r="U41" s="2"/>
      <c r="V41" s="19"/>
      <c r="W41" s="2"/>
      <c r="X41" s="2">
        <f t="shared" si="2"/>
        <v>314372.05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--77631.44</f>
        <v>77631.44</v>
      </c>
      <c r="E42" s="2"/>
      <c r="F42" s="19"/>
      <c r="G42" s="2"/>
      <c r="H42" s="2"/>
      <c r="I42" s="2"/>
      <c r="J42" s="19"/>
      <c r="K42" s="2"/>
      <c r="L42" s="2">
        <f t="shared" si="0"/>
        <v>77631.44</v>
      </c>
      <c r="M42" s="2"/>
      <c r="N42" s="19">
        <f t="shared" si="1"/>
        <v>0</v>
      </c>
      <c r="O42" s="11"/>
      <c r="P42" s="2">
        <f>--1661472.97</f>
        <v>1661472.97</v>
      </c>
      <c r="Q42" s="2"/>
      <c r="R42" s="19"/>
      <c r="S42" s="2"/>
      <c r="T42" s="2"/>
      <c r="U42" s="2"/>
      <c r="V42" s="19"/>
      <c r="W42" s="2"/>
      <c r="X42" s="2">
        <f t="shared" si="2"/>
        <v>1661472.97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--4751.21</f>
        <v>4751.21</v>
      </c>
      <c r="E43" s="2"/>
      <c r="F43" s="19"/>
      <c r="G43" s="2"/>
      <c r="H43" s="2"/>
      <c r="I43" s="2"/>
      <c r="J43" s="19"/>
      <c r="K43" s="2"/>
      <c r="L43" s="2">
        <f t="shared" si="0"/>
        <v>4751.21</v>
      </c>
      <c r="M43" s="2"/>
      <c r="N43" s="19">
        <f t="shared" si="1"/>
        <v>0</v>
      </c>
      <c r="O43" s="11"/>
      <c r="P43" s="2">
        <f>--100882.65</f>
        <v>100882.65</v>
      </c>
      <c r="Q43" s="2"/>
      <c r="R43" s="19"/>
      <c r="S43" s="2"/>
      <c r="T43" s="2"/>
      <c r="U43" s="2"/>
      <c r="V43" s="19"/>
      <c r="W43" s="2"/>
      <c r="X43" s="2">
        <f t="shared" si="2"/>
        <v>100882.65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"4084", " - ", "TAXABLE SALES-SOFTWARE LICENSE")</f>
        <v xml:space="preserve">          4084 - TAXABLE SALES-SOFTWARE LICENSE</v>
      </c>
      <c r="C44" s="11"/>
      <c r="D44" s="2">
        <f t="shared" ref="D44:D45" si="4">0</f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--129</f>
        <v>129</v>
      </c>
      <c r="Q44" s="2"/>
      <c r="R44" s="19"/>
      <c r="S44" s="2"/>
      <c r="T44" s="2"/>
      <c r="U44" s="2"/>
      <c r="V44" s="19"/>
      <c r="W44" s="2"/>
      <c r="X44" s="2">
        <f t="shared" si="2"/>
        <v>129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"4085", " - ", "TAXABLE SALES-SOFTWARE")</f>
        <v xml:space="preserve">          4085 - TAXABLE SALES-SOFTWARE</v>
      </c>
      <c r="C45" s="11"/>
      <c r="D45" s="2">
        <f t="shared" si="4"/>
        <v>0</v>
      </c>
      <c r="E45" s="2"/>
      <c r="F45" s="19"/>
      <c r="G45" s="2"/>
      <c r="H45" s="2"/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--4557.93</f>
        <v>4557.93</v>
      </c>
      <c r="Q45" s="2"/>
      <c r="R45" s="19"/>
      <c r="S45" s="2"/>
      <c r="T45" s="2"/>
      <c r="U45" s="2"/>
      <c r="V45" s="19"/>
      <c r="W45" s="2"/>
      <c r="X45" s="2">
        <f t="shared" si="2"/>
        <v>4557.93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"4086", " - ", "TAXABLE SALES-COMPUTER SUPPLIE")</f>
        <v xml:space="preserve">          4086 - TAXABLE SALES-COMPUTER SUPPLIE</v>
      </c>
      <c r="C46" s="11"/>
      <c r="D46" s="2">
        <f>--2057.99</f>
        <v>2057.9899999999998</v>
      </c>
      <c r="E46" s="2"/>
      <c r="F46" s="19"/>
      <c r="G46" s="2"/>
      <c r="H46" s="2"/>
      <c r="I46" s="2"/>
      <c r="J46" s="19"/>
      <c r="K46" s="2"/>
      <c r="L46" s="2">
        <f t="shared" si="0"/>
        <v>2057.9899999999998</v>
      </c>
      <c r="M46" s="2"/>
      <c r="N46" s="19">
        <f t="shared" si="1"/>
        <v>0</v>
      </c>
      <c r="O46" s="11"/>
      <c r="P46" s="2">
        <f>--49080.06</f>
        <v>49080.06</v>
      </c>
      <c r="Q46" s="2"/>
      <c r="R46" s="19"/>
      <c r="S46" s="2"/>
      <c r="T46" s="2"/>
      <c r="U46" s="2"/>
      <c r="V46" s="19"/>
      <c r="W46" s="2"/>
      <c r="X46" s="2">
        <f t="shared" si="2"/>
        <v>49080.06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"4088", " - ", "TAXABLE SALES-MUSIC")</f>
        <v xml:space="preserve">          4088 - TAXABLE SALES-MUSIC</v>
      </c>
      <c r="C47" s="11"/>
      <c r="D47" s="2">
        <f>--199.99</f>
        <v>199.99</v>
      </c>
      <c r="E47" s="2"/>
      <c r="F47" s="19"/>
      <c r="G47" s="2"/>
      <c r="H47" s="2"/>
      <c r="I47" s="2"/>
      <c r="J47" s="19"/>
      <c r="K47" s="2"/>
      <c r="L47" s="2">
        <f t="shared" si="0"/>
        <v>199.99</v>
      </c>
      <c r="M47" s="2"/>
      <c r="N47" s="19">
        <f t="shared" si="1"/>
        <v>0</v>
      </c>
      <c r="O47" s="11"/>
      <c r="P47" s="2">
        <f>--1294.83</f>
        <v>1294.83</v>
      </c>
      <c r="Q47" s="2"/>
      <c r="R47" s="19"/>
      <c r="S47" s="2"/>
      <c r="T47" s="2"/>
      <c r="U47" s="2"/>
      <c r="V47" s="19"/>
      <c r="W47" s="2"/>
      <c r="X47" s="2">
        <f t="shared" si="2"/>
        <v>1294.83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"4092", " - ", "TAXABLE SALES-GRAD MERCH")</f>
        <v xml:space="preserve">          4092 - TAXABLE SALES-GRAD MERCH</v>
      </c>
      <c r="C48" s="11"/>
      <c r="D48" s="2">
        <f>--10952.9</f>
        <v>10952.9</v>
      </c>
      <c r="E48" s="2"/>
      <c r="F48" s="19"/>
      <c r="G48" s="2"/>
      <c r="H48" s="2"/>
      <c r="I48" s="2"/>
      <c r="J48" s="19"/>
      <c r="K48" s="2"/>
      <c r="L48" s="2">
        <f t="shared" si="0"/>
        <v>10952.9</v>
      </c>
      <c r="M48" s="2"/>
      <c r="N48" s="19">
        <f t="shared" si="1"/>
        <v>0</v>
      </c>
      <c r="O48" s="11"/>
      <c r="P48" s="2">
        <f>--18612.27</f>
        <v>18612.27</v>
      </c>
      <c r="Q48" s="2"/>
      <c r="R48" s="19"/>
      <c r="S48" s="2"/>
      <c r="T48" s="2"/>
      <c r="U48" s="2"/>
      <c r="V48" s="19"/>
      <c r="W48" s="2"/>
      <c r="X48" s="2">
        <f t="shared" si="2"/>
        <v>18612.27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"4095", " - ", "TAXABLE SALES-CUSTOMER SERVICE")</f>
        <v xml:space="preserve">          4095 - TAXABLE SALES-CUSTOMER SERVICE</v>
      </c>
      <c r="C49" s="11"/>
      <c r="D49" s="2">
        <f>0</f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--309.26</f>
        <v>309.26</v>
      </c>
      <c r="Q49" s="2"/>
      <c r="R49" s="19"/>
      <c r="S49" s="2"/>
      <c r="T49" s="2"/>
      <c r="U49" s="2"/>
      <c r="V49" s="19"/>
      <c r="W49" s="2"/>
      <c r="X49" s="2">
        <f t="shared" si="2"/>
        <v>309.26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"4100", " - ", "NON-TAXABLE SALES")</f>
        <v xml:space="preserve">          4100 - NON-TAXABLE SALES</v>
      </c>
      <c r="C50" s="11"/>
      <c r="D50" s="2">
        <f>--1572.53</f>
        <v>1572.53</v>
      </c>
      <c r="E50" s="2"/>
      <c r="F50" s="19"/>
      <c r="G50" s="2"/>
      <c r="H50" s="2">
        <v>326683</v>
      </c>
      <c r="I50" s="2"/>
      <c r="J50" s="19"/>
      <c r="K50" s="2"/>
      <c r="L50" s="2">
        <f t="shared" si="0"/>
        <v>-325110.46999999997</v>
      </c>
      <c r="M50" s="2"/>
      <c r="N50" s="19">
        <f t="shared" si="1"/>
        <v>-0.99518637333439441</v>
      </c>
      <c r="O50" s="11"/>
      <c r="P50" s="2">
        <f>--574312.65</f>
        <v>574312.65</v>
      </c>
      <c r="Q50" s="2"/>
      <c r="R50" s="19"/>
      <c r="S50" s="2"/>
      <c r="T50" s="2">
        <v>6072383</v>
      </c>
      <c r="U50" s="2"/>
      <c r="V50" s="19"/>
      <c r="W50" s="2"/>
      <c r="X50" s="2">
        <f t="shared" si="2"/>
        <v>-5498070.3499999996</v>
      </c>
      <c r="Y50" s="2"/>
      <c r="Z50" s="19">
        <f t="shared" si="3"/>
        <v>-0.90542219586610395</v>
      </c>
    </row>
    <row r="51" spans="1:26" s="24" customFormat="1" hidden="1" outlineLevel="1" x14ac:dyDescent="0.25">
      <c r="A51" s="44"/>
      <c r="B51" s="11" t="str">
        <f>CONCATENATE("          ", "4101", " - ", "NON-TAXABLE SALES-NEW TEXT")</f>
        <v xml:space="preserve">          4101 - NON-TAXABLE SALES-NEW TEXT</v>
      </c>
      <c r="C51" s="11"/>
      <c r="D51" s="2">
        <f>--2453.65</f>
        <v>2453.65</v>
      </c>
      <c r="E51" s="2"/>
      <c r="F51" s="19"/>
      <c r="G51" s="2"/>
      <c r="H51" s="2"/>
      <c r="I51" s="2"/>
      <c r="J51" s="19"/>
      <c r="K51" s="2"/>
      <c r="L51" s="2">
        <f t="shared" si="0"/>
        <v>2453.65</v>
      </c>
      <c r="M51" s="2"/>
      <c r="N51" s="19">
        <f t="shared" si="1"/>
        <v>0</v>
      </c>
      <c r="O51" s="11"/>
      <c r="P51" s="2">
        <f>--142191.42</f>
        <v>142191.42000000001</v>
      </c>
      <c r="Q51" s="2"/>
      <c r="R51" s="19"/>
      <c r="S51" s="2"/>
      <c r="T51" s="2"/>
      <c r="U51" s="2"/>
      <c r="V51" s="19"/>
      <c r="W51" s="2"/>
      <c r="X51" s="2">
        <f t="shared" si="2"/>
        <v>142191.42000000001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"4102", " - ", "NON-TAXABLE SALES-USED TEXT")</f>
        <v xml:space="preserve">          4102 - NON-TAXABLE SALES-USED TEXT</v>
      </c>
      <c r="C52" s="11"/>
      <c r="D52" s="2">
        <f>--388.84</f>
        <v>388.84</v>
      </c>
      <c r="E52" s="2"/>
      <c r="F52" s="19"/>
      <c r="G52" s="2"/>
      <c r="H52" s="2"/>
      <c r="I52" s="2"/>
      <c r="J52" s="19"/>
      <c r="K52" s="2"/>
      <c r="L52" s="2">
        <f t="shared" si="0"/>
        <v>388.84</v>
      </c>
      <c r="M52" s="2"/>
      <c r="N52" s="19">
        <f t="shared" si="1"/>
        <v>0</v>
      </c>
      <c r="O52" s="11"/>
      <c r="P52" s="2">
        <f>--68855.7</f>
        <v>68855.7</v>
      </c>
      <c r="Q52" s="2"/>
      <c r="R52" s="19"/>
      <c r="S52" s="2"/>
      <c r="T52" s="2"/>
      <c r="U52" s="2"/>
      <c r="V52" s="19"/>
      <c r="W52" s="2"/>
      <c r="X52" s="2">
        <f t="shared" si="2"/>
        <v>68855.7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"4103", " - ", "NON-TAXABLE SALES-RENTAL TEXT")</f>
        <v xml:space="preserve">          4103 - NON-TAXABLE SALES-RENTAL TEXT</v>
      </c>
      <c r="C53" s="11"/>
      <c r="D53" s="2">
        <f>0</f>
        <v>0</v>
      </c>
      <c r="E53" s="2"/>
      <c r="F53" s="19"/>
      <c r="G53" s="2"/>
      <c r="H53" s="2"/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--664.97</f>
        <v>664.97</v>
      </c>
      <c r="Q53" s="2"/>
      <c r="R53" s="19"/>
      <c r="S53" s="2"/>
      <c r="T53" s="2"/>
      <c r="U53" s="2"/>
      <c r="V53" s="19"/>
      <c r="W53" s="2"/>
      <c r="X53" s="2">
        <f t="shared" si="2"/>
        <v>664.97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"4104", " - ", "NON-TAXABLE SALES-DIGITAL TEXT")</f>
        <v xml:space="preserve">          4104 - NON-TAXABLE SALES-DIGITAL TEXT</v>
      </c>
      <c r="C54" s="11"/>
      <c r="D54" s="2">
        <f>--961.31</f>
        <v>961.31</v>
      </c>
      <c r="E54" s="2"/>
      <c r="F54" s="19"/>
      <c r="G54" s="2"/>
      <c r="H54" s="2"/>
      <c r="I54" s="2"/>
      <c r="J54" s="19"/>
      <c r="K54" s="2"/>
      <c r="L54" s="2">
        <f t="shared" si="0"/>
        <v>961.31</v>
      </c>
      <c r="M54" s="2"/>
      <c r="N54" s="19">
        <f t="shared" si="1"/>
        <v>0</v>
      </c>
      <c r="O54" s="11"/>
      <c r="P54" s="2">
        <f>--524351.65</f>
        <v>524351.65</v>
      </c>
      <c r="Q54" s="2"/>
      <c r="R54" s="19"/>
      <c r="S54" s="2"/>
      <c r="T54" s="2"/>
      <c r="U54" s="2"/>
      <c r="V54" s="19"/>
      <c r="W54" s="2"/>
      <c r="X54" s="2">
        <f t="shared" si="2"/>
        <v>524351.65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"4111", " - ", "NON-TAXABLE SALES-NO VALUE TEX")</f>
        <v xml:space="preserve">          4111 - NON-TAXABLE SALES-NO VALUE TEX</v>
      </c>
      <c r="C55" s="11"/>
      <c r="D55" s="2">
        <f>--369.34</f>
        <v>369.34</v>
      </c>
      <c r="E55" s="2"/>
      <c r="F55" s="19"/>
      <c r="G55" s="2"/>
      <c r="H55" s="2"/>
      <c r="I55" s="2"/>
      <c r="J55" s="19"/>
      <c r="K55" s="2"/>
      <c r="L55" s="2">
        <f t="shared" si="0"/>
        <v>369.34</v>
      </c>
      <c r="M55" s="2"/>
      <c r="N55" s="19">
        <f t="shared" si="1"/>
        <v>0</v>
      </c>
      <c r="O55" s="11"/>
      <c r="P55" s="2">
        <f>--14729.33</f>
        <v>14729.33</v>
      </c>
      <c r="Q55" s="2"/>
      <c r="R55" s="19"/>
      <c r="S55" s="2"/>
      <c r="T55" s="2"/>
      <c r="U55" s="2"/>
      <c r="V55" s="19"/>
      <c r="W55" s="2"/>
      <c r="X55" s="2">
        <f t="shared" si="2"/>
        <v>14729.33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"4113", " - ", "NON-TAXABLE SALES-TRADE BOOKS")</f>
        <v xml:space="preserve">          4113 - NON-TAXABLE SALES-TRADE BOOKS</v>
      </c>
      <c r="C56" s="11"/>
      <c r="D56" s="2">
        <f>--2440</f>
        <v>2440</v>
      </c>
      <c r="E56" s="2"/>
      <c r="F56" s="19"/>
      <c r="G56" s="2"/>
      <c r="H56" s="2"/>
      <c r="I56" s="2"/>
      <c r="J56" s="19"/>
      <c r="K56" s="2"/>
      <c r="L56" s="2">
        <f t="shared" si="0"/>
        <v>2440</v>
      </c>
      <c r="M56" s="2"/>
      <c r="N56" s="19">
        <f t="shared" si="1"/>
        <v>0</v>
      </c>
      <c r="O56" s="11"/>
      <c r="P56" s="2">
        <f>--5801.92</f>
        <v>5801.92</v>
      </c>
      <c r="Q56" s="2"/>
      <c r="R56" s="19"/>
      <c r="S56" s="2"/>
      <c r="T56" s="2"/>
      <c r="U56" s="2"/>
      <c r="V56" s="19"/>
      <c r="W56" s="2"/>
      <c r="X56" s="2">
        <f t="shared" si="2"/>
        <v>5801.92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"4118", " - ", "NON-TAXABLE SALES-STUDY GUIDES")</f>
        <v xml:space="preserve">          4118 - NON-TAXABLE SALES-STUDY GUIDES</v>
      </c>
      <c r="C57" s="11"/>
      <c r="D57" s="2">
        <f>--7.02</f>
        <v>7.02</v>
      </c>
      <c r="E57" s="2"/>
      <c r="F57" s="19"/>
      <c r="G57" s="2"/>
      <c r="H57" s="2"/>
      <c r="I57" s="2"/>
      <c r="J57" s="19"/>
      <c r="K57" s="2"/>
      <c r="L57" s="2">
        <f t="shared" si="0"/>
        <v>7.02</v>
      </c>
      <c r="M57" s="2"/>
      <c r="N57" s="19">
        <f t="shared" si="1"/>
        <v>0</v>
      </c>
      <c r="O57" s="11"/>
      <c r="P57" s="2">
        <f>--68.92</f>
        <v>68.92</v>
      </c>
      <c r="Q57" s="2"/>
      <c r="R57" s="19"/>
      <c r="S57" s="2"/>
      <c r="T57" s="2"/>
      <c r="U57" s="2"/>
      <c r="V57" s="19"/>
      <c r="W57" s="2"/>
      <c r="X57" s="2">
        <f t="shared" si="2"/>
        <v>68.92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"4125", " - ", "NON-TAXABLE SALES-TEST FORMS")</f>
        <v xml:space="preserve">          4125 - NON-TAXABLE SALES-TEST FORMS</v>
      </c>
      <c r="C58" s="11"/>
      <c r="D58" s="2">
        <f>--4.54</f>
        <v>4.54</v>
      </c>
      <c r="E58" s="2"/>
      <c r="F58" s="19"/>
      <c r="G58" s="2"/>
      <c r="H58" s="2"/>
      <c r="I58" s="2"/>
      <c r="J58" s="19"/>
      <c r="K58" s="2"/>
      <c r="L58" s="2">
        <f t="shared" si="0"/>
        <v>4.54</v>
      </c>
      <c r="M58" s="2"/>
      <c r="N58" s="19">
        <f t="shared" si="1"/>
        <v>0</v>
      </c>
      <c r="O58" s="11"/>
      <c r="P58" s="2">
        <f>--267.61</f>
        <v>267.61</v>
      </c>
      <c r="Q58" s="2"/>
      <c r="R58" s="19"/>
      <c r="S58" s="2"/>
      <c r="T58" s="2"/>
      <c r="U58" s="2"/>
      <c r="V58" s="19"/>
      <c r="W58" s="2"/>
      <c r="X58" s="2">
        <f t="shared" si="2"/>
        <v>267.61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"4126", " - ", "NON-TAXABLE SALES-WRITING INST")</f>
        <v xml:space="preserve">          4126 - NON-TAXABLE SALES-WRITING INST</v>
      </c>
      <c r="C59" s="11"/>
      <c r="D59" s="2">
        <f>--110.71</f>
        <v>110.71</v>
      </c>
      <c r="E59" s="2"/>
      <c r="F59" s="19"/>
      <c r="G59" s="2"/>
      <c r="H59" s="2"/>
      <c r="I59" s="2"/>
      <c r="J59" s="19"/>
      <c r="K59" s="2"/>
      <c r="L59" s="2">
        <f t="shared" si="0"/>
        <v>110.71</v>
      </c>
      <c r="M59" s="2"/>
      <c r="N59" s="19">
        <f t="shared" si="1"/>
        <v>0</v>
      </c>
      <c r="O59" s="11"/>
      <c r="P59" s="2">
        <f>--3017.29</f>
        <v>3017.29</v>
      </c>
      <c r="Q59" s="2"/>
      <c r="R59" s="19"/>
      <c r="S59" s="2"/>
      <c r="T59" s="2"/>
      <c r="U59" s="2"/>
      <c r="V59" s="19"/>
      <c r="W59" s="2"/>
      <c r="X59" s="2">
        <f t="shared" si="2"/>
        <v>3017.29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"4127", " - ", "NON-TAXABLE SALES-SCHOOL SUPPL")</f>
        <v xml:space="preserve">          4127 - NON-TAXABLE SALES-SCHOOL SUPPL</v>
      </c>
      <c r="C60" s="11"/>
      <c r="D60" s="2">
        <f>--53.81</f>
        <v>53.81</v>
      </c>
      <c r="E60" s="2"/>
      <c r="F60" s="19"/>
      <c r="G60" s="2"/>
      <c r="H60" s="2"/>
      <c r="I60" s="2"/>
      <c r="J60" s="19"/>
      <c r="K60" s="2"/>
      <c r="L60" s="2">
        <f t="shared" si="0"/>
        <v>53.81</v>
      </c>
      <c r="M60" s="2"/>
      <c r="N60" s="19">
        <f t="shared" si="1"/>
        <v>0</v>
      </c>
      <c r="O60" s="11"/>
      <c r="P60" s="2">
        <f>--4716.22</f>
        <v>4716.22</v>
      </c>
      <c r="Q60" s="2"/>
      <c r="R60" s="19"/>
      <c r="S60" s="2"/>
      <c r="T60" s="2"/>
      <c r="U60" s="2"/>
      <c r="V60" s="19"/>
      <c r="W60" s="2"/>
      <c r="X60" s="2">
        <f t="shared" si="2"/>
        <v>4716.22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"4128", " - ", "NON-TAXABLE SALES-ART/TECH")</f>
        <v xml:space="preserve">          4128 - NON-TAXABLE SALES-ART/TECH</v>
      </c>
      <c r="C61" s="11"/>
      <c r="D61" s="2">
        <f>--52.12</f>
        <v>52.12</v>
      </c>
      <c r="E61" s="2"/>
      <c r="F61" s="19"/>
      <c r="G61" s="2"/>
      <c r="H61" s="2"/>
      <c r="I61" s="2"/>
      <c r="J61" s="19"/>
      <c r="K61" s="2"/>
      <c r="L61" s="2">
        <f t="shared" si="0"/>
        <v>52.12</v>
      </c>
      <c r="M61" s="2"/>
      <c r="N61" s="19">
        <f t="shared" si="1"/>
        <v>0</v>
      </c>
      <c r="O61" s="11"/>
      <c r="P61" s="2">
        <f>--730.62</f>
        <v>730.62</v>
      </c>
      <c r="Q61" s="2"/>
      <c r="R61" s="19"/>
      <c r="S61" s="2"/>
      <c r="T61" s="2"/>
      <c r="U61" s="2"/>
      <c r="V61" s="19"/>
      <c r="W61" s="2"/>
      <c r="X61" s="2">
        <f t="shared" si="2"/>
        <v>730.62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"4131", " - ", "NON-TAXABLE SALES-FOOD")</f>
        <v xml:space="preserve">          4131 - NON-TAXABLE SALES-FOOD</v>
      </c>
      <c r="C62" s="11"/>
      <c r="D62" s="2">
        <f>--4482.02</f>
        <v>4482.0200000000004</v>
      </c>
      <c r="E62" s="2"/>
      <c r="F62" s="19"/>
      <c r="G62" s="2"/>
      <c r="H62" s="2"/>
      <c r="I62" s="2"/>
      <c r="J62" s="19"/>
      <c r="K62" s="2"/>
      <c r="L62" s="2">
        <f t="shared" si="0"/>
        <v>4482.0200000000004</v>
      </c>
      <c r="M62" s="2"/>
      <c r="N62" s="19">
        <f t="shared" si="1"/>
        <v>0</v>
      </c>
      <c r="O62" s="11"/>
      <c r="P62" s="2">
        <f>--57883.57</f>
        <v>57883.57</v>
      </c>
      <c r="Q62" s="2"/>
      <c r="R62" s="19"/>
      <c r="S62" s="2"/>
      <c r="T62" s="2"/>
      <c r="U62" s="2"/>
      <c r="V62" s="19"/>
      <c r="W62" s="2"/>
      <c r="X62" s="2">
        <f t="shared" si="2"/>
        <v>57883.57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"4132", " - ", "NON-TAXABLE SALES-JUICE")</f>
        <v xml:space="preserve">          4132 - NON-TAXABLE SALES-JUICE</v>
      </c>
      <c r="C63" s="11"/>
      <c r="D63" s="2">
        <f>--1150.46</f>
        <v>1150.46</v>
      </c>
      <c r="E63" s="2"/>
      <c r="F63" s="19"/>
      <c r="G63" s="2"/>
      <c r="H63" s="2"/>
      <c r="I63" s="2"/>
      <c r="J63" s="19"/>
      <c r="K63" s="2"/>
      <c r="L63" s="2">
        <f t="shared" si="0"/>
        <v>1150.46</v>
      </c>
      <c r="M63" s="2"/>
      <c r="N63" s="19">
        <f t="shared" si="1"/>
        <v>0</v>
      </c>
      <c r="O63" s="11"/>
      <c r="P63" s="2">
        <f>--16199.63</f>
        <v>16199.63</v>
      </c>
      <c r="Q63" s="2"/>
      <c r="R63" s="19"/>
      <c r="S63" s="2"/>
      <c r="T63" s="2"/>
      <c r="U63" s="2"/>
      <c r="V63" s="19"/>
      <c r="W63" s="2"/>
      <c r="X63" s="2">
        <f t="shared" si="2"/>
        <v>16199.63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"4133", " - ", "NON-TAXABLE SALES-CANDY")</f>
        <v xml:space="preserve">          4133 - NON-TAXABLE SALES-CANDY</v>
      </c>
      <c r="C64" s="11"/>
      <c r="D64" s="2">
        <f>--1261.31</f>
        <v>1261.31</v>
      </c>
      <c r="E64" s="2"/>
      <c r="F64" s="19"/>
      <c r="G64" s="2"/>
      <c r="H64" s="2"/>
      <c r="I64" s="2"/>
      <c r="J64" s="19"/>
      <c r="K64" s="2"/>
      <c r="L64" s="2">
        <f t="shared" si="0"/>
        <v>1261.31</v>
      </c>
      <c r="M64" s="2"/>
      <c r="N64" s="19">
        <f t="shared" si="1"/>
        <v>0</v>
      </c>
      <c r="O64" s="11"/>
      <c r="P64" s="2">
        <f>--18084.29</f>
        <v>18084.29</v>
      </c>
      <c r="Q64" s="2"/>
      <c r="R64" s="19"/>
      <c r="S64" s="2"/>
      <c r="T64" s="2"/>
      <c r="U64" s="2"/>
      <c r="V64" s="19"/>
      <c r="W64" s="2"/>
      <c r="X64" s="2">
        <f t="shared" si="2"/>
        <v>18084.29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"4134", " - ", "NON-TAXABLE SALES-SODA")</f>
        <v xml:space="preserve">          4134 - NON-TAXABLE SALES-SODA</v>
      </c>
      <c r="C65" s="11"/>
      <c r="D65" s="2">
        <f t="shared" ref="D65:D66" si="5">0</f>
        <v>0</v>
      </c>
      <c r="E65" s="2"/>
      <c r="F65" s="19"/>
      <c r="G65" s="2"/>
      <c r="H65" s="2"/>
      <c r="I65" s="2"/>
      <c r="J65" s="19"/>
      <c r="K65" s="2"/>
      <c r="L65" s="2">
        <f t="shared" si="0"/>
        <v>0</v>
      </c>
      <c r="M65" s="2"/>
      <c r="N65" s="19">
        <f t="shared" si="1"/>
        <v>0</v>
      </c>
      <c r="O65" s="11"/>
      <c r="P65" s="2">
        <f>--1.89</f>
        <v>1.89</v>
      </c>
      <c r="Q65" s="2"/>
      <c r="R65" s="19"/>
      <c r="S65" s="2"/>
      <c r="T65" s="2"/>
      <c r="U65" s="2"/>
      <c r="V65" s="19"/>
      <c r="W65" s="2"/>
      <c r="X65" s="2">
        <f t="shared" si="2"/>
        <v>1.89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"4135", " - ", "NON-TAXABLE SALES")</f>
        <v xml:space="preserve">          4135 - NON-TAXABLE SALES</v>
      </c>
      <c r="C66" s="11"/>
      <c r="D66" s="2">
        <f t="shared" si="5"/>
        <v>0</v>
      </c>
      <c r="E66" s="2"/>
      <c r="F66" s="19"/>
      <c r="G66" s="2"/>
      <c r="H66" s="2"/>
      <c r="I66" s="2"/>
      <c r="J66" s="19"/>
      <c r="K66" s="2"/>
      <c r="L66" s="2">
        <f t="shared" si="0"/>
        <v>0</v>
      </c>
      <c r="M66" s="2"/>
      <c r="N66" s="19">
        <f t="shared" si="1"/>
        <v>0</v>
      </c>
      <c r="O66" s="11"/>
      <c r="P66" s="2">
        <f>--161.4</f>
        <v>161.4</v>
      </c>
      <c r="Q66" s="2"/>
      <c r="R66" s="19"/>
      <c r="S66" s="2"/>
      <c r="T66" s="2"/>
      <c r="U66" s="2"/>
      <c r="V66" s="19"/>
      <c r="W66" s="2"/>
      <c r="X66" s="2">
        <f t="shared" si="2"/>
        <v>161.4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"4137", " - ", "NON-TAXABLE SALES-WATER")</f>
        <v xml:space="preserve">          4137 - NON-TAXABLE SALES-WATER</v>
      </c>
      <c r="C67" s="11"/>
      <c r="D67" s="2">
        <f>--630.5</f>
        <v>630.5</v>
      </c>
      <c r="E67" s="2"/>
      <c r="F67" s="19"/>
      <c r="G67" s="2"/>
      <c r="H67" s="2"/>
      <c r="I67" s="2"/>
      <c r="J67" s="19"/>
      <c r="K67" s="2"/>
      <c r="L67" s="2">
        <f t="shared" si="0"/>
        <v>630.5</v>
      </c>
      <c r="M67" s="2"/>
      <c r="N67" s="19">
        <f t="shared" si="1"/>
        <v>0</v>
      </c>
      <c r="O67" s="11"/>
      <c r="P67" s="2">
        <f>--8519.06</f>
        <v>8519.06</v>
      </c>
      <c r="Q67" s="2"/>
      <c r="R67" s="19"/>
      <c r="S67" s="2"/>
      <c r="T67" s="2"/>
      <c r="U67" s="2"/>
      <c r="V67" s="19"/>
      <c r="W67" s="2"/>
      <c r="X67" s="2">
        <f t="shared" si="2"/>
        <v>8519.06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"4140", " - ", "NON-TAXABLE SALES-LOGO CLOTHIN")</f>
        <v xml:space="preserve">          4140 - NON-TAXABLE SALES-LOGO CLOTHIN</v>
      </c>
      <c r="C68" s="11"/>
      <c r="D68" s="2">
        <f>--5466.31</f>
        <v>5466.31</v>
      </c>
      <c r="E68" s="2"/>
      <c r="F68" s="19"/>
      <c r="G68" s="2"/>
      <c r="H68" s="2"/>
      <c r="I68" s="2"/>
      <c r="J68" s="19"/>
      <c r="K68" s="2"/>
      <c r="L68" s="2">
        <f t="shared" si="0"/>
        <v>5466.31</v>
      </c>
      <c r="M68" s="2"/>
      <c r="N68" s="19">
        <f t="shared" si="1"/>
        <v>0</v>
      </c>
      <c r="O68" s="11"/>
      <c r="P68" s="2">
        <f>--48048.98</f>
        <v>48048.98</v>
      </c>
      <c r="Q68" s="2"/>
      <c r="R68" s="19"/>
      <c r="S68" s="2"/>
      <c r="T68" s="2"/>
      <c r="U68" s="2"/>
      <c r="V68" s="19"/>
      <c r="W68" s="2"/>
      <c r="X68" s="2">
        <f t="shared" si="2"/>
        <v>48048.98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"4141", " - ", "NON-TAXABLE SALES-LOGO GIFTS")</f>
        <v xml:space="preserve">          4141 - NON-TAXABLE SALES-LOGO GIFTS</v>
      </c>
      <c r="C69" s="11"/>
      <c r="D69" s="2">
        <f>--242.39</f>
        <v>242.39</v>
      </c>
      <c r="E69" s="2"/>
      <c r="F69" s="19"/>
      <c r="G69" s="2"/>
      <c r="H69" s="2"/>
      <c r="I69" s="2"/>
      <c r="J69" s="19"/>
      <c r="K69" s="2"/>
      <c r="L69" s="2">
        <f t="shared" si="0"/>
        <v>242.39</v>
      </c>
      <c r="M69" s="2"/>
      <c r="N69" s="19">
        <f t="shared" si="1"/>
        <v>0</v>
      </c>
      <c r="O69" s="11"/>
      <c r="P69" s="2">
        <f>--10914.56</f>
        <v>10914.56</v>
      </c>
      <c r="Q69" s="2"/>
      <c r="R69" s="19"/>
      <c r="S69" s="2"/>
      <c r="T69" s="2"/>
      <c r="U69" s="2"/>
      <c r="V69" s="19"/>
      <c r="W69" s="2"/>
      <c r="X69" s="2">
        <f t="shared" si="2"/>
        <v>10914.56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"4142", " - ", "NON-TAXABLE SALES-EVERYDAY GIF")</f>
        <v xml:space="preserve">          4142 - NON-TAXABLE SALES-EVERYDAY GIF</v>
      </c>
      <c r="C70" s="11"/>
      <c r="D70" s="2">
        <f>--48.58</f>
        <v>48.58</v>
      </c>
      <c r="E70" s="2"/>
      <c r="F70" s="19"/>
      <c r="G70" s="2"/>
      <c r="H70" s="2"/>
      <c r="I70" s="2"/>
      <c r="J70" s="19"/>
      <c r="K70" s="2"/>
      <c r="L70" s="2">
        <f t="shared" si="0"/>
        <v>48.58</v>
      </c>
      <c r="M70" s="2"/>
      <c r="N70" s="19">
        <f t="shared" si="1"/>
        <v>0</v>
      </c>
      <c r="O70" s="11"/>
      <c r="P70" s="2">
        <f>--13741.43</f>
        <v>13741.43</v>
      </c>
      <c r="Q70" s="2"/>
      <c r="R70" s="19"/>
      <c r="S70" s="2"/>
      <c r="T70" s="2"/>
      <c r="U70" s="2"/>
      <c r="V70" s="19"/>
      <c r="W70" s="2"/>
      <c r="X70" s="2">
        <f t="shared" si="2"/>
        <v>13741.43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"4143", " - ", "NON-TAXABLE SALES-CARDS")</f>
        <v xml:space="preserve">          4143 - NON-TAXABLE SALES-CARDS</v>
      </c>
      <c r="C71" s="11"/>
      <c r="D71" s="2">
        <f>0</f>
        <v>0</v>
      </c>
      <c r="E71" s="2"/>
      <c r="F71" s="19"/>
      <c r="G71" s="2"/>
      <c r="H71" s="2"/>
      <c r="I71" s="2"/>
      <c r="J71" s="19"/>
      <c r="K71" s="2"/>
      <c r="L71" s="2">
        <f t="shared" si="0"/>
        <v>0</v>
      </c>
      <c r="M71" s="2"/>
      <c r="N71" s="19">
        <f t="shared" si="1"/>
        <v>0</v>
      </c>
      <c r="O71" s="11"/>
      <c r="P71" s="2">
        <f>--9.99</f>
        <v>9.99</v>
      </c>
      <c r="Q71" s="2"/>
      <c r="R71" s="19"/>
      <c r="S71" s="2"/>
      <c r="T71" s="2"/>
      <c r="U71" s="2"/>
      <c r="V71" s="19"/>
      <c r="W71" s="2"/>
      <c r="X71" s="2">
        <f t="shared" si="2"/>
        <v>9.99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"4144", " - ", "NON-TAXABLE SALES-ACCESSORIES")</f>
        <v xml:space="preserve">          4144 - NON-TAXABLE SALES-ACCESSORIES</v>
      </c>
      <c r="C72" s="11"/>
      <c r="D72" s="2">
        <f>--150</f>
        <v>150</v>
      </c>
      <c r="E72" s="2"/>
      <c r="F72" s="19"/>
      <c r="G72" s="2"/>
      <c r="H72" s="2"/>
      <c r="I72" s="2"/>
      <c r="J72" s="19"/>
      <c r="K72" s="2"/>
      <c r="L72" s="2">
        <f t="shared" si="0"/>
        <v>150</v>
      </c>
      <c r="M72" s="2"/>
      <c r="N72" s="19">
        <f t="shared" si="1"/>
        <v>0</v>
      </c>
      <c r="O72" s="11"/>
      <c r="P72" s="2">
        <f>--2040.27</f>
        <v>2040.27</v>
      </c>
      <c r="Q72" s="2"/>
      <c r="R72" s="19"/>
      <c r="S72" s="2"/>
      <c r="T72" s="2"/>
      <c r="U72" s="2"/>
      <c r="V72" s="19"/>
      <c r="W72" s="2"/>
      <c r="X72" s="2">
        <f t="shared" si="2"/>
        <v>2040.27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"4145", " - ", "NON-TAXABLE SALES-SPECIAL ORDE")</f>
        <v xml:space="preserve">          4145 - NON-TAXABLE SALES-SPECIAL ORDE</v>
      </c>
      <c r="C73" s="11"/>
      <c r="D73" s="2">
        <f>0</f>
        <v>0</v>
      </c>
      <c r="E73" s="2"/>
      <c r="F73" s="19"/>
      <c r="G73" s="2"/>
      <c r="H73" s="2"/>
      <c r="I73" s="2"/>
      <c r="J73" s="19"/>
      <c r="K73" s="2"/>
      <c r="L73" s="2">
        <f t="shared" si="0"/>
        <v>0</v>
      </c>
      <c r="M73" s="2"/>
      <c r="N73" s="19">
        <f t="shared" si="1"/>
        <v>0</v>
      </c>
      <c r="O73" s="11"/>
      <c r="P73" s="2">
        <f>--140</f>
        <v>140</v>
      </c>
      <c r="Q73" s="2"/>
      <c r="R73" s="19"/>
      <c r="S73" s="2"/>
      <c r="T73" s="2"/>
      <c r="U73" s="2"/>
      <c r="V73" s="19"/>
      <c r="W73" s="2"/>
      <c r="X73" s="2">
        <f t="shared" si="2"/>
        <v>140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"4146", " - ", "NON-TAXABLE SALES-COIN OP MACH")</f>
        <v xml:space="preserve">          4146 - NON-TAXABLE SALES-COIN OP MACH</v>
      </c>
      <c r="C74" s="11"/>
      <c r="D74" s="2">
        <f>--13383.2</f>
        <v>13383.2</v>
      </c>
      <c r="E74" s="2"/>
      <c r="F74" s="19"/>
      <c r="G74" s="2"/>
      <c r="H74" s="2"/>
      <c r="I74" s="2"/>
      <c r="J74" s="19"/>
      <c r="K74" s="2"/>
      <c r="L74" s="2">
        <f t="shared" si="0"/>
        <v>13383.2</v>
      </c>
      <c r="M74" s="2"/>
      <c r="N74" s="19">
        <f t="shared" si="1"/>
        <v>0</v>
      </c>
      <c r="O74" s="11"/>
      <c r="P74" s="2">
        <f>--205786.95</f>
        <v>205786.95</v>
      </c>
      <c r="Q74" s="2"/>
      <c r="R74" s="19"/>
      <c r="S74" s="2"/>
      <c r="T74" s="2"/>
      <c r="U74" s="2"/>
      <c r="V74" s="19"/>
      <c r="W74" s="2"/>
      <c r="X74" s="2">
        <f t="shared" si="2"/>
        <v>205786.95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"4147", " - ", "NON-TAXABLE SALES-MISC")</f>
        <v xml:space="preserve">          4147 - NON-TAXABLE SALES-MISC</v>
      </c>
      <c r="C75" s="11"/>
      <c r="D75" s="2">
        <f>--933.53</f>
        <v>933.53</v>
      </c>
      <c r="E75" s="2"/>
      <c r="F75" s="19"/>
      <c r="G75" s="2"/>
      <c r="H75" s="2"/>
      <c r="I75" s="2"/>
      <c r="J75" s="19"/>
      <c r="K75" s="2"/>
      <c r="L75" s="2">
        <f t="shared" si="0"/>
        <v>933.53</v>
      </c>
      <c r="M75" s="2"/>
      <c r="N75" s="19">
        <f t="shared" si="1"/>
        <v>0</v>
      </c>
      <c r="O75" s="11"/>
      <c r="P75" s="2">
        <f>--3436.37</f>
        <v>3436.37</v>
      </c>
      <c r="Q75" s="2"/>
      <c r="R75" s="19"/>
      <c r="S75" s="2"/>
      <c r="T75" s="2"/>
      <c r="U75" s="2"/>
      <c r="V75" s="19"/>
      <c r="W75" s="2"/>
      <c r="X75" s="2">
        <f t="shared" si="2"/>
        <v>3436.37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"4181", " - ", "NON-TAXABLE SALES-ELECTRONICS")</f>
        <v xml:space="preserve">          4181 - NON-TAXABLE SALES-ELECTRONICS</v>
      </c>
      <c r="C76" s="11"/>
      <c r="D76" s="2">
        <f>--13.99</f>
        <v>13.99</v>
      </c>
      <c r="E76" s="2"/>
      <c r="F76" s="19"/>
      <c r="G76" s="2"/>
      <c r="H76" s="2"/>
      <c r="I76" s="2"/>
      <c r="J76" s="19"/>
      <c r="K76" s="2"/>
      <c r="L76" s="2">
        <f t="shared" si="0"/>
        <v>13.99</v>
      </c>
      <c r="M76" s="2"/>
      <c r="N76" s="19">
        <f t="shared" si="1"/>
        <v>0</v>
      </c>
      <c r="O76" s="11"/>
      <c r="P76" s="2">
        <f>--2078.37</f>
        <v>2078.37</v>
      </c>
      <c r="Q76" s="2"/>
      <c r="R76" s="19"/>
      <c r="S76" s="2"/>
      <c r="T76" s="2"/>
      <c r="U76" s="2"/>
      <c r="V76" s="19"/>
      <c r="W76" s="2"/>
      <c r="X76" s="2">
        <f t="shared" si="2"/>
        <v>2078.37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"4182", " - ", "NON-TAXABLE SALES-COMPUTER HAR")</f>
        <v xml:space="preserve">          4182 - NON-TAXABLE SALES-COMPUTER HAR</v>
      </c>
      <c r="C77" s="11"/>
      <c r="D77" s="2">
        <f>--20132</f>
        <v>20132</v>
      </c>
      <c r="E77" s="2"/>
      <c r="F77" s="19"/>
      <c r="G77" s="2"/>
      <c r="H77" s="2"/>
      <c r="I77" s="2"/>
      <c r="J77" s="19"/>
      <c r="K77" s="2"/>
      <c r="L77" s="2">
        <f t="shared" si="0"/>
        <v>20132</v>
      </c>
      <c r="M77" s="2"/>
      <c r="N77" s="19">
        <f t="shared" si="1"/>
        <v>0</v>
      </c>
      <c r="O77" s="11"/>
      <c r="P77" s="2">
        <f>--118010.96</f>
        <v>118010.96</v>
      </c>
      <c r="Q77" s="2"/>
      <c r="R77" s="19"/>
      <c r="S77" s="2"/>
      <c r="T77" s="2"/>
      <c r="U77" s="2"/>
      <c r="V77" s="19"/>
      <c r="W77" s="2"/>
      <c r="X77" s="2">
        <f t="shared" si="2"/>
        <v>118010.96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"4183", " - ", "NON-TAXABLE SALES-COMPUTER EQU")</f>
        <v xml:space="preserve">          4183 - NON-TAXABLE SALES-COMPUTER EQU</v>
      </c>
      <c r="C78" s="11"/>
      <c r="D78" s="2">
        <f>--705.91</f>
        <v>705.91</v>
      </c>
      <c r="E78" s="2"/>
      <c r="F78" s="19"/>
      <c r="G78" s="2"/>
      <c r="H78" s="2"/>
      <c r="I78" s="2"/>
      <c r="J78" s="19"/>
      <c r="K78" s="2"/>
      <c r="L78" s="2">
        <f t="shared" si="0"/>
        <v>705.91</v>
      </c>
      <c r="M78" s="2"/>
      <c r="N78" s="19">
        <f t="shared" si="1"/>
        <v>0</v>
      </c>
      <c r="O78" s="11"/>
      <c r="P78" s="2">
        <f>--6762.22</f>
        <v>6762.22</v>
      </c>
      <c r="Q78" s="2"/>
      <c r="R78" s="19"/>
      <c r="S78" s="2"/>
      <c r="T78" s="2"/>
      <c r="U78" s="2"/>
      <c r="V78" s="19"/>
      <c r="W78" s="2"/>
      <c r="X78" s="2">
        <f t="shared" si="2"/>
        <v>6762.22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"4184", " - ", "NON-TAXABLE SALES-SOFTWARE LIC")</f>
        <v xml:space="preserve">          4184 - NON-TAXABLE SALES-SOFTWARE LIC</v>
      </c>
      <c r="C79" s="11"/>
      <c r="D79" s="2">
        <f>0</f>
        <v>0</v>
      </c>
      <c r="E79" s="2"/>
      <c r="F79" s="19"/>
      <c r="G79" s="2"/>
      <c r="H79" s="2"/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--2728</f>
        <v>2728</v>
      </c>
      <c r="Q79" s="2"/>
      <c r="R79" s="19"/>
      <c r="S79" s="2"/>
      <c r="T79" s="2"/>
      <c r="U79" s="2"/>
      <c r="V79" s="19"/>
      <c r="W79" s="2"/>
      <c r="X79" s="2">
        <f t="shared" si="2"/>
        <v>2728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"4185", " - ", "NON-TAXABLE SALES-SOFTWARE")</f>
        <v xml:space="preserve">          4185 - NON-TAXABLE SALES-SOFTWARE</v>
      </c>
      <c r="C80" s="11"/>
      <c r="D80" s="2">
        <f>--976.95</f>
        <v>976.95</v>
      </c>
      <c r="E80" s="2"/>
      <c r="F80" s="19"/>
      <c r="G80" s="2"/>
      <c r="H80" s="2"/>
      <c r="I80" s="2"/>
      <c r="J80" s="19"/>
      <c r="K80" s="2"/>
      <c r="L80" s="2">
        <f t="shared" si="0"/>
        <v>976.95</v>
      </c>
      <c r="M80" s="2"/>
      <c r="N80" s="19">
        <f t="shared" si="1"/>
        <v>0</v>
      </c>
      <c r="O80" s="11"/>
      <c r="P80" s="2">
        <f>--13122.74</f>
        <v>13122.74</v>
      </c>
      <c r="Q80" s="2"/>
      <c r="R80" s="19"/>
      <c r="S80" s="2"/>
      <c r="T80" s="2"/>
      <c r="U80" s="2"/>
      <c r="V80" s="19"/>
      <c r="W80" s="2"/>
      <c r="X80" s="2">
        <f t="shared" si="2"/>
        <v>13122.74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"4186", " - ", "NON-TAXABLE SALES-COMPUTER SUP")</f>
        <v xml:space="preserve">          4186 - NON-TAXABLE SALES-COMPUTER SUP</v>
      </c>
      <c r="C81" s="11"/>
      <c r="D81" s="2">
        <f>--149.98</f>
        <v>149.97999999999999</v>
      </c>
      <c r="E81" s="2"/>
      <c r="F81" s="19"/>
      <c r="G81" s="2"/>
      <c r="H81" s="2"/>
      <c r="I81" s="2"/>
      <c r="J81" s="19"/>
      <c r="K81" s="2"/>
      <c r="L81" s="2">
        <f t="shared" si="0"/>
        <v>149.97999999999999</v>
      </c>
      <c r="M81" s="2"/>
      <c r="N81" s="19">
        <f t="shared" si="1"/>
        <v>0</v>
      </c>
      <c r="O81" s="11"/>
      <c r="P81" s="2">
        <f>--2619.19</f>
        <v>2619.19</v>
      </c>
      <c r="Q81" s="2"/>
      <c r="R81" s="19"/>
      <c r="S81" s="2"/>
      <c r="T81" s="2"/>
      <c r="U81" s="2"/>
      <c r="V81" s="19"/>
      <c r="W81" s="2"/>
      <c r="X81" s="2">
        <f t="shared" si="2"/>
        <v>2619.19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"4188", " - ", "NON-TAXABLE SALES-MUSIC")</f>
        <v xml:space="preserve">          4188 - NON-TAXABLE SALES-MUSIC</v>
      </c>
      <c r="C82" s="11"/>
      <c r="D82" s="2">
        <f>0</f>
        <v>0</v>
      </c>
      <c r="E82" s="2"/>
      <c r="F82" s="19"/>
      <c r="G82" s="2"/>
      <c r="H82" s="2"/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--219.96</f>
        <v>219.96</v>
      </c>
      <c r="Q82" s="2"/>
      <c r="R82" s="19"/>
      <c r="S82" s="2"/>
      <c r="T82" s="2"/>
      <c r="U82" s="2"/>
      <c r="V82" s="19"/>
      <c r="W82" s="2"/>
      <c r="X82" s="2">
        <f t="shared" si="2"/>
        <v>219.96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"4201", " - ", "SALES RETURN TAXABLE-NEW TEXT")</f>
        <v xml:space="preserve">          4201 - SALES RETURN TAXABLE-NEW TEXT</v>
      </c>
      <c r="C83" s="11"/>
      <c r="D83" s="2">
        <f>-420.3</f>
        <v>-420.3</v>
      </c>
      <c r="E83" s="2"/>
      <c r="F83" s="19"/>
      <c r="G83" s="2"/>
      <c r="H83" s="2"/>
      <c r="I83" s="2"/>
      <c r="J83" s="19"/>
      <c r="K83" s="2"/>
      <c r="L83" s="2">
        <f t="shared" si="0"/>
        <v>-420.3</v>
      </c>
      <c r="M83" s="2"/>
      <c r="N83" s="19">
        <f t="shared" si="1"/>
        <v>0</v>
      </c>
      <c r="O83" s="11"/>
      <c r="P83" s="2">
        <f>-121160.71</f>
        <v>-121160.71</v>
      </c>
      <c r="Q83" s="2"/>
      <c r="R83" s="19"/>
      <c r="S83" s="2"/>
      <c r="T83" s="2"/>
      <c r="U83" s="2"/>
      <c r="V83" s="19"/>
      <c r="W83" s="2"/>
      <c r="X83" s="2">
        <f t="shared" si="2"/>
        <v>-121160.71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"4202", " - ", "SALES RETURN TAXABLE-USED TEXT")</f>
        <v xml:space="preserve">          4202 - SALES RETURN TAXABLE-USED TEXT</v>
      </c>
      <c r="C84" s="11"/>
      <c r="D84" s="2">
        <f>-133.45</f>
        <v>-133.44999999999999</v>
      </c>
      <c r="E84" s="2"/>
      <c r="F84" s="19"/>
      <c r="G84" s="2"/>
      <c r="H84" s="2"/>
      <c r="I84" s="2"/>
      <c r="J84" s="19"/>
      <c r="K84" s="2"/>
      <c r="L84" s="2">
        <f t="shared" si="0"/>
        <v>-133.44999999999999</v>
      </c>
      <c r="M84" s="2"/>
      <c r="N84" s="19">
        <f t="shared" si="1"/>
        <v>0</v>
      </c>
      <c r="O84" s="11"/>
      <c r="P84" s="2">
        <f>-45520.76</f>
        <v>-45520.76</v>
      </c>
      <c r="Q84" s="2"/>
      <c r="R84" s="19"/>
      <c r="S84" s="2"/>
      <c r="T84" s="2"/>
      <c r="U84" s="2"/>
      <c r="V84" s="19"/>
      <c r="W84" s="2"/>
      <c r="X84" s="2">
        <f t="shared" si="2"/>
        <v>-45520.76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"4203", " - ", "SALES RETURN TAXABLE-RENTAL TE")</f>
        <v xml:space="preserve">          4203 - SALES RETURN TAXABLE-RENTAL TE</v>
      </c>
      <c r="C85" s="11"/>
      <c r="D85" s="2">
        <f t="shared" ref="D85:D86" si="6">0</f>
        <v>0</v>
      </c>
      <c r="E85" s="2"/>
      <c r="F85" s="19"/>
      <c r="G85" s="2"/>
      <c r="H85" s="2"/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>-144.99</f>
        <v>-144.99</v>
      </c>
      <c r="Q85" s="2"/>
      <c r="R85" s="19"/>
      <c r="S85" s="2"/>
      <c r="T85" s="2"/>
      <c r="U85" s="2"/>
      <c r="V85" s="19"/>
      <c r="W85" s="2"/>
      <c r="X85" s="2">
        <f t="shared" si="2"/>
        <v>-144.99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"4204", " - ", "SALES RETURN TAXABLE-DIGITAL T")</f>
        <v xml:space="preserve">          4204 - SALES RETURN TAXABLE-DIGITAL T</v>
      </c>
      <c r="C86" s="11"/>
      <c r="D86" s="2">
        <f t="shared" si="6"/>
        <v>0</v>
      </c>
      <c r="E86" s="2"/>
      <c r="F86" s="19"/>
      <c r="G86" s="2"/>
      <c r="H86" s="2"/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1"/>
      <c r="P86" s="2">
        <f>-17255.33</f>
        <v>-17255.330000000002</v>
      </c>
      <c r="Q86" s="2"/>
      <c r="R86" s="19"/>
      <c r="S86" s="2"/>
      <c r="T86" s="2"/>
      <c r="U86" s="2"/>
      <c r="V86" s="19"/>
      <c r="W86" s="2"/>
      <c r="X86" s="2">
        <f t="shared" si="2"/>
        <v>-17255.330000000002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"4213", " - ", "NON-TAXABLE SALES-TRADE BOOKS")</f>
        <v xml:space="preserve">          4213 - NON-TAXABLE SALES-TRADE BOOKS</v>
      </c>
      <c r="C87" s="11"/>
      <c r="D87" s="2">
        <f>-374.85</f>
        <v>-374.85</v>
      </c>
      <c r="E87" s="2"/>
      <c r="F87" s="19"/>
      <c r="G87" s="2"/>
      <c r="H87" s="2"/>
      <c r="I87" s="2"/>
      <c r="J87" s="19"/>
      <c r="K87" s="2"/>
      <c r="L87" s="2">
        <f t="shared" si="0"/>
        <v>-374.85</v>
      </c>
      <c r="M87" s="2"/>
      <c r="N87" s="19">
        <f t="shared" si="1"/>
        <v>0</v>
      </c>
      <c r="O87" s="11"/>
      <c r="P87" s="2">
        <f>-594.91</f>
        <v>-594.91</v>
      </c>
      <c r="Q87" s="2"/>
      <c r="R87" s="19"/>
      <c r="S87" s="2"/>
      <c r="T87" s="2"/>
      <c r="U87" s="2"/>
      <c r="V87" s="19"/>
      <c r="W87" s="2"/>
      <c r="X87" s="2">
        <f t="shared" si="2"/>
        <v>-594.91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"4214", " - ", "SALES RETURN TAXABLE-REMAINDER")</f>
        <v xml:space="preserve">          4214 - SALES RETURN TAXABLE-REMAINDER</v>
      </c>
      <c r="C88" s="11"/>
      <c r="D88" s="2">
        <f t="shared" ref="D88:D90" si="7">0</f>
        <v>0</v>
      </c>
      <c r="E88" s="2"/>
      <c r="F88" s="19"/>
      <c r="G88" s="2"/>
      <c r="H88" s="2"/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>-11.94</f>
        <v>-11.94</v>
      </c>
      <c r="Q88" s="2"/>
      <c r="R88" s="19"/>
      <c r="S88" s="2"/>
      <c r="T88" s="2"/>
      <c r="U88" s="2"/>
      <c r="V88" s="19"/>
      <c r="W88" s="2"/>
      <c r="X88" s="2">
        <f t="shared" si="2"/>
        <v>-11.94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"4217", " - ", "NON-TAXABLE SALES-DORM/HOUSEWA")</f>
        <v xml:space="preserve">          4217 - NON-TAXABLE SALES-DORM/HOUSEWA</v>
      </c>
      <c r="C89" s="11"/>
      <c r="D89" s="2">
        <f t="shared" si="7"/>
        <v>0</v>
      </c>
      <c r="E89" s="2"/>
      <c r="F89" s="19"/>
      <c r="G89" s="2"/>
      <c r="H89" s="2"/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>-2.98</f>
        <v>-2.98</v>
      </c>
      <c r="Q89" s="2"/>
      <c r="R89" s="19"/>
      <c r="S89" s="2"/>
      <c r="T89" s="2"/>
      <c r="U89" s="2"/>
      <c r="V89" s="19"/>
      <c r="W89" s="2"/>
      <c r="X89" s="2">
        <f t="shared" si="2"/>
        <v>-2.98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"4218", " - ", "SALES RETURN TAXABLE-STUDY GUI")</f>
        <v xml:space="preserve">          4218 - SALES RETURN TAXABLE-STUDY GUI</v>
      </c>
      <c r="C90" s="11"/>
      <c r="D90" s="2">
        <f t="shared" si="7"/>
        <v>0</v>
      </c>
      <c r="E90" s="2"/>
      <c r="F90" s="19"/>
      <c r="G90" s="2"/>
      <c r="H90" s="2"/>
      <c r="I90" s="2"/>
      <c r="J90" s="19"/>
      <c r="K90" s="2"/>
      <c r="L90" s="2">
        <f t="shared" si="0"/>
        <v>0</v>
      </c>
      <c r="M90" s="2"/>
      <c r="N90" s="19">
        <f t="shared" si="1"/>
        <v>0</v>
      </c>
      <c r="O90" s="11"/>
      <c r="P90" s="2">
        <f>-39.25</f>
        <v>-39.25</v>
      </c>
      <c r="Q90" s="2"/>
      <c r="R90" s="19"/>
      <c r="S90" s="2"/>
      <c r="T90" s="2"/>
      <c r="U90" s="2"/>
      <c r="V90" s="19"/>
      <c r="W90" s="2"/>
      <c r="X90" s="2">
        <f t="shared" si="2"/>
        <v>-39.25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"4225", " - ", "SALES RETURN TAXABLE-TEST FORM")</f>
        <v xml:space="preserve">          4225 - SALES RETURN TAXABLE-TEST FORM</v>
      </c>
      <c r="C91" s="11"/>
      <c r="D91" s="2">
        <f>-8.16</f>
        <v>-8.16</v>
      </c>
      <c r="E91" s="2"/>
      <c r="F91" s="19"/>
      <c r="G91" s="2"/>
      <c r="H91" s="2"/>
      <c r="I91" s="2"/>
      <c r="J91" s="19"/>
      <c r="K91" s="2"/>
      <c r="L91" s="2">
        <f t="shared" si="0"/>
        <v>-8.16</v>
      </c>
      <c r="M91" s="2"/>
      <c r="N91" s="19">
        <f t="shared" si="1"/>
        <v>0</v>
      </c>
      <c r="O91" s="11"/>
      <c r="P91" s="2">
        <f>-176.41</f>
        <v>-176.41</v>
      </c>
      <c r="Q91" s="2"/>
      <c r="R91" s="19"/>
      <c r="S91" s="2"/>
      <c r="T91" s="2"/>
      <c r="U91" s="2"/>
      <c r="V91" s="19"/>
      <c r="W91" s="2"/>
      <c r="X91" s="2">
        <f t="shared" si="2"/>
        <v>-176.41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"4226", " - ", "SALES RETURN TAXABLE-WRITING I")</f>
        <v xml:space="preserve">          4226 - SALES RETURN TAXABLE-WRITING I</v>
      </c>
      <c r="C92" s="11"/>
      <c r="D92" s="2">
        <f>-11.25</f>
        <v>-11.25</v>
      </c>
      <c r="E92" s="2"/>
      <c r="F92" s="19"/>
      <c r="G92" s="2"/>
      <c r="H92" s="2"/>
      <c r="I92" s="2"/>
      <c r="J92" s="19"/>
      <c r="K92" s="2"/>
      <c r="L92" s="2">
        <f t="shared" si="0"/>
        <v>-11.25</v>
      </c>
      <c r="M92" s="2"/>
      <c r="N92" s="19">
        <f t="shared" si="1"/>
        <v>0</v>
      </c>
      <c r="O92" s="11"/>
      <c r="P92" s="2">
        <f>-765.04</f>
        <v>-765.04</v>
      </c>
      <c r="Q92" s="2"/>
      <c r="R92" s="19"/>
      <c r="S92" s="2"/>
      <c r="T92" s="2"/>
      <c r="U92" s="2"/>
      <c r="V92" s="19"/>
      <c r="W92" s="2"/>
      <c r="X92" s="2">
        <f t="shared" si="2"/>
        <v>-765.04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"4227", " - ", "SALES RETURN TAXABLE-SCHOOL SU")</f>
        <v xml:space="preserve">          4227 - SALES RETURN TAXABLE-SCHOOL SU</v>
      </c>
      <c r="C93" s="11"/>
      <c r="D93" s="2">
        <f>-979.19</f>
        <v>-979.19</v>
      </c>
      <c r="E93" s="2"/>
      <c r="F93" s="19"/>
      <c r="G93" s="2"/>
      <c r="H93" s="2"/>
      <c r="I93" s="2"/>
      <c r="J93" s="19"/>
      <c r="K93" s="2"/>
      <c r="L93" s="2">
        <f t="shared" si="0"/>
        <v>-979.19</v>
      </c>
      <c r="M93" s="2"/>
      <c r="N93" s="19">
        <f t="shared" si="1"/>
        <v>0</v>
      </c>
      <c r="O93" s="11"/>
      <c r="P93" s="2">
        <f>-8593.61</f>
        <v>-8593.61</v>
      </c>
      <c r="Q93" s="2"/>
      <c r="R93" s="19"/>
      <c r="S93" s="2"/>
      <c r="T93" s="2"/>
      <c r="U93" s="2"/>
      <c r="V93" s="19"/>
      <c r="W93" s="2"/>
      <c r="X93" s="2">
        <f t="shared" si="2"/>
        <v>-8593.61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"4228", " - ", "SALES RETURN TAXABLE-ART/TECH")</f>
        <v xml:space="preserve">          4228 - SALES RETURN TAXABLE-ART/TECH</v>
      </c>
      <c r="C94" s="11"/>
      <c r="D94" s="2">
        <f>-139.18</f>
        <v>-139.18</v>
      </c>
      <c r="E94" s="2"/>
      <c r="F94" s="19"/>
      <c r="G94" s="2"/>
      <c r="H94" s="2"/>
      <c r="I94" s="2"/>
      <c r="J94" s="19"/>
      <c r="K94" s="2"/>
      <c r="L94" s="2">
        <f t="shared" si="0"/>
        <v>-139.18</v>
      </c>
      <c r="M94" s="2"/>
      <c r="N94" s="19">
        <f t="shared" si="1"/>
        <v>0</v>
      </c>
      <c r="O94" s="11"/>
      <c r="P94" s="2">
        <f>-4739.1</f>
        <v>-4739.1000000000004</v>
      </c>
      <c r="Q94" s="2"/>
      <c r="R94" s="19"/>
      <c r="S94" s="2"/>
      <c r="T94" s="2"/>
      <c r="U94" s="2"/>
      <c r="V94" s="19"/>
      <c r="W94" s="2"/>
      <c r="X94" s="2">
        <f t="shared" si="2"/>
        <v>-4739.1000000000004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"4233", " - ", "SALES RETURN TAXABLE-CANDY")</f>
        <v xml:space="preserve">          4233 - SALES RETURN TAXABLE-CANDY</v>
      </c>
      <c r="C95" s="11"/>
      <c r="D95" s="2">
        <f>-6.96</f>
        <v>-6.96</v>
      </c>
      <c r="E95" s="2"/>
      <c r="F95" s="19"/>
      <c r="G95" s="2"/>
      <c r="H95" s="2"/>
      <c r="I95" s="2"/>
      <c r="J95" s="19"/>
      <c r="K95" s="2"/>
      <c r="L95" s="2">
        <f t="shared" si="0"/>
        <v>-6.96</v>
      </c>
      <c r="M95" s="2"/>
      <c r="N95" s="19">
        <f t="shared" si="1"/>
        <v>0</v>
      </c>
      <c r="O95" s="11"/>
      <c r="P95" s="2">
        <f>-8.25</f>
        <v>-8.25</v>
      </c>
      <c r="Q95" s="2"/>
      <c r="R95" s="19"/>
      <c r="S95" s="2"/>
      <c r="T95" s="2"/>
      <c r="U95" s="2"/>
      <c r="V95" s="19"/>
      <c r="W95" s="2"/>
      <c r="X95" s="2">
        <f t="shared" si="2"/>
        <v>-8.25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"4240", " - ", "SALES RETURN TAXABLE-LOGO CLOT")</f>
        <v xml:space="preserve">          4240 - SALES RETURN TAXABLE-LOGO CLOT</v>
      </c>
      <c r="C96" s="11"/>
      <c r="D96" s="2">
        <f>-3000.56</f>
        <v>-3000.56</v>
      </c>
      <c r="E96" s="2"/>
      <c r="F96" s="19"/>
      <c r="G96" s="2"/>
      <c r="H96" s="2"/>
      <c r="I96" s="2"/>
      <c r="J96" s="19"/>
      <c r="K96" s="2"/>
      <c r="L96" s="2">
        <f t="shared" si="0"/>
        <v>-3000.56</v>
      </c>
      <c r="M96" s="2"/>
      <c r="N96" s="19">
        <f t="shared" si="1"/>
        <v>0</v>
      </c>
      <c r="O96" s="11"/>
      <c r="P96" s="2">
        <f>-72812.23</f>
        <v>-72812.23</v>
      </c>
      <c r="Q96" s="2"/>
      <c r="R96" s="19"/>
      <c r="S96" s="2"/>
      <c r="T96" s="2"/>
      <c r="U96" s="2"/>
      <c r="V96" s="19"/>
      <c r="W96" s="2"/>
      <c r="X96" s="2">
        <f t="shared" si="2"/>
        <v>-72812.23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"4241", " - ", "SALES RETURN TAXABLE-LOGO GIFT")</f>
        <v xml:space="preserve">          4241 - SALES RETURN TAXABLE-LOGO GIFT</v>
      </c>
      <c r="C97" s="11"/>
      <c r="D97" s="2">
        <f>-214.4</f>
        <v>-214.4</v>
      </c>
      <c r="E97" s="2"/>
      <c r="F97" s="19"/>
      <c r="G97" s="2"/>
      <c r="H97" s="2"/>
      <c r="I97" s="2"/>
      <c r="J97" s="19"/>
      <c r="K97" s="2"/>
      <c r="L97" s="2">
        <f t="shared" si="0"/>
        <v>-214.4</v>
      </c>
      <c r="M97" s="2"/>
      <c r="N97" s="19">
        <f t="shared" si="1"/>
        <v>0</v>
      </c>
      <c r="O97" s="11"/>
      <c r="P97" s="2">
        <f>-6141.38</f>
        <v>-6141.38</v>
      </c>
      <c r="Q97" s="2"/>
      <c r="R97" s="19"/>
      <c r="S97" s="2"/>
      <c r="T97" s="2"/>
      <c r="U97" s="2"/>
      <c r="V97" s="19"/>
      <c r="W97" s="2"/>
      <c r="X97" s="2">
        <f t="shared" si="2"/>
        <v>-6141.38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"4242", " - ", "SALES RETURN TAXABLE-EVERYDAY")</f>
        <v xml:space="preserve">          4242 - SALES RETURN TAXABLE-EVERYDAY</v>
      </c>
      <c r="C98" s="11"/>
      <c r="D98" s="2">
        <f>-284.33</f>
        <v>-284.33</v>
      </c>
      <c r="E98" s="2"/>
      <c r="F98" s="19"/>
      <c r="G98" s="2"/>
      <c r="H98" s="2"/>
      <c r="I98" s="2"/>
      <c r="J98" s="19"/>
      <c r="K98" s="2"/>
      <c r="L98" s="2">
        <f t="shared" si="0"/>
        <v>-284.33</v>
      </c>
      <c r="M98" s="2"/>
      <c r="N98" s="19">
        <f t="shared" si="1"/>
        <v>0</v>
      </c>
      <c r="O98" s="11"/>
      <c r="P98" s="2">
        <f>-4178.41</f>
        <v>-4178.41</v>
      </c>
      <c r="Q98" s="2"/>
      <c r="R98" s="19"/>
      <c r="S98" s="2"/>
      <c r="T98" s="2"/>
      <c r="U98" s="2"/>
      <c r="V98" s="19"/>
      <c r="W98" s="2"/>
      <c r="X98" s="2">
        <f t="shared" si="2"/>
        <v>-4178.41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"4243", " - ", "SALES RETURN TAXABLE-CARDS")</f>
        <v xml:space="preserve">          4243 - SALES RETURN TAXABLE-CARDS</v>
      </c>
      <c r="C99" s="11"/>
      <c r="D99" s="2">
        <f>-159.92</f>
        <v>-159.91999999999999</v>
      </c>
      <c r="E99" s="2"/>
      <c r="F99" s="19"/>
      <c r="G99" s="2"/>
      <c r="H99" s="2"/>
      <c r="I99" s="2"/>
      <c r="J99" s="19"/>
      <c r="K99" s="2"/>
      <c r="L99" s="2">
        <f t="shared" si="0"/>
        <v>-159.91999999999999</v>
      </c>
      <c r="M99" s="2"/>
      <c r="N99" s="19">
        <f t="shared" si="1"/>
        <v>0</v>
      </c>
      <c r="O99" s="11"/>
      <c r="P99" s="2">
        <f>-2993.31</f>
        <v>-2993.31</v>
      </c>
      <c r="Q99" s="2"/>
      <c r="R99" s="19"/>
      <c r="S99" s="2"/>
      <c r="T99" s="2"/>
      <c r="U99" s="2"/>
      <c r="V99" s="19"/>
      <c r="W99" s="2"/>
      <c r="X99" s="2">
        <f t="shared" si="2"/>
        <v>-2993.31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"4244", " - ", "SALES RETURN TAXABLE-ACCESSORI")</f>
        <v xml:space="preserve">          4244 - SALES RETURN TAXABLE-ACCESSORI</v>
      </c>
      <c r="C100" s="11"/>
      <c r="D100" s="2">
        <f>-39.9</f>
        <v>-39.9</v>
      </c>
      <c r="E100" s="2"/>
      <c r="F100" s="19"/>
      <c r="G100" s="2"/>
      <c r="H100" s="2"/>
      <c r="I100" s="2"/>
      <c r="J100" s="19"/>
      <c r="K100" s="2"/>
      <c r="L100" s="2">
        <f t="shared" si="0"/>
        <v>-39.9</v>
      </c>
      <c r="M100" s="2"/>
      <c r="N100" s="19">
        <f t="shared" si="1"/>
        <v>0</v>
      </c>
      <c r="O100" s="11"/>
      <c r="P100" s="2">
        <f>-2470.7</f>
        <v>-2470.6999999999998</v>
      </c>
      <c r="Q100" s="2"/>
      <c r="R100" s="19"/>
      <c r="S100" s="2"/>
      <c r="T100" s="2"/>
      <c r="U100" s="2"/>
      <c r="V100" s="19"/>
      <c r="W100" s="2"/>
      <c r="X100" s="2">
        <f t="shared" si="2"/>
        <v>-2470.6999999999998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"4245", " - ", "SALES RETURN TAXABLE-SPECIAL O")</f>
        <v xml:space="preserve">          4245 - SALES RETURN TAXABLE-SPECIAL O</v>
      </c>
      <c r="C101" s="11"/>
      <c r="D101" s="2">
        <f>-19.98</f>
        <v>-19.98</v>
      </c>
      <c r="E101" s="2"/>
      <c r="F101" s="19"/>
      <c r="G101" s="2"/>
      <c r="H101" s="2"/>
      <c r="I101" s="2"/>
      <c r="J101" s="19"/>
      <c r="K101" s="2"/>
      <c r="L101" s="2">
        <f t="shared" si="0"/>
        <v>-19.98</v>
      </c>
      <c r="M101" s="2"/>
      <c r="N101" s="19">
        <f t="shared" si="1"/>
        <v>0</v>
      </c>
      <c r="O101" s="11"/>
      <c r="P101" s="2">
        <f>-1735.03</f>
        <v>-1735.03</v>
      </c>
      <c r="Q101" s="2"/>
      <c r="R101" s="19"/>
      <c r="S101" s="2"/>
      <c r="T101" s="2"/>
      <c r="U101" s="2"/>
      <c r="V101" s="19"/>
      <c r="W101" s="2"/>
      <c r="X101" s="2">
        <f t="shared" si="2"/>
        <v>-1735.03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"4281", " - ", "SALES RETURN TAXABLE-ELECTRONI")</f>
        <v xml:space="preserve">          4281 - SALES RETURN TAXABLE-ELECTRONI</v>
      </c>
      <c r="C102" s="11"/>
      <c r="D102" s="2">
        <f>-213.97</f>
        <v>-213.97</v>
      </c>
      <c r="E102" s="2"/>
      <c r="F102" s="19"/>
      <c r="G102" s="2"/>
      <c r="H102" s="2"/>
      <c r="I102" s="2"/>
      <c r="J102" s="19"/>
      <c r="K102" s="2"/>
      <c r="L102" s="2">
        <f t="shared" si="0"/>
        <v>-213.97</v>
      </c>
      <c r="M102" s="2"/>
      <c r="N102" s="19">
        <f t="shared" si="1"/>
        <v>0</v>
      </c>
      <c r="O102" s="11"/>
      <c r="P102" s="2">
        <f>-7836.67</f>
        <v>-7836.67</v>
      </c>
      <c r="Q102" s="2"/>
      <c r="R102" s="19"/>
      <c r="S102" s="2"/>
      <c r="T102" s="2"/>
      <c r="U102" s="2"/>
      <c r="V102" s="19"/>
      <c r="W102" s="2"/>
      <c r="X102" s="2">
        <f t="shared" si="2"/>
        <v>-7836.67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"4282", " - ", "SALES RETURN TAXABLE-COMPUTER")</f>
        <v xml:space="preserve">          4282 - SALES RETURN TAXABLE-COMPUTER</v>
      </c>
      <c r="C103" s="11"/>
      <c r="D103" s="2">
        <f>-6266.02</f>
        <v>-6266.02</v>
      </c>
      <c r="E103" s="2"/>
      <c r="F103" s="19"/>
      <c r="G103" s="2"/>
      <c r="H103" s="2"/>
      <c r="I103" s="2"/>
      <c r="J103" s="19"/>
      <c r="K103" s="2"/>
      <c r="L103" s="2">
        <f t="shared" si="0"/>
        <v>-6266.02</v>
      </c>
      <c r="M103" s="2"/>
      <c r="N103" s="19">
        <f t="shared" si="1"/>
        <v>0</v>
      </c>
      <c r="O103" s="11"/>
      <c r="P103" s="2">
        <f>-213491.15</f>
        <v>-213491.15</v>
      </c>
      <c r="Q103" s="2"/>
      <c r="R103" s="19"/>
      <c r="S103" s="2"/>
      <c r="T103" s="2"/>
      <c r="U103" s="2"/>
      <c r="V103" s="19"/>
      <c r="W103" s="2"/>
      <c r="X103" s="2">
        <f t="shared" si="2"/>
        <v>-213491.15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"4283", " - ", "SALES RETURN TAXABLE-COMPUTER")</f>
        <v xml:space="preserve">          4283 - SALES RETURN TAXABLE-COMPUTER</v>
      </c>
      <c r="C104" s="11"/>
      <c r="D104" s="2">
        <f>-627.65</f>
        <v>-627.65</v>
      </c>
      <c r="E104" s="2"/>
      <c r="F104" s="19"/>
      <c r="G104" s="2"/>
      <c r="H104" s="2"/>
      <c r="I104" s="2"/>
      <c r="J104" s="19"/>
      <c r="K104" s="2"/>
      <c r="L104" s="2">
        <f t="shared" si="0"/>
        <v>-627.65</v>
      </c>
      <c r="M104" s="2"/>
      <c r="N104" s="19">
        <f t="shared" si="1"/>
        <v>0</v>
      </c>
      <c r="O104" s="11"/>
      <c r="P104" s="2">
        <f>-6453.06</f>
        <v>-6453.06</v>
      </c>
      <c r="Q104" s="2"/>
      <c r="R104" s="19"/>
      <c r="S104" s="2"/>
      <c r="T104" s="2"/>
      <c r="U104" s="2"/>
      <c r="V104" s="19"/>
      <c r="W104" s="2"/>
      <c r="X104" s="2">
        <f t="shared" si="2"/>
        <v>-6453.06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"4284", " - ", "SALES RETURN TAXABLE-SOFTWARE")</f>
        <v xml:space="preserve">          4284 - SALES RETURN TAXABLE-SOFTWARE</v>
      </c>
      <c r="C105" s="11"/>
      <c r="D105" s="2">
        <f t="shared" ref="D105:D106" si="8">0</f>
        <v>0</v>
      </c>
      <c r="E105" s="2"/>
      <c r="F105" s="19"/>
      <c r="G105" s="2"/>
      <c r="H105" s="2"/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-129</f>
        <v>-129</v>
      </c>
      <c r="Q105" s="2"/>
      <c r="R105" s="19"/>
      <c r="S105" s="2"/>
      <c r="T105" s="2"/>
      <c r="U105" s="2"/>
      <c r="V105" s="19"/>
      <c r="W105" s="2"/>
      <c r="X105" s="2">
        <f t="shared" si="2"/>
        <v>-129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"4285", " - ", "SALES RETURN TAXABLE-SOFTWARE")</f>
        <v xml:space="preserve">          4285 - SALES RETURN TAXABLE-SOFTWARE</v>
      </c>
      <c r="C106" s="11"/>
      <c r="D106" s="2">
        <f t="shared" si="8"/>
        <v>0</v>
      </c>
      <c r="E106" s="2"/>
      <c r="F106" s="19"/>
      <c r="G106" s="2"/>
      <c r="H106" s="2"/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>-805.97</f>
        <v>-805.97</v>
      </c>
      <c r="Q106" s="2"/>
      <c r="R106" s="19"/>
      <c r="S106" s="2"/>
      <c r="T106" s="2"/>
      <c r="U106" s="2"/>
      <c r="V106" s="19"/>
      <c r="W106" s="2"/>
      <c r="X106" s="2">
        <f t="shared" si="2"/>
        <v>-805.97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"4286", " - ", "SALES RETURN TAXABLE-COMPUTER")</f>
        <v xml:space="preserve">          4286 - SALES RETURN TAXABLE-COMPUTER</v>
      </c>
      <c r="C107" s="11"/>
      <c r="D107" s="2">
        <f>-77.97</f>
        <v>-77.97</v>
      </c>
      <c r="E107" s="2"/>
      <c r="F107" s="19"/>
      <c r="G107" s="2"/>
      <c r="H107" s="2"/>
      <c r="I107" s="2"/>
      <c r="J107" s="19"/>
      <c r="K107" s="2"/>
      <c r="L107" s="2">
        <f t="shared" si="0"/>
        <v>-77.97</v>
      </c>
      <c r="M107" s="2"/>
      <c r="N107" s="19">
        <f t="shared" si="1"/>
        <v>0</v>
      </c>
      <c r="O107" s="11"/>
      <c r="P107" s="2">
        <f>-3660.86</f>
        <v>-3660.86</v>
      </c>
      <c r="Q107" s="2"/>
      <c r="R107" s="19"/>
      <c r="S107" s="2"/>
      <c r="T107" s="2"/>
      <c r="U107" s="2"/>
      <c r="V107" s="19"/>
      <c r="W107" s="2"/>
      <c r="X107" s="2">
        <f t="shared" si="2"/>
        <v>-3660.86</v>
      </c>
      <c r="Y107" s="2"/>
      <c r="Z107" s="19">
        <f t="shared" si="3"/>
        <v>0</v>
      </c>
    </row>
    <row r="108" spans="1:26" s="24" customFormat="1" hidden="1" outlineLevel="1" x14ac:dyDescent="0.25">
      <c r="A108" s="44"/>
      <c r="B108" s="11" t="str">
        <f>CONCATENATE("          ", "4288", " - ", "TAXABLE SALES RETURN-MUSIC")</f>
        <v xml:space="preserve">          4288 - TAXABLE SALES RETURN-MUSIC</v>
      </c>
      <c r="C108" s="11"/>
      <c r="D108" s="2">
        <f>0</f>
        <v>0</v>
      </c>
      <c r="E108" s="2"/>
      <c r="F108" s="19"/>
      <c r="G108" s="2"/>
      <c r="H108" s="2"/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>-3.99</f>
        <v>-3.99</v>
      </c>
      <c r="Q108" s="2"/>
      <c r="R108" s="19"/>
      <c r="S108" s="2"/>
      <c r="T108" s="2"/>
      <c r="U108" s="2"/>
      <c r="V108" s="19"/>
      <c r="W108" s="2"/>
      <c r="X108" s="2">
        <f t="shared" si="2"/>
        <v>-3.99</v>
      </c>
      <c r="Y108" s="2"/>
      <c r="Z108" s="19">
        <f t="shared" si="3"/>
        <v>0</v>
      </c>
    </row>
    <row r="109" spans="1:26" s="24" customFormat="1" hidden="1" outlineLevel="1" x14ac:dyDescent="0.25">
      <c r="A109" s="44"/>
      <c r="B109" s="11" t="str">
        <f>CONCATENATE("          ", "4292", " - ", "SALES RETURN TAXABLE-GRAD MERC")</f>
        <v xml:space="preserve">          4292 - SALES RETURN TAXABLE-GRAD MERC</v>
      </c>
      <c r="C109" s="11"/>
      <c r="D109" s="2">
        <f>-94.9</f>
        <v>-94.9</v>
      </c>
      <c r="E109" s="2"/>
      <c r="F109" s="19"/>
      <c r="G109" s="2"/>
      <c r="H109" s="2"/>
      <c r="I109" s="2"/>
      <c r="J109" s="19"/>
      <c r="K109" s="2"/>
      <c r="L109" s="2">
        <f t="shared" si="0"/>
        <v>-94.9</v>
      </c>
      <c r="M109" s="2"/>
      <c r="N109" s="19">
        <f t="shared" si="1"/>
        <v>0</v>
      </c>
      <c r="O109" s="11"/>
      <c r="P109" s="2">
        <f>-513.95</f>
        <v>-513.95000000000005</v>
      </c>
      <c r="Q109" s="2"/>
      <c r="R109" s="19"/>
      <c r="S109" s="2"/>
      <c r="T109" s="2"/>
      <c r="U109" s="2"/>
      <c r="V109" s="19"/>
      <c r="W109" s="2"/>
      <c r="X109" s="2">
        <f t="shared" si="2"/>
        <v>-513.95000000000005</v>
      </c>
      <c r="Y109" s="2"/>
      <c r="Z109" s="19">
        <f t="shared" si="3"/>
        <v>0</v>
      </c>
    </row>
    <row r="110" spans="1:26" s="24" customFormat="1" hidden="1" outlineLevel="1" x14ac:dyDescent="0.25">
      <c r="A110" s="44"/>
      <c r="B110" s="11" t="str">
        <f>CONCATENATE("          ", "4295", " - ", "SALES RETURN TAXABLE-CUSTOMER")</f>
        <v xml:space="preserve">          4295 - SALES RETURN TAXABLE-CUSTOMER</v>
      </c>
      <c r="C110" s="11"/>
      <c r="D110" s="2">
        <f t="shared" ref="D110:D113" si="9">0</f>
        <v>0</v>
      </c>
      <c r="E110" s="2"/>
      <c r="F110" s="19"/>
      <c r="G110" s="2"/>
      <c r="H110" s="2"/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1"/>
      <c r="P110" s="2">
        <f>--0.99</f>
        <v>0.99</v>
      </c>
      <c r="Q110" s="2"/>
      <c r="R110" s="19"/>
      <c r="S110" s="2"/>
      <c r="T110" s="2"/>
      <c r="U110" s="2"/>
      <c r="V110" s="19"/>
      <c r="W110" s="2"/>
      <c r="X110" s="2">
        <f t="shared" si="2"/>
        <v>0.99</v>
      </c>
      <c r="Y110" s="2"/>
      <c r="Z110" s="19">
        <f t="shared" si="3"/>
        <v>0</v>
      </c>
    </row>
    <row r="111" spans="1:26" s="24" customFormat="1" hidden="1" outlineLevel="1" x14ac:dyDescent="0.25">
      <c r="A111" s="44"/>
      <c r="B111" s="11" t="str">
        <f>CONCATENATE("          ", "4301", " - ", "SALES RETURN NON TAXABLE-NEW T")</f>
        <v xml:space="preserve">          4301 - SALES RETURN NON TAXABLE-NEW T</v>
      </c>
      <c r="C111" s="11"/>
      <c r="D111" s="2">
        <f t="shared" si="9"/>
        <v>0</v>
      </c>
      <c r="E111" s="2"/>
      <c r="F111" s="19"/>
      <c r="G111" s="2"/>
      <c r="H111" s="2"/>
      <c r="I111" s="2"/>
      <c r="J111" s="19"/>
      <c r="K111" s="2"/>
      <c r="L111" s="2">
        <f t="shared" si="0"/>
        <v>0</v>
      </c>
      <c r="M111" s="2"/>
      <c r="N111" s="19">
        <f t="shared" si="1"/>
        <v>0</v>
      </c>
      <c r="O111" s="11"/>
      <c r="P111" s="2">
        <f>-15221.62</f>
        <v>-15221.62</v>
      </c>
      <c r="Q111" s="2"/>
      <c r="R111" s="19"/>
      <c r="S111" s="2"/>
      <c r="T111" s="2"/>
      <c r="U111" s="2"/>
      <c r="V111" s="19"/>
      <c r="W111" s="2"/>
      <c r="X111" s="2">
        <f t="shared" si="2"/>
        <v>-15221.62</v>
      </c>
      <c r="Y111" s="2"/>
      <c r="Z111" s="19">
        <f t="shared" si="3"/>
        <v>0</v>
      </c>
    </row>
    <row r="112" spans="1:26" s="24" customFormat="1" hidden="1" outlineLevel="1" x14ac:dyDescent="0.25">
      <c r="A112" s="44"/>
      <c r="B112" s="11" t="str">
        <f>CONCATENATE("          ", "4302", " - ", "SALES RETURN NON TAXABLE-TEXT")</f>
        <v xml:space="preserve">          4302 - SALES RETURN NON TAXABLE-TEXT</v>
      </c>
      <c r="C112" s="11"/>
      <c r="D112" s="2">
        <f t="shared" si="9"/>
        <v>0</v>
      </c>
      <c r="E112" s="2"/>
      <c r="F112" s="19"/>
      <c r="G112" s="2"/>
      <c r="H112" s="2"/>
      <c r="I112" s="2"/>
      <c r="J112" s="19"/>
      <c r="K112" s="2"/>
      <c r="L112" s="2">
        <f t="shared" si="0"/>
        <v>0</v>
      </c>
      <c r="M112" s="2"/>
      <c r="N112" s="19">
        <f t="shared" si="1"/>
        <v>0</v>
      </c>
      <c r="O112" s="11"/>
      <c r="P112" s="2">
        <f>-1312.37</f>
        <v>-1312.37</v>
      </c>
      <c r="Q112" s="2"/>
      <c r="R112" s="19"/>
      <c r="S112" s="2"/>
      <c r="T112" s="2"/>
      <c r="U112" s="2"/>
      <c r="V112" s="19"/>
      <c r="W112" s="2"/>
      <c r="X112" s="2">
        <f t="shared" si="2"/>
        <v>-1312.37</v>
      </c>
      <c r="Y112" s="2"/>
      <c r="Z112" s="19">
        <f t="shared" si="3"/>
        <v>0</v>
      </c>
    </row>
    <row r="113" spans="1:26" s="24" customFormat="1" hidden="1" outlineLevel="1" x14ac:dyDescent="0.25">
      <c r="A113" s="44"/>
      <c r="B113" s="11" t="str">
        <f>CONCATENATE("          ", "4303", " - ", "SALES RETURN NON-TAXABLE-RENTA")</f>
        <v xml:space="preserve">          4303 - SALES RETURN NON-TAXABLE-RENTA</v>
      </c>
      <c r="C113" s="11"/>
      <c r="D113" s="2">
        <f t="shared" si="9"/>
        <v>0</v>
      </c>
      <c r="E113" s="2"/>
      <c r="F113" s="19"/>
      <c r="G113" s="2"/>
      <c r="H113" s="2"/>
      <c r="I113" s="2"/>
      <c r="J113" s="19"/>
      <c r="K113" s="2"/>
      <c r="L113" s="2">
        <f t="shared" si="0"/>
        <v>0</v>
      </c>
      <c r="M113" s="2"/>
      <c r="N113" s="19">
        <f t="shared" si="1"/>
        <v>0</v>
      </c>
      <c r="O113" s="11"/>
      <c r="P113" s="2">
        <f>-184.99</f>
        <v>-184.99</v>
      </c>
      <c r="Q113" s="2"/>
      <c r="R113" s="19"/>
      <c r="S113" s="2"/>
      <c r="T113" s="2"/>
      <c r="U113" s="2"/>
      <c r="V113" s="19"/>
      <c r="W113" s="2"/>
      <c r="X113" s="2">
        <f t="shared" si="2"/>
        <v>-184.99</v>
      </c>
      <c r="Y113" s="2"/>
      <c r="Z113" s="19">
        <f t="shared" si="3"/>
        <v>0</v>
      </c>
    </row>
    <row r="114" spans="1:26" s="24" customFormat="1" hidden="1" outlineLevel="1" x14ac:dyDescent="0.25">
      <c r="A114" s="44"/>
      <c r="B114" s="11" t="str">
        <f>CONCATENATE("          ", "4304", " - ", "SALES RETURN NON TAXABLE-DIGIT")</f>
        <v xml:space="preserve">          4304 - SALES RETURN NON TAXABLE-DIGIT</v>
      </c>
      <c r="C114" s="11"/>
      <c r="D114" s="2">
        <f>-44.15</f>
        <v>-44.15</v>
      </c>
      <c r="E114" s="2"/>
      <c r="F114" s="19"/>
      <c r="G114" s="2"/>
      <c r="H114" s="2"/>
      <c r="I114" s="2"/>
      <c r="J114" s="19"/>
      <c r="K114" s="2"/>
      <c r="L114" s="2">
        <f t="shared" si="0"/>
        <v>-44.15</v>
      </c>
      <c r="M114" s="2"/>
      <c r="N114" s="19">
        <f t="shared" si="1"/>
        <v>0</v>
      </c>
      <c r="O114" s="11"/>
      <c r="P114" s="2">
        <f>-19036.13</f>
        <v>-19036.13</v>
      </c>
      <c r="Q114" s="2"/>
      <c r="R114" s="19"/>
      <c r="S114" s="2"/>
      <c r="T114" s="2"/>
      <c r="U114" s="2"/>
      <c r="V114" s="19"/>
      <c r="W114" s="2"/>
      <c r="X114" s="2">
        <f t="shared" si="2"/>
        <v>-19036.13</v>
      </c>
      <c r="Y114" s="2"/>
      <c r="Z114" s="19">
        <f t="shared" si="3"/>
        <v>0</v>
      </c>
    </row>
    <row r="115" spans="1:26" s="24" customFormat="1" hidden="1" outlineLevel="1" x14ac:dyDescent="0.25">
      <c r="A115" s="44"/>
      <c r="B115" s="11" t="str">
        <f>CONCATENATE("          ", "4311", " - ", "SALES RETURN NON TAXABLE-NO VA")</f>
        <v xml:space="preserve">          4311 - SALES RETURN NON TAXABLE-NO VA</v>
      </c>
      <c r="C115" s="11"/>
      <c r="D115" s="2">
        <f>-57.9</f>
        <v>-57.9</v>
      </c>
      <c r="E115" s="2"/>
      <c r="F115" s="19"/>
      <c r="G115" s="2"/>
      <c r="H115" s="2"/>
      <c r="I115" s="2"/>
      <c r="J115" s="19"/>
      <c r="K115" s="2"/>
      <c r="L115" s="2">
        <f t="shared" si="0"/>
        <v>-57.9</v>
      </c>
      <c r="M115" s="2"/>
      <c r="N115" s="19">
        <f t="shared" si="1"/>
        <v>0</v>
      </c>
      <c r="O115" s="11"/>
      <c r="P115" s="2">
        <f>-852.66</f>
        <v>-852.66</v>
      </c>
      <c r="Q115" s="2"/>
      <c r="R115" s="19"/>
      <c r="S115" s="2"/>
      <c r="T115" s="2"/>
      <c r="U115" s="2"/>
      <c r="V115" s="19"/>
      <c r="W115" s="2"/>
      <c r="X115" s="2">
        <f t="shared" si="2"/>
        <v>-852.66</v>
      </c>
      <c r="Y115" s="2"/>
      <c r="Z115" s="19">
        <f t="shared" si="3"/>
        <v>0</v>
      </c>
    </row>
    <row r="116" spans="1:26" s="24" customFormat="1" hidden="1" outlineLevel="1" x14ac:dyDescent="0.25">
      <c r="A116" s="44"/>
      <c r="B116" s="11" t="str">
        <f>CONCATENATE("          ", "4327", " - ", "SALES RETURN NON TAXABLE-SCHOO")</f>
        <v xml:space="preserve">          4327 - SALES RETURN NON TAXABLE-SCHOO</v>
      </c>
      <c r="C116" s="11"/>
      <c r="D116" s="2">
        <f>0</f>
        <v>0</v>
      </c>
      <c r="E116" s="2"/>
      <c r="F116" s="19"/>
      <c r="G116" s="2"/>
      <c r="H116" s="2"/>
      <c r="I116" s="2"/>
      <c r="J116" s="19"/>
      <c r="K116" s="2"/>
      <c r="L116" s="2">
        <f t="shared" si="0"/>
        <v>0</v>
      </c>
      <c r="M116" s="2"/>
      <c r="N116" s="19">
        <f t="shared" si="1"/>
        <v>0</v>
      </c>
      <c r="O116" s="11"/>
      <c r="P116" s="2">
        <f>-21.87</f>
        <v>-21.87</v>
      </c>
      <c r="Q116" s="2"/>
      <c r="R116" s="19"/>
      <c r="S116" s="2"/>
      <c r="T116" s="2"/>
      <c r="U116" s="2"/>
      <c r="V116" s="19"/>
      <c r="W116" s="2"/>
      <c r="X116" s="2">
        <f t="shared" si="2"/>
        <v>-21.87</v>
      </c>
      <c r="Y116" s="2"/>
      <c r="Z116" s="19">
        <f t="shared" si="3"/>
        <v>0</v>
      </c>
    </row>
    <row r="117" spans="1:26" s="24" customFormat="1" hidden="1" outlineLevel="1" x14ac:dyDescent="0.25">
      <c r="A117" s="44"/>
      <c r="B117" s="11" t="str">
        <f>CONCATENATE("          ", "4331", " - ", "SALES RETURN NON TAXABLE-FOOD")</f>
        <v xml:space="preserve">          4331 - SALES RETURN NON TAXABLE-FOOD</v>
      </c>
      <c r="C117" s="11"/>
      <c r="D117" s="2">
        <f>-4.99</f>
        <v>-4.99</v>
      </c>
      <c r="E117" s="2"/>
      <c r="F117" s="19"/>
      <c r="G117" s="2"/>
      <c r="H117" s="2"/>
      <c r="I117" s="2"/>
      <c r="J117" s="19"/>
      <c r="K117" s="2"/>
      <c r="L117" s="2">
        <f t="shared" si="0"/>
        <v>-4.99</v>
      </c>
      <c r="M117" s="2"/>
      <c r="N117" s="19">
        <f t="shared" si="1"/>
        <v>0</v>
      </c>
      <c r="O117" s="11"/>
      <c r="P117" s="2">
        <f>-12.57</f>
        <v>-12.57</v>
      </c>
      <c r="Q117" s="2"/>
      <c r="R117" s="19"/>
      <c r="S117" s="2"/>
      <c r="T117" s="2"/>
      <c r="U117" s="2"/>
      <c r="V117" s="19"/>
      <c r="W117" s="2"/>
      <c r="X117" s="2">
        <f t="shared" si="2"/>
        <v>-12.57</v>
      </c>
      <c r="Y117" s="2"/>
      <c r="Z117" s="19">
        <f t="shared" si="3"/>
        <v>0</v>
      </c>
    </row>
    <row r="118" spans="1:26" s="24" customFormat="1" hidden="1" outlineLevel="1" x14ac:dyDescent="0.25">
      <c r="A118" s="44"/>
      <c r="B118" s="11" t="str">
        <f>CONCATENATE("          ", "4332", " - ", "SALES RETURN NON TAXABLE-JUICE")</f>
        <v xml:space="preserve">          4332 - SALES RETURN NON TAXABLE-JUICE</v>
      </c>
      <c r="C118" s="11"/>
      <c r="D118" s="2">
        <f>0</f>
        <v>0</v>
      </c>
      <c r="E118" s="2"/>
      <c r="F118" s="19"/>
      <c r="G118" s="2"/>
      <c r="H118" s="2"/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1"/>
      <c r="P118" s="2">
        <f>-2.79</f>
        <v>-2.79</v>
      </c>
      <c r="Q118" s="2"/>
      <c r="R118" s="19"/>
      <c r="S118" s="2"/>
      <c r="T118" s="2"/>
      <c r="U118" s="2"/>
      <c r="V118" s="19"/>
      <c r="W118" s="2"/>
      <c r="X118" s="2">
        <f t="shared" si="2"/>
        <v>-2.79</v>
      </c>
      <c r="Y118" s="2"/>
      <c r="Z118" s="19">
        <f t="shared" si="3"/>
        <v>0</v>
      </c>
    </row>
    <row r="119" spans="1:26" s="24" customFormat="1" hidden="1" outlineLevel="1" x14ac:dyDescent="0.25">
      <c r="A119" s="44"/>
      <c r="B119" s="11" t="str">
        <f>CONCATENATE("          ", "4340", " - ", "SALES RETURN NON TAXABLE-LOGO")</f>
        <v xml:space="preserve">          4340 - SALES RETURN NON TAXABLE-LOGO</v>
      </c>
      <c r="C119" s="11"/>
      <c r="D119" s="2">
        <f>-63.8</f>
        <v>-63.8</v>
      </c>
      <c r="E119" s="2"/>
      <c r="F119" s="19"/>
      <c r="G119" s="2"/>
      <c r="H119" s="2"/>
      <c r="I119" s="2"/>
      <c r="J119" s="19"/>
      <c r="K119" s="2"/>
      <c r="L119" s="2">
        <f t="shared" si="0"/>
        <v>-63.8</v>
      </c>
      <c r="M119" s="2"/>
      <c r="N119" s="19">
        <f t="shared" si="1"/>
        <v>0</v>
      </c>
      <c r="O119" s="11"/>
      <c r="P119" s="2">
        <f>-995.45</f>
        <v>-995.45</v>
      </c>
      <c r="Q119" s="2"/>
      <c r="R119" s="19"/>
      <c r="S119" s="2"/>
      <c r="T119" s="2"/>
      <c r="U119" s="2"/>
      <c r="V119" s="19"/>
      <c r="W119" s="2"/>
      <c r="X119" s="2">
        <f t="shared" si="2"/>
        <v>-995.45</v>
      </c>
      <c r="Y119" s="2"/>
      <c r="Z119" s="19">
        <f t="shared" si="3"/>
        <v>0</v>
      </c>
    </row>
    <row r="120" spans="1:26" s="24" customFormat="1" hidden="1" outlineLevel="1" x14ac:dyDescent="0.25">
      <c r="A120" s="44"/>
      <c r="B120" s="11" t="str">
        <f>CONCATENATE("          ", "4341", " - ", "SALES RETURN NON TAXABLE-LOGO")</f>
        <v xml:space="preserve">          4341 - SALES RETURN NON TAXABLE-LOGO</v>
      </c>
      <c r="C120" s="11"/>
      <c r="D120" s="2">
        <f t="shared" ref="D120:D122" si="10">0</f>
        <v>0</v>
      </c>
      <c r="E120" s="2"/>
      <c r="F120" s="19"/>
      <c r="G120" s="2"/>
      <c r="H120" s="2"/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1"/>
      <c r="P120" s="2">
        <f>-245.5</f>
        <v>-245.5</v>
      </c>
      <c r="Q120" s="2"/>
      <c r="R120" s="19"/>
      <c r="S120" s="2"/>
      <c r="T120" s="2"/>
      <c r="U120" s="2"/>
      <c r="V120" s="19"/>
      <c r="W120" s="2"/>
      <c r="X120" s="2">
        <f t="shared" si="2"/>
        <v>-245.5</v>
      </c>
      <c r="Y120" s="2"/>
      <c r="Z120" s="19">
        <f t="shared" si="3"/>
        <v>0</v>
      </c>
    </row>
    <row r="121" spans="1:26" s="24" customFormat="1" hidden="1" outlineLevel="1" x14ac:dyDescent="0.25">
      <c r="A121" s="44"/>
      <c r="B121" s="11" t="str">
        <f>CONCATENATE("          ", "4342", " - ", "SALES RETURN NON TAXABLE-EVERY")</f>
        <v xml:space="preserve">          4342 - SALES RETURN NON TAXABLE-EVERY</v>
      </c>
      <c r="C121" s="11"/>
      <c r="D121" s="2">
        <f t="shared" si="10"/>
        <v>0</v>
      </c>
      <c r="E121" s="2"/>
      <c r="F121" s="19"/>
      <c r="G121" s="2"/>
      <c r="H121" s="2"/>
      <c r="I121" s="2"/>
      <c r="J121" s="19"/>
      <c r="K121" s="2"/>
      <c r="L121" s="2">
        <f t="shared" si="0"/>
        <v>0</v>
      </c>
      <c r="M121" s="2"/>
      <c r="N121" s="19">
        <f t="shared" si="1"/>
        <v>0</v>
      </c>
      <c r="O121" s="11"/>
      <c r="P121" s="2">
        <f>-149.22</f>
        <v>-149.22</v>
      </c>
      <c r="Q121" s="2"/>
      <c r="R121" s="19"/>
      <c r="S121" s="2"/>
      <c r="T121" s="2"/>
      <c r="U121" s="2"/>
      <c r="V121" s="19"/>
      <c r="W121" s="2"/>
      <c r="X121" s="2">
        <f t="shared" si="2"/>
        <v>-149.22</v>
      </c>
      <c r="Y121" s="2"/>
      <c r="Z121" s="19">
        <f t="shared" si="3"/>
        <v>0</v>
      </c>
    </row>
    <row r="122" spans="1:26" s="24" customFormat="1" hidden="1" outlineLevel="1" x14ac:dyDescent="0.25">
      <c r="A122" s="44"/>
      <c r="B122" s="11" t="str">
        <f>CONCATENATE("          ", "4346", " - ", "SALES RETURN NON TAXABLE-COIN-")</f>
        <v xml:space="preserve">          4346 - SALES RETURN NON TAXABLE-COIN-</v>
      </c>
      <c r="C122" s="11"/>
      <c r="D122" s="2">
        <f t="shared" si="10"/>
        <v>0</v>
      </c>
      <c r="E122" s="2"/>
      <c r="F122" s="19"/>
      <c r="G122" s="2"/>
      <c r="H122" s="2"/>
      <c r="I122" s="2"/>
      <c r="J122" s="19"/>
      <c r="K122" s="2"/>
      <c r="L122" s="2">
        <f t="shared" si="0"/>
        <v>0</v>
      </c>
      <c r="M122" s="2"/>
      <c r="N122" s="19">
        <f t="shared" si="1"/>
        <v>0</v>
      </c>
      <c r="O122" s="11"/>
      <c r="P122" s="2">
        <f>-8.15</f>
        <v>-8.15</v>
      </c>
      <c r="Q122" s="2"/>
      <c r="R122" s="19"/>
      <c r="S122" s="2"/>
      <c r="T122" s="2"/>
      <c r="U122" s="2"/>
      <c r="V122" s="19"/>
      <c r="W122" s="2"/>
      <c r="X122" s="2">
        <f t="shared" si="2"/>
        <v>-8.15</v>
      </c>
      <c r="Y122" s="2"/>
      <c r="Z122" s="19">
        <f t="shared" si="3"/>
        <v>0</v>
      </c>
    </row>
    <row r="123" spans="1:26" s="24" customFormat="1" hidden="1" outlineLevel="1" x14ac:dyDescent="0.25">
      <c r="A123" s="44"/>
      <c r="B123" s="11" t="str">
        <f>CONCATENATE("          ", "4347", " - ", "SALES RETURN NON TAXABLE-MISC")</f>
        <v xml:space="preserve">          4347 - SALES RETURN NON TAXABLE-MISC</v>
      </c>
      <c r="C123" s="11"/>
      <c r="D123" s="2">
        <f>-84</f>
        <v>-84</v>
      </c>
      <c r="E123" s="2"/>
      <c r="F123" s="19"/>
      <c r="G123" s="2"/>
      <c r="H123" s="2"/>
      <c r="I123" s="2"/>
      <c r="J123" s="19"/>
      <c r="K123" s="2"/>
      <c r="L123" s="2">
        <f t="shared" si="0"/>
        <v>-84</v>
      </c>
      <c r="M123" s="2"/>
      <c r="N123" s="19">
        <f t="shared" si="1"/>
        <v>0</v>
      </c>
      <c r="O123" s="11"/>
      <c r="P123" s="2">
        <f>-84</f>
        <v>-84</v>
      </c>
      <c r="Q123" s="2"/>
      <c r="R123" s="19"/>
      <c r="S123" s="2"/>
      <c r="T123" s="2"/>
      <c r="U123" s="2"/>
      <c r="V123" s="19"/>
      <c r="W123" s="2"/>
      <c r="X123" s="2">
        <f t="shared" si="2"/>
        <v>-84</v>
      </c>
      <c r="Y123" s="2"/>
      <c r="Z123" s="19">
        <f t="shared" si="3"/>
        <v>0</v>
      </c>
    </row>
    <row r="124" spans="1:26" s="24" customFormat="1" hidden="1" outlineLevel="1" x14ac:dyDescent="0.25">
      <c r="A124" s="44"/>
      <c r="B124" s="11" t="str">
        <f>CONCATENATE("          ", "4381", " - ", "SALES RETURN NON TAXABLE-ELECT")</f>
        <v xml:space="preserve">          4381 - SALES RETURN NON TAXABLE-ELECT</v>
      </c>
      <c r="C124" s="11"/>
      <c r="D124" s="2">
        <f t="shared" ref="D124:D126" si="11">0</f>
        <v>0</v>
      </c>
      <c r="E124" s="2"/>
      <c r="F124" s="19"/>
      <c r="G124" s="2"/>
      <c r="H124" s="2"/>
      <c r="I124" s="2"/>
      <c r="J124" s="19"/>
      <c r="K124" s="2"/>
      <c r="L124" s="2">
        <f t="shared" si="0"/>
        <v>0</v>
      </c>
      <c r="M124" s="2"/>
      <c r="N124" s="19">
        <f t="shared" si="1"/>
        <v>0</v>
      </c>
      <c r="O124" s="11"/>
      <c r="P124" s="2">
        <f>-1279.84</f>
        <v>-1279.8399999999999</v>
      </c>
      <c r="Q124" s="2"/>
      <c r="R124" s="19"/>
      <c r="S124" s="2"/>
      <c r="T124" s="2"/>
      <c r="U124" s="2"/>
      <c r="V124" s="19"/>
      <c r="W124" s="2"/>
      <c r="X124" s="2">
        <f t="shared" si="2"/>
        <v>-1279.8399999999999</v>
      </c>
      <c r="Y124" s="2"/>
      <c r="Z124" s="19">
        <f t="shared" si="3"/>
        <v>0</v>
      </c>
    </row>
    <row r="125" spans="1:26" s="24" customFormat="1" hidden="1" outlineLevel="1" x14ac:dyDescent="0.25">
      <c r="A125" s="44"/>
      <c r="B125" s="11" t="str">
        <f>CONCATENATE("          ", "4383", " - ", "SALES RETURN NON TAXABLE-COMPU")</f>
        <v xml:space="preserve">          4383 - SALES RETURN NON TAXABLE-COMPU</v>
      </c>
      <c r="C125" s="11"/>
      <c r="D125" s="2">
        <f t="shared" si="11"/>
        <v>0</v>
      </c>
      <c r="E125" s="2"/>
      <c r="F125" s="19"/>
      <c r="G125" s="2"/>
      <c r="H125" s="2"/>
      <c r="I125" s="2"/>
      <c r="J125" s="19"/>
      <c r="K125" s="2"/>
      <c r="L125" s="2">
        <f t="shared" si="0"/>
        <v>0</v>
      </c>
      <c r="M125" s="2"/>
      <c r="N125" s="19">
        <f t="shared" si="1"/>
        <v>0</v>
      </c>
      <c r="O125" s="11"/>
      <c r="P125" s="2">
        <f>-49.98</f>
        <v>-49.98</v>
      </c>
      <c r="Q125" s="2"/>
      <c r="R125" s="19"/>
      <c r="S125" s="2"/>
      <c r="T125" s="2"/>
      <c r="U125" s="2"/>
      <c r="V125" s="19"/>
      <c r="W125" s="2"/>
      <c r="X125" s="2">
        <f t="shared" si="2"/>
        <v>-49.98</v>
      </c>
      <c r="Y125" s="2"/>
      <c r="Z125" s="19">
        <f t="shared" si="3"/>
        <v>0</v>
      </c>
    </row>
    <row r="126" spans="1:26" s="24" customFormat="1" hidden="1" outlineLevel="1" x14ac:dyDescent="0.25">
      <c r="A126" s="44"/>
      <c r="B126" s="11" t="str">
        <f>CONCATENATE("          ", "4386", " - ", "SALES RETURN NON TAXABLE-COMPU")</f>
        <v xml:space="preserve">          4386 - SALES RETURN NON TAXABLE-COMPU</v>
      </c>
      <c r="C126" s="11"/>
      <c r="D126" s="2">
        <f t="shared" si="11"/>
        <v>0</v>
      </c>
      <c r="E126" s="2"/>
      <c r="F126" s="19"/>
      <c r="G126" s="2"/>
      <c r="H126" s="2"/>
      <c r="I126" s="2"/>
      <c r="J126" s="19"/>
      <c r="K126" s="2"/>
      <c r="L126" s="2">
        <f t="shared" si="0"/>
        <v>0</v>
      </c>
      <c r="M126" s="2"/>
      <c r="N126" s="19">
        <f t="shared" si="1"/>
        <v>0</v>
      </c>
      <c r="O126" s="11"/>
      <c r="P126" s="2">
        <f>-104.96</f>
        <v>-104.96</v>
      </c>
      <c r="Q126" s="2"/>
      <c r="R126" s="19"/>
      <c r="S126" s="2"/>
      <c r="T126" s="2"/>
      <c r="U126" s="2"/>
      <c r="V126" s="19"/>
      <c r="W126" s="2"/>
      <c r="X126" s="2">
        <f t="shared" si="2"/>
        <v>-104.96</v>
      </c>
      <c r="Y126" s="2"/>
      <c r="Z126" s="19">
        <f t="shared" si="3"/>
        <v>0</v>
      </c>
    </row>
    <row r="127" spans="1:26" x14ac:dyDescent="0.25">
      <c r="A127" s="9"/>
      <c r="B127" s="10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collapsed="1" x14ac:dyDescent="0.25">
      <c r="A128" s="10"/>
      <c r="B128" s="29" t="s">
        <v>8</v>
      </c>
      <c r="C128" s="10"/>
      <c r="D128" s="4">
        <f>SUM(OSRRefD16x_0)</f>
        <v>203661.20999999976</v>
      </c>
      <c r="E128" s="4"/>
      <c r="F128" s="12">
        <f t="shared" ref="F128:F186" si="12">IF(D$12=0,0,D128/D$12)</f>
        <v>0.58803226044887125</v>
      </c>
      <c r="G128" s="4"/>
      <c r="H128" s="4">
        <f>SUM(OSRRefH16x_0)</f>
        <v>513037.41776999994</v>
      </c>
      <c r="I128" s="4"/>
      <c r="J128" s="12">
        <f t="shared" ref="J128:J186" si="13">IF(H$12=0,0,H128/H$12)</f>
        <v>0.46677727354658094</v>
      </c>
      <c r="K128" s="4"/>
      <c r="L128" s="4">
        <f t="shared" ref="L128:L186" si="14">+D128-H128</f>
        <v>-309376.20777000021</v>
      </c>
      <c r="M128" s="4"/>
      <c r="N128" s="12">
        <f t="shared" ref="N128:N186" si="15">IF(H128=0,0,L128/H128)</f>
        <v>-0.60302854539295381</v>
      </c>
      <c r="O128" s="10"/>
      <c r="P128" s="4">
        <f>SUM(OSRRefP16x_0)</f>
        <v>6788118.8199999994</v>
      </c>
      <c r="Q128" s="4"/>
      <c r="R128" s="12">
        <f t="shared" ref="R128:R186" si="16">IF(P$12=0,0,P128/P$12)</f>
        <v>0.63818367463578529</v>
      </c>
      <c r="S128" s="4"/>
      <c r="T128" s="4">
        <f>SUM(OSRRefT16x_0)</f>
        <v>7272352.3719999995</v>
      </c>
      <c r="U128" s="4"/>
      <c r="V128" s="12">
        <f t="shared" ref="V128:V186" si="17">IF(T$12=0,0,T128/T$12)</f>
        <v>0.60667914306586745</v>
      </c>
      <c r="W128" s="4"/>
      <c r="X128" s="4">
        <f t="shared" ref="X128:X186" si="18">+P128-T128</f>
        <v>-484233.55200000014</v>
      </c>
      <c r="Y128" s="4"/>
      <c r="Z128" s="12">
        <f t="shared" ref="Z128:Z186" si="19">IF(T128=0,0,X128/T128)</f>
        <v>-6.6585545808313065E-2</v>
      </c>
    </row>
    <row r="129" spans="1:26" s="24" customFormat="1" hidden="1" outlineLevel="1" x14ac:dyDescent="0.25">
      <c r="A129" s="44"/>
      <c r="B129" s="11" t="str">
        <f>CONCATENATE("          ", "5000", " - ", "PURCHASES @ COST")</f>
        <v xml:space="preserve">          5000 - PURCHASES @ COST</v>
      </c>
      <c r="C129" s="11"/>
      <c r="D129" s="2"/>
      <c r="E129" s="2"/>
      <c r="F129" s="19">
        <f t="shared" si="12"/>
        <v>0</v>
      </c>
      <c r="G129" s="2"/>
      <c r="H129" s="2">
        <v>513037.41776999994</v>
      </c>
      <c r="I129" s="2"/>
      <c r="J129" s="19">
        <f t="shared" si="13"/>
        <v>0.46677727354658094</v>
      </c>
      <c r="K129" s="2"/>
      <c r="L129" s="2">
        <f t="shared" si="14"/>
        <v>-513037.41776999994</v>
      </c>
      <c r="M129" s="2"/>
      <c r="N129" s="19">
        <f t="shared" si="15"/>
        <v>-1</v>
      </c>
      <c r="O129" s="11"/>
      <c r="P129" s="2"/>
      <c r="Q129" s="2"/>
      <c r="R129" s="19">
        <f t="shared" si="16"/>
        <v>0</v>
      </c>
      <c r="S129" s="2"/>
      <c r="T129" s="2">
        <v>7272352.3719999995</v>
      </c>
      <c r="U129" s="2"/>
      <c r="V129" s="19">
        <f t="shared" si="17"/>
        <v>0.60667914306586745</v>
      </c>
      <c r="W129" s="2"/>
      <c r="X129" s="2">
        <f t="shared" si="18"/>
        <v>-7272352.3719999995</v>
      </c>
      <c r="Y129" s="2"/>
      <c r="Z129" s="19">
        <f t="shared" si="19"/>
        <v>-1</v>
      </c>
    </row>
    <row r="130" spans="1:26" s="24" customFormat="1" hidden="1" outlineLevel="1" x14ac:dyDescent="0.25">
      <c r="A130" s="44"/>
      <c r="B130" s="11" t="str">
        <f>CONCATENATE("          ", "5001", " - ", "PURCHASES @ COST-NEW TEXT")</f>
        <v xml:space="preserve">          5001 - PURCHASES @ COST-NEW TEXT</v>
      </c>
      <c r="C130" s="11"/>
      <c r="D130" s="2">
        <v>-921934.35</v>
      </c>
      <c r="E130" s="2"/>
      <c r="F130" s="19">
        <f t="shared" si="12"/>
        <v>-2.6619067018994995</v>
      </c>
      <c r="G130" s="2"/>
      <c r="H130" s="2"/>
      <c r="I130" s="2"/>
      <c r="J130" s="19">
        <f t="shared" si="13"/>
        <v>0</v>
      </c>
      <c r="K130" s="2"/>
      <c r="L130" s="2">
        <f t="shared" si="14"/>
        <v>-921934.35</v>
      </c>
      <c r="M130" s="2"/>
      <c r="N130" s="19">
        <f t="shared" si="15"/>
        <v>0</v>
      </c>
      <c r="O130" s="11"/>
      <c r="P130" s="2">
        <v>1594665.1199999999</v>
      </c>
      <c r="Q130" s="2"/>
      <c r="R130" s="19">
        <f t="shared" si="16"/>
        <v>0.1499221320488193</v>
      </c>
      <c r="S130" s="2"/>
      <c r="T130" s="2"/>
      <c r="U130" s="2"/>
      <c r="V130" s="19">
        <f t="shared" si="17"/>
        <v>0</v>
      </c>
      <c r="W130" s="2"/>
      <c r="X130" s="2">
        <f t="shared" si="18"/>
        <v>1594665.1199999999</v>
      </c>
      <c r="Y130" s="2"/>
      <c r="Z130" s="19">
        <f t="shared" si="19"/>
        <v>0</v>
      </c>
    </row>
    <row r="131" spans="1:26" s="24" customFormat="1" hidden="1" outlineLevel="1" x14ac:dyDescent="0.25">
      <c r="A131" s="44"/>
      <c r="B131" s="11" t="str">
        <f>CONCATENATE("          ", "5002", " - ", "PURCHASES @ COST-USED TEXT")</f>
        <v xml:space="preserve">          5002 - PURCHASES @ COST-USED TEXT</v>
      </c>
      <c r="C131" s="11"/>
      <c r="D131" s="2">
        <v>74144.739999999991</v>
      </c>
      <c r="E131" s="2"/>
      <c r="F131" s="19">
        <f t="shared" si="12"/>
        <v>0.21407856244492451</v>
      </c>
      <c r="G131" s="2"/>
      <c r="H131" s="2"/>
      <c r="I131" s="2"/>
      <c r="J131" s="19">
        <f t="shared" si="13"/>
        <v>0</v>
      </c>
      <c r="K131" s="2"/>
      <c r="L131" s="2">
        <f t="shared" si="14"/>
        <v>74144.739999999991</v>
      </c>
      <c r="M131" s="2"/>
      <c r="N131" s="19">
        <f t="shared" si="15"/>
        <v>0</v>
      </c>
      <c r="O131" s="11"/>
      <c r="P131" s="2">
        <v>598700.11</v>
      </c>
      <c r="Q131" s="2"/>
      <c r="R131" s="19">
        <f t="shared" si="16"/>
        <v>5.6286674752792386E-2</v>
      </c>
      <c r="S131" s="2"/>
      <c r="T131" s="2"/>
      <c r="U131" s="2"/>
      <c r="V131" s="19">
        <f t="shared" si="17"/>
        <v>0</v>
      </c>
      <c r="W131" s="2"/>
      <c r="X131" s="2">
        <f t="shared" si="18"/>
        <v>598700.11</v>
      </c>
      <c r="Y131" s="2"/>
      <c r="Z131" s="19">
        <f t="shared" si="19"/>
        <v>0</v>
      </c>
    </row>
    <row r="132" spans="1:26" s="24" customFormat="1" hidden="1" outlineLevel="1" x14ac:dyDescent="0.25">
      <c r="A132" s="44"/>
      <c r="B132" s="11" t="str">
        <f>CONCATENATE("          ", "5003", " - ", "PURCHASES @ COST-RENTAL TEXT")</f>
        <v xml:space="preserve">          5003 - PURCHASES @ COST-RENTAL TEXT</v>
      </c>
      <c r="C132" s="11"/>
      <c r="D132" s="2"/>
      <c r="E132" s="2"/>
      <c r="F132" s="19">
        <f t="shared" si="12"/>
        <v>0</v>
      </c>
      <c r="G132" s="2"/>
      <c r="H132" s="2"/>
      <c r="I132" s="2"/>
      <c r="J132" s="19">
        <f t="shared" si="13"/>
        <v>0</v>
      </c>
      <c r="K132" s="2"/>
      <c r="L132" s="2">
        <f t="shared" si="14"/>
        <v>0</v>
      </c>
      <c r="M132" s="2"/>
      <c r="N132" s="19">
        <f t="shared" si="15"/>
        <v>0</v>
      </c>
      <c r="O132" s="11"/>
      <c r="P132" s="2">
        <v>-78.400000000000006</v>
      </c>
      <c r="Q132" s="2"/>
      <c r="R132" s="19">
        <f t="shared" si="16"/>
        <v>-7.3707607981213223E-6</v>
      </c>
      <c r="S132" s="2"/>
      <c r="T132" s="2"/>
      <c r="U132" s="2"/>
      <c r="V132" s="19">
        <f t="shared" si="17"/>
        <v>0</v>
      </c>
      <c r="W132" s="2"/>
      <c r="X132" s="2">
        <f t="shared" si="18"/>
        <v>-78.400000000000006</v>
      </c>
      <c r="Y132" s="2"/>
      <c r="Z132" s="19">
        <f t="shared" si="19"/>
        <v>0</v>
      </c>
    </row>
    <row r="133" spans="1:26" s="24" customFormat="1" hidden="1" outlineLevel="1" x14ac:dyDescent="0.25">
      <c r="A133" s="44"/>
      <c r="B133" s="11" t="str">
        <f>CONCATENATE("          ", "5004", " - ", "PURCHASES @ COST-DIGITAL TEXT")</f>
        <v xml:space="preserve">          5004 - PURCHASES @ COST-DIGITAL TEXT</v>
      </c>
      <c r="C133" s="11"/>
      <c r="D133" s="2">
        <v>-96834.95</v>
      </c>
      <c r="E133" s="2"/>
      <c r="F133" s="19">
        <f t="shared" si="12"/>
        <v>-0.27959214491042989</v>
      </c>
      <c r="G133" s="2"/>
      <c r="H133" s="2"/>
      <c r="I133" s="2"/>
      <c r="J133" s="19">
        <f t="shared" si="13"/>
        <v>0</v>
      </c>
      <c r="K133" s="2"/>
      <c r="L133" s="2">
        <f t="shared" si="14"/>
        <v>-96834.95</v>
      </c>
      <c r="M133" s="2"/>
      <c r="N133" s="19">
        <f t="shared" si="15"/>
        <v>0</v>
      </c>
      <c r="O133" s="11"/>
      <c r="P133" s="2">
        <v>438322.88</v>
      </c>
      <c r="Q133" s="2"/>
      <c r="R133" s="19">
        <f t="shared" si="16"/>
        <v>4.1208840571730056E-2</v>
      </c>
      <c r="S133" s="2"/>
      <c r="T133" s="2"/>
      <c r="U133" s="2"/>
      <c r="V133" s="19">
        <f t="shared" si="17"/>
        <v>0</v>
      </c>
      <c r="W133" s="2"/>
      <c r="X133" s="2">
        <f t="shared" si="18"/>
        <v>438322.88</v>
      </c>
      <c r="Y133" s="2"/>
      <c r="Z133" s="19">
        <f t="shared" si="19"/>
        <v>0</v>
      </c>
    </row>
    <row r="134" spans="1:26" s="24" customFormat="1" hidden="1" outlineLevel="1" x14ac:dyDescent="0.25">
      <c r="A134" s="44"/>
      <c r="B134" s="11" t="str">
        <f>CONCATENATE("          ", "5011", " - ", "PURCHASES @ COST-NO VALUE TEXT")</f>
        <v xml:space="preserve">          5011 - PURCHASES @ COST-NO VALUE TEXT</v>
      </c>
      <c r="C134" s="11"/>
      <c r="D134" s="2">
        <v>588</v>
      </c>
      <c r="E134" s="2"/>
      <c r="F134" s="19">
        <f t="shared" si="12"/>
        <v>1.6977360055159089E-3</v>
      </c>
      <c r="G134" s="2"/>
      <c r="H134" s="2"/>
      <c r="I134" s="2"/>
      <c r="J134" s="19">
        <f t="shared" si="13"/>
        <v>0</v>
      </c>
      <c r="K134" s="2"/>
      <c r="L134" s="2">
        <f t="shared" si="14"/>
        <v>588</v>
      </c>
      <c r="M134" s="2"/>
      <c r="N134" s="19">
        <f t="shared" si="15"/>
        <v>0</v>
      </c>
      <c r="O134" s="11"/>
      <c r="P134" s="2">
        <v>6321</v>
      </c>
      <c r="Q134" s="2"/>
      <c r="R134" s="19">
        <f t="shared" si="16"/>
        <v>5.9426758934853156E-4</v>
      </c>
      <c r="S134" s="2"/>
      <c r="T134" s="2"/>
      <c r="U134" s="2"/>
      <c r="V134" s="19">
        <f t="shared" si="17"/>
        <v>0</v>
      </c>
      <c r="W134" s="2"/>
      <c r="X134" s="2">
        <f t="shared" si="18"/>
        <v>6321</v>
      </c>
      <c r="Y134" s="2"/>
      <c r="Z134" s="19">
        <f t="shared" si="19"/>
        <v>0</v>
      </c>
    </row>
    <row r="135" spans="1:26" s="24" customFormat="1" hidden="1" outlineLevel="1" x14ac:dyDescent="0.25">
      <c r="A135" s="44"/>
      <c r="B135" s="11" t="str">
        <f>CONCATENATE("          ", "5013", " - ", "PURCHASES @ COST-TRADE BOOKS")</f>
        <v xml:space="preserve">          5013 - PURCHASES @ COST-TRADE BOOKS</v>
      </c>
      <c r="C135" s="11"/>
      <c r="D135" s="2">
        <v>3297.82</v>
      </c>
      <c r="E135" s="2"/>
      <c r="F135" s="19">
        <f t="shared" si="12"/>
        <v>9.5218159076708754E-3</v>
      </c>
      <c r="G135" s="2"/>
      <c r="H135" s="2"/>
      <c r="I135" s="2"/>
      <c r="J135" s="19">
        <f t="shared" si="13"/>
        <v>0</v>
      </c>
      <c r="K135" s="2"/>
      <c r="L135" s="2">
        <f t="shared" si="14"/>
        <v>3297.82</v>
      </c>
      <c r="M135" s="2"/>
      <c r="N135" s="19">
        <f t="shared" si="15"/>
        <v>0</v>
      </c>
      <c r="O135" s="11"/>
      <c r="P135" s="2">
        <v>6348.54</v>
      </c>
      <c r="Q135" s="2"/>
      <c r="R135" s="19">
        <f t="shared" si="16"/>
        <v>5.9685675710848386E-4</v>
      </c>
      <c r="S135" s="2"/>
      <c r="T135" s="2"/>
      <c r="U135" s="2"/>
      <c r="V135" s="19">
        <f t="shared" si="17"/>
        <v>0</v>
      </c>
      <c r="W135" s="2"/>
      <c r="X135" s="2">
        <f t="shared" si="18"/>
        <v>6348.54</v>
      </c>
      <c r="Y135" s="2"/>
      <c r="Z135" s="19">
        <f t="shared" si="19"/>
        <v>0</v>
      </c>
    </row>
    <row r="136" spans="1:26" s="24" customFormat="1" hidden="1" outlineLevel="1" x14ac:dyDescent="0.25">
      <c r="A136" s="44"/>
      <c r="B136" s="11" t="str">
        <f>CONCATENATE("          ", "5014", " - ", "PURCHASES @ COST-REMAINDERS")</f>
        <v xml:space="preserve">          5014 - PURCHASES @ COST-REMAINDERS</v>
      </c>
      <c r="C136" s="11"/>
      <c r="D136" s="2">
        <v>13.9</v>
      </c>
      <c r="E136" s="2"/>
      <c r="F136" s="19">
        <f t="shared" si="12"/>
        <v>4.0133555232433899E-5</v>
      </c>
      <c r="G136" s="2"/>
      <c r="H136" s="2"/>
      <c r="I136" s="2"/>
      <c r="J136" s="19">
        <f t="shared" si="13"/>
        <v>0</v>
      </c>
      <c r="K136" s="2"/>
      <c r="L136" s="2">
        <f t="shared" si="14"/>
        <v>13.9</v>
      </c>
      <c r="M136" s="2"/>
      <c r="N136" s="19">
        <f t="shared" si="15"/>
        <v>0</v>
      </c>
      <c r="O136" s="11"/>
      <c r="P136" s="2">
        <v>615.07000000000005</v>
      </c>
      <c r="Q136" s="2"/>
      <c r="R136" s="19">
        <f t="shared" si="16"/>
        <v>5.7825686786995942E-5</v>
      </c>
      <c r="S136" s="2"/>
      <c r="T136" s="2"/>
      <c r="U136" s="2"/>
      <c r="V136" s="19">
        <f t="shared" si="17"/>
        <v>0</v>
      </c>
      <c r="W136" s="2"/>
      <c r="X136" s="2">
        <f t="shared" si="18"/>
        <v>615.07000000000005</v>
      </c>
      <c r="Y136" s="2"/>
      <c r="Z136" s="19">
        <f t="shared" si="19"/>
        <v>0</v>
      </c>
    </row>
    <row r="137" spans="1:26" s="24" customFormat="1" hidden="1" outlineLevel="1" x14ac:dyDescent="0.25">
      <c r="A137" s="44"/>
      <c r="B137" s="11" t="str">
        <f>CONCATENATE("          ", "5017", " - ", "PURCHASES @ COST-DORM/HOUSEWAR")</f>
        <v xml:space="preserve">          5017 - PURCHASES @ COST-DORM/HOUSEWAR</v>
      </c>
      <c r="C137" s="11"/>
      <c r="D137" s="2">
        <v>14.46</v>
      </c>
      <c r="E137" s="2"/>
      <c r="F137" s="19">
        <f t="shared" si="12"/>
        <v>4.1750446666258578E-5</v>
      </c>
      <c r="G137" s="2"/>
      <c r="H137" s="2"/>
      <c r="I137" s="2"/>
      <c r="J137" s="19">
        <f t="shared" si="13"/>
        <v>0</v>
      </c>
      <c r="K137" s="2"/>
      <c r="L137" s="2">
        <f t="shared" si="14"/>
        <v>14.46</v>
      </c>
      <c r="M137" s="2"/>
      <c r="N137" s="19">
        <f t="shared" si="15"/>
        <v>0</v>
      </c>
      <c r="O137" s="11"/>
      <c r="P137" s="2">
        <v>14.46</v>
      </c>
      <c r="Q137" s="2"/>
      <c r="R137" s="19">
        <f t="shared" si="16"/>
        <v>1.3594540961841113E-6</v>
      </c>
      <c r="S137" s="2"/>
      <c r="T137" s="2"/>
      <c r="U137" s="2"/>
      <c r="V137" s="19">
        <f t="shared" si="17"/>
        <v>0</v>
      </c>
      <c r="W137" s="2"/>
      <c r="X137" s="2">
        <f t="shared" si="18"/>
        <v>14.46</v>
      </c>
      <c r="Y137" s="2"/>
      <c r="Z137" s="19">
        <f t="shared" si="19"/>
        <v>0</v>
      </c>
    </row>
    <row r="138" spans="1:26" s="24" customFormat="1" hidden="1" outlineLevel="1" x14ac:dyDescent="0.25">
      <c r="A138" s="44"/>
      <c r="B138" s="11" t="str">
        <f>CONCATENATE("          ", "5018", " - ", "PURCHASES @ COST-STUDY GUIDES")</f>
        <v xml:space="preserve">          5018 - PURCHASES @ COST-STUDY GUIDES</v>
      </c>
      <c r="C138" s="11"/>
      <c r="D138" s="2">
        <v>108.9</v>
      </c>
      <c r="E138" s="2"/>
      <c r="F138" s="19">
        <f t="shared" si="12"/>
        <v>3.1442763775626272E-4</v>
      </c>
      <c r="G138" s="2"/>
      <c r="H138" s="2"/>
      <c r="I138" s="2"/>
      <c r="J138" s="19">
        <f t="shared" si="13"/>
        <v>0</v>
      </c>
      <c r="K138" s="2"/>
      <c r="L138" s="2">
        <f t="shared" si="14"/>
        <v>108.9</v>
      </c>
      <c r="M138" s="2"/>
      <c r="N138" s="19">
        <f t="shared" si="15"/>
        <v>0</v>
      </c>
      <c r="O138" s="11"/>
      <c r="P138" s="2">
        <v>2377.33</v>
      </c>
      <c r="Q138" s="2"/>
      <c r="R138" s="19">
        <f t="shared" si="16"/>
        <v>2.2350421898211431E-4</v>
      </c>
      <c r="S138" s="2"/>
      <c r="T138" s="2"/>
      <c r="U138" s="2"/>
      <c r="V138" s="19">
        <f t="shared" si="17"/>
        <v>0</v>
      </c>
      <c r="W138" s="2"/>
      <c r="X138" s="2">
        <f t="shared" si="18"/>
        <v>2377.33</v>
      </c>
      <c r="Y138" s="2"/>
      <c r="Z138" s="19">
        <f t="shared" si="19"/>
        <v>0</v>
      </c>
    </row>
    <row r="139" spans="1:26" s="24" customFormat="1" hidden="1" outlineLevel="1" x14ac:dyDescent="0.25">
      <c r="A139" s="44"/>
      <c r="B139" s="11" t="str">
        <f>CONCATENATE("          ", "5025", " - ", "PURCHASES @ COST-TEST FORMS")</f>
        <v xml:space="preserve">          5025 - PURCHASES @ COST-TEST FORMS</v>
      </c>
      <c r="C139" s="11"/>
      <c r="D139" s="2">
        <v>-1</v>
      </c>
      <c r="E139" s="2"/>
      <c r="F139" s="19">
        <f t="shared" si="12"/>
        <v>-2.887306131829777E-6</v>
      </c>
      <c r="G139" s="2"/>
      <c r="H139" s="2"/>
      <c r="I139" s="2"/>
      <c r="J139" s="19">
        <f t="shared" si="13"/>
        <v>0</v>
      </c>
      <c r="K139" s="2"/>
      <c r="L139" s="2">
        <f t="shared" si="14"/>
        <v>-1</v>
      </c>
      <c r="M139" s="2"/>
      <c r="N139" s="19">
        <f t="shared" si="15"/>
        <v>0</v>
      </c>
      <c r="O139" s="11"/>
      <c r="P139" s="2">
        <v>26400.390000000003</v>
      </c>
      <c r="Q139" s="2"/>
      <c r="R139" s="19">
        <f t="shared" si="16"/>
        <v>2.4820275467744156E-3</v>
      </c>
      <c r="S139" s="2"/>
      <c r="T139" s="2"/>
      <c r="U139" s="2"/>
      <c r="V139" s="19">
        <f t="shared" si="17"/>
        <v>0</v>
      </c>
      <c r="W139" s="2"/>
      <c r="X139" s="2">
        <f t="shared" si="18"/>
        <v>26400.390000000003</v>
      </c>
      <c r="Y139" s="2"/>
      <c r="Z139" s="19">
        <f t="shared" si="19"/>
        <v>0</v>
      </c>
    </row>
    <row r="140" spans="1:26" s="24" customFormat="1" hidden="1" outlineLevel="1" x14ac:dyDescent="0.25">
      <c r="A140" s="44"/>
      <c r="B140" s="11" t="str">
        <f>CONCATENATE("          ", "5026", " - ", "PURCHASES @ COST-WRITING INSTR")</f>
        <v xml:space="preserve">          5026 - PURCHASES @ COST-WRITING INSTR</v>
      </c>
      <c r="C140" s="11"/>
      <c r="D140" s="2">
        <v>3209.26</v>
      </c>
      <c r="E140" s="2"/>
      <c r="F140" s="19">
        <f t="shared" si="12"/>
        <v>9.2661160766360304E-3</v>
      </c>
      <c r="G140" s="2"/>
      <c r="H140" s="2"/>
      <c r="I140" s="2"/>
      <c r="J140" s="19">
        <f t="shared" si="13"/>
        <v>0</v>
      </c>
      <c r="K140" s="2"/>
      <c r="L140" s="2">
        <f t="shared" si="14"/>
        <v>3209.26</v>
      </c>
      <c r="M140" s="2"/>
      <c r="N140" s="19">
        <f t="shared" si="15"/>
        <v>0</v>
      </c>
      <c r="O140" s="11"/>
      <c r="P140" s="2">
        <v>48971.270000000004</v>
      </c>
      <c r="Q140" s="2"/>
      <c r="R140" s="19">
        <f t="shared" si="16"/>
        <v>4.604024453446617E-3</v>
      </c>
      <c r="S140" s="2"/>
      <c r="T140" s="2"/>
      <c r="U140" s="2"/>
      <c r="V140" s="19">
        <f t="shared" si="17"/>
        <v>0</v>
      </c>
      <c r="W140" s="2"/>
      <c r="X140" s="2">
        <f t="shared" si="18"/>
        <v>48971.270000000004</v>
      </c>
      <c r="Y140" s="2"/>
      <c r="Z140" s="19">
        <f t="shared" si="19"/>
        <v>0</v>
      </c>
    </row>
    <row r="141" spans="1:26" s="24" customFormat="1" hidden="1" outlineLevel="1" x14ac:dyDescent="0.25">
      <c r="A141" s="44"/>
      <c r="B141" s="11" t="str">
        <f>CONCATENATE("          ", "5027", " - ", "PURCHASES @ COST-SCHOOL SUPPLI")</f>
        <v xml:space="preserve">          5027 - PURCHASES @ COST-SCHOOL SUPPLI</v>
      </c>
      <c r="C141" s="11"/>
      <c r="D141" s="2">
        <v>19253.84</v>
      </c>
      <c r="E141" s="2"/>
      <c r="F141" s="19">
        <f t="shared" si="12"/>
        <v>5.5591730293269435E-2</v>
      </c>
      <c r="G141" s="2"/>
      <c r="H141" s="2"/>
      <c r="I141" s="2"/>
      <c r="J141" s="19">
        <f t="shared" si="13"/>
        <v>0</v>
      </c>
      <c r="K141" s="2"/>
      <c r="L141" s="2">
        <f t="shared" si="14"/>
        <v>19253.84</v>
      </c>
      <c r="M141" s="2"/>
      <c r="N141" s="19">
        <f t="shared" si="15"/>
        <v>0</v>
      </c>
      <c r="O141" s="11"/>
      <c r="P141" s="2">
        <v>137605.04</v>
      </c>
      <c r="Q141" s="2"/>
      <c r="R141" s="19">
        <f t="shared" si="16"/>
        <v>1.2936911153774445E-2</v>
      </c>
      <c r="S141" s="2"/>
      <c r="T141" s="2"/>
      <c r="U141" s="2"/>
      <c r="V141" s="19">
        <f t="shared" si="17"/>
        <v>0</v>
      </c>
      <c r="W141" s="2"/>
      <c r="X141" s="2">
        <f t="shared" si="18"/>
        <v>137605.04</v>
      </c>
      <c r="Y141" s="2"/>
      <c r="Z141" s="19">
        <f t="shared" si="19"/>
        <v>0</v>
      </c>
    </row>
    <row r="142" spans="1:26" s="24" customFormat="1" hidden="1" outlineLevel="1" x14ac:dyDescent="0.25">
      <c r="A142" s="44"/>
      <c r="B142" s="11" t="str">
        <f>CONCATENATE("          ", "5028", " - ", "PURCHASES @ COST-ART/TECH")</f>
        <v xml:space="preserve">          5028 - PURCHASES @ COST-ART/TECH</v>
      </c>
      <c r="C142" s="11"/>
      <c r="D142" s="2">
        <v>4417.37</v>
      </c>
      <c r="E142" s="2"/>
      <c r="F142" s="19">
        <f t="shared" si="12"/>
        <v>1.2754299487560902E-2</v>
      </c>
      <c r="G142" s="2"/>
      <c r="H142" s="2"/>
      <c r="I142" s="2"/>
      <c r="J142" s="19">
        <f t="shared" si="13"/>
        <v>0</v>
      </c>
      <c r="K142" s="2"/>
      <c r="L142" s="2">
        <f t="shared" si="14"/>
        <v>4417.37</v>
      </c>
      <c r="M142" s="2"/>
      <c r="N142" s="19">
        <f t="shared" si="15"/>
        <v>0</v>
      </c>
      <c r="O142" s="11"/>
      <c r="P142" s="2">
        <v>151070.15</v>
      </c>
      <c r="Q142" s="2"/>
      <c r="R142" s="19">
        <f t="shared" si="16"/>
        <v>1.4202830859519231E-2</v>
      </c>
      <c r="S142" s="2"/>
      <c r="T142" s="2"/>
      <c r="U142" s="2"/>
      <c r="V142" s="19">
        <f t="shared" si="17"/>
        <v>0</v>
      </c>
      <c r="W142" s="2"/>
      <c r="X142" s="2">
        <f t="shared" si="18"/>
        <v>151070.15</v>
      </c>
      <c r="Y142" s="2"/>
      <c r="Z142" s="19">
        <f t="shared" si="19"/>
        <v>0</v>
      </c>
    </row>
    <row r="143" spans="1:26" s="24" customFormat="1" hidden="1" outlineLevel="1" x14ac:dyDescent="0.25">
      <c r="A143" s="44"/>
      <c r="B143" s="11" t="str">
        <f>CONCATENATE("          ", "5031", " - ", "PURCHASES @ COST-FOOD")</f>
        <v xml:space="preserve">          5031 - PURCHASES @ COST-FOOD</v>
      </c>
      <c r="C143" s="11"/>
      <c r="D143" s="2">
        <v>3113.82</v>
      </c>
      <c r="E143" s="2"/>
      <c r="F143" s="19">
        <f t="shared" si="12"/>
        <v>8.9905515794141966E-3</v>
      </c>
      <c r="G143" s="2"/>
      <c r="H143" s="2"/>
      <c r="I143" s="2"/>
      <c r="J143" s="19">
        <f t="shared" si="13"/>
        <v>0</v>
      </c>
      <c r="K143" s="2"/>
      <c r="L143" s="2">
        <f t="shared" si="14"/>
        <v>3113.82</v>
      </c>
      <c r="M143" s="2"/>
      <c r="N143" s="19">
        <f t="shared" si="15"/>
        <v>0</v>
      </c>
      <c r="O143" s="11"/>
      <c r="P143" s="2">
        <v>33239.879999999997</v>
      </c>
      <c r="Q143" s="2"/>
      <c r="R143" s="19">
        <f t="shared" si="16"/>
        <v>3.125040872936951E-3</v>
      </c>
      <c r="S143" s="2"/>
      <c r="T143" s="2"/>
      <c r="U143" s="2"/>
      <c r="V143" s="19">
        <f t="shared" si="17"/>
        <v>0</v>
      </c>
      <c r="W143" s="2"/>
      <c r="X143" s="2">
        <f t="shared" si="18"/>
        <v>33239.879999999997</v>
      </c>
      <c r="Y143" s="2"/>
      <c r="Z143" s="19">
        <f t="shared" si="19"/>
        <v>0</v>
      </c>
    </row>
    <row r="144" spans="1:26" s="24" customFormat="1" hidden="1" outlineLevel="1" x14ac:dyDescent="0.25">
      <c r="A144" s="44"/>
      <c r="B144" s="11" t="str">
        <f>CONCATENATE("          ", "5032", " - ", "PURCHASES @ COST-JUICE")</f>
        <v xml:space="preserve">          5032 - PURCHASES @ COST-JUICE</v>
      </c>
      <c r="C144" s="11"/>
      <c r="D144" s="2">
        <v>688.97</v>
      </c>
      <c r="E144" s="2"/>
      <c r="F144" s="19">
        <f t="shared" si="12"/>
        <v>1.9892673056467617E-3</v>
      </c>
      <c r="G144" s="2"/>
      <c r="H144" s="2"/>
      <c r="I144" s="2"/>
      <c r="J144" s="19">
        <f t="shared" si="13"/>
        <v>0</v>
      </c>
      <c r="K144" s="2"/>
      <c r="L144" s="2">
        <f t="shared" si="14"/>
        <v>688.97</v>
      </c>
      <c r="M144" s="2"/>
      <c r="N144" s="19">
        <f t="shared" si="15"/>
        <v>0</v>
      </c>
      <c r="O144" s="11"/>
      <c r="P144" s="2">
        <v>7802.45</v>
      </c>
      <c r="Q144" s="2"/>
      <c r="R144" s="19">
        <f t="shared" si="16"/>
        <v>7.3354582384313406E-4</v>
      </c>
      <c r="S144" s="2"/>
      <c r="T144" s="2"/>
      <c r="U144" s="2"/>
      <c r="V144" s="19">
        <f t="shared" si="17"/>
        <v>0</v>
      </c>
      <c r="W144" s="2"/>
      <c r="X144" s="2">
        <f t="shared" si="18"/>
        <v>7802.45</v>
      </c>
      <c r="Y144" s="2"/>
      <c r="Z144" s="19">
        <f t="shared" si="19"/>
        <v>0</v>
      </c>
    </row>
    <row r="145" spans="1:26" s="24" customFormat="1" hidden="1" outlineLevel="1" x14ac:dyDescent="0.25">
      <c r="A145" s="44"/>
      <c r="B145" s="11" t="str">
        <f>CONCATENATE("          ", "5033", " - ", "PURCHASES @ COST-CANDY")</f>
        <v xml:space="preserve">          5033 - PURCHASES @ COST-CANDY</v>
      </c>
      <c r="C145" s="11"/>
      <c r="D145" s="2">
        <v>1198.55</v>
      </c>
      <c r="E145" s="2"/>
      <c r="F145" s="19">
        <f t="shared" si="12"/>
        <v>3.4605807643045793E-3</v>
      </c>
      <c r="G145" s="2"/>
      <c r="H145" s="2"/>
      <c r="I145" s="2"/>
      <c r="J145" s="19">
        <f t="shared" si="13"/>
        <v>0</v>
      </c>
      <c r="K145" s="2"/>
      <c r="L145" s="2">
        <f t="shared" si="14"/>
        <v>1198.55</v>
      </c>
      <c r="M145" s="2"/>
      <c r="N145" s="19">
        <f t="shared" si="15"/>
        <v>0</v>
      </c>
      <c r="O145" s="11"/>
      <c r="P145" s="2">
        <v>10023.61</v>
      </c>
      <c r="Q145" s="2"/>
      <c r="R145" s="19">
        <f t="shared" si="16"/>
        <v>9.4236775055684785E-4</v>
      </c>
      <c r="S145" s="2"/>
      <c r="T145" s="2"/>
      <c r="U145" s="2"/>
      <c r="V145" s="19">
        <f t="shared" si="17"/>
        <v>0</v>
      </c>
      <c r="W145" s="2"/>
      <c r="X145" s="2">
        <f t="shared" si="18"/>
        <v>10023.61</v>
      </c>
      <c r="Y145" s="2"/>
      <c r="Z145" s="19">
        <f t="shared" si="19"/>
        <v>0</v>
      </c>
    </row>
    <row r="146" spans="1:26" s="24" customFormat="1" hidden="1" outlineLevel="1" x14ac:dyDescent="0.25">
      <c r="A146" s="44"/>
      <c r="B146" s="11" t="str">
        <f>CONCATENATE("          ", "5034", " - ", "PURCHASES @ COST-SODA")</f>
        <v xml:space="preserve">          5034 - PURCHASES @ COST-SODA</v>
      </c>
      <c r="C146" s="11"/>
      <c r="D146" s="2">
        <v>271.79000000000002</v>
      </c>
      <c r="E146" s="2"/>
      <c r="F146" s="19">
        <f t="shared" si="12"/>
        <v>7.8474093357001516E-4</v>
      </c>
      <c r="G146" s="2"/>
      <c r="H146" s="2"/>
      <c r="I146" s="2"/>
      <c r="J146" s="19">
        <f t="shared" si="13"/>
        <v>0</v>
      </c>
      <c r="K146" s="2"/>
      <c r="L146" s="2">
        <f t="shared" si="14"/>
        <v>271.79000000000002</v>
      </c>
      <c r="M146" s="2"/>
      <c r="N146" s="19">
        <f t="shared" si="15"/>
        <v>0</v>
      </c>
      <c r="O146" s="11"/>
      <c r="P146" s="2">
        <v>4033.88</v>
      </c>
      <c r="Q146" s="2"/>
      <c r="R146" s="19">
        <f t="shared" si="16"/>
        <v>3.7924444602456173E-4</v>
      </c>
      <c r="S146" s="2"/>
      <c r="T146" s="2"/>
      <c r="U146" s="2"/>
      <c r="V146" s="19">
        <f t="shared" si="17"/>
        <v>0</v>
      </c>
      <c r="W146" s="2"/>
      <c r="X146" s="2">
        <f t="shared" si="18"/>
        <v>4033.88</v>
      </c>
      <c r="Y146" s="2"/>
      <c r="Z146" s="19">
        <f t="shared" si="19"/>
        <v>0</v>
      </c>
    </row>
    <row r="147" spans="1:26" s="24" customFormat="1" hidden="1" outlineLevel="1" x14ac:dyDescent="0.25">
      <c r="A147" s="44"/>
      <c r="B147" s="11" t="str">
        <f>CONCATENATE("          ", "5035", " - ", "PURCHASES @ COST-HEALTH &amp; BEAU")</f>
        <v xml:space="preserve">          5035 - PURCHASES @ COST-HEALTH &amp; BEAU</v>
      </c>
      <c r="C147" s="11"/>
      <c r="D147" s="2">
        <v>61.98</v>
      </c>
      <c r="E147" s="2"/>
      <c r="F147" s="19">
        <f t="shared" si="12"/>
        <v>1.7895523405080956E-4</v>
      </c>
      <c r="G147" s="2"/>
      <c r="H147" s="2"/>
      <c r="I147" s="2"/>
      <c r="J147" s="19">
        <f t="shared" si="13"/>
        <v>0</v>
      </c>
      <c r="K147" s="2"/>
      <c r="L147" s="2">
        <f t="shared" si="14"/>
        <v>61.98</v>
      </c>
      <c r="M147" s="2"/>
      <c r="N147" s="19">
        <f t="shared" si="15"/>
        <v>0</v>
      </c>
      <c r="O147" s="11"/>
      <c r="P147" s="2">
        <v>1117.6500000000001</v>
      </c>
      <c r="Q147" s="2"/>
      <c r="R147" s="19">
        <f t="shared" si="16"/>
        <v>1.0507564803597317E-4</v>
      </c>
      <c r="S147" s="2"/>
      <c r="T147" s="2"/>
      <c r="U147" s="2"/>
      <c r="V147" s="19">
        <f t="shared" si="17"/>
        <v>0</v>
      </c>
      <c r="W147" s="2"/>
      <c r="X147" s="2">
        <f t="shared" si="18"/>
        <v>1117.6500000000001</v>
      </c>
      <c r="Y147" s="2"/>
      <c r="Z147" s="19">
        <f t="shared" si="19"/>
        <v>0</v>
      </c>
    </row>
    <row r="148" spans="1:26" s="24" customFormat="1" hidden="1" outlineLevel="1" x14ac:dyDescent="0.25">
      <c r="A148" s="44"/>
      <c r="B148" s="11" t="str">
        <f>CONCATENATE("          ", "5037", " - ", "PURCHASES @ COST-WATER")</f>
        <v xml:space="preserve">          5037 - PURCHASES @ COST-WATER</v>
      </c>
      <c r="C148" s="11"/>
      <c r="D148" s="2">
        <v>393.84</v>
      </c>
      <c r="E148" s="2"/>
      <c r="F148" s="19">
        <f t="shared" si="12"/>
        <v>1.1371366469598394E-3</v>
      </c>
      <c r="G148" s="2"/>
      <c r="H148" s="2"/>
      <c r="I148" s="2"/>
      <c r="J148" s="19">
        <f t="shared" si="13"/>
        <v>0</v>
      </c>
      <c r="K148" s="2"/>
      <c r="L148" s="2">
        <f t="shared" si="14"/>
        <v>393.84</v>
      </c>
      <c r="M148" s="2"/>
      <c r="N148" s="19">
        <f t="shared" si="15"/>
        <v>0</v>
      </c>
      <c r="O148" s="11"/>
      <c r="P148" s="2">
        <v>5693.57</v>
      </c>
      <c r="Q148" s="2"/>
      <c r="R148" s="19">
        <f t="shared" si="16"/>
        <v>5.3527987955815834E-4</v>
      </c>
      <c r="S148" s="2"/>
      <c r="T148" s="2"/>
      <c r="U148" s="2"/>
      <c r="V148" s="19">
        <f t="shared" si="17"/>
        <v>0</v>
      </c>
      <c r="W148" s="2"/>
      <c r="X148" s="2">
        <f t="shared" si="18"/>
        <v>5693.57</v>
      </c>
      <c r="Y148" s="2"/>
      <c r="Z148" s="19">
        <f t="shared" si="19"/>
        <v>0</v>
      </c>
    </row>
    <row r="149" spans="1:26" s="24" customFormat="1" hidden="1" outlineLevel="1" x14ac:dyDescent="0.25">
      <c r="A149" s="44"/>
      <c r="B149" s="11" t="str">
        <f>CONCATENATE("          ", "5040", " - ", "PURCHASES @ COST-LOGO CLOTHING")</f>
        <v xml:space="preserve">          5040 - PURCHASES @ COST-LOGO CLOTHING</v>
      </c>
      <c r="C149" s="11"/>
      <c r="D149" s="2">
        <v>65352.979999999996</v>
      </c>
      <c r="E149" s="2"/>
      <c r="F149" s="19">
        <f t="shared" si="12"/>
        <v>0.18869405988734878</v>
      </c>
      <c r="G149" s="2"/>
      <c r="H149" s="2"/>
      <c r="I149" s="2"/>
      <c r="J149" s="19">
        <f t="shared" si="13"/>
        <v>0</v>
      </c>
      <c r="K149" s="2"/>
      <c r="L149" s="2">
        <f t="shared" si="14"/>
        <v>65352.979999999996</v>
      </c>
      <c r="M149" s="2"/>
      <c r="N149" s="19">
        <f t="shared" si="15"/>
        <v>0</v>
      </c>
      <c r="O149" s="11"/>
      <c r="P149" s="2">
        <v>966898.54</v>
      </c>
      <c r="Q149" s="2"/>
      <c r="R149" s="19">
        <f t="shared" si="16"/>
        <v>9.0902778755009461E-2</v>
      </c>
      <c r="S149" s="2"/>
      <c r="T149" s="2"/>
      <c r="U149" s="2"/>
      <c r="V149" s="19">
        <f t="shared" si="17"/>
        <v>0</v>
      </c>
      <c r="W149" s="2"/>
      <c r="X149" s="2">
        <f t="shared" si="18"/>
        <v>966898.54</v>
      </c>
      <c r="Y149" s="2"/>
      <c r="Z149" s="19">
        <f t="shared" si="19"/>
        <v>0</v>
      </c>
    </row>
    <row r="150" spans="1:26" s="24" customFormat="1" hidden="1" outlineLevel="1" x14ac:dyDescent="0.25">
      <c r="A150" s="44"/>
      <c r="B150" s="11" t="str">
        <f>CONCATENATE("          ", "5041", " - ", "PURCHASES @ COST-LOGO GIFTS")</f>
        <v xml:space="preserve">          5041 - PURCHASES @ COST-LOGO GIFTS</v>
      </c>
      <c r="C150" s="11"/>
      <c r="D150" s="2">
        <v>15128.670000000002</v>
      </c>
      <c r="E150" s="2"/>
      <c r="F150" s="19">
        <f t="shared" si="12"/>
        <v>4.3681101657429201E-2</v>
      </c>
      <c r="G150" s="2"/>
      <c r="H150" s="2"/>
      <c r="I150" s="2"/>
      <c r="J150" s="19">
        <f t="shared" si="13"/>
        <v>0</v>
      </c>
      <c r="K150" s="2"/>
      <c r="L150" s="2">
        <f t="shared" si="14"/>
        <v>15128.670000000002</v>
      </c>
      <c r="M150" s="2"/>
      <c r="N150" s="19">
        <f t="shared" si="15"/>
        <v>0</v>
      </c>
      <c r="O150" s="11"/>
      <c r="P150" s="2">
        <v>149510.73000000001</v>
      </c>
      <c r="Q150" s="2"/>
      <c r="R150" s="19">
        <f t="shared" si="16"/>
        <v>1.4056222290593133E-2</v>
      </c>
      <c r="S150" s="2"/>
      <c r="T150" s="2"/>
      <c r="U150" s="2"/>
      <c r="V150" s="19">
        <f t="shared" si="17"/>
        <v>0</v>
      </c>
      <c r="W150" s="2"/>
      <c r="X150" s="2">
        <f t="shared" si="18"/>
        <v>149510.73000000001</v>
      </c>
      <c r="Y150" s="2"/>
      <c r="Z150" s="19">
        <f t="shared" si="19"/>
        <v>0</v>
      </c>
    </row>
    <row r="151" spans="1:26" s="24" customFormat="1" hidden="1" outlineLevel="1" x14ac:dyDescent="0.25">
      <c r="A151" s="44"/>
      <c r="B151" s="11" t="str">
        <f>CONCATENATE("          ", "5042", " - ", "PURCHASES @ COST-EVERYDAY GIFT")</f>
        <v xml:space="preserve">          5042 - PURCHASES @ COST-EVERYDAY GIFT</v>
      </c>
      <c r="C151" s="11"/>
      <c r="D151" s="2">
        <v>15355.270000000002</v>
      </c>
      <c r="E151" s="2"/>
      <c r="F151" s="19">
        <f t="shared" si="12"/>
        <v>4.4335365226901825E-2</v>
      </c>
      <c r="G151" s="2"/>
      <c r="H151" s="2"/>
      <c r="I151" s="2"/>
      <c r="J151" s="19">
        <f t="shared" si="13"/>
        <v>0</v>
      </c>
      <c r="K151" s="2"/>
      <c r="L151" s="2">
        <f t="shared" si="14"/>
        <v>15355.270000000002</v>
      </c>
      <c r="M151" s="2"/>
      <c r="N151" s="19">
        <f t="shared" si="15"/>
        <v>0</v>
      </c>
      <c r="O151" s="11"/>
      <c r="P151" s="2">
        <v>115363.23999999999</v>
      </c>
      <c r="Q151" s="2"/>
      <c r="R151" s="19">
        <f t="shared" si="16"/>
        <v>1.0845852639493132E-2</v>
      </c>
      <c r="S151" s="2"/>
      <c r="T151" s="2"/>
      <c r="U151" s="2"/>
      <c r="V151" s="19">
        <f t="shared" si="17"/>
        <v>0</v>
      </c>
      <c r="W151" s="2"/>
      <c r="X151" s="2">
        <f t="shared" si="18"/>
        <v>115363.23999999999</v>
      </c>
      <c r="Y151" s="2"/>
      <c r="Z151" s="19">
        <f t="shared" si="19"/>
        <v>0</v>
      </c>
    </row>
    <row r="152" spans="1:26" s="24" customFormat="1" hidden="1" outlineLevel="1" x14ac:dyDescent="0.25">
      <c r="A152" s="44"/>
      <c r="B152" s="11" t="str">
        <f>CONCATENATE("          ", "5043", " - ", "PURCHASES @ COST-CARDS")</f>
        <v xml:space="preserve">          5043 - PURCHASES @ COST-CARDS</v>
      </c>
      <c r="C152" s="11"/>
      <c r="D152" s="2">
        <v>-4258.25</v>
      </c>
      <c r="E152" s="2"/>
      <c r="F152" s="19">
        <f t="shared" si="12"/>
        <v>-1.2294871335864148E-2</v>
      </c>
      <c r="G152" s="2"/>
      <c r="H152" s="2"/>
      <c r="I152" s="2"/>
      <c r="J152" s="19">
        <f t="shared" si="13"/>
        <v>0</v>
      </c>
      <c r="K152" s="2"/>
      <c r="L152" s="2">
        <f t="shared" si="14"/>
        <v>-4258.25</v>
      </c>
      <c r="M152" s="2"/>
      <c r="N152" s="19">
        <f t="shared" si="15"/>
        <v>0</v>
      </c>
      <c r="O152" s="11"/>
      <c r="P152" s="2">
        <v>24776.91</v>
      </c>
      <c r="Q152" s="2"/>
      <c r="R152" s="19">
        <f t="shared" si="16"/>
        <v>2.3293963893696451E-3</v>
      </c>
      <c r="S152" s="2"/>
      <c r="T152" s="2"/>
      <c r="U152" s="2"/>
      <c r="V152" s="19">
        <f t="shared" si="17"/>
        <v>0</v>
      </c>
      <c r="W152" s="2"/>
      <c r="X152" s="2">
        <f t="shared" si="18"/>
        <v>24776.91</v>
      </c>
      <c r="Y152" s="2"/>
      <c r="Z152" s="19">
        <f t="shared" si="19"/>
        <v>0</v>
      </c>
    </row>
    <row r="153" spans="1:26" s="24" customFormat="1" hidden="1" outlineLevel="1" x14ac:dyDescent="0.25">
      <c r="A153" s="44"/>
      <c r="B153" s="11" t="str">
        <f>CONCATENATE("          ", "5044", " - ", "PURCHASES @ COST-ACCESSORIES")</f>
        <v xml:space="preserve">          5044 - PURCHASES @ COST-ACCESSORIES</v>
      </c>
      <c r="C153" s="11"/>
      <c r="D153" s="2">
        <v>-1305.4100000000001</v>
      </c>
      <c r="E153" s="2"/>
      <c r="F153" s="19">
        <f t="shared" si="12"/>
        <v>-3.7691182975519094E-3</v>
      </c>
      <c r="G153" s="2"/>
      <c r="H153" s="2"/>
      <c r="I153" s="2"/>
      <c r="J153" s="19">
        <f t="shared" si="13"/>
        <v>0</v>
      </c>
      <c r="K153" s="2"/>
      <c r="L153" s="2">
        <f t="shared" si="14"/>
        <v>-1305.4100000000001</v>
      </c>
      <c r="M153" s="2"/>
      <c r="N153" s="19">
        <f t="shared" si="15"/>
        <v>0</v>
      </c>
      <c r="O153" s="11"/>
      <c r="P153" s="2">
        <v>32094.030000000002</v>
      </c>
      <c r="Q153" s="2"/>
      <c r="R153" s="19">
        <f t="shared" si="16"/>
        <v>3.0173140073690009E-3</v>
      </c>
      <c r="S153" s="2"/>
      <c r="T153" s="2"/>
      <c r="U153" s="2"/>
      <c r="V153" s="19">
        <f t="shared" si="17"/>
        <v>0</v>
      </c>
      <c r="W153" s="2"/>
      <c r="X153" s="2">
        <f t="shared" si="18"/>
        <v>32094.030000000002</v>
      </c>
      <c r="Y153" s="2"/>
      <c r="Z153" s="19">
        <f t="shared" si="19"/>
        <v>0</v>
      </c>
    </row>
    <row r="154" spans="1:26" s="24" customFormat="1" hidden="1" outlineLevel="1" x14ac:dyDescent="0.25">
      <c r="A154" s="44"/>
      <c r="B154" s="11" t="str">
        <f>CONCATENATE("          ", "5045", " - ", "PURCHASES @ COST-SPECIAL ORDER")</f>
        <v xml:space="preserve">          5045 - PURCHASES @ COST-SPECIAL ORDER</v>
      </c>
      <c r="C154" s="11"/>
      <c r="D154" s="2">
        <v>6736.47</v>
      </c>
      <c r="E154" s="2"/>
      <c r="F154" s="19">
        <f t="shared" si="12"/>
        <v>1.9450251137887339E-2</v>
      </c>
      <c r="G154" s="2"/>
      <c r="H154" s="2"/>
      <c r="I154" s="2"/>
      <c r="J154" s="19">
        <f t="shared" si="13"/>
        <v>0</v>
      </c>
      <c r="K154" s="2"/>
      <c r="L154" s="2">
        <f t="shared" si="14"/>
        <v>6736.47</v>
      </c>
      <c r="M154" s="2"/>
      <c r="N154" s="19">
        <f t="shared" si="15"/>
        <v>0</v>
      </c>
      <c r="O154" s="11"/>
      <c r="P154" s="2">
        <v>57701.25</v>
      </c>
      <c r="Q154" s="2"/>
      <c r="R154" s="19">
        <f t="shared" si="16"/>
        <v>5.4247718303902801E-3</v>
      </c>
      <c r="S154" s="2"/>
      <c r="T154" s="2"/>
      <c r="U154" s="2"/>
      <c r="V154" s="19">
        <f t="shared" si="17"/>
        <v>0</v>
      </c>
      <c r="W154" s="2"/>
      <c r="X154" s="2">
        <f t="shared" si="18"/>
        <v>57701.25</v>
      </c>
      <c r="Y154" s="2"/>
      <c r="Z154" s="19">
        <f t="shared" si="19"/>
        <v>0</v>
      </c>
    </row>
    <row r="155" spans="1:26" s="24" customFormat="1" hidden="1" outlineLevel="1" x14ac:dyDescent="0.25">
      <c r="A155" s="44"/>
      <c r="B155" s="11" t="str">
        <f>CONCATENATE("          ", "5081", " - ", "PURCHASES @ COST-ELECTRONICS")</f>
        <v xml:space="preserve">          5081 - PURCHASES @ COST-ELECTRONICS</v>
      </c>
      <c r="C155" s="11"/>
      <c r="D155" s="2">
        <v>36011.160000000003</v>
      </c>
      <c r="E155" s="2"/>
      <c r="F155" s="19">
        <f t="shared" si="12"/>
        <v>0.1039752430823032</v>
      </c>
      <c r="G155" s="2"/>
      <c r="H155" s="2"/>
      <c r="I155" s="2"/>
      <c r="J155" s="19">
        <f t="shared" si="13"/>
        <v>0</v>
      </c>
      <c r="K155" s="2"/>
      <c r="L155" s="2">
        <f t="shared" si="14"/>
        <v>36011.160000000003</v>
      </c>
      <c r="M155" s="2"/>
      <c r="N155" s="19">
        <f t="shared" si="15"/>
        <v>0</v>
      </c>
      <c r="O155" s="11"/>
      <c r="P155" s="2">
        <v>265032.64</v>
      </c>
      <c r="Q155" s="2"/>
      <c r="R155" s="19">
        <f t="shared" si="16"/>
        <v>2.4916992259369913E-2</v>
      </c>
      <c r="S155" s="2"/>
      <c r="T155" s="2"/>
      <c r="U155" s="2"/>
      <c r="V155" s="19">
        <f t="shared" si="17"/>
        <v>0</v>
      </c>
      <c r="W155" s="2"/>
      <c r="X155" s="2">
        <f t="shared" si="18"/>
        <v>265032.64</v>
      </c>
      <c r="Y155" s="2"/>
      <c r="Z155" s="19">
        <f t="shared" si="19"/>
        <v>0</v>
      </c>
    </row>
    <row r="156" spans="1:26" s="24" customFormat="1" hidden="1" outlineLevel="1" x14ac:dyDescent="0.25">
      <c r="A156" s="44"/>
      <c r="B156" s="11" t="str">
        <f>CONCATENATE("          ", "5082", " - ", "PURCHASES @ COST-COMPUTER HARD")</f>
        <v xml:space="preserve">          5082 - PURCHASES @ COST-COMPUTER HARD</v>
      </c>
      <c r="C156" s="11"/>
      <c r="D156" s="2">
        <v>169875.81</v>
      </c>
      <c r="E156" s="2"/>
      <c r="F156" s="19">
        <f t="shared" si="12"/>
        <v>0.49048346786255015</v>
      </c>
      <c r="G156" s="2"/>
      <c r="H156" s="2"/>
      <c r="I156" s="2"/>
      <c r="J156" s="19">
        <f t="shared" si="13"/>
        <v>0</v>
      </c>
      <c r="K156" s="2"/>
      <c r="L156" s="2">
        <f t="shared" si="14"/>
        <v>169875.81</v>
      </c>
      <c r="M156" s="2"/>
      <c r="N156" s="19">
        <f t="shared" si="15"/>
        <v>0</v>
      </c>
      <c r="O156" s="11"/>
      <c r="P156" s="2">
        <v>1381174.3900000001</v>
      </c>
      <c r="Q156" s="2"/>
      <c r="R156" s="19">
        <f t="shared" si="16"/>
        <v>0.12985084246404505</v>
      </c>
      <c r="S156" s="2"/>
      <c r="T156" s="2"/>
      <c r="U156" s="2"/>
      <c r="V156" s="19">
        <f t="shared" si="17"/>
        <v>0</v>
      </c>
      <c r="W156" s="2"/>
      <c r="X156" s="2">
        <f t="shared" si="18"/>
        <v>1381174.3900000001</v>
      </c>
      <c r="Y156" s="2"/>
      <c r="Z156" s="19">
        <f t="shared" si="19"/>
        <v>0</v>
      </c>
    </row>
    <row r="157" spans="1:26" s="24" customFormat="1" hidden="1" outlineLevel="1" x14ac:dyDescent="0.25">
      <c r="A157" s="44"/>
      <c r="B157" s="11" t="str">
        <f>CONCATENATE("          ", "5083", " - ", "PURCHASES @ COST-COMPUTER EQUI")</f>
        <v xml:space="preserve">          5083 - PURCHASES @ COST-COMPUTER EQUI</v>
      </c>
      <c r="C157" s="11"/>
      <c r="D157" s="2">
        <v>6360.99</v>
      </c>
      <c r="E157" s="2"/>
      <c r="F157" s="19">
        <f t="shared" si="12"/>
        <v>1.8366125431507892E-2</v>
      </c>
      <c r="G157" s="2"/>
      <c r="H157" s="2"/>
      <c r="I157" s="2"/>
      <c r="J157" s="19">
        <f t="shared" si="13"/>
        <v>0</v>
      </c>
      <c r="K157" s="2"/>
      <c r="L157" s="2">
        <f t="shared" si="14"/>
        <v>6360.99</v>
      </c>
      <c r="M157" s="2"/>
      <c r="N157" s="19">
        <f t="shared" si="15"/>
        <v>0</v>
      </c>
      <c r="O157" s="11"/>
      <c r="P157" s="2">
        <v>77872.790000000008</v>
      </c>
      <c r="Q157" s="2"/>
      <c r="R157" s="19">
        <f t="shared" si="16"/>
        <v>7.3211952521981399E-3</v>
      </c>
      <c r="S157" s="2"/>
      <c r="T157" s="2"/>
      <c r="U157" s="2"/>
      <c r="V157" s="19">
        <f t="shared" si="17"/>
        <v>0</v>
      </c>
      <c r="W157" s="2"/>
      <c r="X157" s="2">
        <f t="shared" si="18"/>
        <v>77872.790000000008</v>
      </c>
      <c r="Y157" s="2"/>
      <c r="Z157" s="19">
        <f t="shared" si="19"/>
        <v>0</v>
      </c>
    </row>
    <row r="158" spans="1:26" s="24" customFormat="1" hidden="1" outlineLevel="1" x14ac:dyDescent="0.25">
      <c r="A158" s="44"/>
      <c r="B158" s="11" t="str">
        <f>CONCATENATE("          ", "5084", " - ", "PURCHASES @ COST-SOFTWARE LICE")</f>
        <v xml:space="preserve">          5084 - PURCHASES @ COST-SOFTWARE LICE</v>
      </c>
      <c r="C158" s="11"/>
      <c r="D158" s="2"/>
      <c r="E158" s="2"/>
      <c r="F158" s="19">
        <f t="shared" si="12"/>
        <v>0</v>
      </c>
      <c r="G158" s="2"/>
      <c r="H158" s="2"/>
      <c r="I158" s="2"/>
      <c r="J158" s="19">
        <f t="shared" si="13"/>
        <v>0</v>
      </c>
      <c r="K158" s="2"/>
      <c r="L158" s="2">
        <f t="shared" si="14"/>
        <v>0</v>
      </c>
      <c r="M158" s="2"/>
      <c r="N158" s="19">
        <f t="shared" si="15"/>
        <v>0</v>
      </c>
      <c r="O158" s="11"/>
      <c r="P158" s="2">
        <v>2728</v>
      </c>
      <c r="Q158" s="2"/>
      <c r="R158" s="19">
        <f t="shared" si="16"/>
        <v>2.5647239103667049E-4</v>
      </c>
      <c r="S158" s="2"/>
      <c r="T158" s="2"/>
      <c r="U158" s="2"/>
      <c r="V158" s="19">
        <f t="shared" si="17"/>
        <v>0</v>
      </c>
      <c r="W158" s="2"/>
      <c r="X158" s="2">
        <f t="shared" si="18"/>
        <v>2728</v>
      </c>
      <c r="Y158" s="2"/>
      <c r="Z158" s="19">
        <f t="shared" si="19"/>
        <v>0</v>
      </c>
    </row>
    <row r="159" spans="1:26" s="24" customFormat="1" hidden="1" outlineLevel="1" x14ac:dyDescent="0.25">
      <c r="A159" s="44"/>
      <c r="B159" s="11" t="str">
        <f>CONCATENATE("          ", "5085", " - ", "PURCHASES @ COST-SOFTWARE")</f>
        <v xml:space="preserve">          5085 - PURCHASES @ COST-SOFTWARE</v>
      </c>
      <c r="C159" s="11"/>
      <c r="D159" s="2"/>
      <c r="E159" s="2"/>
      <c r="F159" s="19">
        <f t="shared" si="12"/>
        <v>0</v>
      </c>
      <c r="G159" s="2"/>
      <c r="H159" s="2"/>
      <c r="I159" s="2"/>
      <c r="J159" s="19">
        <f t="shared" si="13"/>
        <v>0</v>
      </c>
      <c r="K159" s="2"/>
      <c r="L159" s="2">
        <f t="shared" si="14"/>
        <v>0</v>
      </c>
      <c r="M159" s="2"/>
      <c r="N159" s="19">
        <f t="shared" si="15"/>
        <v>0</v>
      </c>
      <c r="O159" s="11"/>
      <c r="P159" s="2">
        <v>9162.39</v>
      </c>
      <c r="Q159" s="2"/>
      <c r="R159" s="19">
        <f t="shared" si="16"/>
        <v>8.614003192487094E-4</v>
      </c>
      <c r="S159" s="2"/>
      <c r="T159" s="2"/>
      <c r="U159" s="2"/>
      <c r="V159" s="19">
        <f t="shared" si="17"/>
        <v>0</v>
      </c>
      <c r="W159" s="2"/>
      <c r="X159" s="2">
        <f t="shared" si="18"/>
        <v>9162.39</v>
      </c>
      <c r="Y159" s="2"/>
      <c r="Z159" s="19">
        <f t="shared" si="19"/>
        <v>0</v>
      </c>
    </row>
    <row r="160" spans="1:26" s="24" customFormat="1" hidden="1" outlineLevel="1" x14ac:dyDescent="0.25">
      <c r="A160" s="44"/>
      <c r="B160" s="11" t="str">
        <f>CONCATENATE("          ", "5086", " - ", "PURCHASES @ COST-COMPUTER SUPP")</f>
        <v xml:space="preserve">          5086 - PURCHASES @ COST-COMPUTER SUPP</v>
      </c>
      <c r="C160" s="11"/>
      <c r="D160" s="2">
        <v>948.45</v>
      </c>
      <c r="E160" s="2"/>
      <c r="F160" s="19">
        <f t="shared" si="12"/>
        <v>2.738465500733952E-3</v>
      </c>
      <c r="G160" s="2"/>
      <c r="H160" s="2"/>
      <c r="I160" s="2"/>
      <c r="J160" s="19">
        <f t="shared" si="13"/>
        <v>0</v>
      </c>
      <c r="K160" s="2"/>
      <c r="L160" s="2">
        <f t="shared" si="14"/>
        <v>948.45</v>
      </c>
      <c r="M160" s="2"/>
      <c r="N160" s="19">
        <f t="shared" si="15"/>
        <v>0</v>
      </c>
      <c r="O160" s="11"/>
      <c r="P160" s="2">
        <v>30376.769999999997</v>
      </c>
      <c r="Q160" s="2"/>
      <c r="R160" s="19">
        <f t="shared" si="16"/>
        <v>2.8558661414483139E-3</v>
      </c>
      <c r="S160" s="2"/>
      <c r="T160" s="2"/>
      <c r="U160" s="2"/>
      <c r="V160" s="19">
        <f t="shared" si="17"/>
        <v>0</v>
      </c>
      <c r="W160" s="2"/>
      <c r="X160" s="2">
        <f t="shared" si="18"/>
        <v>30376.769999999997</v>
      </c>
      <c r="Y160" s="2"/>
      <c r="Z160" s="19">
        <f t="shared" si="19"/>
        <v>0</v>
      </c>
    </row>
    <row r="161" spans="1:26" s="24" customFormat="1" hidden="1" outlineLevel="1" x14ac:dyDescent="0.25">
      <c r="A161" s="44"/>
      <c r="B161" s="11" t="str">
        <f>CONCATENATE("          ", "5088", " - ", "PURCHASES @ COST-MUSIC")</f>
        <v xml:space="preserve">          5088 - PURCHASES @ COST-MUSIC</v>
      </c>
      <c r="C161" s="11"/>
      <c r="D161" s="2"/>
      <c r="E161" s="2"/>
      <c r="F161" s="19">
        <f t="shared" si="12"/>
        <v>0</v>
      </c>
      <c r="G161" s="2"/>
      <c r="H161" s="2"/>
      <c r="I161" s="2"/>
      <c r="J161" s="19">
        <f t="shared" si="13"/>
        <v>0</v>
      </c>
      <c r="K161" s="2"/>
      <c r="L161" s="2">
        <f t="shared" si="14"/>
        <v>0</v>
      </c>
      <c r="M161" s="2"/>
      <c r="N161" s="19">
        <f t="shared" si="15"/>
        <v>0</v>
      </c>
      <c r="O161" s="11"/>
      <c r="P161" s="2">
        <v>95.65</v>
      </c>
      <c r="Q161" s="2"/>
      <c r="R161" s="19">
        <f t="shared" si="16"/>
        <v>8.992516203320211E-6</v>
      </c>
      <c r="S161" s="2"/>
      <c r="T161" s="2"/>
      <c r="U161" s="2"/>
      <c r="V161" s="19">
        <f t="shared" si="17"/>
        <v>0</v>
      </c>
      <c r="W161" s="2"/>
      <c r="X161" s="2">
        <f t="shared" si="18"/>
        <v>95.65</v>
      </c>
      <c r="Y161" s="2"/>
      <c r="Z161" s="19">
        <f t="shared" si="19"/>
        <v>0</v>
      </c>
    </row>
    <row r="162" spans="1:26" s="24" customFormat="1" hidden="1" outlineLevel="1" x14ac:dyDescent="0.25">
      <c r="A162" s="44"/>
      <c r="B162" s="11" t="str">
        <f>CONCATENATE("          ", "5092", " - ", "PURCHASES @ COST-GRAD MERCH")</f>
        <v xml:space="preserve">          5092 - PURCHASES @ COST-GRAD MERCH</v>
      </c>
      <c r="C162" s="11"/>
      <c r="D162" s="2">
        <v>1036.33</v>
      </c>
      <c r="E162" s="2"/>
      <c r="F162" s="19">
        <f t="shared" si="12"/>
        <v>2.9922019635991526E-3</v>
      </c>
      <c r="G162" s="2"/>
      <c r="H162" s="2"/>
      <c r="I162" s="2"/>
      <c r="J162" s="19">
        <f t="shared" si="13"/>
        <v>0</v>
      </c>
      <c r="K162" s="2"/>
      <c r="L162" s="2">
        <f t="shared" si="14"/>
        <v>1036.33</v>
      </c>
      <c r="M162" s="2"/>
      <c r="N162" s="19">
        <f t="shared" si="15"/>
        <v>0</v>
      </c>
      <c r="O162" s="11"/>
      <c r="P162" s="2">
        <v>2946.13</v>
      </c>
      <c r="Q162" s="2"/>
      <c r="R162" s="19">
        <f t="shared" si="16"/>
        <v>2.7697984069093332E-4</v>
      </c>
      <c r="S162" s="2"/>
      <c r="T162" s="2"/>
      <c r="U162" s="2"/>
      <c r="V162" s="19">
        <f t="shared" si="17"/>
        <v>0</v>
      </c>
      <c r="W162" s="2"/>
      <c r="X162" s="2">
        <f t="shared" si="18"/>
        <v>2946.13</v>
      </c>
      <c r="Y162" s="2"/>
      <c r="Z162" s="19">
        <f t="shared" si="19"/>
        <v>0</v>
      </c>
    </row>
    <row r="163" spans="1:26" s="24" customFormat="1" hidden="1" outlineLevel="1" x14ac:dyDescent="0.25">
      <c r="A163" s="44"/>
      <c r="B163" s="11" t="str">
        <f>CONCATENATE("          ", "5095", " - ", "PURCHASES @ COST-CUSTOMER SERV")</f>
        <v xml:space="preserve">          5095 - PURCHASES @ COST-CUSTOMER SERV</v>
      </c>
      <c r="C163" s="11"/>
      <c r="D163" s="2"/>
      <c r="E163" s="2"/>
      <c r="F163" s="19">
        <f t="shared" si="12"/>
        <v>0</v>
      </c>
      <c r="G163" s="2"/>
      <c r="H163" s="2"/>
      <c r="I163" s="2"/>
      <c r="J163" s="19">
        <f t="shared" si="13"/>
        <v>0</v>
      </c>
      <c r="K163" s="2"/>
      <c r="L163" s="2">
        <f t="shared" si="14"/>
        <v>0</v>
      </c>
      <c r="M163" s="2"/>
      <c r="N163" s="19">
        <f t="shared" si="15"/>
        <v>0</v>
      </c>
      <c r="O163" s="11"/>
      <c r="P163" s="2">
        <v>0</v>
      </c>
      <c r="Q163" s="2"/>
      <c r="R163" s="19">
        <f t="shared" si="16"/>
        <v>0</v>
      </c>
      <c r="S163" s="2"/>
      <c r="T163" s="2"/>
      <c r="U163" s="2"/>
      <c r="V163" s="19">
        <f t="shared" si="17"/>
        <v>0</v>
      </c>
      <c r="W163" s="2"/>
      <c r="X163" s="2">
        <f t="shared" si="18"/>
        <v>0</v>
      </c>
      <c r="Y163" s="2"/>
      <c r="Z163" s="19">
        <f t="shared" si="19"/>
        <v>0</v>
      </c>
    </row>
    <row r="164" spans="1:26" s="24" customFormat="1" hidden="1" outlineLevel="1" x14ac:dyDescent="0.25">
      <c r="A164" s="44"/>
      <c r="B164" s="11" t="str">
        <f>CONCATENATE("          ", "5200", " - ", "PURCHASES OFFSET")</f>
        <v xml:space="preserve">          5200 - PURCHASES OFFSET</v>
      </c>
      <c r="C164" s="11"/>
      <c r="D164" s="2">
        <v>593468</v>
      </c>
      <c r="E164" s="2"/>
      <c r="F164" s="19">
        <f t="shared" si="12"/>
        <v>1.7135237954447542</v>
      </c>
      <c r="G164" s="2"/>
      <c r="H164" s="2"/>
      <c r="I164" s="2"/>
      <c r="J164" s="19">
        <f t="shared" si="13"/>
        <v>0</v>
      </c>
      <c r="K164" s="2"/>
      <c r="L164" s="2">
        <f t="shared" si="14"/>
        <v>593468</v>
      </c>
      <c r="M164" s="2"/>
      <c r="N164" s="19">
        <f t="shared" si="15"/>
        <v>0</v>
      </c>
      <c r="O164" s="11"/>
      <c r="P164" s="2">
        <v>-5131493</v>
      </c>
      <c r="Q164" s="2"/>
      <c r="R164" s="19">
        <f t="shared" si="16"/>
        <v>-0.4824363193907395</v>
      </c>
      <c r="S164" s="2"/>
      <c r="T164" s="2"/>
      <c r="U164" s="2"/>
      <c r="V164" s="19">
        <f t="shared" si="17"/>
        <v>0</v>
      </c>
      <c r="W164" s="2"/>
      <c r="X164" s="2">
        <f t="shared" si="18"/>
        <v>-5131493</v>
      </c>
      <c r="Y164" s="2"/>
      <c r="Z164" s="19">
        <f t="shared" si="19"/>
        <v>0</v>
      </c>
    </row>
    <row r="165" spans="1:26" s="24" customFormat="1" hidden="1" outlineLevel="1" x14ac:dyDescent="0.25">
      <c r="A165" s="44"/>
      <c r="B165" s="11" t="str">
        <f>CONCATENATE("          ", "5300", " - ", "COG$ OFFSET")</f>
        <v xml:space="preserve">          5300 - COG$ OFFSET</v>
      </c>
      <c r="C165" s="11"/>
      <c r="D165" s="2">
        <v>200750</v>
      </c>
      <c r="E165" s="2"/>
      <c r="F165" s="19">
        <f t="shared" si="12"/>
        <v>0.57962670596482779</v>
      </c>
      <c r="G165" s="2"/>
      <c r="H165" s="2"/>
      <c r="I165" s="2"/>
      <c r="J165" s="19">
        <f t="shared" si="13"/>
        <v>0</v>
      </c>
      <c r="K165" s="2"/>
      <c r="L165" s="2">
        <f t="shared" si="14"/>
        <v>200750</v>
      </c>
      <c r="M165" s="2"/>
      <c r="N165" s="19">
        <f t="shared" si="15"/>
        <v>0</v>
      </c>
      <c r="O165" s="11"/>
      <c r="P165" s="2">
        <v>5599707.4699999997</v>
      </c>
      <c r="Q165" s="2"/>
      <c r="R165" s="19">
        <f t="shared" si="16"/>
        <v>0.526455412000295</v>
      </c>
      <c r="S165" s="2"/>
      <c r="T165" s="2"/>
      <c r="U165" s="2"/>
      <c r="V165" s="19">
        <f t="shared" si="17"/>
        <v>0</v>
      </c>
      <c r="W165" s="2"/>
      <c r="X165" s="2">
        <f t="shared" si="18"/>
        <v>5599707.4699999997</v>
      </c>
      <c r="Y165" s="2"/>
      <c r="Z165" s="19">
        <f t="shared" si="19"/>
        <v>0</v>
      </c>
    </row>
    <row r="166" spans="1:26" s="24" customFormat="1" hidden="1" outlineLevel="1" x14ac:dyDescent="0.25">
      <c r="A166" s="44"/>
      <c r="B166" s="11" t="str">
        <f>CONCATENATE("          ", "5500", " - ", "FREIGHT-IN")</f>
        <v xml:space="preserve">          5500 - FREIGHT-IN</v>
      </c>
      <c r="C166" s="11"/>
      <c r="D166" s="2"/>
      <c r="E166" s="2"/>
      <c r="F166" s="19">
        <f t="shared" si="12"/>
        <v>0</v>
      </c>
      <c r="G166" s="2"/>
      <c r="H166" s="2"/>
      <c r="I166" s="2"/>
      <c r="J166" s="19">
        <f t="shared" si="13"/>
        <v>0</v>
      </c>
      <c r="K166" s="2"/>
      <c r="L166" s="2">
        <f t="shared" si="14"/>
        <v>0</v>
      </c>
      <c r="M166" s="2"/>
      <c r="N166" s="19">
        <f t="shared" si="15"/>
        <v>0</v>
      </c>
      <c r="O166" s="11"/>
      <c r="P166" s="2">
        <v>156.47999999999999</v>
      </c>
      <c r="Q166" s="2"/>
      <c r="R166" s="19">
        <f t="shared" si="16"/>
        <v>1.4711436858291128E-5</v>
      </c>
      <c r="S166" s="2"/>
      <c r="T166" s="2"/>
      <c r="U166" s="2"/>
      <c r="V166" s="19">
        <f t="shared" si="17"/>
        <v>0</v>
      </c>
      <c r="W166" s="2"/>
      <c r="X166" s="2">
        <f t="shared" si="18"/>
        <v>156.47999999999999</v>
      </c>
      <c r="Y166" s="2"/>
      <c r="Z166" s="19">
        <f t="shared" si="19"/>
        <v>0</v>
      </c>
    </row>
    <row r="167" spans="1:26" s="24" customFormat="1" hidden="1" outlineLevel="1" x14ac:dyDescent="0.25">
      <c r="A167" s="44"/>
      <c r="B167" s="11" t="str">
        <f>CONCATENATE("          ", "5501", " - ", "FREIGHT-IN-NEW TEXT")</f>
        <v xml:space="preserve">          5501 - FREIGHT-IN-NEW TEXT</v>
      </c>
      <c r="C167" s="11"/>
      <c r="D167" s="2">
        <v>1315.81</v>
      </c>
      <c r="E167" s="2"/>
      <c r="F167" s="19">
        <f t="shared" si="12"/>
        <v>3.7991462813229387E-3</v>
      </c>
      <c r="G167" s="2"/>
      <c r="H167" s="2"/>
      <c r="I167" s="2"/>
      <c r="J167" s="19">
        <f t="shared" si="13"/>
        <v>0</v>
      </c>
      <c r="K167" s="2"/>
      <c r="L167" s="2">
        <f t="shared" si="14"/>
        <v>1315.81</v>
      </c>
      <c r="M167" s="2"/>
      <c r="N167" s="19">
        <f t="shared" si="15"/>
        <v>0</v>
      </c>
      <c r="O167" s="11"/>
      <c r="P167" s="2">
        <v>67340.55</v>
      </c>
      <c r="Q167" s="2"/>
      <c r="R167" s="19">
        <f t="shared" si="16"/>
        <v>6.3310087508154185E-3</v>
      </c>
      <c r="S167" s="2"/>
      <c r="T167" s="2"/>
      <c r="U167" s="2"/>
      <c r="V167" s="19">
        <f t="shared" si="17"/>
        <v>0</v>
      </c>
      <c r="W167" s="2"/>
      <c r="X167" s="2">
        <f t="shared" si="18"/>
        <v>67340.55</v>
      </c>
      <c r="Y167" s="2"/>
      <c r="Z167" s="19">
        <f t="shared" si="19"/>
        <v>0</v>
      </c>
    </row>
    <row r="168" spans="1:26" s="24" customFormat="1" hidden="1" outlineLevel="1" x14ac:dyDescent="0.25">
      <c r="A168" s="44"/>
      <c r="B168" s="11" t="str">
        <f>CONCATENATE("          ", "5502", " - ", "FREIGHT-IN-USED TEXT")</f>
        <v xml:space="preserve">          5502 - FREIGHT-IN-USED TEXT</v>
      </c>
      <c r="C168" s="11"/>
      <c r="D168" s="2">
        <v>506.55</v>
      </c>
      <c r="E168" s="2"/>
      <c r="F168" s="19">
        <f t="shared" si="12"/>
        <v>1.4625649210783737E-3</v>
      </c>
      <c r="G168" s="2"/>
      <c r="H168" s="2"/>
      <c r="I168" s="2"/>
      <c r="J168" s="19">
        <f t="shared" si="13"/>
        <v>0</v>
      </c>
      <c r="K168" s="2"/>
      <c r="L168" s="2">
        <f t="shared" si="14"/>
        <v>506.55</v>
      </c>
      <c r="M168" s="2"/>
      <c r="N168" s="19">
        <f t="shared" si="15"/>
        <v>0</v>
      </c>
      <c r="O168" s="11"/>
      <c r="P168" s="2">
        <v>15264.64</v>
      </c>
      <c r="Q168" s="2"/>
      <c r="R168" s="19">
        <f t="shared" si="16"/>
        <v>1.4351021697631972E-3</v>
      </c>
      <c r="S168" s="2"/>
      <c r="T168" s="2"/>
      <c r="U168" s="2"/>
      <c r="V168" s="19">
        <f t="shared" si="17"/>
        <v>0</v>
      </c>
      <c r="W168" s="2"/>
      <c r="X168" s="2">
        <f t="shared" si="18"/>
        <v>15264.64</v>
      </c>
      <c r="Y168" s="2"/>
      <c r="Z168" s="19">
        <f t="shared" si="19"/>
        <v>0</v>
      </c>
    </row>
    <row r="169" spans="1:26" s="24" customFormat="1" hidden="1" outlineLevel="1" x14ac:dyDescent="0.25">
      <c r="A169" s="44"/>
      <c r="B169" s="11" t="str">
        <f>CONCATENATE("          ", "5504", " - ", "FREIGHT-IN-DIGITAL TEXT")</f>
        <v xml:space="preserve">          5504 - FREIGHT-IN-DIGITAL TEXT</v>
      </c>
      <c r="C169" s="11"/>
      <c r="D169" s="2">
        <v>12.78</v>
      </c>
      <c r="E169" s="2"/>
      <c r="F169" s="19">
        <f t="shared" si="12"/>
        <v>3.6899772364784549E-5</v>
      </c>
      <c r="G169" s="2"/>
      <c r="H169" s="2"/>
      <c r="I169" s="2"/>
      <c r="J169" s="19">
        <f t="shared" si="13"/>
        <v>0</v>
      </c>
      <c r="K169" s="2"/>
      <c r="L169" s="2">
        <f t="shared" si="14"/>
        <v>12.78</v>
      </c>
      <c r="M169" s="2"/>
      <c r="N169" s="19">
        <f t="shared" si="15"/>
        <v>0</v>
      </c>
      <c r="O169" s="11"/>
      <c r="P169" s="2">
        <v>118.75</v>
      </c>
      <c r="Q169" s="2"/>
      <c r="R169" s="19">
        <f t="shared" si="16"/>
        <v>1.1164258224195243E-5</v>
      </c>
      <c r="S169" s="2"/>
      <c r="T169" s="2"/>
      <c r="U169" s="2"/>
      <c r="V169" s="19">
        <f t="shared" si="17"/>
        <v>0</v>
      </c>
      <c r="W169" s="2"/>
      <c r="X169" s="2">
        <f t="shared" si="18"/>
        <v>118.75</v>
      </c>
      <c r="Y169" s="2"/>
      <c r="Z169" s="19">
        <f t="shared" si="19"/>
        <v>0</v>
      </c>
    </row>
    <row r="170" spans="1:26" s="24" customFormat="1" hidden="1" outlineLevel="1" x14ac:dyDescent="0.25">
      <c r="A170" s="44"/>
      <c r="B170" s="11" t="str">
        <f>CONCATENATE("          ", "5513", " - ", "FREIGHT-IN-TRADE BOOKS")</f>
        <v xml:space="preserve">          5513 - FREIGHT-IN-TRADE BOOKS</v>
      </c>
      <c r="C170" s="11"/>
      <c r="D170" s="2">
        <v>8.83</v>
      </c>
      <c r="E170" s="2"/>
      <c r="F170" s="19">
        <f t="shared" si="12"/>
        <v>2.5494913144056931E-5</v>
      </c>
      <c r="G170" s="2"/>
      <c r="H170" s="2"/>
      <c r="I170" s="2"/>
      <c r="J170" s="19">
        <f t="shared" si="13"/>
        <v>0</v>
      </c>
      <c r="K170" s="2"/>
      <c r="L170" s="2">
        <f t="shared" si="14"/>
        <v>8.83</v>
      </c>
      <c r="M170" s="2"/>
      <c r="N170" s="19">
        <f t="shared" si="15"/>
        <v>0</v>
      </c>
      <c r="O170" s="11"/>
      <c r="P170" s="2">
        <v>30.24</v>
      </c>
      <c r="Q170" s="2"/>
      <c r="R170" s="19">
        <f t="shared" si="16"/>
        <v>2.843007736418224E-6</v>
      </c>
      <c r="S170" s="2"/>
      <c r="T170" s="2"/>
      <c r="U170" s="2"/>
      <c r="V170" s="19">
        <f t="shared" si="17"/>
        <v>0</v>
      </c>
      <c r="W170" s="2"/>
      <c r="X170" s="2">
        <f t="shared" si="18"/>
        <v>30.24</v>
      </c>
      <c r="Y170" s="2"/>
      <c r="Z170" s="19">
        <f t="shared" si="19"/>
        <v>0</v>
      </c>
    </row>
    <row r="171" spans="1:26" s="24" customFormat="1" hidden="1" outlineLevel="1" x14ac:dyDescent="0.25">
      <c r="A171" s="44"/>
      <c r="B171" s="11" t="str">
        <f>CONCATENATE("          ", "5518", " - ", "FREIGHT-IN-STUDY GUIDES")</f>
        <v xml:space="preserve">          5518 - FREIGHT-IN-STUDY GUIDES</v>
      </c>
      <c r="C171" s="11"/>
      <c r="D171" s="2"/>
      <c r="E171" s="2"/>
      <c r="F171" s="19">
        <f t="shared" si="12"/>
        <v>0</v>
      </c>
      <c r="G171" s="2"/>
      <c r="H171" s="2"/>
      <c r="I171" s="2"/>
      <c r="J171" s="19">
        <f t="shared" si="13"/>
        <v>0</v>
      </c>
      <c r="K171" s="2"/>
      <c r="L171" s="2">
        <f t="shared" si="14"/>
        <v>0</v>
      </c>
      <c r="M171" s="2"/>
      <c r="N171" s="19">
        <f t="shared" si="15"/>
        <v>0</v>
      </c>
      <c r="O171" s="11"/>
      <c r="P171" s="2">
        <v>21.13</v>
      </c>
      <c r="Q171" s="2"/>
      <c r="R171" s="19">
        <f t="shared" si="16"/>
        <v>1.9865328528610146E-6</v>
      </c>
      <c r="S171" s="2"/>
      <c r="T171" s="2"/>
      <c r="U171" s="2"/>
      <c r="V171" s="19">
        <f t="shared" si="17"/>
        <v>0</v>
      </c>
      <c r="W171" s="2"/>
      <c r="X171" s="2">
        <f t="shared" si="18"/>
        <v>21.13</v>
      </c>
      <c r="Y171" s="2"/>
      <c r="Z171" s="19">
        <f t="shared" si="19"/>
        <v>0</v>
      </c>
    </row>
    <row r="172" spans="1:26" s="24" customFormat="1" hidden="1" outlineLevel="1" x14ac:dyDescent="0.25">
      <c r="A172" s="44"/>
      <c r="B172" s="11" t="str">
        <f>CONCATENATE("          ", "5525", " - ", "FREIGHT-IN-TEST FORMS")</f>
        <v xml:space="preserve">          5525 - FREIGHT-IN-TEST FORMS</v>
      </c>
      <c r="C172" s="11"/>
      <c r="D172" s="2">
        <v>82.2</v>
      </c>
      <c r="E172" s="2"/>
      <c r="F172" s="19">
        <f t="shared" si="12"/>
        <v>2.3733656403640769E-4</v>
      </c>
      <c r="G172" s="2"/>
      <c r="H172" s="2"/>
      <c r="I172" s="2"/>
      <c r="J172" s="19">
        <f t="shared" si="13"/>
        <v>0</v>
      </c>
      <c r="K172" s="2"/>
      <c r="L172" s="2">
        <f t="shared" si="14"/>
        <v>82.2</v>
      </c>
      <c r="M172" s="2"/>
      <c r="N172" s="19">
        <f t="shared" si="15"/>
        <v>0</v>
      </c>
      <c r="O172" s="11"/>
      <c r="P172" s="2">
        <v>1237.22</v>
      </c>
      <c r="Q172" s="2"/>
      <c r="R172" s="19">
        <f t="shared" si="16"/>
        <v>1.1631699840116917E-4</v>
      </c>
      <c r="S172" s="2"/>
      <c r="T172" s="2"/>
      <c r="U172" s="2"/>
      <c r="V172" s="19">
        <f t="shared" si="17"/>
        <v>0</v>
      </c>
      <c r="W172" s="2"/>
      <c r="X172" s="2">
        <f t="shared" si="18"/>
        <v>1237.22</v>
      </c>
      <c r="Y172" s="2"/>
      <c r="Z172" s="19">
        <f t="shared" si="19"/>
        <v>0</v>
      </c>
    </row>
    <row r="173" spans="1:26" s="24" customFormat="1" hidden="1" outlineLevel="1" x14ac:dyDescent="0.25">
      <c r="A173" s="44"/>
      <c r="B173" s="11" t="str">
        <f>CONCATENATE("          ", "5526", " - ", "FREIGHT-IN-WRITING INSTRUMENTS")</f>
        <v xml:space="preserve">          5526 - FREIGHT-IN-WRITING INSTRUMENTS</v>
      </c>
      <c r="C173" s="11"/>
      <c r="D173" s="2"/>
      <c r="E173" s="2"/>
      <c r="F173" s="19">
        <f t="shared" si="12"/>
        <v>0</v>
      </c>
      <c r="G173" s="2"/>
      <c r="H173" s="2"/>
      <c r="I173" s="2"/>
      <c r="J173" s="19">
        <f t="shared" si="13"/>
        <v>0</v>
      </c>
      <c r="K173" s="2"/>
      <c r="L173" s="2">
        <f t="shared" si="14"/>
        <v>0</v>
      </c>
      <c r="M173" s="2"/>
      <c r="N173" s="19">
        <f t="shared" si="15"/>
        <v>0</v>
      </c>
      <c r="O173" s="11"/>
      <c r="P173" s="2">
        <v>260.35000000000002</v>
      </c>
      <c r="Q173" s="2"/>
      <c r="R173" s="19">
        <f t="shared" si="16"/>
        <v>2.4476754767740899E-5</v>
      </c>
      <c r="S173" s="2"/>
      <c r="T173" s="2"/>
      <c r="U173" s="2"/>
      <c r="V173" s="19">
        <f t="shared" si="17"/>
        <v>0</v>
      </c>
      <c r="W173" s="2"/>
      <c r="X173" s="2">
        <f t="shared" si="18"/>
        <v>260.35000000000002</v>
      </c>
      <c r="Y173" s="2"/>
      <c r="Z173" s="19">
        <f t="shared" si="19"/>
        <v>0</v>
      </c>
    </row>
    <row r="174" spans="1:26" s="24" customFormat="1" hidden="1" outlineLevel="1" x14ac:dyDescent="0.25">
      <c r="A174" s="44"/>
      <c r="B174" s="11" t="str">
        <f>CONCATENATE("          ", "5527", " - ", "FREIGHT-IN-SCHOOL SUPPLIES")</f>
        <v xml:space="preserve">          5527 - FREIGHT-IN-SCHOOL SUPPLIES</v>
      </c>
      <c r="C174" s="11"/>
      <c r="D174" s="2">
        <v>407.31</v>
      </c>
      <c r="E174" s="2"/>
      <c r="F174" s="19">
        <f t="shared" si="12"/>
        <v>1.1760286605555865E-3</v>
      </c>
      <c r="G174" s="2"/>
      <c r="H174" s="2"/>
      <c r="I174" s="2"/>
      <c r="J174" s="19">
        <f t="shared" si="13"/>
        <v>0</v>
      </c>
      <c r="K174" s="2"/>
      <c r="L174" s="2">
        <f t="shared" si="14"/>
        <v>407.31</v>
      </c>
      <c r="M174" s="2"/>
      <c r="N174" s="19">
        <f t="shared" si="15"/>
        <v>0</v>
      </c>
      <c r="O174" s="11"/>
      <c r="P174" s="2">
        <v>2058.91</v>
      </c>
      <c r="Q174" s="2"/>
      <c r="R174" s="19">
        <f t="shared" si="16"/>
        <v>1.9356802442423431E-4</v>
      </c>
      <c r="S174" s="2"/>
      <c r="T174" s="2"/>
      <c r="U174" s="2"/>
      <c r="V174" s="19">
        <f t="shared" si="17"/>
        <v>0</v>
      </c>
      <c r="W174" s="2"/>
      <c r="X174" s="2">
        <f t="shared" si="18"/>
        <v>2058.91</v>
      </c>
      <c r="Y174" s="2"/>
      <c r="Z174" s="19">
        <f t="shared" si="19"/>
        <v>0</v>
      </c>
    </row>
    <row r="175" spans="1:26" s="24" customFormat="1" hidden="1" outlineLevel="1" x14ac:dyDescent="0.25">
      <c r="A175" s="44"/>
      <c r="B175" s="11" t="str">
        <f>CONCATENATE("          ", "5528", " - ", "FREIGHT-IN-ART/TECH")</f>
        <v xml:space="preserve">          5528 - FREIGHT-IN-ART/TECH</v>
      </c>
      <c r="C175" s="11"/>
      <c r="D175" s="2">
        <v>771.27</v>
      </c>
      <c r="E175" s="2"/>
      <c r="F175" s="19">
        <f t="shared" si="12"/>
        <v>2.226892600296352E-3</v>
      </c>
      <c r="G175" s="2"/>
      <c r="H175" s="2"/>
      <c r="I175" s="2"/>
      <c r="J175" s="19">
        <f t="shared" si="13"/>
        <v>0</v>
      </c>
      <c r="K175" s="2"/>
      <c r="L175" s="2">
        <f t="shared" si="14"/>
        <v>771.27</v>
      </c>
      <c r="M175" s="2"/>
      <c r="N175" s="19">
        <f t="shared" si="15"/>
        <v>0</v>
      </c>
      <c r="O175" s="11"/>
      <c r="P175" s="2">
        <v>2267.52</v>
      </c>
      <c r="Q175" s="2"/>
      <c r="R175" s="19">
        <f t="shared" si="16"/>
        <v>2.1318045312443954E-4</v>
      </c>
      <c r="S175" s="2"/>
      <c r="T175" s="2"/>
      <c r="U175" s="2"/>
      <c r="V175" s="19">
        <f t="shared" si="17"/>
        <v>0</v>
      </c>
      <c r="W175" s="2"/>
      <c r="X175" s="2">
        <f t="shared" si="18"/>
        <v>2267.52</v>
      </c>
      <c r="Y175" s="2"/>
      <c r="Z175" s="19">
        <f t="shared" si="19"/>
        <v>0</v>
      </c>
    </row>
    <row r="176" spans="1:26" s="24" customFormat="1" hidden="1" outlineLevel="1" x14ac:dyDescent="0.25">
      <c r="A176" s="44"/>
      <c r="B176" s="11" t="str">
        <f>CONCATENATE("          ", "5540", " - ", "FREIGHT-IN-LOGO CLOTHING")</f>
        <v xml:space="preserve">          5540 - FREIGHT-IN-LOGO CLOTHING</v>
      </c>
      <c r="C176" s="11"/>
      <c r="D176" s="2">
        <v>2177.09</v>
      </c>
      <c r="E176" s="2"/>
      <c r="F176" s="19">
        <f t="shared" si="12"/>
        <v>6.2859253065452895E-3</v>
      </c>
      <c r="G176" s="2"/>
      <c r="H176" s="2"/>
      <c r="I176" s="2"/>
      <c r="J176" s="19">
        <f t="shared" si="13"/>
        <v>0</v>
      </c>
      <c r="K176" s="2"/>
      <c r="L176" s="2">
        <f t="shared" si="14"/>
        <v>2177.09</v>
      </c>
      <c r="M176" s="2"/>
      <c r="N176" s="19">
        <f t="shared" si="15"/>
        <v>0</v>
      </c>
      <c r="O176" s="11"/>
      <c r="P176" s="2">
        <v>30658.390000000003</v>
      </c>
      <c r="Q176" s="2"/>
      <c r="R176" s="19">
        <f t="shared" si="16"/>
        <v>2.8823425911417701E-3</v>
      </c>
      <c r="S176" s="2"/>
      <c r="T176" s="2"/>
      <c r="U176" s="2"/>
      <c r="V176" s="19">
        <f t="shared" si="17"/>
        <v>0</v>
      </c>
      <c r="W176" s="2"/>
      <c r="X176" s="2">
        <f t="shared" si="18"/>
        <v>30658.390000000003</v>
      </c>
      <c r="Y176" s="2"/>
      <c r="Z176" s="19">
        <f t="shared" si="19"/>
        <v>0</v>
      </c>
    </row>
    <row r="177" spans="1:26" s="24" customFormat="1" hidden="1" outlineLevel="1" x14ac:dyDescent="0.25">
      <c r="A177" s="44"/>
      <c r="B177" s="11" t="str">
        <f>CONCATENATE("          ", "5541", " - ", "FREIGHT-IN-LOGO GIFTS")</f>
        <v xml:space="preserve">          5541 - FREIGHT-IN-LOGO GIFTS</v>
      </c>
      <c r="C177" s="11"/>
      <c r="D177" s="2">
        <v>622.03</v>
      </c>
      <c r="E177" s="2"/>
      <c r="F177" s="19">
        <f t="shared" si="12"/>
        <v>1.795991033182076E-3</v>
      </c>
      <c r="G177" s="2"/>
      <c r="H177" s="2"/>
      <c r="I177" s="2"/>
      <c r="J177" s="19">
        <f t="shared" si="13"/>
        <v>0</v>
      </c>
      <c r="K177" s="2"/>
      <c r="L177" s="2">
        <f t="shared" si="14"/>
        <v>622.03</v>
      </c>
      <c r="M177" s="2"/>
      <c r="N177" s="19">
        <f t="shared" si="15"/>
        <v>0</v>
      </c>
      <c r="O177" s="11"/>
      <c r="P177" s="2">
        <v>4695.95</v>
      </c>
      <c r="Q177" s="2"/>
      <c r="R177" s="19">
        <f t="shared" si="16"/>
        <v>4.4148882869818649E-4</v>
      </c>
      <c r="S177" s="2"/>
      <c r="T177" s="2"/>
      <c r="U177" s="2"/>
      <c r="V177" s="19">
        <f t="shared" si="17"/>
        <v>0</v>
      </c>
      <c r="W177" s="2"/>
      <c r="X177" s="2">
        <f t="shared" si="18"/>
        <v>4695.95</v>
      </c>
      <c r="Y177" s="2"/>
      <c r="Z177" s="19">
        <f t="shared" si="19"/>
        <v>0</v>
      </c>
    </row>
    <row r="178" spans="1:26" s="24" customFormat="1" hidden="1" outlineLevel="1" x14ac:dyDescent="0.25">
      <c r="A178" s="44"/>
      <c r="B178" s="11" t="str">
        <f>CONCATENATE("          ", "5542", " - ", "FREIGHT-IN-EVERYDAY GIFTS")</f>
        <v xml:space="preserve">          5542 - FREIGHT-IN-EVERYDAY GIFTS</v>
      </c>
      <c r="C178" s="11"/>
      <c r="D178" s="2">
        <v>42.24</v>
      </c>
      <c r="E178" s="2"/>
      <c r="F178" s="19">
        <f t="shared" si="12"/>
        <v>1.2195981100848979E-4</v>
      </c>
      <c r="G178" s="2"/>
      <c r="H178" s="2"/>
      <c r="I178" s="2"/>
      <c r="J178" s="19">
        <f t="shared" si="13"/>
        <v>0</v>
      </c>
      <c r="K178" s="2"/>
      <c r="L178" s="2">
        <f t="shared" si="14"/>
        <v>42.24</v>
      </c>
      <c r="M178" s="2"/>
      <c r="N178" s="19">
        <f t="shared" si="15"/>
        <v>0</v>
      </c>
      <c r="O178" s="11"/>
      <c r="P178" s="2">
        <v>1793.94</v>
      </c>
      <c r="Q178" s="2"/>
      <c r="R178" s="19">
        <f t="shared" si="16"/>
        <v>1.6865692125231843E-4</v>
      </c>
      <c r="S178" s="2"/>
      <c r="T178" s="2"/>
      <c r="U178" s="2"/>
      <c r="V178" s="19">
        <f t="shared" si="17"/>
        <v>0</v>
      </c>
      <c r="W178" s="2"/>
      <c r="X178" s="2">
        <f t="shared" si="18"/>
        <v>1793.94</v>
      </c>
      <c r="Y178" s="2"/>
      <c r="Z178" s="19">
        <f t="shared" si="19"/>
        <v>0</v>
      </c>
    </row>
    <row r="179" spans="1:26" s="24" customFormat="1" hidden="1" outlineLevel="1" x14ac:dyDescent="0.25">
      <c r="A179" s="44"/>
      <c r="B179" s="11" t="str">
        <f>CONCATENATE("          ", "5543", " - ", "FREIGHT-IN-CARDS")</f>
        <v xml:space="preserve">          5543 - FREIGHT-IN-CARDS</v>
      </c>
      <c r="C179" s="11"/>
      <c r="D179" s="2">
        <v>25.64</v>
      </c>
      <c r="E179" s="2"/>
      <c r="F179" s="19">
        <f t="shared" si="12"/>
        <v>7.4030529220115479E-5</v>
      </c>
      <c r="G179" s="2"/>
      <c r="H179" s="2"/>
      <c r="I179" s="2"/>
      <c r="J179" s="19">
        <f t="shared" si="13"/>
        <v>0</v>
      </c>
      <c r="K179" s="2"/>
      <c r="L179" s="2">
        <f t="shared" si="14"/>
        <v>25.64</v>
      </c>
      <c r="M179" s="2"/>
      <c r="N179" s="19">
        <f t="shared" si="15"/>
        <v>0</v>
      </c>
      <c r="O179" s="11"/>
      <c r="P179" s="2">
        <v>2926.76</v>
      </c>
      <c r="Q179" s="2"/>
      <c r="R179" s="19">
        <f t="shared" si="16"/>
        <v>2.7515877389680565E-4</v>
      </c>
      <c r="S179" s="2"/>
      <c r="T179" s="2"/>
      <c r="U179" s="2"/>
      <c r="V179" s="19">
        <f t="shared" si="17"/>
        <v>0</v>
      </c>
      <c r="W179" s="2"/>
      <c r="X179" s="2">
        <f t="shared" si="18"/>
        <v>2926.76</v>
      </c>
      <c r="Y179" s="2"/>
      <c r="Z179" s="19">
        <f t="shared" si="19"/>
        <v>0</v>
      </c>
    </row>
    <row r="180" spans="1:26" s="24" customFormat="1" hidden="1" outlineLevel="1" x14ac:dyDescent="0.25">
      <c r="A180" s="44"/>
      <c r="B180" s="11" t="str">
        <f>CONCATENATE("          ", "5544", " - ", "FREIGHT-IN-ACCESSORIES")</f>
        <v xml:space="preserve">          5544 - FREIGHT-IN-ACCESSORIES</v>
      </c>
      <c r="C180" s="11"/>
      <c r="D180" s="2"/>
      <c r="E180" s="2"/>
      <c r="F180" s="19">
        <f t="shared" si="12"/>
        <v>0</v>
      </c>
      <c r="G180" s="2"/>
      <c r="H180" s="2"/>
      <c r="I180" s="2"/>
      <c r="J180" s="19">
        <f t="shared" si="13"/>
        <v>0</v>
      </c>
      <c r="K180" s="2"/>
      <c r="L180" s="2">
        <f t="shared" si="14"/>
        <v>0</v>
      </c>
      <c r="M180" s="2"/>
      <c r="N180" s="19">
        <f t="shared" si="15"/>
        <v>0</v>
      </c>
      <c r="O180" s="11"/>
      <c r="P180" s="2">
        <v>483.44</v>
      </c>
      <c r="Q180" s="2"/>
      <c r="R180" s="19">
        <f t="shared" si="16"/>
        <v>4.5450517860252192E-5</v>
      </c>
      <c r="S180" s="2"/>
      <c r="T180" s="2"/>
      <c r="U180" s="2"/>
      <c r="V180" s="19">
        <f t="shared" si="17"/>
        <v>0</v>
      </c>
      <c r="W180" s="2"/>
      <c r="X180" s="2">
        <f t="shared" si="18"/>
        <v>483.44</v>
      </c>
      <c r="Y180" s="2"/>
      <c r="Z180" s="19">
        <f t="shared" si="19"/>
        <v>0</v>
      </c>
    </row>
    <row r="181" spans="1:26" s="24" customFormat="1" hidden="1" outlineLevel="1" x14ac:dyDescent="0.25">
      <c r="A181" s="44"/>
      <c r="B181" s="11" t="str">
        <f>CONCATENATE("          ", "5545", " - ", "FREIGHT-IN-SPECIAL ORDERS")</f>
        <v xml:space="preserve">          5545 - FREIGHT-IN-SPECIAL ORDERS</v>
      </c>
      <c r="C181" s="11"/>
      <c r="D181" s="2">
        <v>28.68</v>
      </c>
      <c r="E181" s="2"/>
      <c r="F181" s="19">
        <f t="shared" si="12"/>
        <v>8.2807939860878003E-5</v>
      </c>
      <c r="G181" s="2"/>
      <c r="H181" s="2"/>
      <c r="I181" s="2"/>
      <c r="J181" s="19">
        <f t="shared" si="13"/>
        <v>0</v>
      </c>
      <c r="K181" s="2"/>
      <c r="L181" s="2">
        <f t="shared" si="14"/>
        <v>28.68</v>
      </c>
      <c r="M181" s="2"/>
      <c r="N181" s="19">
        <f t="shared" si="15"/>
        <v>0</v>
      </c>
      <c r="O181" s="11"/>
      <c r="P181" s="2">
        <v>875.07</v>
      </c>
      <c r="Q181" s="2"/>
      <c r="R181" s="19">
        <f t="shared" si="16"/>
        <v>8.2269536372602374E-5</v>
      </c>
      <c r="S181" s="2"/>
      <c r="T181" s="2"/>
      <c r="U181" s="2"/>
      <c r="V181" s="19">
        <f t="shared" si="17"/>
        <v>0</v>
      </c>
      <c r="W181" s="2"/>
      <c r="X181" s="2">
        <f t="shared" si="18"/>
        <v>875.07</v>
      </c>
      <c r="Y181" s="2"/>
      <c r="Z181" s="19">
        <f t="shared" si="19"/>
        <v>0</v>
      </c>
    </row>
    <row r="182" spans="1:26" s="24" customFormat="1" hidden="1" outlineLevel="1" x14ac:dyDescent="0.25">
      <c r="A182" s="44"/>
      <c r="B182" s="11" t="str">
        <f>CONCATENATE("          ", "5581", " - ", "FREIGHT-IN-ELECTRONICS")</f>
        <v xml:space="preserve">          5581 - FREIGHT-IN-ELECTRONICS</v>
      </c>
      <c r="C182" s="11"/>
      <c r="D182" s="2"/>
      <c r="E182" s="2"/>
      <c r="F182" s="19">
        <f t="shared" si="12"/>
        <v>0</v>
      </c>
      <c r="G182" s="2"/>
      <c r="H182" s="2"/>
      <c r="I182" s="2"/>
      <c r="J182" s="19">
        <f t="shared" si="13"/>
        <v>0</v>
      </c>
      <c r="K182" s="2"/>
      <c r="L182" s="2">
        <f t="shared" si="14"/>
        <v>0</v>
      </c>
      <c r="M182" s="2"/>
      <c r="N182" s="19">
        <f t="shared" si="15"/>
        <v>0</v>
      </c>
      <c r="O182" s="11"/>
      <c r="P182" s="2">
        <v>105.75</v>
      </c>
      <c r="Q182" s="2"/>
      <c r="R182" s="19">
        <f t="shared" si="16"/>
        <v>9.9420657449149213E-6</v>
      </c>
      <c r="S182" s="2"/>
      <c r="T182" s="2"/>
      <c r="U182" s="2"/>
      <c r="V182" s="19">
        <f t="shared" si="17"/>
        <v>0</v>
      </c>
      <c r="W182" s="2"/>
      <c r="X182" s="2">
        <f t="shared" si="18"/>
        <v>105.75</v>
      </c>
      <c r="Y182" s="2"/>
      <c r="Z182" s="19">
        <f t="shared" si="19"/>
        <v>0</v>
      </c>
    </row>
    <row r="183" spans="1:26" s="24" customFormat="1" hidden="1" outlineLevel="1" x14ac:dyDescent="0.25">
      <c r="A183" s="44"/>
      <c r="B183" s="11" t="str">
        <f>CONCATENATE("          ", "5582", " - ", "FREIGHT-IN-COMPUTER HARDWARE")</f>
        <v xml:space="preserve">          5582 - FREIGHT-IN-COMPUTER HARDWARE</v>
      </c>
      <c r="C183" s="11"/>
      <c r="D183" s="2">
        <v>149.46</v>
      </c>
      <c r="E183" s="2"/>
      <c r="F183" s="19">
        <f t="shared" si="12"/>
        <v>4.315367744632785E-4</v>
      </c>
      <c r="G183" s="2"/>
      <c r="H183" s="2"/>
      <c r="I183" s="2"/>
      <c r="J183" s="19">
        <f t="shared" si="13"/>
        <v>0</v>
      </c>
      <c r="K183" s="2"/>
      <c r="L183" s="2">
        <f t="shared" si="14"/>
        <v>149.46</v>
      </c>
      <c r="M183" s="2"/>
      <c r="N183" s="19">
        <f t="shared" si="15"/>
        <v>0</v>
      </c>
      <c r="O183" s="11"/>
      <c r="P183" s="2">
        <v>154.30000000000001</v>
      </c>
      <c r="Q183" s="2"/>
      <c r="R183" s="19">
        <f t="shared" si="16"/>
        <v>1.450648458099643E-5</v>
      </c>
      <c r="S183" s="2"/>
      <c r="T183" s="2"/>
      <c r="U183" s="2"/>
      <c r="V183" s="19">
        <f t="shared" si="17"/>
        <v>0</v>
      </c>
      <c r="W183" s="2"/>
      <c r="X183" s="2">
        <f t="shared" si="18"/>
        <v>154.30000000000001</v>
      </c>
      <c r="Y183" s="2"/>
      <c r="Z183" s="19">
        <f t="shared" si="19"/>
        <v>0</v>
      </c>
    </row>
    <row r="184" spans="1:26" s="24" customFormat="1" hidden="1" outlineLevel="1" x14ac:dyDescent="0.25">
      <c r="A184" s="44"/>
      <c r="B184" s="11" t="str">
        <f>CONCATENATE("          ", "5583", " - ", "FREIGHT-IN-COMPUTER EQUIPMENT")</f>
        <v xml:space="preserve">          5583 - FREIGHT-IN-COMPUTER EQUIPMENT</v>
      </c>
      <c r="C184" s="11"/>
      <c r="D184" s="2"/>
      <c r="E184" s="2"/>
      <c r="F184" s="19">
        <f t="shared" si="12"/>
        <v>0</v>
      </c>
      <c r="G184" s="2"/>
      <c r="H184" s="2"/>
      <c r="I184" s="2"/>
      <c r="J184" s="19">
        <f t="shared" si="13"/>
        <v>0</v>
      </c>
      <c r="K184" s="2"/>
      <c r="L184" s="2">
        <f t="shared" si="14"/>
        <v>0</v>
      </c>
      <c r="M184" s="2"/>
      <c r="N184" s="19">
        <f t="shared" si="15"/>
        <v>0</v>
      </c>
      <c r="O184" s="11"/>
      <c r="P184" s="2">
        <v>57.5</v>
      </c>
      <c r="Q184" s="2"/>
      <c r="R184" s="19">
        <f t="shared" si="16"/>
        <v>5.4058513506629593E-6</v>
      </c>
      <c r="S184" s="2"/>
      <c r="T184" s="2"/>
      <c r="U184" s="2"/>
      <c r="V184" s="19">
        <f t="shared" si="17"/>
        <v>0</v>
      </c>
      <c r="W184" s="2"/>
      <c r="X184" s="2">
        <f t="shared" si="18"/>
        <v>57.5</v>
      </c>
      <c r="Y184" s="2"/>
      <c r="Z184" s="19">
        <f t="shared" si="19"/>
        <v>0</v>
      </c>
    </row>
    <row r="185" spans="1:26" s="24" customFormat="1" hidden="1" outlineLevel="1" x14ac:dyDescent="0.25">
      <c r="A185" s="44"/>
      <c r="B185" s="11" t="str">
        <f>CONCATENATE("          ", "5586", " - ", "FREIGHT-IN-COMPUTER SUPPLIES")</f>
        <v xml:space="preserve">          5586 - FREIGHT-IN-COMPUTER SUPPLIES</v>
      </c>
      <c r="C185" s="11"/>
      <c r="D185" s="2">
        <v>30.96</v>
      </c>
      <c r="E185" s="2"/>
      <c r="F185" s="19">
        <f t="shared" si="12"/>
        <v>8.9390997841449899E-5</v>
      </c>
      <c r="G185" s="2"/>
      <c r="H185" s="2"/>
      <c r="I185" s="2"/>
      <c r="J185" s="19">
        <f t="shared" si="13"/>
        <v>0</v>
      </c>
      <c r="K185" s="2"/>
      <c r="L185" s="2">
        <f t="shared" si="14"/>
        <v>30.96</v>
      </c>
      <c r="M185" s="2"/>
      <c r="N185" s="19">
        <f t="shared" si="15"/>
        <v>0</v>
      </c>
      <c r="O185" s="11"/>
      <c r="P185" s="2">
        <v>301.27</v>
      </c>
      <c r="Q185" s="2"/>
      <c r="R185" s="19">
        <f t="shared" si="16"/>
        <v>2.832384063329095E-5</v>
      </c>
      <c r="S185" s="2"/>
      <c r="T185" s="2"/>
      <c r="U185" s="2"/>
      <c r="V185" s="19">
        <f t="shared" si="17"/>
        <v>0</v>
      </c>
      <c r="W185" s="2"/>
      <c r="X185" s="2">
        <f t="shared" si="18"/>
        <v>301.27</v>
      </c>
      <c r="Y185" s="2"/>
      <c r="Z185" s="19">
        <f t="shared" si="19"/>
        <v>0</v>
      </c>
    </row>
    <row r="186" spans="1:26" s="24" customFormat="1" hidden="1" outlineLevel="1" x14ac:dyDescent="0.25">
      <c r="A186" s="44"/>
      <c r="B186" s="11" t="str">
        <f>CONCATENATE("          ", "5592", " - ", "FREIGHT-IN-GRAD MERCH")</f>
        <v xml:space="preserve">          5592 - FREIGHT-IN-GRAD MERCH</v>
      </c>
      <c r="C186" s="11"/>
      <c r="D186" s="2">
        <v>12.95</v>
      </c>
      <c r="E186" s="2"/>
      <c r="F186" s="19">
        <f t="shared" si="12"/>
        <v>3.7390614407195611E-5</v>
      </c>
      <c r="G186" s="2"/>
      <c r="H186" s="2"/>
      <c r="I186" s="2"/>
      <c r="J186" s="19">
        <f t="shared" si="13"/>
        <v>0</v>
      </c>
      <c r="K186" s="2"/>
      <c r="L186" s="2">
        <f t="shared" si="14"/>
        <v>12.95</v>
      </c>
      <c r="M186" s="2"/>
      <c r="N186" s="19">
        <f t="shared" si="15"/>
        <v>0</v>
      </c>
      <c r="O186" s="11"/>
      <c r="P186" s="2">
        <v>118.73</v>
      </c>
      <c r="Q186" s="2"/>
      <c r="R186" s="19">
        <f t="shared" si="16"/>
        <v>1.1162377928073272E-5</v>
      </c>
      <c r="S186" s="2"/>
      <c r="T186" s="2"/>
      <c r="U186" s="2"/>
      <c r="V186" s="19">
        <f t="shared" si="17"/>
        <v>0</v>
      </c>
      <c r="W186" s="2"/>
      <c r="X186" s="2">
        <f t="shared" si="18"/>
        <v>118.73</v>
      </c>
      <c r="Y186" s="2"/>
      <c r="Z186" s="19">
        <f t="shared" si="19"/>
        <v>0</v>
      </c>
    </row>
    <row r="187" spans="1:26" x14ac:dyDescent="0.25">
      <c r="A187" s="9"/>
      <c r="B187" s="10"/>
      <c r="C187" s="10"/>
      <c r="D187" s="3"/>
      <c r="E187" s="3"/>
      <c r="F187" s="8"/>
      <c r="G187" s="3"/>
      <c r="H187" s="3"/>
      <c r="I187" s="3"/>
      <c r="J187" s="8"/>
      <c r="K187" s="3"/>
      <c r="L187" s="3"/>
      <c r="M187" s="3"/>
      <c r="N187" s="8"/>
      <c r="O187" s="10"/>
      <c r="P187" s="3"/>
      <c r="Q187" s="3"/>
      <c r="R187" s="8"/>
      <c r="S187" s="3"/>
      <c r="T187" s="3"/>
      <c r="U187" s="3"/>
      <c r="V187" s="8"/>
      <c r="W187" s="3"/>
      <c r="X187" s="3"/>
      <c r="Y187" s="3"/>
      <c r="Z187" s="8"/>
    </row>
    <row r="188" spans="1:26" s="23" customFormat="1" x14ac:dyDescent="0.25">
      <c r="A188" s="10"/>
      <c r="B188" s="28" t="s">
        <v>6</v>
      </c>
      <c r="C188" s="28"/>
      <c r="D188" s="20">
        <f>D12-D128</f>
        <v>142682.39000000039</v>
      </c>
      <c r="E188" s="14"/>
      <c r="F188" s="22">
        <f>IF(D$12=0,0,D188/D$12)</f>
        <v>0.41196773955112881</v>
      </c>
      <c r="G188" s="14"/>
      <c r="H188" s="20">
        <f>H12-H128</f>
        <v>586067.97327000019</v>
      </c>
      <c r="I188" s="14"/>
      <c r="J188" s="22">
        <f>IF(H$12=0,0,H188/H$12)</f>
        <v>0.53322272645341906</v>
      </c>
      <c r="K188" s="16"/>
      <c r="L188" s="20">
        <f>+D188-H188</f>
        <v>-443385.58326999983</v>
      </c>
      <c r="M188" s="16"/>
      <c r="N188" s="22">
        <f>IF(H188=0,0,L188/H188)</f>
        <v>-0.75654293271837447</v>
      </c>
      <c r="O188" s="29"/>
      <c r="P188" s="20">
        <f>P12-P128</f>
        <v>3848503.6600000011</v>
      </c>
      <c r="Q188" s="14"/>
      <c r="R188" s="22">
        <f>IF(P$12=0,0,P188/P$12)</f>
        <v>0.36181632536421476</v>
      </c>
      <c r="S188" s="14"/>
      <c r="T188" s="20">
        <f>T12-T128</f>
        <v>4714795.1261800006</v>
      </c>
      <c r="U188" s="14"/>
      <c r="V188" s="22">
        <f>IF(T$12=0,0,T188/T$12)</f>
        <v>0.39332085693413255</v>
      </c>
      <c r="W188" s="16"/>
      <c r="X188" s="20">
        <f>+P188-T188</f>
        <v>-866291.46617999952</v>
      </c>
      <c r="Y188" s="16"/>
      <c r="Z188" s="22">
        <f>IF(T188=0,0,X188/T188)</f>
        <v>-0.1837389415649715</v>
      </c>
    </row>
    <row r="189" spans="1:26" x14ac:dyDescent="0.25">
      <c r="A189" s="9"/>
      <c r="B189" s="10"/>
      <c r="C189" s="9"/>
      <c r="D189" s="1"/>
      <c r="E189" s="1"/>
      <c r="F189" s="5"/>
      <c r="G189" s="1"/>
      <c r="H189" s="1"/>
      <c r="I189" s="1"/>
      <c r="J189" s="5"/>
      <c r="K189" s="1"/>
      <c r="L189" s="1"/>
      <c r="M189" s="1"/>
      <c r="N189" s="5"/>
      <c r="O189" s="36"/>
      <c r="P189" s="1"/>
      <c r="Q189" s="1"/>
      <c r="R189" s="5"/>
      <c r="S189" s="1"/>
      <c r="T189" s="1"/>
      <c r="U189" s="1"/>
      <c r="V189" s="5"/>
      <c r="W189" s="1"/>
      <c r="X189" s="1"/>
      <c r="Y189" s="1"/>
      <c r="Z189" s="5"/>
    </row>
    <row r="190" spans="1:26" s="23" customFormat="1" x14ac:dyDescent="0.25">
      <c r="A190" s="10"/>
      <c r="B190" s="29" t="s">
        <v>9</v>
      </c>
      <c r="C190" s="10"/>
      <c r="D190" s="21">
        <f>SUM(OSRRefD22x_0)</f>
        <v>329237.12999999989</v>
      </c>
      <c r="E190" s="21"/>
      <c r="F190" s="30">
        <f t="shared" ref="F190:F201" si="20">IF(D$12=0,0,D190/D$12)</f>
        <v>0.95060838427503713</v>
      </c>
      <c r="G190" s="21"/>
      <c r="H190" s="21">
        <f>SUM(OSRRefH22x_0)</f>
        <v>405659.03951438394</v>
      </c>
      <c r="I190" s="21"/>
      <c r="J190" s="30">
        <f t="shared" ref="J190:J201" si="21">IF(H$12=0,0,H190/H$12)</f>
        <v>0.36908111162164309</v>
      </c>
      <c r="K190" s="4"/>
      <c r="L190" s="21">
        <f t="shared" ref="L190:L201" si="22">+D190-H190</f>
        <v>-76421.909514384053</v>
      </c>
      <c r="M190" s="4"/>
      <c r="N190" s="30">
        <f t="shared" ref="N190:N201" si="23">IF(H190=0,0,L190/H190)</f>
        <v>-0.18838951451906266</v>
      </c>
      <c r="O190" s="10"/>
      <c r="P190" s="21">
        <f>SUM(OSRRefP22x_0)</f>
        <v>3570780.3200000017</v>
      </c>
      <c r="Q190" s="21"/>
      <c r="R190" s="30">
        <f t="shared" ref="R190:R201" si="24">IF(P$12=0,0,P190/P$12)</f>
        <v>0.33570621940509082</v>
      </c>
      <c r="S190" s="21"/>
      <c r="T190" s="21">
        <f>SUM(OSRRefT22x_0)</f>
        <v>3828587.4373972584</v>
      </c>
      <c r="U190" s="21"/>
      <c r="V190" s="30">
        <f t="shared" ref="V190:V201" si="25">IF(T$12=0,0,T190/T$12)</f>
        <v>0.31939103427054266</v>
      </c>
      <c r="W190" s="4"/>
      <c r="X190" s="21">
        <f t="shared" ref="X190:X201" si="26">+P190-T190</f>
        <v>-257807.11739725666</v>
      </c>
      <c r="Y190" s="4"/>
      <c r="Z190" s="30">
        <f t="shared" ref="Z190:Z201" si="27">IF(T190=0,0,X190/T190)</f>
        <v>-6.7337398351941136E-2</v>
      </c>
    </row>
    <row r="191" spans="1:26" s="27" customFormat="1" outlineLevel="1" collapsed="1" x14ac:dyDescent="0.25">
      <c r="A191" s="26"/>
      <c r="B191" s="13" t="str">
        <f>CONCATENATE("     ","*Benefits                                         ")</f>
        <v xml:space="preserve">     *Benefits                                         </v>
      </c>
      <c r="C191" s="13"/>
      <c r="D191" s="1">
        <f>SUM(OSRRefD22_0x_0)</f>
        <v>29829.700000000004</v>
      </c>
      <c r="E191" s="1"/>
      <c r="F191" s="5">
        <f t="shared" si="20"/>
        <v>8.6127475720642707E-2</v>
      </c>
      <c r="G191" s="1"/>
      <c r="H191" s="1">
        <f>SUM(OSRRefH22_0x_0)</f>
        <v>49392.468452648754</v>
      </c>
      <c r="I191" s="1"/>
      <c r="J191" s="5">
        <f t="shared" si="21"/>
        <v>4.4938791907764557E-2</v>
      </c>
      <c r="K191" s="1"/>
      <c r="L191" s="1">
        <f t="shared" si="22"/>
        <v>-19562.76845264875</v>
      </c>
      <c r="M191" s="1"/>
      <c r="N191" s="5">
        <f t="shared" si="23"/>
        <v>-0.39606784324624422</v>
      </c>
      <c r="O191" s="13"/>
      <c r="P191" s="1">
        <f>SUM(OSRRefP22_0x_0)</f>
        <v>447930.51000000007</v>
      </c>
      <c r="Q191" s="1"/>
      <c r="R191" s="5">
        <f t="shared" si="24"/>
        <v>4.2112100043246066E-2</v>
      </c>
      <c r="S191" s="1"/>
      <c r="T191" s="1">
        <f>SUM(OSRRefT22_0x_0)</f>
        <v>464226.97812970582</v>
      </c>
      <c r="U191" s="1"/>
      <c r="V191" s="5">
        <f t="shared" si="25"/>
        <v>3.8727059811367891E-2</v>
      </c>
      <c r="W191" s="1"/>
      <c r="X191" s="1">
        <f t="shared" si="26"/>
        <v>-16296.468129705754</v>
      </c>
      <c r="Y191" s="1"/>
      <c r="Z191" s="5">
        <f t="shared" si="27"/>
        <v>-3.5104526228444427E-2</v>
      </c>
    </row>
    <row r="192" spans="1:26" s="24" customFormat="1" hidden="1" outlineLevel="2" x14ac:dyDescent="0.25">
      <c r="A192" s="25"/>
      <c r="B192" s="11" t="str">
        <f>CONCATENATE("          ", "6111", " - ", "F.I.C.A.")</f>
        <v xml:space="preserve">          6111 - F.I.C.A.</v>
      </c>
      <c r="C192" s="11"/>
      <c r="D192" s="6">
        <v>11763.21</v>
      </c>
      <c r="E192" s="2"/>
      <c r="F192" s="7">
        <f t="shared" si="20"/>
        <v>3.3963988363001352E-2</v>
      </c>
      <c r="G192" s="2"/>
      <c r="H192" s="6">
        <v>8912.7431560793084</v>
      </c>
      <c r="I192" s="2"/>
      <c r="J192" s="7">
        <f t="shared" si="21"/>
        <v>8.1090887450254931E-3</v>
      </c>
      <c r="K192" s="2"/>
      <c r="L192" s="6">
        <f t="shared" si="22"/>
        <v>2850.4668439206907</v>
      </c>
      <c r="M192" s="2"/>
      <c r="N192" s="7">
        <f t="shared" si="23"/>
        <v>0.31981925138013328</v>
      </c>
      <c r="O192" s="11"/>
      <c r="P192" s="6">
        <v>92237.57</v>
      </c>
      <c r="Q192" s="2"/>
      <c r="R192" s="7">
        <f t="shared" si="24"/>
        <v>8.6716972585455538E-3</v>
      </c>
      <c r="S192" s="2"/>
      <c r="T192" s="6">
        <v>86932.217322784461</v>
      </c>
      <c r="U192" s="2"/>
      <c r="V192" s="7">
        <f t="shared" si="25"/>
        <v>7.2521187660353151E-3</v>
      </c>
      <c r="W192" s="2"/>
      <c r="X192" s="6">
        <f t="shared" si="26"/>
        <v>5305.3526772155456</v>
      </c>
      <c r="Y192" s="2"/>
      <c r="Z192" s="7">
        <f t="shared" si="27"/>
        <v>6.1028613333494734E-2</v>
      </c>
    </row>
    <row r="193" spans="1:26" s="24" customFormat="1" hidden="1" outlineLevel="2" x14ac:dyDescent="0.25">
      <c r="A193" s="25"/>
      <c r="B193" s="11" t="str">
        <f>CONCATENATE("          ", "6112", " - ", "COMPENSATION INSURANCE")</f>
        <v xml:space="preserve">          6112 - COMPENSATION INSURANCE</v>
      </c>
      <c r="C193" s="11"/>
      <c r="D193" s="6">
        <v>3833.09</v>
      </c>
      <c r="E193" s="2"/>
      <c r="F193" s="7">
        <f t="shared" si="20"/>
        <v>1.10673042608554E-2</v>
      </c>
      <c r="G193" s="2"/>
      <c r="H193" s="6">
        <v>3547.5144832538458</v>
      </c>
      <c r="I193" s="2"/>
      <c r="J193" s="7">
        <f t="shared" si="21"/>
        <v>3.2276381429601595E-3</v>
      </c>
      <c r="K193" s="2"/>
      <c r="L193" s="6">
        <f t="shared" si="22"/>
        <v>285.57551674615434</v>
      </c>
      <c r="M193" s="2"/>
      <c r="N193" s="7">
        <f t="shared" si="23"/>
        <v>8.0500169370476868E-2</v>
      </c>
      <c r="O193" s="11"/>
      <c r="P193" s="6">
        <v>25026.37</v>
      </c>
      <c r="Q193" s="2"/>
      <c r="R193" s="7">
        <f t="shared" si="24"/>
        <v>2.3528493228989734E-3</v>
      </c>
      <c r="S193" s="2"/>
      <c r="T193" s="6">
        <v>33602.411437124982</v>
      </c>
      <c r="U193" s="2"/>
      <c r="V193" s="7">
        <f t="shared" si="25"/>
        <v>2.803203301054468E-3</v>
      </c>
      <c r="W193" s="2"/>
      <c r="X193" s="6">
        <f t="shared" si="26"/>
        <v>-8576.0414371249826</v>
      </c>
      <c r="Y193" s="2"/>
      <c r="Z193" s="7">
        <f t="shared" si="27"/>
        <v>-0.2552210115387703</v>
      </c>
    </row>
    <row r="194" spans="1:26" s="24" customFormat="1" hidden="1" outlineLevel="2" x14ac:dyDescent="0.25">
      <c r="A194" s="25"/>
      <c r="B194" s="11" t="str">
        <f>CONCATENATE("          ", "6113", " - ", "GROUP INSURANCE")</f>
        <v xml:space="preserve">          6113 - GROUP INSURANCE</v>
      </c>
      <c r="C194" s="11"/>
      <c r="D194" s="6">
        <v>18713.54</v>
      </c>
      <c r="E194" s="2"/>
      <c r="F194" s="7">
        <f t="shared" si="20"/>
        <v>5.4031718790241809E-2</v>
      </c>
      <c r="G194" s="2"/>
      <c r="H194" s="6">
        <v>19697.01923076923</v>
      </c>
      <c r="I194" s="2"/>
      <c r="J194" s="7">
        <f t="shared" si="21"/>
        <v>1.7920955889527058E-2</v>
      </c>
      <c r="K194" s="2"/>
      <c r="L194" s="6">
        <f t="shared" si="22"/>
        <v>-983.47923076922962</v>
      </c>
      <c r="M194" s="2"/>
      <c r="N194" s="7">
        <f t="shared" si="23"/>
        <v>-4.9930358459157664E-2</v>
      </c>
      <c r="O194" s="11"/>
      <c r="P194" s="6">
        <v>173722.84</v>
      </c>
      <c r="Q194" s="2"/>
      <c r="R194" s="7">
        <f t="shared" si="24"/>
        <v>1.633251911747835E-2</v>
      </c>
      <c r="S194" s="2"/>
      <c r="T194" s="6">
        <v>178688.25</v>
      </c>
      <c r="U194" s="2"/>
      <c r="V194" s="7">
        <f t="shared" si="25"/>
        <v>1.4906653148893856E-2</v>
      </c>
      <c r="W194" s="2"/>
      <c r="X194" s="6">
        <f t="shared" si="26"/>
        <v>-4965.4100000000035</v>
      </c>
      <c r="Y194" s="2"/>
      <c r="Z194" s="7">
        <f t="shared" si="27"/>
        <v>-2.7788117013849558E-2</v>
      </c>
    </row>
    <row r="195" spans="1:26" s="24" customFormat="1" hidden="1" outlineLevel="2" x14ac:dyDescent="0.25">
      <c r="A195" s="25"/>
      <c r="B195" s="11" t="str">
        <f>CONCATENATE("          ", "6114", " - ", "STATE UNEMPLOYMENT INSURANCE")</f>
        <v xml:space="preserve">          6114 - STATE UNEMPLOYMENT INSURANCE</v>
      </c>
      <c r="C195" s="11"/>
      <c r="D195" s="6">
        <v>627.54999999999995</v>
      </c>
      <c r="E195" s="2"/>
      <c r="F195" s="7">
        <f t="shared" si="20"/>
        <v>1.8119289630297763E-3</v>
      </c>
      <c r="G195" s="2"/>
      <c r="H195" s="6">
        <v>502.90556062703143</v>
      </c>
      <c r="I195" s="2"/>
      <c r="J195" s="7">
        <f t="shared" si="21"/>
        <v>4.5755899727793168E-4</v>
      </c>
      <c r="K195" s="2"/>
      <c r="L195" s="6">
        <f t="shared" si="22"/>
        <v>124.64443937296852</v>
      </c>
      <c r="M195" s="2"/>
      <c r="N195" s="7">
        <f t="shared" si="23"/>
        <v>0.24784860047592167</v>
      </c>
      <c r="O195" s="11"/>
      <c r="P195" s="6">
        <v>4833.07</v>
      </c>
      <c r="Q195" s="2"/>
      <c r="R195" s="7">
        <f t="shared" si="24"/>
        <v>4.5438013891041089E-4</v>
      </c>
      <c r="S195" s="2"/>
      <c r="T195" s="6">
        <v>4762.2509285715068</v>
      </c>
      <c r="U195" s="2"/>
      <c r="V195" s="7">
        <f t="shared" si="25"/>
        <v>3.972797472705292E-4</v>
      </c>
      <c r="W195" s="2"/>
      <c r="X195" s="6">
        <f t="shared" si="26"/>
        <v>70.819071428492862</v>
      </c>
      <c r="Y195" s="2"/>
      <c r="Z195" s="7">
        <f t="shared" si="27"/>
        <v>1.4870923958166117E-2</v>
      </c>
    </row>
    <row r="196" spans="1:26" s="24" customFormat="1" hidden="1" outlineLevel="2" x14ac:dyDescent="0.25">
      <c r="A196" s="25"/>
      <c r="B196" s="11" t="str">
        <f>CONCATENATE("          ", "6115", " - ", "P.E.R.S.")</f>
        <v xml:space="preserve">          6115 - P.E.R.S.</v>
      </c>
      <c r="C196" s="11"/>
      <c r="D196" s="6">
        <v>8775.4599999999991</v>
      </c>
      <c r="E196" s="2"/>
      <c r="F196" s="7">
        <f t="shared" si="20"/>
        <v>2.5337439467626933E-2</v>
      </c>
      <c r="G196" s="2"/>
      <c r="H196" s="6">
        <v>6361.9776405384546</v>
      </c>
      <c r="I196" s="2"/>
      <c r="J196" s="7">
        <f t="shared" si="21"/>
        <v>5.7883235696975311E-3</v>
      </c>
      <c r="K196" s="2"/>
      <c r="L196" s="6">
        <f t="shared" si="22"/>
        <v>2413.4823594615445</v>
      </c>
      <c r="M196" s="2"/>
      <c r="N196" s="7">
        <f t="shared" si="23"/>
        <v>0.37936039637782759</v>
      </c>
      <c r="O196" s="11"/>
      <c r="P196" s="6">
        <v>67360.23</v>
      </c>
      <c r="Q196" s="2"/>
      <c r="R196" s="7">
        <f t="shared" si="24"/>
        <v>6.3328589621994358E-3</v>
      </c>
      <c r="S196" s="2"/>
      <c r="T196" s="6">
        <v>61642.901195249942</v>
      </c>
      <c r="U196" s="2"/>
      <c r="V196" s="7">
        <f t="shared" si="25"/>
        <v>5.1424161757089529E-3</v>
      </c>
      <c r="W196" s="2"/>
      <c r="X196" s="6">
        <f t="shared" si="26"/>
        <v>5717.3288047500537</v>
      </c>
      <c r="Y196" s="2"/>
      <c r="Z196" s="7">
        <f t="shared" si="27"/>
        <v>9.2749184316305633E-2</v>
      </c>
    </row>
    <row r="197" spans="1:26" s="24" customFormat="1" hidden="1" outlineLevel="2" x14ac:dyDescent="0.25">
      <c r="A197" s="25"/>
      <c r="B197" s="11" t="str">
        <f>CONCATENATE("          ", "6116", " - ", "EDUCATIONAL BENEFITS")</f>
        <v xml:space="preserve">          6116 - EDUCATIONAL BENEFITS</v>
      </c>
      <c r="C197" s="11"/>
      <c r="D197" s="6"/>
      <c r="E197" s="2"/>
      <c r="F197" s="7">
        <f t="shared" si="20"/>
        <v>0</v>
      </c>
      <c r="G197" s="2"/>
      <c r="H197" s="6">
        <v>0</v>
      </c>
      <c r="I197" s="2"/>
      <c r="J197" s="7">
        <f t="shared" si="21"/>
        <v>0</v>
      </c>
      <c r="K197" s="2"/>
      <c r="L197" s="6">
        <f t="shared" si="22"/>
        <v>0</v>
      </c>
      <c r="M197" s="2"/>
      <c r="N197" s="7">
        <f t="shared" si="23"/>
        <v>0</v>
      </c>
      <c r="O197" s="11"/>
      <c r="P197" s="6"/>
      <c r="Q197" s="2"/>
      <c r="R197" s="7">
        <f t="shared" si="24"/>
        <v>0</v>
      </c>
      <c r="S197" s="2"/>
      <c r="T197" s="6">
        <v>0</v>
      </c>
      <c r="U197" s="2"/>
      <c r="V197" s="7">
        <f t="shared" si="25"/>
        <v>0</v>
      </c>
      <c r="W197" s="2"/>
      <c r="X197" s="6">
        <f t="shared" si="26"/>
        <v>0</v>
      </c>
      <c r="Y197" s="2"/>
      <c r="Z197" s="7">
        <f t="shared" si="27"/>
        <v>0</v>
      </c>
    </row>
    <row r="198" spans="1:26" s="24" customFormat="1" hidden="1" outlineLevel="2" x14ac:dyDescent="0.25">
      <c r="A198" s="25"/>
      <c r="B198" s="11" t="str">
        <f>CONCATENATE("          ", "6117", " - ", "RETIREMENT STAFF HOURLY")</f>
        <v xml:space="preserve">          6117 - RETIREMENT STAFF HOURLY</v>
      </c>
      <c r="C198" s="11"/>
      <c r="D198" s="6">
        <v>212.04</v>
      </c>
      <c r="E198" s="2"/>
      <c r="F198" s="7">
        <f t="shared" si="20"/>
        <v>6.1222439219318588E-4</v>
      </c>
      <c r="G198" s="2"/>
      <c r="H198" s="6"/>
      <c r="I198" s="2"/>
      <c r="J198" s="7">
        <f t="shared" si="21"/>
        <v>0</v>
      </c>
      <c r="K198" s="2"/>
      <c r="L198" s="6">
        <f t="shared" si="22"/>
        <v>212.04</v>
      </c>
      <c r="M198" s="2"/>
      <c r="N198" s="7">
        <f t="shared" si="23"/>
        <v>0</v>
      </c>
      <c r="O198" s="11"/>
      <c r="P198" s="6">
        <v>2565.59</v>
      </c>
      <c r="Q198" s="2"/>
      <c r="R198" s="7">
        <f t="shared" si="24"/>
        <v>2.4120344637821534E-4</v>
      </c>
      <c r="S198" s="2"/>
      <c r="T198" s="6"/>
      <c r="U198" s="2"/>
      <c r="V198" s="7">
        <f t="shared" si="25"/>
        <v>0</v>
      </c>
      <c r="W198" s="2"/>
      <c r="X198" s="6">
        <f t="shared" si="26"/>
        <v>2565.59</v>
      </c>
      <c r="Y198" s="2"/>
      <c r="Z198" s="7">
        <f t="shared" si="27"/>
        <v>0</v>
      </c>
    </row>
    <row r="199" spans="1:26" s="24" customFormat="1" hidden="1" outlineLevel="2" x14ac:dyDescent="0.25">
      <c r="A199" s="25"/>
      <c r="B199" s="11" t="str">
        <f>CONCATENATE("          ", "6118", " - ", "VACATION")</f>
        <v xml:space="preserve">          6118 - VACATION</v>
      </c>
      <c r="C199" s="11"/>
      <c r="D199" s="6">
        <v>10982.77</v>
      </c>
      <c r="E199" s="2"/>
      <c r="F199" s="7">
        <f t="shared" si="20"/>
        <v>3.1710619165476121E-2</v>
      </c>
      <c r="G199" s="2"/>
      <c r="H199" s="6">
        <v>4591.3221527846117</v>
      </c>
      <c r="I199" s="2"/>
      <c r="J199" s="7">
        <f t="shared" si="21"/>
        <v>4.1773265696023847E-3</v>
      </c>
      <c r="K199" s="2"/>
      <c r="L199" s="6">
        <f t="shared" si="22"/>
        <v>6391.4478472153887</v>
      </c>
      <c r="M199" s="2"/>
      <c r="N199" s="7">
        <f t="shared" si="23"/>
        <v>1.3920713107310518</v>
      </c>
      <c r="O199" s="11"/>
      <c r="P199" s="6">
        <v>54394.64</v>
      </c>
      <c r="Q199" s="2"/>
      <c r="R199" s="7">
        <f t="shared" si="24"/>
        <v>5.1139015323969639E-3</v>
      </c>
      <c r="S199" s="2"/>
      <c r="T199" s="6">
        <v>44480.846989649966</v>
      </c>
      <c r="U199" s="2"/>
      <c r="V199" s="7">
        <f t="shared" si="25"/>
        <v>3.7107115764116075E-3</v>
      </c>
      <c r="W199" s="2"/>
      <c r="X199" s="6">
        <f t="shared" si="26"/>
        <v>9913.793010350033</v>
      </c>
      <c r="Y199" s="2"/>
      <c r="Z199" s="7">
        <f t="shared" si="27"/>
        <v>0.22287779305679195</v>
      </c>
    </row>
    <row r="200" spans="1:26" s="24" customFormat="1" hidden="1" outlineLevel="2" x14ac:dyDescent="0.25">
      <c r="A200" s="25"/>
      <c r="B200" s="11" t="str">
        <f>CONCATENATE("          ", "6119", " - ", "SICK LEAVE")</f>
        <v xml:space="preserve">          6119 - SICK LEAVE</v>
      </c>
      <c r="C200" s="11"/>
      <c r="D200" s="6">
        <v>-26654.16</v>
      </c>
      <c r="E200" s="2"/>
      <c r="F200" s="7">
        <f t="shared" si="20"/>
        <v>-7.6958719606771975E-2</v>
      </c>
      <c r="G200" s="2"/>
      <c r="H200" s="6">
        <v>4228.9862285962736</v>
      </c>
      <c r="I200" s="2"/>
      <c r="J200" s="7">
        <f t="shared" si="21"/>
        <v>3.8476621651311383E-3</v>
      </c>
      <c r="K200" s="2"/>
      <c r="L200" s="6">
        <f t="shared" si="22"/>
        <v>-30883.146228596273</v>
      </c>
      <c r="M200" s="2"/>
      <c r="N200" s="7">
        <f t="shared" si="23"/>
        <v>-7.3027303848296778</v>
      </c>
      <c r="O200" s="11"/>
      <c r="P200" s="6">
        <v>8359.56</v>
      </c>
      <c r="Q200" s="2"/>
      <c r="R200" s="7">
        <f t="shared" si="24"/>
        <v>7.8592241246866164E-4</v>
      </c>
      <c r="S200" s="2"/>
      <c r="T200" s="6">
        <v>40168.100256324993</v>
      </c>
      <c r="U200" s="2"/>
      <c r="V200" s="7">
        <f t="shared" si="25"/>
        <v>3.3509306749102477E-3</v>
      </c>
      <c r="W200" s="2"/>
      <c r="X200" s="6">
        <f t="shared" si="26"/>
        <v>-31808.540256324995</v>
      </c>
      <c r="Y200" s="2"/>
      <c r="Z200" s="7">
        <f t="shared" si="27"/>
        <v>-0.79188560209083636</v>
      </c>
    </row>
    <row r="201" spans="1:26" s="24" customFormat="1" hidden="1" outlineLevel="2" x14ac:dyDescent="0.25">
      <c r="A201" s="25"/>
      <c r="B201" s="11" t="str">
        <f>CONCATENATE("          ", "6156", " - ", "EMPLOYEE MEALS")</f>
        <v xml:space="preserve">          6156 - EMPLOYEE MEALS</v>
      </c>
      <c r="C201" s="11"/>
      <c r="D201" s="6">
        <v>1576.2</v>
      </c>
      <c r="E201" s="2"/>
      <c r="F201" s="7">
        <f t="shared" si="20"/>
        <v>4.5509719249900949E-3</v>
      </c>
      <c r="G201" s="2"/>
      <c r="H201" s="6">
        <v>1550</v>
      </c>
      <c r="I201" s="2"/>
      <c r="J201" s="7">
        <f t="shared" si="21"/>
        <v>1.4102378285428593E-3</v>
      </c>
      <c r="K201" s="2"/>
      <c r="L201" s="6">
        <f t="shared" si="22"/>
        <v>26.200000000000045</v>
      </c>
      <c r="M201" s="2"/>
      <c r="N201" s="7">
        <f t="shared" si="23"/>
        <v>1.6903225806451642E-2</v>
      </c>
      <c r="O201" s="11"/>
      <c r="P201" s="6">
        <v>19430.64</v>
      </c>
      <c r="Q201" s="2"/>
      <c r="R201" s="7">
        <f t="shared" si="24"/>
        <v>1.8267678519694908E-3</v>
      </c>
      <c r="S201" s="2"/>
      <c r="T201" s="6">
        <v>13950</v>
      </c>
      <c r="U201" s="2"/>
      <c r="V201" s="7">
        <f t="shared" si="25"/>
        <v>1.1637464210829155E-3</v>
      </c>
      <c r="W201" s="2"/>
      <c r="X201" s="6">
        <f t="shared" si="26"/>
        <v>5480.6399999999994</v>
      </c>
      <c r="Y201" s="2"/>
      <c r="Z201" s="7">
        <f t="shared" si="27"/>
        <v>0.39287741935483866</v>
      </c>
    </row>
    <row r="202" spans="1:26" s="27" customFormat="1" outlineLevel="1" collapsed="1" x14ac:dyDescent="0.25">
      <c r="A202" s="26"/>
      <c r="B202" s="13" t="str">
        <f>CONCATENATE("     ","*Payroll                                          ")</f>
        <v xml:space="preserve">     *Payroll                                          </v>
      </c>
      <c r="C202" s="13"/>
      <c r="D202" s="1">
        <f>SUM(OSRRefD22_1x_0)</f>
        <v>175564.55000000002</v>
      </c>
      <c r="E202" s="1"/>
      <c r="F202" s="5">
        <f t="shared" ref="F202:F212" si="28">IF(D$12=0,0,D202/D$12)</f>
        <v>0.50690860174693553</v>
      </c>
      <c r="G202" s="1"/>
      <c r="H202" s="1">
        <f>SUM(OSRRefH22_1x_0)</f>
        <v>185653.07106173516</v>
      </c>
      <c r="I202" s="1"/>
      <c r="J202" s="5">
        <f t="shared" ref="J202:J212" si="29">IF(H$12=0,0,H202/H$12)</f>
        <v>0.16891289277188035</v>
      </c>
      <c r="K202" s="1"/>
      <c r="L202" s="1">
        <f t="shared" ref="L202:L212" si="30">+D202-H202</f>
        <v>-10088.52106173514</v>
      </c>
      <c r="M202" s="1"/>
      <c r="N202" s="5">
        <f t="shared" ref="N202:N212" si="31">IF(H202=0,0,L202/H202)</f>
        <v>-5.4340717360826248E-2</v>
      </c>
      <c r="O202" s="13"/>
      <c r="P202" s="1">
        <f>SUM(OSRRefP22_1x_0)</f>
        <v>1716873.7399999998</v>
      </c>
      <c r="Q202" s="1"/>
      <c r="R202" s="5">
        <f t="shared" ref="R202:R212" si="32">IF(P$12=0,0,P202/P$12)</f>
        <v>0.16141155176168287</v>
      </c>
      <c r="S202" s="1"/>
      <c r="T202" s="1">
        <f>SUM(OSRRefT22_1x_0)</f>
        <v>1757976.9592675525</v>
      </c>
      <c r="U202" s="1"/>
      <c r="V202" s="5">
        <f t="shared" ref="V202:V212" si="33">IF(T$12=0,0,T202/T$12)</f>
        <v>0.14665515374149396</v>
      </c>
      <c r="W202" s="1"/>
      <c r="X202" s="1">
        <f t="shared" ref="X202:X212" si="34">+P202-T202</f>
        <v>-41103.219267552719</v>
      </c>
      <c r="Y202" s="1"/>
      <c r="Z202" s="5">
        <f t="shared" ref="Z202:Z212" si="35">IF(T202=0,0,X202/T202)</f>
        <v>-2.3380977236856424E-2</v>
      </c>
    </row>
    <row r="203" spans="1:26" s="24" customFormat="1" hidden="1" outlineLevel="2" x14ac:dyDescent="0.25">
      <c r="A203" s="25"/>
      <c r="B203" s="11" t="str">
        <f>CONCATENATE("          ", "6001", " - ", "ADMINISTRATIVE SALARIES")</f>
        <v xml:space="preserve">          6001 - ADMINISTRATIVE SALARIES</v>
      </c>
      <c r="C203" s="11"/>
      <c r="D203" s="6">
        <v>4822.2</v>
      </c>
      <c r="E203" s="2"/>
      <c r="F203" s="7">
        <f t="shared" si="28"/>
        <v>1.392316762890955E-2</v>
      </c>
      <c r="G203" s="2"/>
      <c r="H203" s="6">
        <v>27651.922292615382</v>
      </c>
      <c r="I203" s="2"/>
      <c r="J203" s="7">
        <f t="shared" si="29"/>
        <v>2.5158572160628258E-2</v>
      </c>
      <c r="K203" s="2"/>
      <c r="L203" s="6">
        <f t="shared" si="30"/>
        <v>-22829.722292615381</v>
      </c>
      <c r="M203" s="2"/>
      <c r="N203" s="7">
        <f t="shared" si="31"/>
        <v>-0.82561067729863402</v>
      </c>
      <c r="O203" s="11"/>
      <c r="P203" s="6">
        <v>93238.31</v>
      </c>
      <c r="Q203" s="2"/>
      <c r="R203" s="7">
        <f t="shared" si="32"/>
        <v>8.7657816356005516E-3</v>
      </c>
      <c r="S203" s="2"/>
      <c r="T203" s="6">
        <v>269606.24235299998</v>
      </c>
      <c r="U203" s="2"/>
      <c r="V203" s="7">
        <f t="shared" si="33"/>
        <v>2.2491275959850673E-2</v>
      </c>
      <c r="W203" s="2"/>
      <c r="X203" s="6">
        <f t="shared" si="34"/>
        <v>-176367.93235299998</v>
      </c>
      <c r="Y203" s="2"/>
      <c r="Z203" s="7">
        <f t="shared" si="35"/>
        <v>-0.65416857864173072</v>
      </c>
    </row>
    <row r="204" spans="1:26" s="24" customFormat="1" hidden="1" outlineLevel="2" x14ac:dyDescent="0.25">
      <c r="A204" s="25"/>
      <c r="B204" s="11" t="str">
        <f>CONCATENATE("          ", "6002", " - ", "STAFF SALARIES")</f>
        <v xml:space="preserve">          6002 - STAFF SALARIES</v>
      </c>
      <c r="C204" s="11"/>
      <c r="D204" s="6">
        <v>57957.49</v>
      </c>
      <c r="E204" s="2"/>
      <c r="F204" s="7">
        <f t="shared" si="28"/>
        <v>0.16734101626246298</v>
      </c>
      <c r="G204" s="2"/>
      <c r="H204" s="6">
        <v>39749.506545646182</v>
      </c>
      <c r="I204" s="2"/>
      <c r="J204" s="7">
        <f t="shared" si="29"/>
        <v>3.6165327610698218E-2</v>
      </c>
      <c r="K204" s="2"/>
      <c r="L204" s="6">
        <f t="shared" si="30"/>
        <v>18207.983454353816</v>
      </c>
      <c r="M204" s="2"/>
      <c r="N204" s="7">
        <f t="shared" si="31"/>
        <v>0.45806816327253658</v>
      </c>
      <c r="O204" s="11"/>
      <c r="P204" s="6">
        <v>552521.91</v>
      </c>
      <c r="Q204" s="2"/>
      <c r="R204" s="7">
        <f t="shared" si="32"/>
        <v>5.1945240233815276E-2</v>
      </c>
      <c r="S204" s="2"/>
      <c r="T204" s="6">
        <v>383544.12082005019</v>
      </c>
      <c r="U204" s="2"/>
      <c r="V204" s="7">
        <f t="shared" si="33"/>
        <v>3.1996279421629158E-2</v>
      </c>
      <c r="W204" s="2"/>
      <c r="X204" s="6">
        <f t="shared" si="34"/>
        <v>168977.78917994985</v>
      </c>
      <c r="Y204" s="2"/>
      <c r="Z204" s="7">
        <f t="shared" si="35"/>
        <v>0.44056936348981407</v>
      </c>
    </row>
    <row r="205" spans="1:26" s="24" customFormat="1" hidden="1" outlineLevel="2" x14ac:dyDescent="0.25">
      <c r="A205" s="25"/>
      <c r="B205" s="11" t="str">
        <f>CONCATENATE("          ", "6003", " - ", "STAFF HOURLY-9 MONTH")</f>
        <v xml:space="preserve">          6003 - STAFF HOURLY-9 MONTH</v>
      </c>
      <c r="C205" s="11"/>
      <c r="D205" s="6"/>
      <c r="E205" s="2"/>
      <c r="F205" s="7">
        <f t="shared" si="28"/>
        <v>0</v>
      </c>
      <c r="G205" s="2"/>
      <c r="H205" s="6">
        <v>0</v>
      </c>
      <c r="I205" s="2"/>
      <c r="J205" s="7">
        <f t="shared" si="29"/>
        <v>0</v>
      </c>
      <c r="K205" s="2"/>
      <c r="L205" s="6">
        <f t="shared" si="30"/>
        <v>0</v>
      </c>
      <c r="M205" s="2"/>
      <c r="N205" s="7">
        <f t="shared" si="31"/>
        <v>0</v>
      </c>
      <c r="O205" s="11"/>
      <c r="P205" s="6"/>
      <c r="Q205" s="2"/>
      <c r="R205" s="7">
        <f t="shared" si="32"/>
        <v>0</v>
      </c>
      <c r="S205" s="2"/>
      <c r="T205" s="6">
        <v>0</v>
      </c>
      <c r="U205" s="2"/>
      <c r="V205" s="7">
        <f t="shared" si="33"/>
        <v>0</v>
      </c>
      <c r="W205" s="2"/>
      <c r="X205" s="6">
        <f t="shared" si="34"/>
        <v>0</v>
      </c>
      <c r="Y205" s="2"/>
      <c r="Z205" s="7">
        <f t="shared" si="35"/>
        <v>0</v>
      </c>
    </row>
    <row r="206" spans="1:26" s="24" customFormat="1" hidden="1" outlineLevel="2" x14ac:dyDescent="0.25">
      <c r="A206" s="25"/>
      <c r="B206" s="11" t="str">
        <f>CONCATENATE("          ", "6004", " - ", "STAFF HOURLY")</f>
        <v xml:space="preserve">          6004 - STAFF HOURLY</v>
      </c>
      <c r="C206" s="11"/>
      <c r="D206" s="6">
        <v>11773.32</v>
      </c>
      <c r="E206" s="2"/>
      <c r="F206" s="7">
        <f t="shared" si="28"/>
        <v>3.3993179027994147E-2</v>
      </c>
      <c r="G206" s="2"/>
      <c r="H206" s="6">
        <v>23102.312382</v>
      </c>
      <c r="I206" s="2"/>
      <c r="J206" s="7">
        <f t="shared" si="29"/>
        <v>2.1019196676071283E-2</v>
      </c>
      <c r="K206" s="2"/>
      <c r="L206" s="6">
        <f t="shared" si="30"/>
        <v>-11328.992382</v>
      </c>
      <c r="M206" s="2"/>
      <c r="N206" s="7">
        <f t="shared" si="31"/>
        <v>-0.49038348173436108</v>
      </c>
      <c r="O206" s="11"/>
      <c r="P206" s="6">
        <v>40943.25</v>
      </c>
      <c r="Q206" s="2"/>
      <c r="R206" s="7">
        <f t="shared" si="32"/>
        <v>3.8492717097918473E-3</v>
      </c>
      <c r="S206" s="2"/>
      <c r="T206" s="6">
        <v>221267.282912</v>
      </c>
      <c r="U206" s="2"/>
      <c r="V206" s="7">
        <f t="shared" si="33"/>
        <v>1.8458710293303295E-2</v>
      </c>
      <c r="W206" s="2"/>
      <c r="X206" s="6">
        <f t="shared" si="34"/>
        <v>-180324.032912</v>
      </c>
      <c r="Y206" s="2"/>
      <c r="Z206" s="7">
        <f t="shared" si="35"/>
        <v>-0.81496021706795441</v>
      </c>
    </row>
    <row r="207" spans="1:26" s="24" customFormat="1" hidden="1" outlineLevel="2" x14ac:dyDescent="0.25">
      <c r="A207" s="25"/>
      <c r="B207" s="11" t="str">
        <f>CONCATENATE("          ", "6005", " - ", "TEMPORARY WAGES-HOURLY")</f>
        <v xml:space="preserve">          6005 - TEMPORARY WAGES-HOURLY</v>
      </c>
      <c r="C207" s="11"/>
      <c r="D207" s="6">
        <v>22581.489999999998</v>
      </c>
      <c r="E207" s="2"/>
      <c r="F207" s="7">
        <f t="shared" si="28"/>
        <v>6.519967454285279E-2</v>
      </c>
      <c r="G207" s="2"/>
      <c r="H207" s="6">
        <v>2792</v>
      </c>
      <c r="I207" s="2"/>
      <c r="J207" s="7">
        <f t="shared" si="29"/>
        <v>2.5402477530913955E-3</v>
      </c>
      <c r="K207" s="2"/>
      <c r="L207" s="6">
        <f t="shared" si="30"/>
        <v>19789.489999999998</v>
      </c>
      <c r="M207" s="2"/>
      <c r="N207" s="7">
        <f t="shared" si="31"/>
        <v>7.0879262177650419</v>
      </c>
      <c r="O207" s="11"/>
      <c r="P207" s="6">
        <v>196496.6</v>
      </c>
      <c r="Q207" s="2"/>
      <c r="R207" s="7">
        <f t="shared" si="32"/>
        <v>1.8473589748011814E-2</v>
      </c>
      <c r="S207" s="2"/>
      <c r="T207" s="6">
        <v>30125.68</v>
      </c>
      <c r="U207" s="2"/>
      <c r="V207" s="7">
        <f t="shared" si="33"/>
        <v>2.5131650381856035E-3</v>
      </c>
      <c r="W207" s="2"/>
      <c r="X207" s="6">
        <f t="shared" si="34"/>
        <v>166370.92000000001</v>
      </c>
      <c r="Y207" s="2"/>
      <c r="Z207" s="7">
        <f t="shared" si="35"/>
        <v>5.5225614824296088</v>
      </c>
    </row>
    <row r="208" spans="1:26" s="24" customFormat="1" hidden="1" outlineLevel="2" x14ac:dyDescent="0.25">
      <c r="A208" s="25"/>
      <c r="B208" s="11" t="str">
        <f>CONCATENATE("          ", "6006", " - ", "TEMPORARY PART TIME")</f>
        <v xml:space="preserve">          6006 - TEMPORARY PART TIME</v>
      </c>
      <c r="C208" s="11"/>
      <c r="D208" s="6">
        <v>4638.62</v>
      </c>
      <c r="E208" s="2"/>
      <c r="F208" s="7">
        <f t="shared" si="28"/>
        <v>1.339311596922824E-2</v>
      </c>
      <c r="G208" s="2"/>
      <c r="H208" s="6">
        <v>0</v>
      </c>
      <c r="I208" s="2"/>
      <c r="J208" s="7">
        <f t="shared" si="29"/>
        <v>0</v>
      </c>
      <c r="K208" s="2"/>
      <c r="L208" s="6">
        <f t="shared" si="30"/>
        <v>4638.62</v>
      </c>
      <c r="M208" s="2"/>
      <c r="N208" s="7">
        <f t="shared" si="31"/>
        <v>0</v>
      </c>
      <c r="O208" s="11"/>
      <c r="P208" s="6">
        <v>38855.689999999995</v>
      </c>
      <c r="Q208" s="2"/>
      <c r="R208" s="7">
        <f t="shared" si="32"/>
        <v>3.6530101611728909E-3</v>
      </c>
      <c r="S208" s="2"/>
      <c r="T208" s="6">
        <v>0</v>
      </c>
      <c r="U208" s="2"/>
      <c r="V208" s="7">
        <f t="shared" si="33"/>
        <v>0</v>
      </c>
      <c r="W208" s="2"/>
      <c r="X208" s="6">
        <f t="shared" si="34"/>
        <v>38855.689999999995</v>
      </c>
      <c r="Y208" s="2"/>
      <c r="Z208" s="7">
        <f t="shared" si="35"/>
        <v>0</v>
      </c>
    </row>
    <row r="209" spans="1:26" s="24" customFormat="1" hidden="1" outlineLevel="2" x14ac:dyDescent="0.25">
      <c r="A209" s="25"/>
      <c r="B209" s="11" t="str">
        <f>CONCATENATE("          ", "6007", " - ", "STUDENT HOURLY")</f>
        <v xml:space="preserve">          6007 - STUDENT HOURLY</v>
      </c>
      <c r="C209" s="11"/>
      <c r="D209" s="6">
        <v>72055.090000000011</v>
      </c>
      <c r="E209" s="2"/>
      <c r="F209" s="7">
        <f t="shared" si="28"/>
        <v>0.20804510318654648</v>
      </c>
      <c r="G209" s="2"/>
      <c r="H209" s="6">
        <v>18184.889808</v>
      </c>
      <c r="I209" s="2"/>
      <c r="J209" s="7">
        <f t="shared" si="29"/>
        <v>1.6545173880725867E-2</v>
      </c>
      <c r="K209" s="2"/>
      <c r="L209" s="6">
        <f t="shared" si="30"/>
        <v>53870.200192000011</v>
      </c>
      <c r="M209" s="2"/>
      <c r="N209" s="7">
        <f t="shared" si="31"/>
        <v>2.962360551027432</v>
      </c>
      <c r="O209" s="11"/>
      <c r="P209" s="6">
        <v>779494.05999999994</v>
      </c>
      <c r="Q209" s="2"/>
      <c r="R209" s="7">
        <f t="shared" si="32"/>
        <v>7.3283982905821804E-2</v>
      </c>
      <c r="S209" s="2"/>
      <c r="T209" s="6">
        <v>187898.8993932</v>
      </c>
      <c r="U209" s="2"/>
      <c r="V209" s="7">
        <f t="shared" si="33"/>
        <v>1.5675030228978877E-2</v>
      </c>
      <c r="W209" s="2"/>
      <c r="X209" s="6">
        <f t="shared" si="34"/>
        <v>591595.16060679988</v>
      </c>
      <c r="Y209" s="2"/>
      <c r="Z209" s="7">
        <f t="shared" si="35"/>
        <v>3.1484759225162842</v>
      </c>
    </row>
    <row r="210" spans="1:26" s="24" customFormat="1" hidden="1" outlineLevel="2" x14ac:dyDescent="0.25">
      <c r="A210" s="25"/>
      <c r="B210" s="11" t="str">
        <f>CONCATENATE("          ", "6008", " - ", "STUDENT HOURLY-FICA EXEMPT")</f>
        <v xml:space="preserve">          6008 - STUDENT HOURLY-FICA EXEMPT</v>
      </c>
      <c r="C210" s="11"/>
      <c r="D210" s="6">
        <v>1736.34</v>
      </c>
      <c r="E210" s="2"/>
      <c r="F210" s="7">
        <f t="shared" si="28"/>
        <v>5.0133451289413149E-3</v>
      </c>
      <c r="G210" s="2"/>
      <c r="H210" s="6">
        <v>74172.440033473613</v>
      </c>
      <c r="I210" s="2"/>
      <c r="J210" s="7">
        <f t="shared" si="29"/>
        <v>6.748437469066533E-2</v>
      </c>
      <c r="K210" s="2"/>
      <c r="L210" s="6">
        <f t="shared" si="30"/>
        <v>-72436.100033473616</v>
      </c>
      <c r="M210" s="2"/>
      <c r="N210" s="7">
        <f t="shared" si="31"/>
        <v>-0.97659049642675366</v>
      </c>
      <c r="O210" s="11"/>
      <c r="P210" s="6">
        <v>15323.92</v>
      </c>
      <c r="Q210" s="2"/>
      <c r="R210" s="7">
        <f t="shared" si="32"/>
        <v>1.4406753674687154E-3</v>
      </c>
      <c r="S210" s="2"/>
      <c r="T210" s="6">
        <v>665534.73378930241</v>
      </c>
      <c r="U210" s="2"/>
      <c r="V210" s="7">
        <f t="shared" si="33"/>
        <v>5.5520692799546356E-2</v>
      </c>
      <c r="W210" s="2"/>
      <c r="X210" s="6">
        <f t="shared" si="34"/>
        <v>-650210.81378930237</v>
      </c>
      <c r="Y210" s="2"/>
      <c r="Z210" s="7">
        <f t="shared" si="35"/>
        <v>-0.97697502591224439</v>
      </c>
    </row>
    <row r="211" spans="1:26" s="24" customFormat="1" hidden="1" outlineLevel="2" x14ac:dyDescent="0.25">
      <c r="A211" s="25"/>
      <c r="B211" s="11" t="str">
        <f>CONCATENATE("          ", "6009", " - ", "TEMPORARY-SEASONAL")</f>
        <v xml:space="preserve">          6009 - TEMPORARY-SEASONAL</v>
      </c>
      <c r="C211" s="11"/>
      <c r="D211" s="6"/>
      <c r="E211" s="2"/>
      <c r="F211" s="7">
        <f t="shared" si="28"/>
        <v>0</v>
      </c>
      <c r="G211" s="2"/>
      <c r="H211" s="6">
        <v>0</v>
      </c>
      <c r="I211" s="2"/>
      <c r="J211" s="7">
        <f t="shared" si="29"/>
        <v>0</v>
      </c>
      <c r="K211" s="2"/>
      <c r="L211" s="6">
        <f t="shared" si="30"/>
        <v>0</v>
      </c>
      <c r="M211" s="2"/>
      <c r="N211" s="7">
        <f t="shared" si="31"/>
        <v>0</v>
      </c>
      <c r="O211" s="11"/>
      <c r="P211" s="6"/>
      <c r="Q211" s="2"/>
      <c r="R211" s="7">
        <f t="shared" si="32"/>
        <v>0</v>
      </c>
      <c r="S211" s="2"/>
      <c r="T211" s="6">
        <v>0</v>
      </c>
      <c r="U211" s="2"/>
      <c r="V211" s="7">
        <f t="shared" si="33"/>
        <v>0</v>
      </c>
      <c r="W211" s="2"/>
      <c r="X211" s="6">
        <f t="shared" si="34"/>
        <v>0</v>
      </c>
      <c r="Y211" s="2"/>
      <c r="Z211" s="7">
        <f t="shared" si="35"/>
        <v>0</v>
      </c>
    </row>
    <row r="212" spans="1:26" s="24" customFormat="1" hidden="1" outlineLevel="2" x14ac:dyDescent="0.25">
      <c r="A212" s="25"/>
      <c r="B212" s="11" t="str">
        <f>CONCATENATE("          ", "6010", " - ", "GRATUITY")</f>
        <v xml:space="preserve">          6010 - GRATUITY</v>
      </c>
      <c r="C212" s="11"/>
      <c r="D212" s="6"/>
      <c r="E212" s="2"/>
      <c r="F212" s="7">
        <f t="shared" si="28"/>
        <v>0</v>
      </c>
      <c r="G212" s="2"/>
      <c r="H212" s="6">
        <v>0</v>
      </c>
      <c r="I212" s="2"/>
      <c r="J212" s="7">
        <f t="shared" si="29"/>
        <v>0</v>
      </c>
      <c r="K212" s="2"/>
      <c r="L212" s="6">
        <f t="shared" si="30"/>
        <v>0</v>
      </c>
      <c r="M212" s="2"/>
      <c r="N212" s="7">
        <f t="shared" si="31"/>
        <v>0</v>
      </c>
      <c r="O212" s="11"/>
      <c r="P212" s="6"/>
      <c r="Q212" s="2"/>
      <c r="R212" s="7">
        <f t="shared" si="32"/>
        <v>0</v>
      </c>
      <c r="S212" s="2"/>
      <c r="T212" s="6">
        <v>0</v>
      </c>
      <c r="U212" s="2"/>
      <c r="V212" s="7">
        <f t="shared" si="33"/>
        <v>0</v>
      </c>
      <c r="W212" s="2"/>
      <c r="X212" s="6">
        <f t="shared" si="34"/>
        <v>0</v>
      </c>
      <c r="Y212" s="2"/>
      <c r="Z212" s="7">
        <f t="shared" si="35"/>
        <v>0</v>
      </c>
    </row>
    <row r="213" spans="1:26" s="27" customFormat="1" outlineLevel="1" collapsed="1" x14ac:dyDescent="0.25">
      <c r="A213" s="26"/>
      <c r="B213" s="13" t="str">
        <f>CONCATENATE("     ","Advertising/Promo                                 ")</f>
        <v xml:space="preserve">     Advertising/Promo                                 </v>
      </c>
      <c r="C213" s="13"/>
      <c r="D213" s="1">
        <f>SUM(OSRRefD22_2x_0)</f>
        <v>496.82</v>
      </c>
      <c r="E213" s="1"/>
      <c r="F213" s="5">
        <f t="shared" ref="F213:F217" si="36">IF(D$12=0,0,D213/D$12)</f>
        <v>1.4344714324156698E-3</v>
      </c>
      <c r="G213" s="1"/>
      <c r="H213" s="1">
        <f>SUM(OSRRefH22_2x_0)</f>
        <v>2720</v>
      </c>
      <c r="I213" s="1"/>
      <c r="J213" s="5">
        <f t="shared" ref="J213:J217" si="37">IF(H$12=0,0,H213/H$12)</f>
        <v>2.4747399313784367E-3</v>
      </c>
      <c r="K213" s="1"/>
      <c r="L213" s="1">
        <f t="shared" ref="L213:L217" si="38">+D213-H213</f>
        <v>-2223.1799999999998</v>
      </c>
      <c r="M213" s="1"/>
      <c r="N213" s="5">
        <f t="shared" ref="N213:N217" si="39">IF(H213=0,0,L213/H213)</f>
        <v>-0.81734558823529402</v>
      </c>
      <c r="O213" s="13"/>
      <c r="P213" s="1">
        <f>SUM(OSRRefP22_2x_0)</f>
        <v>45388.91</v>
      </c>
      <c r="Q213" s="1"/>
      <c r="R213" s="5">
        <f t="shared" ref="R213:R217" si="40">IF(P$12=0,0,P213/P$12)</f>
        <v>4.2672295726716436E-3</v>
      </c>
      <c r="S213" s="1"/>
      <c r="T213" s="1">
        <f>SUM(OSRRefT22_2x_0)</f>
        <v>58330</v>
      </c>
      <c r="U213" s="1"/>
      <c r="V213" s="5">
        <f t="shared" ref="V213:V217" si="41">IF(T$12=0,0,T213/T$12)</f>
        <v>4.8660450710943702E-3</v>
      </c>
      <c r="W213" s="1"/>
      <c r="X213" s="1">
        <f t="shared" ref="X213:X217" si="42">+P213-T213</f>
        <v>-12941.089999999997</v>
      </c>
      <c r="Y213" s="1"/>
      <c r="Z213" s="5">
        <f t="shared" ref="Z213:Z217" si="43">IF(T213=0,0,X213/T213)</f>
        <v>-0.22185993485342015</v>
      </c>
    </row>
    <row r="214" spans="1:26" s="24" customFormat="1" hidden="1" outlineLevel="2" x14ac:dyDescent="0.25">
      <c r="A214" s="25"/>
      <c r="B214" s="11" t="str">
        <f>CONCATENATE("          ", "6362", " - ", "ADVERTISING EXPENSE")</f>
        <v xml:space="preserve">          6362 - ADVERTISING EXPENSE</v>
      </c>
      <c r="C214" s="11"/>
      <c r="D214" s="6">
        <v>496.82</v>
      </c>
      <c r="E214" s="2"/>
      <c r="F214" s="7">
        <f t="shared" si="36"/>
        <v>1.4344714324156698E-3</v>
      </c>
      <c r="G214" s="2"/>
      <c r="H214" s="6">
        <v>2720</v>
      </c>
      <c r="I214" s="2"/>
      <c r="J214" s="7">
        <f t="shared" si="37"/>
        <v>2.4747399313784367E-3</v>
      </c>
      <c r="K214" s="2"/>
      <c r="L214" s="6">
        <f t="shared" si="38"/>
        <v>-2223.1799999999998</v>
      </c>
      <c r="M214" s="2"/>
      <c r="N214" s="7">
        <f t="shared" si="39"/>
        <v>-0.81734558823529402</v>
      </c>
      <c r="O214" s="11"/>
      <c r="P214" s="6">
        <v>45388.91</v>
      </c>
      <c r="Q214" s="2"/>
      <c r="R214" s="7">
        <f t="shared" si="40"/>
        <v>4.2672295726716436E-3</v>
      </c>
      <c r="S214" s="2"/>
      <c r="T214" s="6">
        <v>58330</v>
      </c>
      <c r="U214" s="2"/>
      <c r="V214" s="7">
        <f t="shared" si="41"/>
        <v>4.8660450710943702E-3</v>
      </c>
      <c r="W214" s="2"/>
      <c r="X214" s="6">
        <f t="shared" si="42"/>
        <v>-12941.089999999997</v>
      </c>
      <c r="Y214" s="2"/>
      <c r="Z214" s="7">
        <f t="shared" si="43"/>
        <v>-0.22185993485342015</v>
      </c>
    </row>
    <row r="215" spans="1:26" s="27" customFormat="1" outlineLevel="1" collapsed="1" x14ac:dyDescent="0.25">
      <c r="A215" s="26"/>
      <c r="B215" s="13" t="str">
        <f>CONCATENATE("     ","Bad Debts/Over/Short                              ")</f>
        <v xml:space="preserve">     Bad Debts/Over/Short                              </v>
      </c>
      <c r="C215" s="13"/>
      <c r="D215" s="1">
        <f>SUM(OSRRefD22_3x_0)</f>
        <v>-50.56</v>
      </c>
      <c r="E215" s="1"/>
      <c r="F215" s="5">
        <f t="shared" si="36"/>
        <v>-1.4598219802531353E-4</v>
      </c>
      <c r="G215" s="1"/>
      <c r="H215" s="1">
        <f>SUM(OSRRefH22_3x_0)</f>
        <v>135</v>
      </c>
      <c r="I215" s="1"/>
      <c r="J215" s="5">
        <f t="shared" si="37"/>
        <v>1.2282716571179741E-4</v>
      </c>
      <c r="K215" s="1"/>
      <c r="L215" s="1">
        <f t="shared" si="38"/>
        <v>-185.56</v>
      </c>
      <c r="M215" s="1"/>
      <c r="N215" s="5">
        <f t="shared" si="39"/>
        <v>-1.3745185185185185</v>
      </c>
      <c r="O215" s="13"/>
      <c r="P215" s="1">
        <f>SUM(OSRRefP22_3x_0)</f>
        <v>-31.019999999999996</v>
      </c>
      <c r="Q215" s="1"/>
      <c r="R215" s="5">
        <f t="shared" si="40"/>
        <v>-2.9163392851750432E-6</v>
      </c>
      <c r="S215" s="1"/>
      <c r="T215" s="1">
        <f>SUM(OSRRefT22_3x_0)</f>
        <v>1215</v>
      </c>
      <c r="U215" s="1"/>
      <c r="V215" s="5">
        <f t="shared" si="41"/>
        <v>1.0135855925560877E-4</v>
      </c>
      <c r="W215" s="1"/>
      <c r="X215" s="1">
        <f t="shared" si="42"/>
        <v>-1246.02</v>
      </c>
      <c r="Y215" s="1"/>
      <c r="Z215" s="5">
        <f t="shared" si="43"/>
        <v>-1.0255308641975309</v>
      </c>
    </row>
    <row r="216" spans="1:26" s="24" customFormat="1" hidden="1" outlineLevel="2" x14ac:dyDescent="0.25">
      <c r="A216" s="25"/>
      <c r="B216" s="11" t="str">
        <f>CONCATENATE("          ", "6272", " - ", "CASH (OVER/SHORT)")</f>
        <v xml:space="preserve">          6272 - CASH (OVER/SHORT)</v>
      </c>
      <c r="C216" s="11"/>
      <c r="D216" s="6">
        <v>-50.56</v>
      </c>
      <c r="E216" s="2"/>
      <c r="F216" s="7">
        <f t="shared" si="36"/>
        <v>-1.4598219802531353E-4</v>
      </c>
      <c r="G216" s="2"/>
      <c r="H216" s="6">
        <v>125</v>
      </c>
      <c r="I216" s="2"/>
      <c r="J216" s="7">
        <f t="shared" si="37"/>
        <v>1.1372885714055316E-4</v>
      </c>
      <c r="K216" s="2"/>
      <c r="L216" s="6">
        <f t="shared" si="38"/>
        <v>-175.56</v>
      </c>
      <c r="M216" s="2"/>
      <c r="N216" s="7">
        <f t="shared" si="39"/>
        <v>-1.40448</v>
      </c>
      <c r="O216" s="11"/>
      <c r="P216" s="6">
        <v>-75.819999999999993</v>
      </c>
      <c r="Q216" s="2"/>
      <c r="R216" s="7">
        <f t="shared" si="40"/>
        <v>-7.1282025983872271E-6</v>
      </c>
      <c r="S216" s="2"/>
      <c r="T216" s="6">
        <v>1125</v>
      </c>
      <c r="U216" s="2"/>
      <c r="V216" s="7">
        <f t="shared" si="41"/>
        <v>9.3850517829267385E-5</v>
      </c>
      <c r="W216" s="2"/>
      <c r="X216" s="6">
        <f t="shared" si="42"/>
        <v>-1200.82</v>
      </c>
      <c r="Y216" s="2"/>
      <c r="Z216" s="7">
        <f t="shared" si="43"/>
        <v>-1.0673955555555554</v>
      </c>
    </row>
    <row r="217" spans="1:26" s="24" customFormat="1" hidden="1" outlineLevel="2" x14ac:dyDescent="0.25">
      <c r="A217" s="25"/>
      <c r="B217" s="11" t="str">
        <f>CONCATENATE("          ", "6342", " - ", "BAD DEBT")</f>
        <v xml:space="preserve">          6342 - BAD DEBT</v>
      </c>
      <c r="C217" s="11"/>
      <c r="D217" s="6"/>
      <c r="E217" s="2"/>
      <c r="F217" s="7">
        <f t="shared" si="36"/>
        <v>0</v>
      </c>
      <c r="G217" s="2"/>
      <c r="H217" s="6">
        <v>10</v>
      </c>
      <c r="I217" s="2"/>
      <c r="J217" s="7">
        <f t="shared" si="37"/>
        <v>9.0983085712442534E-6</v>
      </c>
      <c r="K217" s="2"/>
      <c r="L217" s="6">
        <f t="shared" si="38"/>
        <v>-10</v>
      </c>
      <c r="M217" s="2"/>
      <c r="N217" s="7">
        <f t="shared" si="39"/>
        <v>-1</v>
      </c>
      <c r="O217" s="11"/>
      <c r="P217" s="6">
        <v>44.8</v>
      </c>
      <c r="Q217" s="2"/>
      <c r="R217" s="7">
        <f t="shared" si="40"/>
        <v>4.2118633132121839E-6</v>
      </c>
      <c r="S217" s="2"/>
      <c r="T217" s="6">
        <v>90</v>
      </c>
      <c r="U217" s="2"/>
      <c r="V217" s="7">
        <f t="shared" si="41"/>
        <v>7.5080414263413908E-6</v>
      </c>
      <c r="W217" s="2"/>
      <c r="X217" s="6">
        <f t="shared" si="42"/>
        <v>-45.2</v>
      </c>
      <c r="Y217" s="2"/>
      <c r="Z217" s="7">
        <f t="shared" si="43"/>
        <v>-0.50222222222222224</v>
      </c>
    </row>
    <row r="218" spans="1:26" s="27" customFormat="1" outlineLevel="1" collapsed="1" x14ac:dyDescent="0.25">
      <c r="A218" s="26"/>
      <c r="B218" s="13" t="str">
        <f>CONCATENATE("     ","Bank/card Fees                                    ")</f>
        <v xml:space="preserve">     Bank/card Fees                                    </v>
      </c>
      <c r="C218" s="13"/>
      <c r="D218" s="1">
        <f>SUM(OSRRefD22_4x_0)</f>
        <v>5912.23</v>
      </c>
      <c r="E218" s="1"/>
      <c r="F218" s="5">
        <f t="shared" ref="F218:F224" si="44">IF(D$12=0,0,D218/D$12)</f>
        <v>1.707041793178796E-2</v>
      </c>
      <c r="G218" s="1"/>
      <c r="H218" s="1">
        <f>SUM(OSRRefH22_4x_0)</f>
        <v>13700</v>
      </c>
      <c r="I218" s="1"/>
      <c r="J218" s="5">
        <f t="shared" ref="J218:J224" si="45">IF(H$12=0,0,H218/H$12)</f>
        <v>1.2464682742604627E-2</v>
      </c>
      <c r="K218" s="1"/>
      <c r="L218" s="1">
        <f t="shared" ref="L218:L224" si="46">+D218-H218</f>
        <v>-7787.77</v>
      </c>
      <c r="M218" s="1"/>
      <c r="N218" s="5">
        <f t="shared" ref="N218:N224" si="47">IF(H218=0,0,L218/H218)</f>
        <v>-0.56845036496350365</v>
      </c>
      <c r="O218" s="13"/>
      <c r="P218" s="1">
        <f>SUM(OSRRefP22_4x_0)</f>
        <v>137147.91</v>
      </c>
      <c r="Q218" s="1"/>
      <c r="R218" s="5">
        <f t="shared" ref="R218:R224" si="48">IF(P$12=0,0,P218/P$12)</f>
        <v>1.2893934165462645E-2</v>
      </c>
      <c r="S218" s="1"/>
      <c r="T218" s="1">
        <f>SUM(OSRRefT22_4x_0)</f>
        <v>155685</v>
      </c>
      <c r="U218" s="1"/>
      <c r="V218" s="5">
        <f t="shared" ref="V218:V224" si="49">IF(T$12=0,0,T218/T$12)</f>
        <v>1.2987660327332883E-2</v>
      </c>
      <c r="W218" s="1"/>
      <c r="X218" s="1">
        <f t="shared" ref="X218:X224" si="50">+P218-T218</f>
        <v>-18537.089999999997</v>
      </c>
      <c r="Y218" s="1"/>
      <c r="Z218" s="5">
        <f t="shared" ref="Z218:Z224" si="51">IF(T218=0,0,X218/T218)</f>
        <v>-0.11906792561903842</v>
      </c>
    </row>
    <row r="219" spans="1:26" s="24" customFormat="1" hidden="1" outlineLevel="2" x14ac:dyDescent="0.25">
      <c r="A219" s="25"/>
      <c r="B219" s="11" t="str">
        <f>CONCATENATE("          ", "6381", " - ", "BANK/CREDIT CARD FEES")</f>
        <v xml:space="preserve">          6381 - BANK/CREDIT CARD FEES</v>
      </c>
      <c r="C219" s="11"/>
      <c r="D219" s="6">
        <v>5912.23</v>
      </c>
      <c r="E219" s="2"/>
      <c r="F219" s="7">
        <f t="shared" si="44"/>
        <v>1.707041793178796E-2</v>
      </c>
      <c r="G219" s="2"/>
      <c r="H219" s="6">
        <v>13700</v>
      </c>
      <c r="I219" s="2"/>
      <c r="J219" s="7">
        <f t="shared" si="45"/>
        <v>1.2464682742604627E-2</v>
      </c>
      <c r="K219" s="2"/>
      <c r="L219" s="6">
        <f t="shared" si="46"/>
        <v>-7787.77</v>
      </c>
      <c r="M219" s="2"/>
      <c r="N219" s="7">
        <f t="shared" si="47"/>
        <v>-0.56845036496350365</v>
      </c>
      <c r="O219" s="11"/>
      <c r="P219" s="6">
        <v>137147.91</v>
      </c>
      <c r="Q219" s="2"/>
      <c r="R219" s="7">
        <f t="shared" si="48"/>
        <v>1.2893934165462645E-2</v>
      </c>
      <c r="S219" s="2"/>
      <c r="T219" s="6">
        <v>155685</v>
      </c>
      <c r="U219" s="2"/>
      <c r="V219" s="7">
        <f t="shared" si="49"/>
        <v>1.2987660327332883E-2</v>
      </c>
      <c r="W219" s="2"/>
      <c r="X219" s="6">
        <f t="shared" si="50"/>
        <v>-18537.089999999997</v>
      </c>
      <c r="Y219" s="2"/>
      <c r="Z219" s="7">
        <f t="shared" si="51"/>
        <v>-0.11906792561903842</v>
      </c>
    </row>
    <row r="220" spans="1:26" s="27" customFormat="1" outlineLevel="1" collapsed="1" x14ac:dyDescent="0.25">
      <c r="A220" s="26"/>
      <c r="B220" s="13" t="str">
        <f>CONCATENATE("     ","Depreciation                                      ")</f>
        <v xml:space="preserve">     Depreciation                                      </v>
      </c>
      <c r="C220" s="13"/>
      <c r="D220" s="1">
        <f>SUM(OSRRefD22_5x_0)</f>
        <v>30723.919999999998</v>
      </c>
      <c r="E220" s="1"/>
      <c r="F220" s="5">
        <f t="shared" si="44"/>
        <v>8.870936260984752E-2</v>
      </c>
      <c r="G220" s="1"/>
      <c r="H220" s="1">
        <f>SUM(OSRRefH22_5x_0)</f>
        <v>31271</v>
      </c>
      <c r="I220" s="1"/>
      <c r="J220" s="5">
        <f t="shared" si="45"/>
        <v>2.8451320733137903E-2</v>
      </c>
      <c r="K220" s="1"/>
      <c r="L220" s="1">
        <f t="shared" si="46"/>
        <v>-547.08000000000175</v>
      </c>
      <c r="M220" s="1"/>
      <c r="N220" s="5">
        <f t="shared" si="47"/>
        <v>-1.7494803492053394E-2</v>
      </c>
      <c r="O220" s="13"/>
      <c r="P220" s="1">
        <f>SUM(OSRRefP22_5x_0)</f>
        <v>270857.42</v>
      </c>
      <c r="Q220" s="1"/>
      <c r="R220" s="5">
        <f t="shared" si="48"/>
        <v>2.5464607821636249E-2</v>
      </c>
      <c r="S220" s="1"/>
      <c r="T220" s="1">
        <f>SUM(OSRRefT22_5x_0)</f>
        <v>275856</v>
      </c>
      <c r="U220" s="1"/>
      <c r="V220" s="5">
        <f t="shared" si="49"/>
        <v>2.3012647507831451E-2</v>
      </c>
      <c r="W220" s="1"/>
      <c r="X220" s="1">
        <f t="shared" si="50"/>
        <v>-4998.5800000000163</v>
      </c>
      <c r="Y220" s="1"/>
      <c r="Z220" s="5">
        <f t="shared" si="51"/>
        <v>-1.8120251145525259E-2</v>
      </c>
    </row>
    <row r="221" spans="1:26" s="24" customFormat="1" hidden="1" outlineLevel="2" x14ac:dyDescent="0.25">
      <c r="A221" s="25"/>
      <c r="B221" s="11" t="str">
        <f>CONCATENATE("          ", "6321", " - ", "BUILDING DEPRECIATION")</f>
        <v xml:space="preserve">          6321 - BUILDING DEPRECIATION</v>
      </c>
      <c r="C221" s="11"/>
      <c r="D221" s="6">
        <v>16396.52</v>
      </c>
      <c r="E221" s="2"/>
      <c r="F221" s="7">
        <f t="shared" si="44"/>
        <v>4.7341772736669577E-2</v>
      </c>
      <c r="G221" s="2"/>
      <c r="H221" s="6">
        <v>16397</v>
      </c>
      <c r="I221" s="2"/>
      <c r="J221" s="7">
        <f t="shared" si="45"/>
        <v>1.4918496564269202E-2</v>
      </c>
      <c r="K221" s="2"/>
      <c r="L221" s="6">
        <f t="shared" si="46"/>
        <v>-0.47999999999956344</v>
      </c>
      <c r="M221" s="2"/>
      <c r="N221" s="7">
        <f t="shared" si="47"/>
        <v>-2.927364761844017E-5</v>
      </c>
      <c r="O221" s="11"/>
      <c r="P221" s="6">
        <v>147568.68</v>
      </c>
      <c r="Q221" s="2"/>
      <c r="R221" s="7">
        <f t="shared" si="48"/>
        <v>1.3873640836409566E-2</v>
      </c>
      <c r="S221" s="2"/>
      <c r="T221" s="6">
        <v>147741</v>
      </c>
      <c r="U221" s="2"/>
      <c r="V221" s="7">
        <f t="shared" si="49"/>
        <v>1.2324950537434482E-2</v>
      </c>
      <c r="W221" s="2"/>
      <c r="X221" s="6">
        <f t="shared" si="50"/>
        <v>-172.32000000000698</v>
      </c>
      <c r="Y221" s="2"/>
      <c r="Z221" s="7">
        <f t="shared" si="51"/>
        <v>-1.1663654638861723E-3</v>
      </c>
    </row>
    <row r="222" spans="1:26" s="24" customFormat="1" hidden="1" outlineLevel="2" x14ac:dyDescent="0.25">
      <c r="A222" s="25"/>
      <c r="B222" s="11" t="str">
        <f>CONCATENATE("          ", "6322", " - ", "EQUIPMENT DEPRECIATION EXPENSE")</f>
        <v xml:space="preserve">          6322 - EQUIPMENT DEPRECIATION EXPENSE</v>
      </c>
      <c r="C222" s="11"/>
      <c r="D222" s="6">
        <v>14327.4</v>
      </c>
      <c r="E222" s="2"/>
      <c r="F222" s="7">
        <f t="shared" si="44"/>
        <v>4.1367589873177943E-2</v>
      </c>
      <c r="G222" s="2"/>
      <c r="H222" s="6">
        <v>13049</v>
      </c>
      <c r="I222" s="2"/>
      <c r="J222" s="7">
        <f t="shared" si="45"/>
        <v>1.1872382854616626E-2</v>
      </c>
      <c r="K222" s="2"/>
      <c r="L222" s="6">
        <f t="shared" si="46"/>
        <v>1278.3999999999996</v>
      </c>
      <c r="M222" s="2"/>
      <c r="N222" s="7">
        <f t="shared" si="47"/>
        <v>9.7969193041612362E-2</v>
      </c>
      <c r="O222" s="11"/>
      <c r="P222" s="6">
        <v>123288.74</v>
      </c>
      <c r="Q222" s="2"/>
      <c r="R222" s="7">
        <f t="shared" si="48"/>
        <v>1.1590966985226686E-2</v>
      </c>
      <c r="S222" s="2"/>
      <c r="T222" s="6">
        <v>117441</v>
      </c>
      <c r="U222" s="2"/>
      <c r="V222" s="7">
        <f t="shared" si="49"/>
        <v>9.7972432572328814E-3</v>
      </c>
      <c r="W222" s="2"/>
      <c r="X222" s="6">
        <f t="shared" si="50"/>
        <v>5847.7400000000052</v>
      </c>
      <c r="Y222" s="2"/>
      <c r="Z222" s="7">
        <f t="shared" si="51"/>
        <v>4.9793002443780328E-2</v>
      </c>
    </row>
    <row r="223" spans="1:26" s="24" customFormat="1" hidden="1" outlineLevel="2" x14ac:dyDescent="0.25">
      <c r="A223" s="25"/>
      <c r="B223" s="11" t="str">
        <f>CONCATENATE("          ", "6324", " - ", "FURNITURE + FIXT DEPRECIATION")</f>
        <v xml:space="preserve">          6324 - FURNITURE + FIXT DEPRECIATION</v>
      </c>
      <c r="C223" s="11"/>
      <c r="D223" s="6"/>
      <c r="E223" s="2"/>
      <c r="F223" s="7">
        <f t="shared" si="44"/>
        <v>0</v>
      </c>
      <c r="G223" s="2"/>
      <c r="H223" s="6">
        <v>1492</v>
      </c>
      <c r="I223" s="2"/>
      <c r="J223" s="7">
        <f t="shared" si="45"/>
        <v>1.3574676388296426E-3</v>
      </c>
      <c r="K223" s="2"/>
      <c r="L223" s="6">
        <f t="shared" si="46"/>
        <v>-1492</v>
      </c>
      <c r="M223" s="2"/>
      <c r="N223" s="7">
        <f t="shared" si="47"/>
        <v>-1</v>
      </c>
      <c r="O223" s="11"/>
      <c r="P223" s="6"/>
      <c r="Q223" s="2"/>
      <c r="R223" s="7">
        <f t="shared" si="48"/>
        <v>0</v>
      </c>
      <c r="S223" s="2"/>
      <c r="T223" s="6">
        <v>8676</v>
      </c>
      <c r="U223" s="2"/>
      <c r="V223" s="7">
        <f t="shared" si="49"/>
        <v>7.2377519349931007E-4</v>
      </c>
      <c r="W223" s="2"/>
      <c r="X223" s="6">
        <f t="shared" si="50"/>
        <v>-8676</v>
      </c>
      <c r="Y223" s="2"/>
      <c r="Z223" s="7">
        <f t="shared" si="51"/>
        <v>-1</v>
      </c>
    </row>
    <row r="224" spans="1:26" s="24" customFormat="1" hidden="1" outlineLevel="2" x14ac:dyDescent="0.25">
      <c r="A224" s="25"/>
      <c r="B224" s="11" t="str">
        <f>CONCATENATE("          ", "6326", " - ", "VEHICLES DEPRECIATION EXPENSE")</f>
        <v xml:space="preserve">          6326 - VEHICLES DEPRECIATION EXPENSE</v>
      </c>
      <c r="C224" s="11"/>
      <c r="D224" s="6"/>
      <c r="E224" s="2"/>
      <c r="F224" s="7">
        <f t="shared" si="44"/>
        <v>0</v>
      </c>
      <c r="G224" s="2"/>
      <c r="H224" s="6">
        <v>333</v>
      </c>
      <c r="I224" s="2"/>
      <c r="J224" s="7">
        <f t="shared" si="45"/>
        <v>3.0297367542243364E-4</v>
      </c>
      <c r="K224" s="2"/>
      <c r="L224" s="6">
        <f t="shared" si="46"/>
        <v>-333</v>
      </c>
      <c r="M224" s="2"/>
      <c r="N224" s="7">
        <f t="shared" si="47"/>
        <v>-1</v>
      </c>
      <c r="O224" s="11"/>
      <c r="P224" s="6"/>
      <c r="Q224" s="2"/>
      <c r="R224" s="7">
        <f t="shared" si="48"/>
        <v>0</v>
      </c>
      <c r="S224" s="2"/>
      <c r="T224" s="6">
        <v>1998</v>
      </c>
      <c r="U224" s="2"/>
      <c r="V224" s="7">
        <f t="shared" si="49"/>
        <v>1.6667851966477887E-4</v>
      </c>
      <c r="W224" s="2"/>
      <c r="X224" s="6">
        <f t="shared" si="50"/>
        <v>-1998</v>
      </c>
      <c r="Y224" s="2"/>
      <c r="Z224" s="7">
        <f t="shared" si="51"/>
        <v>-1</v>
      </c>
    </row>
    <row r="225" spans="1:26" s="27" customFormat="1" outlineLevel="1" collapsed="1" x14ac:dyDescent="0.25">
      <c r="A225" s="26"/>
      <c r="B225" s="13" t="str">
        <f>CONCATENATE("     ","Discounts and Markdowns                           ")</f>
        <v xml:space="preserve">     Discounts and Markdowns                           </v>
      </c>
      <c r="C225" s="13"/>
      <c r="D225" s="1">
        <f>SUM(OSRRefD22_6x_0)</f>
        <v>18113.14</v>
      </c>
      <c r="E225" s="1"/>
      <c r="F225" s="5">
        <f t="shared" ref="F225:F227" si="52">IF(D$12=0,0,D225/D$12)</f>
        <v>5.2298180188691208E-2</v>
      </c>
      <c r="G225" s="1"/>
      <c r="H225" s="1">
        <f>SUM(OSRRefH22_6x_0)</f>
        <v>33525</v>
      </c>
      <c r="I225" s="1"/>
      <c r="J225" s="5">
        <f t="shared" ref="J225:J227" si="53">IF(H$12=0,0,H225/H$12)</f>
        <v>3.050207948509636E-2</v>
      </c>
      <c r="K225" s="1"/>
      <c r="L225" s="1">
        <f t="shared" ref="L225:L227" si="54">+D225-H225</f>
        <v>-15411.86</v>
      </c>
      <c r="M225" s="1"/>
      <c r="N225" s="5">
        <f t="shared" ref="N225:N227" si="55">IF(H225=0,0,L225/H225)</f>
        <v>-0.45971245339299033</v>
      </c>
      <c r="O225" s="13"/>
      <c r="P225" s="1">
        <f>SUM(OSRRefP22_6x_0)</f>
        <v>326767.05000000005</v>
      </c>
      <c r="Q225" s="1"/>
      <c r="R225" s="5">
        <f t="shared" ref="R225:R227" si="56">IF(P$12=0,0,P225/P$12)</f>
        <v>3.0720940845124365E-2</v>
      </c>
      <c r="S225" s="1"/>
      <c r="T225" s="1">
        <f>SUM(OSRRefT22_6x_0)</f>
        <v>310225</v>
      </c>
      <c r="U225" s="1"/>
      <c r="V225" s="5">
        <f t="shared" ref="V225:V227" si="57">IF(T$12=0,0,T225/T$12)</f>
        <v>2.5879801683186199E-2</v>
      </c>
      <c r="W225" s="1"/>
      <c r="X225" s="1">
        <f t="shared" ref="X225:X227" si="58">+P225-T225</f>
        <v>16542.050000000047</v>
      </c>
      <c r="Y225" s="1"/>
      <c r="Z225" s="5">
        <f t="shared" ref="Z225:Z227" si="59">IF(T225=0,0,X225/T225)</f>
        <v>5.3322749617213464E-2</v>
      </c>
    </row>
    <row r="226" spans="1:26" s="24" customFormat="1" hidden="1" outlineLevel="2" x14ac:dyDescent="0.25">
      <c r="A226" s="25"/>
      <c r="B226" s="11" t="str">
        <f>CONCATENATE("          ", "6382", " - ", "DISCOUNTS/MARK DOWNS")</f>
        <v xml:space="preserve">          6382 - DISCOUNTS/MARK DOWNS</v>
      </c>
      <c r="C226" s="11"/>
      <c r="D226" s="6">
        <v>18248.849999999999</v>
      </c>
      <c r="E226" s="2"/>
      <c r="F226" s="7">
        <f t="shared" si="52"/>
        <v>5.2690016503841822E-2</v>
      </c>
      <c r="G226" s="2"/>
      <c r="H226" s="6">
        <v>33525</v>
      </c>
      <c r="I226" s="2"/>
      <c r="J226" s="7">
        <f t="shared" si="53"/>
        <v>3.050207948509636E-2</v>
      </c>
      <c r="K226" s="2"/>
      <c r="L226" s="6">
        <f t="shared" si="54"/>
        <v>-15276.150000000001</v>
      </c>
      <c r="M226" s="2"/>
      <c r="N226" s="7">
        <f t="shared" si="55"/>
        <v>-0.45566442953020136</v>
      </c>
      <c r="O226" s="11"/>
      <c r="P226" s="6">
        <v>329998.53000000003</v>
      </c>
      <c r="Q226" s="2"/>
      <c r="R226" s="7">
        <f t="shared" si="56"/>
        <v>3.1024747810735501E-2</v>
      </c>
      <c r="S226" s="2"/>
      <c r="T226" s="6">
        <v>310225</v>
      </c>
      <c r="U226" s="2"/>
      <c r="V226" s="7">
        <f t="shared" si="57"/>
        <v>2.5879801683186199E-2</v>
      </c>
      <c r="W226" s="2"/>
      <c r="X226" s="6">
        <f t="shared" si="58"/>
        <v>19773.530000000028</v>
      </c>
      <c r="Y226" s="2"/>
      <c r="Z226" s="7">
        <f t="shared" si="59"/>
        <v>6.3739318236763723E-2</v>
      </c>
    </row>
    <row r="227" spans="1:26" s="24" customFormat="1" hidden="1" outlineLevel="2" x14ac:dyDescent="0.25">
      <c r="A227" s="25"/>
      <c r="B227" s="11" t="str">
        <f>CONCATENATE("          ", "9175", " - ", "EARNED DISCOUNTS")</f>
        <v xml:space="preserve">          9175 - EARNED DISCOUNTS</v>
      </c>
      <c r="C227" s="11"/>
      <c r="D227" s="6">
        <v>-135.71</v>
      </c>
      <c r="E227" s="2"/>
      <c r="F227" s="7">
        <f t="shared" si="52"/>
        <v>-3.9183631515061904E-4</v>
      </c>
      <c r="G227" s="2"/>
      <c r="H227" s="6"/>
      <c r="I227" s="2"/>
      <c r="J227" s="7">
        <f t="shared" si="53"/>
        <v>0</v>
      </c>
      <c r="K227" s="2"/>
      <c r="L227" s="6">
        <f t="shared" si="54"/>
        <v>-135.71</v>
      </c>
      <c r="M227" s="2"/>
      <c r="N227" s="7">
        <f t="shared" si="55"/>
        <v>0</v>
      </c>
      <c r="O227" s="11"/>
      <c r="P227" s="6">
        <v>-3231.48</v>
      </c>
      <c r="Q227" s="2"/>
      <c r="R227" s="7">
        <f t="shared" si="56"/>
        <v>-3.0380696561113635E-4</v>
      </c>
      <c r="S227" s="2"/>
      <c r="T227" s="6"/>
      <c r="U227" s="2"/>
      <c r="V227" s="7">
        <f t="shared" si="57"/>
        <v>0</v>
      </c>
      <c r="W227" s="2"/>
      <c r="X227" s="6">
        <f t="shared" si="58"/>
        <v>-3231.48</v>
      </c>
      <c r="Y227" s="2"/>
      <c r="Z227" s="7">
        <f t="shared" si="59"/>
        <v>0</v>
      </c>
    </row>
    <row r="228" spans="1:26" s="27" customFormat="1" outlineLevel="1" collapsed="1" x14ac:dyDescent="0.25">
      <c r="A228" s="26"/>
      <c r="B228" s="13" t="str">
        <f>CONCATENATE("     ","Donations                                         ")</f>
        <v xml:space="preserve">     Donations                                         </v>
      </c>
      <c r="C228" s="13"/>
      <c r="D228" s="1">
        <f>SUM(OSRRefD22_7x_0)</f>
        <v>769.23</v>
      </c>
      <c r="E228" s="1"/>
      <c r="F228" s="5">
        <f t="shared" ref="F228:F230" si="60">IF(D$12=0,0,D228/D$12)</f>
        <v>2.2210024957874195E-3</v>
      </c>
      <c r="G228" s="1"/>
      <c r="H228" s="1">
        <f>SUM(OSRRefH22_7x_0)</f>
        <v>1025</v>
      </c>
      <c r="I228" s="1"/>
      <c r="J228" s="5">
        <f t="shared" ref="J228:J230" si="61">IF(H$12=0,0,H228/H$12)</f>
        <v>9.3257662855253593E-4</v>
      </c>
      <c r="K228" s="1"/>
      <c r="L228" s="1">
        <f t="shared" ref="L228:L230" si="62">+D228-H228</f>
        <v>-255.76999999999998</v>
      </c>
      <c r="M228" s="1"/>
      <c r="N228" s="5">
        <f t="shared" ref="N228:N230" si="63">IF(H228=0,0,L228/H228)</f>
        <v>-0.24953170731707316</v>
      </c>
      <c r="O228" s="13"/>
      <c r="P228" s="1">
        <f>SUM(OSRRefP22_7x_0)</f>
        <v>12371.45</v>
      </c>
      <c r="Q228" s="1"/>
      <c r="R228" s="5">
        <f t="shared" ref="R228:R230" si="64">IF(P$12=0,0,P228/P$12)</f>
        <v>1.1630994729071179E-3</v>
      </c>
      <c r="S228" s="1"/>
      <c r="T228" s="1">
        <f>SUM(OSRRefT22_7x_0)</f>
        <v>9300</v>
      </c>
      <c r="U228" s="1"/>
      <c r="V228" s="5">
        <f t="shared" ref="V228:V230" si="65">IF(T$12=0,0,T228/T$12)</f>
        <v>7.7583094738861041E-4</v>
      </c>
      <c r="W228" s="1"/>
      <c r="X228" s="1">
        <f t="shared" ref="X228:X230" si="66">+P228-T228</f>
        <v>3071.4500000000007</v>
      </c>
      <c r="Y228" s="1"/>
      <c r="Z228" s="5">
        <f t="shared" ref="Z228:Z230" si="67">IF(T228=0,0,X228/T228)</f>
        <v>0.33026344086021514</v>
      </c>
    </row>
    <row r="229" spans="1:26" s="24" customFormat="1" hidden="1" outlineLevel="2" x14ac:dyDescent="0.25">
      <c r="A229" s="25"/>
      <c r="B229" s="11" t="str">
        <f>CONCATENATE("          ", "6395", " - ", "DONATION-OFF CAMPUS")</f>
        <v xml:space="preserve">          6395 - DONATION-OFF CAMPUS</v>
      </c>
      <c r="C229" s="11"/>
      <c r="D229" s="6"/>
      <c r="E229" s="2"/>
      <c r="F229" s="7">
        <f t="shared" si="60"/>
        <v>0</v>
      </c>
      <c r="G229" s="2"/>
      <c r="H229" s="6">
        <v>1025</v>
      </c>
      <c r="I229" s="2"/>
      <c r="J229" s="7">
        <f t="shared" si="61"/>
        <v>9.3257662855253593E-4</v>
      </c>
      <c r="K229" s="2"/>
      <c r="L229" s="6">
        <f t="shared" si="62"/>
        <v>-1025</v>
      </c>
      <c r="M229" s="2"/>
      <c r="N229" s="7">
        <f t="shared" si="63"/>
        <v>-1</v>
      </c>
      <c r="O229" s="11"/>
      <c r="P229" s="6"/>
      <c r="Q229" s="2"/>
      <c r="R229" s="7">
        <f t="shared" si="64"/>
        <v>0</v>
      </c>
      <c r="S229" s="2"/>
      <c r="T229" s="6">
        <v>9300</v>
      </c>
      <c r="U229" s="2"/>
      <c r="V229" s="7">
        <f t="shared" si="65"/>
        <v>7.7583094738861041E-4</v>
      </c>
      <c r="W229" s="2"/>
      <c r="X229" s="6">
        <f t="shared" si="66"/>
        <v>-9300</v>
      </c>
      <c r="Y229" s="2"/>
      <c r="Z229" s="7">
        <f t="shared" si="67"/>
        <v>-1</v>
      </c>
    </row>
    <row r="230" spans="1:26" s="24" customFormat="1" hidden="1" outlineLevel="2" x14ac:dyDescent="0.25">
      <c r="A230" s="25"/>
      <c r="B230" s="11" t="str">
        <f>CONCATENATE("          ", "6399", " - ", "DONATION-ON CAMPUS")</f>
        <v xml:space="preserve">          6399 - DONATION-ON CAMPUS</v>
      </c>
      <c r="C230" s="11"/>
      <c r="D230" s="6">
        <v>769.23</v>
      </c>
      <c r="E230" s="2"/>
      <c r="F230" s="7">
        <f t="shared" si="60"/>
        <v>2.2210024957874195E-3</v>
      </c>
      <c r="G230" s="2"/>
      <c r="H230" s="6"/>
      <c r="I230" s="2"/>
      <c r="J230" s="7">
        <f t="shared" si="61"/>
        <v>0</v>
      </c>
      <c r="K230" s="2"/>
      <c r="L230" s="6">
        <f t="shared" si="62"/>
        <v>769.23</v>
      </c>
      <c r="M230" s="2"/>
      <c r="N230" s="7">
        <f t="shared" si="63"/>
        <v>0</v>
      </c>
      <c r="O230" s="11"/>
      <c r="P230" s="6">
        <v>12371.45</v>
      </c>
      <c r="Q230" s="2"/>
      <c r="R230" s="7">
        <f t="shared" si="64"/>
        <v>1.1630994729071179E-3</v>
      </c>
      <c r="S230" s="2"/>
      <c r="T230" s="6"/>
      <c r="U230" s="2"/>
      <c r="V230" s="7">
        <f t="shared" si="65"/>
        <v>0</v>
      </c>
      <c r="W230" s="2"/>
      <c r="X230" s="6">
        <f t="shared" si="66"/>
        <v>12371.45</v>
      </c>
      <c r="Y230" s="2"/>
      <c r="Z230" s="7">
        <f t="shared" si="67"/>
        <v>0</v>
      </c>
    </row>
    <row r="231" spans="1:26" s="27" customFormat="1" outlineLevel="1" collapsed="1" x14ac:dyDescent="0.25">
      <c r="A231" s="26"/>
      <c r="B231" s="13" t="str">
        <f>CONCATENATE("     ","Employees' Appreciation                           ")</f>
        <v xml:space="preserve">     Employees' Appreciation                           </v>
      </c>
      <c r="C231" s="13"/>
      <c r="D231" s="1">
        <f>SUM(OSRRefD22_8x_0)</f>
        <v>239.54</v>
      </c>
      <c r="E231" s="1"/>
      <c r="F231" s="5">
        <f t="shared" ref="F231:F237" si="68">IF(D$12=0,0,D231/D$12)</f>
        <v>6.916253108185048E-4</v>
      </c>
      <c r="G231" s="1"/>
      <c r="H231" s="1">
        <f>SUM(OSRRefH22_8x_0)</f>
        <v>740</v>
      </c>
      <c r="I231" s="1"/>
      <c r="J231" s="5">
        <f t="shared" ref="J231:J237" si="69">IF(H$12=0,0,H231/H$12)</f>
        <v>6.7327483427207478E-4</v>
      </c>
      <c r="K231" s="1"/>
      <c r="L231" s="1">
        <f t="shared" ref="L231:L237" si="70">+D231-H231</f>
        <v>-500.46000000000004</v>
      </c>
      <c r="M231" s="1"/>
      <c r="N231" s="5">
        <f t="shared" ref="N231:N237" si="71">IF(H231=0,0,L231/H231)</f>
        <v>-0.67629729729729737</v>
      </c>
      <c r="O231" s="13"/>
      <c r="P231" s="1">
        <f>SUM(OSRRefP22_8x_0)</f>
        <v>1524.12</v>
      </c>
      <c r="Q231" s="1"/>
      <c r="R231" s="5">
        <f t="shared" ref="R231:R237" si="72">IF(P$12=0,0,P231/P$12)</f>
        <v>1.4328984627082485E-4</v>
      </c>
      <c r="S231" s="1"/>
      <c r="T231" s="1">
        <f>SUM(OSRRefT22_8x_0)</f>
        <v>6835</v>
      </c>
      <c r="U231" s="1"/>
      <c r="V231" s="5">
        <f t="shared" ref="V231:V237" si="73">IF(T$12=0,0,T231/T$12)</f>
        <v>5.7019403498937121E-4</v>
      </c>
      <c r="W231" s="1"/>
      <c r="X231" s="1">
        <f t="shared" ref="X231:X237" si="74">+P231-T231</f>
        <v>-5310.88</v>
      </c>
      <c r="Y231" s="1"/>
      <c r="Z231" s="5">
        <f t="shared" ref="Z231:Z237" si="75">IF(T231=0,0,X231/T231)</f>
        <v>-0.77701243599122172</v>
      </c>
    </row>
    <row r="232" spans="1:26" s="24" customFormat="1" hidden="1" outlineLevel="2" x14ac:dyDescent="0.25">
      <c r="A232" s="25"/>
      <c r="B232" s="11" t="str">
        <f>CONCATENATE("          ", "6277", " - ", "EMPLOYEE APPRECIATION")</f>
        <v xml:space="preserve">          6277 - EMPLOYEE APPRECIATION</v>
      </c>
      <c r="C232" s="11"/>
      <c r="D232" s="6">
        <v>239.54</v>
      </c>
      <c r="E232" s="2"/>
      <c r="F232" s="7">
        <f t="shared" si="68"/>
        <v>6.916253108185048E-4</v>
      </c>
      <c r="G232" s="2"/>
      <c r="H232" s="6">
        <v>740</v>
      </c>
      <c r="I232" s="2"/>
      <c r="J232" s="7">
        <f t="shared" si="69"/>
        <v>6.7327483427207478E-4</v>
      </c>
      <c r="K232" s="2"/>
      <c r="L232" s="6">
        <f t="shared" si="70"/>
        <v>-500.46000000000004</v>
      </c>
      <c r="M232" s="2"/>
      <c r="N232" s="7">
        <f t="shared" si="71"/>
        <v>-0.67629729729729737</v>
      </c>
      <c r="O232" s="11"/>
      <c r="P232" s="6">
        <v>1524.12</v>
      </c>
      <c r="Q232" s="2"/>
      <c r="R232" s="7">
        <f t="shared" si="72"/>
        <v>1.4328984627082485E-4</v>
      </c>
      <c r="S232" s="2"/>
      <c r="T232" s="6">
        <v>6835</v>
      </c>
      <c r="U232" s="2"/>
      <c r="V232" s="7">
        <f t="shared" si="73"/>
        <v>5.7019403498937121E-4</v>
      </c>
      <c r="W232" s="2"/>
      <c r="X232" s="6">
        <f t="shared" si="74"/>
        <v>-5310.88</v>
      </c>
      <c r="Y232" s="2"/>
      <c r="Z232" s="7">
        <f t="shared" si="75"/>
        <v>-0.77701243599122172</v>
      </c>
    </row>
    <row r="233" spans="1:26" s="27" customFormat="1" outlineLevel="1" collapsed="1" x14ac:dyDescent="0.25">
      <c r="A233" s="26"/>
      <c r="B233" s="13" t="str">
        <f>CONCATENATE("     ","Equipment Rental                                  ")</f>
        <v xml:space="preserve">     Equipment Rental                                  </v>
      </c>
      <c r="C233" s="13"/>
      <c r="D233" s="1">
        <f>SUM(OSRRefD22_9x_0)</f>
        <v>1388.16</v>
      </c>
      <c r="E233" s="1"/>
      <c r="F233" s="5">
        <f t="shared" si="68"/>
        <v>4.0080428799608237E-3</v>
      </c>
      <c r="G233" s="1"/>
      <c r="H233" s="1">
        <f>SUM(OSRRefH22_9x_0)</f>
        <v>3225</v>
      </c>
      <c r="I233" s="1"/>
      <c r="J233" s="5">
        <f t="shared" si="69"/>
        <v>2.9342045142262715E-3</v>
      </c>
      <c r="K233" s="1"/>
      <c r="L233" s="1">
        <f t="shared" si="70"/>
        <v>-1836.84</v>
      </c>
      <c r="M233" s="1"/>
      <c r="N233" s="5">
        <f t="shared" si="71"/>
        <v>-0.56956279069767435</v>
      </c>
      <c r="O233" s="13"/>
      <c r="P233" s="1">
        <f>SUM(OSRRefP22_9x_0)</f>
        <v>15254.62</v>
      </c>
      <c r="Q233" s="1"/>
      <c r="R233" s="5">
        <f t="shared" si="72"/>
        <v>1.4341601414060905E-3</v>
      </c>
      <c r="S233" s="1"/>
      <c r="T233" s="1">
        <f>SUM(OSRRefT22_9x_0)</f>
        <v>29025</v>
      </c>
      <c r="U233" s="1"/>
      <c r="V233" s="5">
        <f t="shared" si="73"/>
        <v>2.4213433599950987E-3</v>
      </c>
      <c r="W233" s="1"/>
      <c r="X233" s="1">
        <f t="shared" si="74"/>
        <v>-13770.38</v>
      </c>
      <c r="Y233" s="1"/>
      <c r="Z233" s="5">
        <f t="shared" si="75"/>
        <v>-0.47443169681309211</v>
      </c>
    </row>
    <row r="234" spans="1:26" s="24" customFormat="1" hidden="1" outlineLevel="2" x14ac:dyDescent="0.25">
      <c r="A234" s="25"/>
      <c r="B234" s="11" t="str">
        <f>CONCATENATE("          ", "6351", " - ", "EQUIPMENT RENTAL")</f>
        <v xml:space="preserve">          6351 - EQUIPMENT RENTAL</v>
      </c>
      <c r="C234" s="11"/>
      <c r="D234" s="6">
        <v>1388.16</v>
      </c>
      <c r="E234" s="2"/>
      <c r="F234" s="7">
        <f t="shared" si="68"/>
        <v>4.0080428799608237E-3</v>
      </c>
      <c r="G234" s="2"/>
      <c r="H234" s="6">
        <v>3225</v>
      </c>
      <c r="I234" s="2"/>
      <c r="J234" s="7">
        <f t="shared" si="69"/>
        <v>2.9342045142262715E-3</v>
      </c>
      <c r="K234" s="2"/>
      <c r="L234" s="6">
        <f t="shared" si="70"/>
        <v>-1836.84</v>
      </c>
      <c r="M234" s="2"/>
      <c r="N234" s="7">
        <f t="shared" si="71"/>
        <v>-0.56956279069767435</v>
      </c>
      <c r="O234" s="11"/>
      <c r="P234" s="6">
        <v>15254.62</v>
      </c>
      <c r="Q234" s="2"/>
      <c r="R234" s="7">
        <f t="shared" si="72"/>
        <v>1.4341601414060905E-3</v>
      </c>
      <c r="S234" s="2"/>
      <c r="T234" s="6">
        <v>29025</v>
      </c>
      <c r="U234" s="2"/>
      <c r="V234" s="7">
        <f t="shared" si="73"/>
        <v>2.4213433599950987E-3</v>
      </c>
      <c r="W234" s="2"/>
      <c r="X234" s="6">
        <f t="shared" si="74"/>
        <v>-13770.38</v>
      </c>
      <c r="Y234" s="2"/>
      <c r="Z234" s="7">
        <f t="shared" si="75"/>
        <v>-0.47443169681309211</v>
      </c>
    </row>
    <row r="235" spans="1:26" s="27" customFormat="1" outlineLevel="1" collapsed="1" x14ac:dyDescent="0.25">
      <c r="A235" s="26"/>
      <c r="B235" s="13" t="str">
        <f>CONCATENATE("     ","Freight out/Postage                               ")</f>
        <v xml:space="preserve">     Freight out/Postage                               </v>
      </c>
      <c r="C235" s="13"/>
      <c r="D235" s="1">
        <f>SUM(OSRRefD22_10x_0)</f>
        <v>2109.1600000000003</v>
      </c>
      <c r="E235" s="1"/>
      <c r="F235" s="5">
        <f t="shared" si="68"/>
        <v>6.0897906010100936E-3</v>
      </c>
      <c r="G235" s="1"/>
      <c r="H235" s="1">
        <f>SUM(OSRRefH22_10x_0)</f>
        <v>-685</v>
      </c>
      <c r="I235" s="1"/>
      <c r="J235" s="5">
        <f t="shared" si="69"/>
        <v>-6.2323413713023139E-4</v>
      </c>
      <c r="K235" s="1"/>
      <c r="L235" s="1">
        <f t="shared" si="70"/>
        <v>2794.1600000000003</v>
      </c>
      <c r="M235" s="1"/>
      <c r="N235" s="5">
        <f t="shared" si="71"/>
        <v>-4.0790656934306577</v>
      </c>
      <c r="O235" s="13"/>
      <c r="P235" s="1">
        <f>SUM(OSRRefP22_10x_0)</f>
        <v>921.04999999999563</v>
      </c>
      <c r="Q235" s="1"/>
      <c r="R235" s="5">
        <f t="shared" si="72"/>
        <v>8.6592337157010346E-5</v>
      </c>
      <c r="S235" s="1"/>
      <c r="T235" s="1">
        <f>SUM(OSRRefT22_10x_0)</f>
        <v>-54865</v>
      </c>
      <c r="U235" s="1"/>
      <c r="V235" s="5">
        <f t="shared" si="73"/>
        <v>-4.5769854761802268E-3</v>
      </c>
      <c r="W235" s="1"/>
      <c r="X235" s="1">
        <f t="shared" si="74"/>
        <v>55786.049999999996</v>
      </c>
      <c r="Y235" s="1"/>
      <c r="Z235" s="5">
        <f t="shared" si="75"/>
        <v>-1.0167875694887449</v>
      </c>
    </row>
    <row r="236" spans="1:26" s="24" customFormat="1" hidden="1" outlineLevel="2" x14ac:dyDescent="0.25">
      <c r="A236" s="25"/>
      <c r="B236" s="11" t="str">
        <f>CONCATENATE("          ", "6305", " - ", "FREIGHT OUT")</f>
        <v xml:space="preserve">          6305 - FREIGHT OUT</v>
      </c>
      <c r="C236" s="11"/>
      <c r="D236" s="6">
        <v>5757.68</v>
      </c>
      <c r="E236" s="2"/>
      <c r="F236" s="7">
        <f t="shared" si="68"/>
        <v>1.6624184769113672E-2</v>
      </c>
      <c r="G236" s="2"/>
      <c r="H236" s="6">
        <v>-725</v>
      </c>
      <c r="I236" s="2"/>
      <c r="J236" s="7">
        <f t="shared" si="69"/>
        <v>-6.5962737141520835E-4</v>
      </c>
      <c r="K236" s="2"/>
      <c r="L236" s="6">
        <f t="shared" si="70"/>
        <v>6482.68</v>
      </c>
      <c r="M236" s="2"/>
      <c r="N236" s="7">
        <f t="shared" si="71"/>
        <v>-8.9416275862068968</v>
      </c>
      <c r="O236" s="11"/>
      <c r="P236" s="6">
        <v>51792.2</v>
      </c>
      <c r="Q236" s="2"/>
      <c r="R236" s="7">
        <f t="shared" si="72"/>
        <v>4.8692336404140193E-3</v>
      </c>
      <c r="S236" s="2"/>
      <c r="T236" s="6">
        <v>-55225</v>
      </c>
      <c r="U236" s="2"/>
      <c r="V236" s="7">
        <f t="shared" si="73"/>
        <v>-4.6070176418855921E-3</v>
      </c>
      <c r="W236" s="2"/>
      <c r="X236" s="6">
        <f t="shared" si="74"/>
        <v>107017.2</v>
      </c>
      <c r="Y236" s="2"/>
      <c r="Z236" s="7">
        <f t="shared" si="75"/>
        <v>-1.937839746491625</v>
      </c>
    </row>
    <row r="237" spans="1:26" s="24" customFormat="1" hidden="1" outlineLevel="2" x14ac:dyDescent="0.25">
      <c r="A237" s="25"/>
      <c r="B237" s="11" t="str">
        <f>CONCATENATE("          ", "6307", " - ", "POSTAGE")</f>
        <v xml:space="preserve">          6307 - POSTAGE</v>
      </c>
      <c r="C237" s="11"/>
      <c r="D237" s="6">
        <v>-3648.52</v>
      </c>
      <c r="E237" s="2"/>
      <c r="F237" s="7">
        <f t="shared" si="68"/>
        <v>-1.0534394168103579E-2</v>
      </c>
      <c r="G237" s="2"/>
      <c r="H237" s="6">
        <v>40</v>
      </c>
      <c r="I237" s="2"/>
      <c r="J237" s="7">
        <f t="shared" si="69"/>
        <v>3.6393234284977014E-5</v>
      </c>
      <c r="K237" s="2"/>
      <c r="L237" s="6">
        <f t="shared" si="70"/>
        <v>-3688.52</v>
      </c>
      <c r="M237" s="2"/>
      <c r="N237" s="7">
        <f t="shared" si="71"/>
        <v>-92.212999999999994</v>
      </c>
      <c r="O237" s="11"/>
      <c r="P237" s="6">
        <v>-50871.15</v>
      </c>
      <c r="Q237" s="2"/>
      <c r="R237" s="7">
        <f t="shared" si="72"/>
        <v>-4.7826413032570087E-3</v>
      </c>
      <c r="S237" s="2"/>
      <c r="T237" s="6">
        <v>360</v>
      </c>
      <c r="U237" s="2"/>
      <c r="V237" s="7">
        <f t="shared" si="73"/>
        <v>3.0032165705365563E-5</v>
      </c>
      <c r="W237" s="2"/>
      <c r="X237" s="6">
        <f t="shared" si="74"/>
        <v>-51231.15</v>
      </c>
      <c r="Y237" s="2"/>
      <c r="Z237" s="7">
        <f t="shared" si="75"/>
        <v>-142.30875</v>
      </c>
    </row>
    <row r="238" spans="1:26" s="27" customFormat="1" outlineLevel="1" collapsed="1" x14ac:dyDescent="0.25">
      <c r="A238" s="26"/>
      <c r="B238" s="13" t="str">
        <f>CONCATENATE("     ","General                                           ")</f>
        <v xml:space="preserve">     General                                           </v>
      </c>
      <c r="C238" s="13"/>
      <c r="D238" s="1">
        <f>SUM(OSRRefD22_11x_0)</f>
        <v>0</v>
      </c>
      <c r="E238" s="1"/>
      <c r="F238" s="5">
        <f t="shared" ref="F238:F252" si="76">IF(D$12=0,0,D238/D$12)</f>
        <v>0</v>
      </c>
      <c r="G238" s="1"/>
      <c r="H238" s="1">
        <f>SUM(OSRRefH22_11x_0)</f>
        <v>480</v>
      </c>
      <c r="I238" s="1"/>
      <c r="J238" s="5">
        <f t="shared" ref="J238:J252" si="77">IF(H$12=0,0,H238/H$12)</f>
        <v>4.3671881141972417E-4</v>
      </c>
      <c r="K238" s="1"/>
      <c r="L238" s="1">
        <f t="shared" ref="L238:L252" si="78">+D238-H238</f>
        <v>-480</v>
      </c>
      <c r="M238" s="1"/>
      <c r="N238" s="5">
        <f t="shared" ref="N238:N252" si="79">IF(H238=0,0,L238/H238)</f>
        <v>-1</v>
      </c>
      <c r="O238" s="13"/>
      <c r="P238" s="1">
        <f>SUM(OSRRefP22_11x_0)</f>
        <v>-1031.5899999999999</v>
      </c>
      <c r="Q238" s="1"/>
      <c r="R238" s="5">
        <f t="shared" ref="R238:R252" si="80">IF(P$12=0,0,P238/P$12)</f>
        <v>-9.698473382313742E-5</v>
      </c>
      <c r="S238" s="1"/>
      <c r="T238" s="1">
        <f>SUM(OSRRefT22_11x_0)</f>
        <v>19085</v>
      </c>
      <c r="U238" s="1"/>
      <c r="V238" s="5">
        <f t="shared" ref="V238:V252" si="81">IF(T$12=0,0,T238/T$12)</f>
        <v>1.5921218957969494E-3</v>
      </c>
      <c r="W238" s="1"/>
      <c r="X238" s="1">
        <f t="shared" ref="X238:X252" si="82">+P238-T238</f>
        <v>-20116.59</v>
      </c>
      <c r="Y238" s="1"/>
      <c r="Z238" s="5">
        <f t="shared" ref="Z238:Z252" si="83">IF(T238=0,0,X238/T238)</f>
        <v>-1.0540523971705529</v>
      </c>
    </row>
    <row r="239" spans="1:26" s="24" customFormat="1" hidden="1" outlineLevel="2" x14ac:dyDescent="0.25">
      <c r="A239" s="25"/>
      <c r="B239" s="11" t="str">
        <f>CONCATENATE("          ", "6279", " - ", "GENERAL EXPENSE")</f>
        <v xml:space="preserve">          6279 - GENERAL EXPENSE</v>
      </c>
      <c r="C239" s="11"/>
      <c r="D239" s="6"/>
      <c r="E239" s="2"/>
      <c r="F239" s="7">
        <f t="shared" si="76"/>
        <v>0</v>
      </c>
      <c r="G239" s="2"/>
      <c r="H239" s="6">
        <v>480</v>
      </c>
      <c r="I239" s="2"/>
      <c r="J239" s="7">
        <f t="shared" si="77"/>
        <v>4.3671881141972417E-4</v>
      </c>
      <c r="K239" s="2"/>
      <c r="L239" s="6">
        <f t="shared" si="78"/>
        <v>-480</v>
      </c>
      <c r="M239" s="2"/>
      <c r="N239" s="7">
        <f t="shared" si="79"/>
        <v>-1</v>
      </c>
      <c r="O239" s="11"/>
      <c r="P239" s="6">
        <v>-1031.5899999999999</v>
      </c>
      <c r="Q239" s="2"/>
      <c r="R239" s="7">
        <f t="shared" si="80"/>
        <v>-9.698473382313742E-5</v>
      </c>
      <c r="S239" s="2"/>
      <c r="T239" s="6">
        <v>19085</v>
      </c>
      <c r="U239" s="2"/>
      <c r="V239" s="7">
        <f t="shared" si="81"/>
        <v>1.5921218957969494E-3</v>
      </c>
      <c r="W239" s="2"/>
      <c r="X239" s="6">
        <f t="shared" si="82"/>
        <v>-20116.59</v>
      </c>
      <c r="Y239" s="2"/>
      <c r="Z239" s="7">
        <f t="shared" si="83"/>
        <v>-1.0540523971705529</v>
      </c>
    </row>
    <row r="240" spans="1:26" s="27" customFormat="1" outlineLevel="1" collapsed="1" x14ac:dyDescent="0.25">
      <c r="A240" s="26"/>
      <c r="B240" s="13" t="str">
        <f>CONCATENATE("     ","Insurance                                         ")</f>
        <v xml:space="preserve">     Insurance                                         </v>
      </c>
      <c r="C240" s="13"/>
      <c r="D240" s="1">
        <f>SUM(OSRRefD22_12x_0)</f>
        <v>4044.74</v>
      </c>
      <c r="E240" s="1"/>
      <c r="F240" s="5">
        <f t="shared" si="76"/>
        <v>1.1678402603657172E-2</v>
      </c>
      <c r="G240" s="1"/>
      <c r="H240" s="1">
        <f>SUM(OSRRefH22_12x_0)</f>
        <v>3815</v>
      </c>
      <c r="I240" s="1"/>
      <c r="J240" s="5">
        <f t="shared" si="77"/>
        <v>3.4710047199296825E-3</v>
      </c>
      <c r="K240" s="1"/>
      <c r="L240" s="1">
        <f t="shared" si="78"/>
        <v>229.73999999999978</v>
      </c>
      <c r="M240" s="1"/>
      <c r="N240" s="5">
        <f t="shared" si="79"/>
        <v>6.0220183486238477E-2</v>
      </c>
      <c r="O240" s="13"/>
      <c r="P240" s="1">
        <f>SUM(OSRRefP22_12x_0)</f>
        <v>36402.659999999996</v>
      </c>
      <c r="Q240" s="1"/>
      <c r="R240" s="5">
        <f t="shared" si="80"/>
        <v>3.4223890213691214E-3</v>
      </c>
      <c r="S240" s="1"/>
      <c r="T240" s="1">
        <f>SUM(OSRRefT22_12x_0)</f>
        <v>34335</v>
      </c>
      <c r="U240" s="1"/>
      <c r="V240" s="5">
        <f t="shared" si="81"/>
        <v>2.8643178041492406E-3</v>
      </c>
      <c r="W240" s="1"/>
      <c r="X240" s="1">
        <f t="shared" si="82"/>
        <v>2067.6599999999962</v>
      </c>
      <c r="Y240" s="1"/>
      <c r="Z240" s="5">
        <f t="shared" si="83"/>
        <v>6.0220183486238421E-2</v>
      </c>
    </row>
    <row r="241" spans="1:26" s="24" customFormat="1" hidden="1" outlineLevel="2" x14ac:dyDescent="0.25">
      <c r="A241" s="25"/>
      <c r="B241" s="11" t="str">
        <f>CONCATENATE("          ", "6314", " - ", "LIABILITY INSURANCE")</f>
        <v xml:space="preserve">          6314 - LIABILITY INSURANCE</v>
      </c>
      <c r="C241" s="11"/>
      <c r="D241" s="6">
        <v>4044.74</v>
      </c>
      <c r="E241" s="2"/>
      <c r="F241" s="7">
        <f t="shared" si="76"/>
        <v>1.1678402603657172E-2</v>
      </c>
      <c r="G241" s="2"/>
      <c r="H241" s="6">
        <v>3815</v>
      </c>
      <c r="I241" s="2"/>
      <c r="J241" s="7">
        <f t="shared" si="77"/>
        <v>3.4710047199296825E-3</v>
      </c>
      <c r="K241" s="2"/>
      <c r="L241" s="6">
        <f t="shared" si="78"/>
        <v>229.73999999999978</v>
      </c>
      <c r="M241" s="2"/>
      <c r="N241" s="7">
        <f t="shared" si="79"/>
        <v>6.0220183486238477E-2</v>
      </c>
      <c r="O241" s="11"/>
      <c r="P241" s="6">
        <v>36402.659999999996</v>
      </c>
      <c r="Q241" s="2"/>
      <c r="R241" s="7">
        <f t="shared" si="80"/>
        <v>3.4223890213691214E-3</v>
      </c>
      <c r="S241" s="2"/>
      <c r="T241" s="6">
        <v>34335</v>
      </c>
      <c r="U241" s="2"/>
      <c r="V241" s="7">
        <f t="shared" si="81"/>
        <v>2.8643178041492406E-3</v>
      </c>
      <c r="W241" s="2"/>
      <c r="X241" s="6">
        <f t="shared" si="82"/>
        <v>2067.6599999999962</v>
      </c>
      <c r="Y241" s="2"/>
      <c r="Z241" s="7">
        <f t="shared" si="83"/>
        <v>6.0220183486238421E-2</v>
      </c>
    </row>
    <row r="242" spans="1:26" s="27" customFormat="1" outlineLevel="1" collapsed="1" x14ac:dyDescent="0.25">
      <c r="A242" s="26"/>
      <c r="B242" s="13" t="str">
        <f>CONCATENATE("     ","Inventory Adjustment                              ")</f>
        <v xml:space="preserve">     Inventory Adjustment                              </v>
      </c>
      <c r="C242" s="13"/>
      <c r="D242" s="1">
        <f>SUM(OSRRefD22_13x_0)</f>
        <v>4550</v>
      </c>
      <c r="E242" s="1"/>
      <c r="F242" s="5">
        <f t="shared" si="76"/>
        <v>1.3137242899825485E-2</v>
      </c>
      <c r="G242" s="1"/>
      <c r="H242" s="1">
        <f>SUM(OSRRefH22_13x_0)</f>
        <v>4550</v>
      </c>
      <c r="I242" s="1"/>
      <c r="J242" s="5">
        <f t="shared" si="77"/>
        <v>4.1397303999161352E-3</v>
      </c>
      <c r="K242" s="1"/>
      <c r="L242" s="1">
        <f t="shared" si="78"/>
        <v>0</v>
      </c>
      <c r="M242" s="1"/>
      <c r="N242" s="5">
        <f t="shared" si="79"/>
        <v>0</v>
      </c>
      <c r="O242" s="13"/>
      <c r="P242" s="1">
        <f>SUM(OSRRefP22_13x_0)</f>
        <v>44250</v>
      </c>
      <c r="Q242" s="1"/>
      <c r="R242" s="5">
        <f t="shared" si="80"/>
        <v>4.160155169858017E-3</v>
      </c>
      <c r="S242" s="1"/>
      <c r="T242" s="1">
        <f>SUM(OSRRefT22_13x_0)</f>
        <v>44250</v>
      </c>
      <c r="U242" s="1"/>
      <c r="V242" s="5">
        <f t="shared" si="81"/>
        <v>3.6914537012845169E-3</v>
      </c>
      <c r="W242" s="1"/>
      <c r="X242" s="1">
        <f t="shared" si="82"/>
        <v>0</v>
      </c>
      <c r="Y242" s="1"/>
      <c r="Z242" s="5">
        <f t="shared" si="83"/>
        <v>0</v>
      </c>
    </row>
    <row r="243" spans="1:26" s="24" customFormat="1" hidden="1" outlineLevel="2" x14ac:dyDescent="0.25">
      <c r="A243" s="25"/>
      <c r="B243" s="11" t="str">
        <f>CONCATENATE("          ", "6408", " - ", "INVENTORY ADJUSTMENT")</f>
        <v xml:space="preserve">          6408 - INVENTORY ADJUSTMENT</v>
      </c>
      <c r="C243" s="11"/>
      <c r="D243" s="6">
        <v>4550</v>
      </c>
      <c r="E243" s="2"/>
      <c r="F243" s="7">
        <f t="shared" si="76"/>
        <v>1.3137242899825485E-2</v>
      </c>
      <c r="G243" s="2"/>
      <c r="H243" s="6">
        <v>4550</v>
      </c>
      <c r="I243" s="2"/>
      <c r="J243" s="7">
        <f t="shared" si="77"/>
        <v>4.1397303999161352E-3</v>
      </c>
      <c r="K243" s="2"/>
      <c r="L243" s="6">
        <f t="shared" si="78"/>
        <v>0</v>
      </c>
      <c r="M243" s="2"/>
      <c r="N243" s="7">
        <f t="shared" si="79"/>
        <v>0</v>
      </c>
      <c r="O243" s="11"/>
      <c r="P243" s="6">
        <v>44250</v>
      </c>
      <c r="Q243" s="2"/>
      <c r="R243" s="7">
        <f t="shared" si="80"/>
        <v>4.160155169858017E-3</v>
      </c>
      <c r="S243" s="2"/>
      <c r="T243" s="6">
        <v>44250</v>
      </c>
      <c r="U243" s="2"/>
      <c r="V243" s="7">
        <f t="shared" si="81"/>
        <v>3.6914537012845169E-3</v>
      </c>
      <c r="W243" s="2"/>
      <c r="X243" s="6">
        <f t="shared" si="82"/>
        <v>0</v>
      </c>
      <c r="Y243" s="2"/>
      <c r="Z243" s="7">
        <f t="shared" si="83"/>
        <v>0</v>
      </c>
    </row>
    <row r="244" spans="1:26" s="27" customFormat="1" outlineLevel="1" collapsed="1" x14ac:dyDescent="0.25">
      <c r="A244" s="26"/>
      <c r="B244" s="13" t="str">
        <f>CONCATENATE("     ","Professional Services                             ")</f>
        <v xml:space="preserve">     Professional Services                             </v>
      </c>
      <c r="C244" s="13"/>
      <c r="D244" s="1">
        <f>SUM(OSRRefD22_14x_0)</f>
        <v>0</v>
      </c>
      <c r="E244" s="1"/>
      <c r="F244" s="5">
        <f t="shared" si="76"/>
        <v>0</v>
      </c>
      <c r="G244" s="1"/>
      <c r="H244" s="1">
        <f>SUM(OSRRefH22_14x_0)</f>
        <v>1015</v>
      </c>
      <c r="I244" s="1"/>
      <c r="J244" s="5">
        <f t="shared" si="77"/>
        <v>9.2347831998129172E-4</v>
      </c>
      <c r="K244" s="1"/>
      <c r="L244" s="1">
        <f t="shared" si="78"/>
        <v>-1015</v>
      </c>
      <c r="M244" s="1"/>
      <c r="N244" s="5">
        <f t="shared" si="79"/>
        <v>-1</v>
      </c>
      <c r="O244" s="13"/>
      <c r="P244" s="1">
        <f>SUM(OSRRefP22_14x_0)</f>
        <v>6199.56</v>
      </c>
      <c r="Q244" s="1"/>
      <c r="R244" s="5">
        <f t="shared" si="80"/>
        <v>5.8285043129593147E-4</v>
      </c>
      <c r="S244" s="1"/>
      <c r="T244" s="1">
        <f>SUM(OSRRefT22_14x_0)</f>
        <v>12035</v>
      </c>
      <c r="U244" s="1"/>
      <c r="V244" s="5">
        <f t="shared" si="81"/>
        <v>1.0039919840668736E-3</v>
      </c>
      <c r="W244" s="1"/>
      <c r="X244" s="1">
        <f t="shared" si="82"/>
        <v>-5835.44</v>
      </c>
      <c r="Y244" s="1"/>
      <c r="Z244" s="5">
        <f t="shared" si="83"/>
        <v>-0.48487245533859574</v>
      </c>
    </row>
    <row r="245" spans="1:26" s="24" customFormat="1" hidden="1" outlineLevel="2" x14ac:dyDescent="0.25">
      <c r="A245" s="25"/>
      <c r="B245" s="11" t="str">
        <f>CONCATENATE("          ", "6336", " - ", "PROFESSIONAL SERVICES")</f>
        <v xml:space="preserve">          6336 - PROFESSIONAL SERVICES</v>
      </c>
      <c r="C245" s="11"/>
      <c r="D245" s="6"/>
      <c r="E245" s="2"/>
      <c r="F245" s="7">
        <f t="shared" si="76"/>
        <v>0</v>
      </c>
      <c r="G245" s="2"/>
      <c r="H245" s="6">
        <v>1015</v>
      </c>
      <c r="I245" s="2"/>
      <c r="J245" s="7">
        <f t="shared" si="77"/>
        <v>9.2347831998129172E-4</v>
      </c>
      <c r="K245" s="2"/>
      <c r="L245" s="6">
        <f t="shared" si="78"/>
        <v>-1015</v>
      </c>
      <c r="M245" s="2"/>
      <c r="N245" s="7">
        <f t="shared" si="79"/>
        <v>-1</v>
      </c>
      <c r="O245" s="11"/>
      <c r="P245" s="6">
        <v>6199.56</v>
      </c>
      <c r="Q245" s="2"/>
      <c r="R245" s="7">
        <f t="shared" si="80"/>
        <v>5.8285043129593147E-4</v>
      </c>
      <c r="S245" s="2"/>
      <c r="T245" s="6">
        <v>12035</v>
      </c>
      <c r="U245" s="2"/>
      <c r="V245" s="7">
        <f t="shared" si="81"/>
        <v>1.0039919840668736E-3</v>
      </c>
      <c r="W245" s="2"/>
      <c r="X245" s="6">
        <f t="shared" si="82"/>
        <v>-5835.44</v>
      </c>
      <c r="Y245" s="2"/>
      <c r="Z245" s="7">
        <f t="shared" si="83"/>
        <v>-0.48487245533859574</v>
      </c>
    </row>
    <row r="246" spans="1:26" s="27" customFormat="1" outlineLevel="1" collapsed="1" x14ac:dyDescent="0.25">
      <c r="A246" s="26"/>
      <c r="B246" s="13" t="str">
        <f>CONCATENATE("     ","Rent                                              ")</f>
        <v xml:space="preserve">     Rent                                              </v>
      </c>
      <c r="C246" s="13"/>
      <c r="D246" s="1">
        <f>SUM(OSRRefD22_15x_0)</f>
        <v>6100</v>
      </c>
      <c r="E246" s="1"/>
      <c r="F246" s="5">
        <f t="shared" si="76"/>
        <v>1.7612567404161641E-2</v>
      </c>
      <c r="G246" s="1"/>
      <c r="H246" s="1">
        <f>SUM(OSRRefH22_15x_0)</f>
        <v>6400</v>
      </c>
      <c r="I246" s="1"/>
      <c r="J246" s="5">
        <f t="shared" si="77"/>
        <v>5.8229174855963222E-3</v>
      </c>
      <c r="K246" s="1"/>
      <c r="L246" s="1">
        <f t="shared" si="78"/>
        <v>-300</v>
      </c>
      <c r="M246" s="1"/>
      <c r="N246" s="5">
        <f t="shared" si="79"/>
        <v>-4.6875E-2</v>
      </c>
      <c r="O246" s="13"/>
      <c r="P246" s="1">
        <f>SUM(OSRRefP22_15x_0)</f>
        <v>56500</v>
      </c>
      <c r="Q246" s="1"/>
      <c r="R246" s="5">
        <f t="shared" si="80"/>
        <v>5.3118365445644728E-3</v>
      </c>
      <c r="S246" s="1"/>
      <c r="T246" s="1">
        <f>SUM(OSRRefT22_15x_0)</f>
        <v>57600</v>
      </c>
      <c r="U246" s="1"/>
      <c r="V246" s="5">
        <f t="shared" si="81"/>
        <v>4.8051465128584898E-3</v>
      </c>
      <c r="W246" s="1"/>
      <c r="X246" s="1">
        <f t="shared" si="82"/>
        <v>-1100</v>
      </c>
      <c r="Y246" s="1"/>
      <c r="Z246" s="5">
        <f t="shared" si="83"/>
        <v>-1.9097222222222224E-2</v>
      </c>
    </row>
    <row r="247" spans="1:26" s="24" customFormat="1" hidden="1" outlineLevel="2" x14ac:dyDescent="0.25">
      <c r="A247" s="25"/>
      <c r="B247" s="11" t="str">
        <f>CONCATENATE("          ", "6273", " - ", "RENT")</f>
        <v xml:space="preserve">          6273 - RENT</v>
      </c>
      <c r="C247" s="11"/>
      <c r="D247" s="6">
        <v>6100</v>
      </c>
      <c r="E247" s="2"/>
      <c r="F247" s="7">
        <f t="shared" si="76"/>
        <v>1.7612567404161641E-2</v>
      </c>
      <c r="G247" s="2"/>
      <c r="H247" s="6">
        <v>6400</v>
      </c>
      <c r="I247" s="2"/>
      <c r="J247" s="7">
        <f t="shared" si="77"/>
        <v>5.8229174855963222E-3</v>
      </c>
      <c r="K247" s="2"/>
      <c r="L247" s="6">
        <f t="shared" si="78"/>
        <v>-300</v>
      </c>
      <c r="M247" s="2"/>
      <c r="N247" s="7">
        <f t="shared" si="79"/>
        <v>-4.6875E-2</v>
      </c>
      <c r="O247" s="11"/>
      <c r="P247" s="6">
        <v>56500</v>
      </c>
      <c r="Q247" s="2"/>
      <c r="R247" s="7">
        <f t="shared" si="80"/>
        <v>5.3118365445644728E-3</v>
      </c>
      <c r="S247" s="2"/>
      <c r="T247" s="6">
        <v>57600</v>
      </c>
      <c r="U247" s="2"/>
      <c r="V247" s="7">
        <f t="shared" si="81"/>
        <v>4.8051465128584898E-3</v>
      </c>
      <c r="W247" s="2"/>
      <c r="X247" s="6">
        <f t="shared" si="82"/>
        <v>-1100</v>
      </c>
      <c r="Y247" s="2"/>
      <c r="Z247" s="7">
        <f t="shared" si="83"/>
        <v>-1.9097222222222224E-2</v>
      </c>
    </row>
    <row r="248" spans="1:26" s="27" customFormat="1" outlineLevel="1" collapsed="1" x14ac:dyDescent="0.25">
      <c r="A248" s="26"/>
      <c r="B248" s="13" t="str">
        <f>CONCATENATE("     ","Repair and Maintenance                            ")</f>
        <v xml:space="preserve">     Repair and Maintenance                            </v>
      </c>
      <c r="C248" s="13"/>
      <c r="D248" s="1">
        <f>SUM(OSRRefD22_16x_0)</f>
        <v>12901.489999999998</v>
      </c>
      <c r="E248" s="1"/>
      <c r="F248" s="5">
        <f t="shared" si="76"/>
        <v>3.7250551186740546E-2</v>
      </c>
      <c r="G248" s="1"/>
      <c r="H248" s="1">
        <f>SUM(OSRRefH22_16x_0)</f>
        <v>14540</v>
      </c>
      <c r="I248" s="1"/>
      <c r="J248" s="5">
        <f t="shared" si="77"/>
        <v>1.3228940662589145E-2</v>
      </c>
      <c r="K248" s="1"/>
      <c r="L248" s="1">
        <f t="shared" si="78"/>
        <v>-1638.510000000002</v>
      </c>
      <c r="M248" s="1"/>
      <c r="N248" s="5">
        <f t="shared" si="79"/>
        <v>-0.11268982118294374</v>
      </c>
      <c r="O248" s="13"/>
      <c r="P248" s="1">
        <f>SUM(OSRRefP22_16x_0)</f>
        <v>121254.29000000001</v>
      </c>
      <c r="Q248" s="1"/>
      <c r="R248" s="5">
        <f t="shared" si="80"/>
        <v>1.1399698562959621E-2</v>
      </c>
      <c r="S248" s="1"/>
      <c r="T248" s="1">
        <f>SUM(OSRRefT22_16x_0)</f>
        <v>175495</v>
      </c>
      <c r="U248" s="1"/>
      <c r="V248" s="5">
        <f t="shared" si="81"/>
        <v>1.4640263667953138E-2</v>
      </c>
      <c r="W248" s="1"/>
      <c r="X248" s="1">
        <f t="shared" si="82"/>
        <v>-54240.709999999992</v>
      </c>
      <c r="Y248" s="1"/>
      <c r="Z248" s="5">
        <f t="shared" si="83"/>
        <v>-0.30907268013333711</v>
      </c>
    </row>
    <row r="249" spans="1:26" s="24" customFormat="1" hidden="1" outlineLevel="2" x14ac:dyDescent="0.25">
      <c r="A249" s="25"/>
      <c r="B249" s="11" t="str">
        <f>CONCATENATE("          ", "6371", " - ", "COMPUTER SOFTWARE MAINTENANCE")</f>
        <v xml:space="preserve">          6371 - COMPUTER SOFTWARE MAINTENANCE</v>
      </c>
      <c r="C249" s="11"/>
      <c r="D249" s="6">
        <v>631.04999999999995</v>
      </c>
      <c r="E249" s="2"/>
      <c r="F249" s="7">
        <f t="shared" si="76"/>
        <v>1.8220345344911806E-3</v>
      </c>
      <c r="G249" s="2"/>
      <c r="H249" s="6"/>
      <c r="I249" s="2"/>
      <c r="J249" s="7">
        <f t="shared" si="77"/>
        <v>0</v>
      </c>
      <c r="K249" s="2"/>
      <c r="L249" s="6">
        <f t="shared" si="78"/>
        <v>631.04999999999995</v>
      </c>
      <c r="M249" s="2"/>
      <c r="N249" s="7">
        <f t="shared" si="79"/>
        <v>0</v>
      </c>
      <c r="O249" s="11"/>
      <c r="P249" s="6">
        <v>15786.449999999999</v>
      </c>
      <c r="Q249" s="2"/>
      <c r="R249" s="7">
        <f t="shared" si="80"/>
        <v>1.4841600357334481E-3</v>
      </c>
      <c r="S249" s="2"/>
      <c r="T249" s="6">
        <v>48535</v>
      </c>
      <c r="U249" s="2"/>
      <c r="V249" s="7">
        <f t="shared" si="81"/>
        <v>4.0489198958608818E-3</v>
      </c>
      <c r="W249" s="2"/>
      <c r="X249" s="6">
        <f t="shared" si="82"/>
        <v>-32748.550000000003</v>
      </c>
      <c r="Y249" s="2"/>
      <c r="Z249" s="7">
        <f t="shared" si="83"/>
        <v>-0.67474090862264346</v>
      </c>
    </row>
    <row r="250" spans="1:26" s="24" customFormat="1" hidden="1" outlineLevel="2" x14ac:dyDescent="0.25">
      <c r="A250" s="25"/>
      <c r="B250" s="11" t="str">
        <f>CONCATENATE("          ", "6372", " - ", "COMPUTER HARDWARE MAINTENANCE")</f>
        <v xml:space="preserve">          6372 - COMPUTER HARDWARE MAINTENANCE</v>
      </c>
      <c r="C250" s="11"/>
      <c r="D250" s="6"/>
      <c r="E250" s="2"/>
      <c r="F250" s="7">
        <f t="shared" si="76"/>
        <v>0</v>
      </c>
      <c r="G250" s="2"/>
      <c r="H250" s="6"/>
      <c r="I250" s="2"/>
      <c r="J250" s="7">
        <f t="shared" si="77"/>
        <v>0</v>
      </c>
      <c r="K250" s="2"/>
      <c r="L250" s="6">
        <f t="shared" si="78"/>
        <v>0</v>
      </c>
      <c r="M250" s="2"/>
      <c r="N250" s="7">
        <f t="shared" si="79"/>
        <v>0</v>
      </c>
      <c r="O250" s="11"/>
      <c r="P250" s="6">
        <v>52.32</v>
      </c>
      <c r="Q250" s="2"/>
      <c r="R250" s="7">
        <f t="shared" si="80"/>
        <v>4.9188546550728008E-6</v>
      </c>
      <c r="S250" s="2"/>
      <c r="T250" s="6">
        <v>2000</v>
      </c>
      <c r="U250" s="2"/>
      <c r="V250" s="7">
        <f t="shared" si="81"/>
        <v>1.6684536502980867E-4</v>
      </c>
      <c r="W250" s="2"/>
      <c r="X250" s="6">
        <f t="shared" si="82"/>
        <v>-1947.68</v>
      </c>
      <c r="Y250" s="2"/>
      <c r="Z250" s="7">
        <f t="shared" si="83"/>
        <v>-0.97384000000000004</v>
      </c>
    </row>
    <row r="251" spans="1:26" s="24" customFormat="1" hidden="1" outlineLevel="2" x14ac:dyDescent="0.25">
      <c r="A251" s="25"/>
      <c r="B251" s="11" t="str">
        <f>CONCATENATE("          ", "6373", " - ", "MAINTENANCE CONTRACTS")</f>
        <v xml:space="preserve">          6373 - MAINTENANCE CONTRACTS</v>
      </c>
      <c r="C251" s="11"/>
      <c r="D251" s="6">
        <v>11994.48</v>
      </c>
      <c r="E251" s="2"/>
      <c r="F251" s="7">
        <f t="shared" si="76"/>
        <v>3.463173565210962E-2</v>
      </c>
      <c r="G251" s="2"/>
      <c r="H251" s="6">
        <v>7040</v>
      </c>
      <c r="I251" s="2"/>
      <c r="J251" s="7">
        <f t="shared" si="77"/>
        <v>6.4052092341559544E-3</v>
      </c>
      <c r="K251" s="2"/>
      <c r="L251" s="6">
        <f t="shared" si="78"/>
        <v>4954.4799999999996</v>
      </c>
      <c r="M251" s="2"/>
      <c r="N251" s="7">
        <f t="shared" si="79"/>
        <v>0.70376136363636355</v>
      </c>
      <c r="O251" s="11"/>
      <c r="P251" s="6">
        <v>69448.56</v>
      </c>
      <c r="Q251" s="2"/>
      <c r="R251" s="7">
        <f t="shared" si="80"/>
        <v>6.5291929022190881E-3</v>
      </c>
      <c r="S251" s="2"/>
      <c r="T251" s="6">
        <v>63435.000000000007</v>
      </c>
      <c r="U251" s="2"/>
      <c r="V251" s="7">
        <f t="shared" si="81"/>
        <v>5.2919178653329573E-3</v>
      </c>
      <c r="W251" s="2"/>
      <c r="X251" s="6">
        <f t="shared" si="82"/>
        <v>6013.5599999999904</v>
      </c>
      <c r="Y251" s="2"/>
      <c r="Z251" s="7">
        <f t="shared" si="83"/>
        <v>9.4798770394892248E-2</v>
      </c>
    </row>
    <row r="252" spans="1:26" s="24" customFormat="1" hidden="1" outlineLevel="2" x14ac:dyDescent="0.25">
      <c r="A252" s="25"/>
      <c r="B252" s="11" t="str">
        <f>CONCATENATE("          ", "6375", " - ", "OUTSIDE REPAIRS &amp; MAINTENANCE")</f>
        <v xml:space="preserve">          6375 - OUTSIDE REPAIRS &amp; MAINTENANCE</v>
      </c>
      <c r="C252" s="11"/>
      <c r="D252" s="6">
        <v>275.95999999999998</v>
      </c>
      <c r="E252" s="2"/>
      <c r="F252" s="7">
        <f t="shared" si="76"/>
        <v>7.9678100013974519E-4</v>
      </c>
      <c r="G252" s="2"/>
      <c r="H252" s="6">
        <v>7500</v>
      </c>
      <c r="I252" s="2"/>
      <c r="J252" s="7">
        <f t="shared" si="77"/>
        <v>6.8237314284331904E-3</v>
      </c>
      <c r="K252" s="2"/>
      <c r="L252" s="6">
        <f t="shared" si="78"/>
        <v>-7224.04</v>
      </c>
      <c r="M252" s="2"/>
      <c r="N252" s="7">
        <f t="shared" si="79"/>
        <v>-0.96320533333333336</v>
      </c>
      <c r="O252" s="11"/>
      <c r="P252" s="6">
        <v>35966.959999999999</v>
      </c>
      <c r="Q252" s="2"/>
      <c r="R252" s="7">
        <f t="shared" si="80"/>
        <v>3.3814267703520108E-3</v>
      </c>
      <c r="S252" s="2"/>
      <c r="T252" s="6">
        <v>61524.999999999993</v>
      </c>
      <c r="U252" s="2"/>
      <c r="V252" s="7">
        <f t="shared" si="81"/>
        <v>5.1325805417294888E-3</v>
      </c>
      <c r="W252" s="2"/>
      <c r="X252" s="6">
        <f t="shared" si="82"/>
        <v>-25558.039999999994</v>
      </c>
      <c r="Y252" s="2"/>
      <c r="Z252" s="7">
        <f t="shared" si="83"/>
        <v>-0.41540902072328317</v>
      </c>
    </row>
    <row r="253" spans="1:26" s="27" customFormat="1" outlineLevel="1" collapsed="1" x14ac:dyDescent="0.25">
      <c r="A253" s="26"/>
      <c r="B253" s="13" t="str">
        <f>CONCATENATE("     ","Royalty &amp; Commissions                             ")</f>
        <v xml:space="preserve">     Royalty &amp; Commissions                             </v>
      </c>
      <c r="C253" s="13"/>
      <c r="D253" s="1">
        <f>SUM(OSRRefD22_17x_0)</f>
        <v>6708.88</v>
      </c>
      <c r="E253" s="1"/>
      <c r="F253" s="5">
        <f t="shared" ref="F253:F257" si="84">IF(D$12=0,0,D253/D$12)</f>
        <v>1.9370590361710155E-2</v>
      </c>
      <c r="G253" s="1"/>
      <c r="H253" s="1">
        <f>SUM(OSRRefH22_17x_0)</f>
        <v>16485</v>
      </c>
      <c r="I253" s="1"/>
      <c r="J253" s="5">
        <f t="shared" ref="J253:J257" si="85">IF(H$12=0,0,H253/H$12)</f>
        <v>1.4998561679696152E-2</v>
      </c>
      <c r="K253" s="1"/>
      <c r="L253" s="1">
        <f t="shared" ref="L253:L257" si="86">+D253-H253</f>
        <v>-9776.119999999999</v>
      </c>
      <c r="M253" s="1"/>
      <c r="N253" s="5">
        <f t="shared" ref="N253:N257" si="87">IF(H253=0,0,L253/H253)</f>
        <v>-0.59303124052168632</v>
      </c>
      <c r="O253" s="13"/>
      <c r="P253" s="1">
        <f>SUM(OSRRefP22_17x_0)</f>
        <v>103111.94999999998</v>
      </c>
      <c r="Q253" s="1"/>
      <c r="R253" s="5">
        <f t="shared" ref="R253:R257" si="88">IF(P$12=0,0,P253/P$12)</f>
        <v>9.6940499856868079E-3</v>
      </c>
      <c r="S253" s="1"/>
      <c r="T253" s="1">
        <f>SUM(OSRRefT22_17x_0)</f>
        <v>148365</v>
      </c>
      <c r="U253" s="1"/>
      <c r="V253" s="5">
        <f t="shared" ref="V253:V257" si="89">IF(T$12=0,0,T253/T$12)</f>
        <v>1.2377006291323782E-2</v>
      </c>
      <c r="W253" s="1"/>
      <c r="X253" s="1">
        <f t="shared" ref="X253:X257" si="90">+P253-T253</f>
        <v>-45253.050000000017</v>
      </c>
      <c r="Y253" s="1"/>
      <c r="Z253" s="5">
        <f t="shared" ref="Z253:Z257" si="91">IF(T253=0,0,X253/T253)</f>
        <v>-0.30501162673137205</v>
      </c>
    </row>
    <row r="254" spans="1:26" s="24" customFormat="1" hidden="1" outlineLevel="2" x14ac:dyDescent="0.25">
      <c r="A254" s="25"/>
      <c r="B254" s="11" t="str">
        <f>CONCATENATE("          ", "6252", " - ", "ROYALTY DUE CSTV")</f>
        <v xml:space="preserve">          6252 - ROYALTY DUE CSTV</v>
      </c>
      <c r="C254" s="11"/>
      <c r="D254" s="6"/>
      <c r="E254" s="2"/>
      <c r="F254" s="7">
        <f t="shared" si="84"/>
        <v>0</v>
      </c>
      <c r="G254" s="2"/>
      <c r="H254" s="6">
        <v>1085</v>
      </c>
      <c r="I254" s="2"/>
      <c r="J254" s="7">
        <f t="shared" si="85"/>
        <v>9.8716647998000153E-4</v>
      </c>
      <c r="K254" s="2"/>
      <c r="L254" s="6">
        <f t="shared" si="86"/>
        <v>-1085</v>
      </c>
      <c r="M254" s="2"/>
      <c r="N254" s="7">
        <f t="shared" si="87"/>
        <v>-1</v>
      </c>
      <c r="O254" s="11"/>
      <c r="P254" s="6"/>
      <c r="Q254" s="2"/>
      <c r="R254" s="7">
        <f t="shared" si="88"/>
        <v>0</v>
      </c>
      <c r="S254" s="2"/>
      <c r="T254" s="6">
        <v>9765</v>
      </c>
      <c r="U254" s="2"/>
      <c r="V254" s="7">
        <f t="shared" si="89"/>
        <v>8.1462249475804083E-4</v>
      </c>
      <c r="W254" s="2"/>
      <c r="X254" s="6">
        <f t="shared" si="90"/>
        <v>-9765</v>
      </c>
      <c r="Y254" s="2"/>
      <c r="Z254" s="7">
        <f t="shared" si="91"/>
        <v>-1</v>
      </c>
    </row>
    <row r="255" spans="1:26" s="24" customFormat="1" hidden="1" outlineLevel="2" x14ac:dyDescent="0.25">
      <c r="A255" s="25"/>
      <c r="B255" s="11" t="str">
        <f>CONCATENATE("          ", "6253", " - ", "ROYALTY DUE ATHLETICS-LRG")</f>
        <v xml:space="preserve">          6253 - ROYALTY DUE ATHLETICS-LRG</v>
      </c>
      <c r="C255" s="11"/>
      <c r="D255" s="6">
        <v>1669.49</v>
      </c>
      <c r="E255" s="2"/>
      <c r="F255" s="7">
        <f t="shared" si="84"/>
        <v>4.8203287140284948E-3</v>
      </c>
      <c r="G255" s="2"/>
      <c r="H255" s="6">
        <v>3700</v>
      </c>
      <c r="I255" s="2"/>
      <c r="J255" s="7">
        <f t="shared" si="85"/>
        <v>3.3663741713603739E-3</v>
      </c>
      <c r="K255" s="2"/>
      <c r="L255" s="6">
        <f t="shared" si="86"/>
        <v>-2030.51</v>
      </c>
      <c r="M255" s="2"/>
      <c r="N255" s="7">
        <f t="shared" si="87"/>
        <v>-0.54878648648648654</v>
      </c>
      <c r="O255" s="11"/>
      <c r="P255" s="6">
        <v>18314.929999999997</v>
      </c>
      <c r="Q255" s="2"/>
      <c r="R255" s="7">
        <f t="shared" si="88"/>
        <v>1.7218745926573485E-3</v>
      </c>
      <c r="S255" s="2"/>
      <c r="T255" s="6">
        <v>33300</v>
      </c>
      <c r="U255" s="2"/>
      <c r="V255" s="7">
        <f t="shared" si="89"/>
        <v>2.7779753277463147E-3</v>
      </c>
      <c r="W255" s="2"/>
      <c r="X255" s="6">
        <f t="shared" si="90"/>
        <v>-14985.070000000003</v>
      </c>
      <c r="Y255" s="2"/>
      <c r="Z255" s="7">
        <f t="shared" si="91"/>
        <v>-0.45000210210210217</v>
      </c>
    </row>
    <row r="256" spans="1:26" s="24" customFormat="1" hidden="1" outlineLevel="2" x14ac:dyDescent="0.25">
      <c r="A256" s="25"/>
      <c r="B256" s="11" t="str">
        <f>CONCATENATE("          ", "6254", " - ", "ROYALTY &amp; COMMISSIONS")</f>
        <v xml:space="preserve">          6254 - ROYALTY &amp; COMMISSIONS</v>
      </c>
      <c r="C256" s="11"/>
      <c r="D256" s="6">
        <v>1175.47</v>
      </c>
      <c r="E256" s="2"/>
      <c r="F256" s="7">
        <f t="shared" si="84"/>
        <v>3.3939417387819481E-3</v>
      </c>
      <c r="G256" s="2"/>
      <c r="H256" s="6">
        <v>11700</v>
      </c>
      <c r="I256" s="2"/>
      <c r="J256" s="7">
        <f t="shared" si="85"/>
        <v>1.0645021028355777E-2</v>
      </c>
      <c r="K256" s="2"/>
      <c r="L256" s="6">
        <f t="shared" si="86"/>
        <v>-10524.53</v>
      </c>
      <c r="M256" s="2"/>
      <c r="N256" s="7">
        <f t="shared" si="87"/>
        <v>-0.89953247863247865</v>
      </c>
      <c r="O256" s="11"/>
      <c r="P256" s="6">
        <v>7971.22</v>
      </c>
      <c r="Q256" s="2"/>
      <c r="R256" s="7">
        <f t="shared" si="88"/>
        <v>7.4941270266837561E-4</v>
      </c>
      <c r="S256" s="2"/>
      <c r="T256" s="6">
        <v>105300</v>
      </c>
      <c r="U256" s="2"/>
      <c r="V256" s="7">
        <f t="shared" si="89"/>
        <v>8.7844084688194265E-3</v>
      </c>
      <c r="W256" s="2"/>
      <c r="X256" s="6">
        <f t="shared" si="90"/>
        <v>-97328.78</v>
      </c>
      <c r="Y256" s="2"/>
      <c r="Z256" s="7">
        <f t="shared" si="91"/>
        <v>-0.92429990503323833</v>
      </c>
    </row>
    <row r="257" spans="1:26" s="24" customFormat="1" hidden="1" outlineLevel="2" x14ac:dyDescent="0.25">
      <c r="A257" s="25"/>
      <c r="B257" s="11" t="str">
        <f>CONCATENATE("          ", "6259", " - ", "ROYALTY &amp; COMMISSIONS")</f>
        <v xml:space="preserve">          6259 - ROYALTY &amp; COMMISSIONS</v>
      </c>
      <c r="C257" s="11"/>
      <c r="D257" s="6">
        <v>3863.92</v>
      </c>
      <c r="E257" s="2"/>
      <c r="F257" s="7">
        <f t="shared" si="84"/>
        <v>1.1156319908899712E-2</v>
      </c>
      <c r="G257" s="2"/>
      <c r="H257" s="6"/>
      <c r="I257" s="2"/>
      <c r="J257" s="7">
        <f t="shared" si="85"/>
        <v>0</v>
      </c>
      <c r="K257" s="2"/>
      <c r="L257" s="6">
        <f t="shared" si="86"/>
        <v>3863.92</v>
      </c>
      <c r="M257" s="2"/>
      <c r="N257" s="7">
        <f t="shared" si="87"/>
        <v>0</v>
      </c>
      <c r="O257" s="11"/>
      <c r="P257" s="6">
        <v>76825.799999999988</v>
      </c>
      <c r="Q257" s="2"/>
      <c r="R257" s="7">
        <f t="shared" si="88"/>
        <v>7.222762690361084E-3</v>
      </c>
      <c r="S257" s="2"/>
      <c r="T257" s="6"/>
      <c r="U257" s="2"/>
      <c r="V257" s="7">
        <f t="shared" si="89"/>
        <v>0</v>
      </c>
      <c r="W257" s="2"/>
      <c r="X257" s="6">
        <f t="shared" si="90"/>
        <v>76825.799999999988</v>
      </c>
      <c r="Y257" s="2"/>
      <c r="Z257" s="7">
        <f t="shared" si="91"/>
        <v>0</v>
      </c>
    </row>
    <row r="258" spans="1:26" s="27" customFormat="1" outlineLevel="1" collapsed="1" x14ac:dyDescent="0.25">
      <c r="A258" s="26"/>
      <c r="B258" s="13" t="str">
        <f>CONCATENATE("     ","Services                                          ")</f>
        <v xml:space="preserve">     Services                                          </v>
      </c>
      <c r="C258" s="13"/>
      <c r="D258" s="1">
        <f>SUM(OSRRefD22_18x_0)</f>
        <v>4580.8599999999997</v>
      </c>
      <c r="E258" s="1"/>
      <c r="F258" s="5">
        <f t="shared" ref="F258:F262" si="92">IF(D$12=0,0,D258/D$12)</f>
        <v>1.3226345167053752E-2</v>
      </c>
      <c r="G258" s="1"/>
      <c r="H258" s="1">
        <f>SUM(OSRRefH22_18x_0)</f>
        <v>4442.5</v>
      </c>
      <c r="I258" s="1"/>
      <c r="J258" s="5">
        <f t="shared" ref="J258:J262" si="93">IF(H$12=0,0,H258/H$12)</f>
        <v>4.0419235827752597E-3</v>
      </c>
      <c r="K258" s="1"/>
      <c r="L258" s="1">
        <f t="shared" ref="L258:L262" si="94">+D258-H258</f>
        <v>138.35999999999967</v>
      </c>
      <c r="M258" s="1"/>
      <c r="N258" s="5">
        <f t="shared" ref="N258:N262" si="95">IF(H258=0,0,L258/H258)</f>
        <v>3.1144625773775952E-2</v>
      </c>
      <c r="O258" s="13"/>
      <c r="P258" s="1">
        <f>SUM(OSRRefP22_18x_0)</f>
        <v>41600.92</v>
      </c>
      <c r="Q258" s="1"/>
      <c r="R258" s="5">
        <f t="shared" ref="R258:R262" si="96">IF(P$12=0,0,P258/P$12)</f>
        <v>3.9111024273186384E-3</v>
      </c>
      <c r="S258" s="1"/>
      <c r="T258" s="1">
        <f>SUM(OSRRefT22_18x_0)</f>
        <v>40247.5</v>
      </c>
      <c r="U258" s="1"/>
      <c r="V258" s="5">
        <f t="shared" ref="V258:V262" si="97">IF(T$12=0,0,T258/T$12)</f>
        <v>3.3575544145186126E-3</v>
      </c>
      <c r="W258" s="1"/>
      <c r="X258" s="1">
        <f t="shared" ref="X258:X262" si="98">+P258-T258</f>
        <v>1353.4199999999983</v>
      </c>
      <c r="Y258" s="1"/>
      <c r="Z258" s="5">
        <f t="shared" ref="Z258:Z262" si="99">IF(T258=0,0,X258/T258)</f>
        <v>3.3627430275172329E-2</v>
      </c>
    </row>
    <row r="259" spans="1:26" s="24" customFormat="1" hidden="1" outlineLevel="2" x14ac:dyDescent="0.25">
      <c r="A259" s="25"/>
      <c r="B259" s="11" t="str">
        <f>CONCATENATE("          ", "6282", " - ", "JANITORIAL/EXTERMINATOR EXPENS")</f>
        <v xml:space="preserve">          6282 - JANITORIAL/EXTERMINATOR EXPENS</v>
      </c>
      <c r="C259" s="11"/>
      <c r="D259" s="6">
        <v>222.5</v>
      </c>
      <c r="E259" s="2"/>
      <c r="F259" s="7">
        <f t="shared" si="92"/>
        <v>6.4242561433212539E-4</v>
      </c>
      <c r="G259" s="2"/>
      <c r="H259" s="6">
        <v>50</v>
      </c>
      <c r="I259" s="2"/>
      <c r="J259" s="7">
        <f t="shared" si="93"/>
        <v>4.5491542856221267E-5</v>
      </c>
      <c r="K259" s="2"/>
      <c r="L259" s="6">
        <f t="shared" si="94"/>
        <v>172.5</v>
      </c>
      <c r="M259" s="2"/>
      <c r="N259" s="7">
        <f t="shared" si="95"/>
        <v>3.45</v>
      </c>
      <c r="O259" s="11"/>
      <c r="P259" s="6">
        <v>2375.52</v>
      </c>
      <c r="Q259" s="2"/>
      <c r="R259" s="7">
        <f t="shared" si="96"/>
        <v>2.2333405218307606E-4</v>
      </c>
      <c r="S259" s="2"/>
      <c r="T259" s="6">
        <v>450</v>
      </c>
      <c r="U259" s="2"/>
      <c r="V259" s="7">
        <f t="shared" si="97"/>
        <v>3.7540207131706951E-5</v>
      </c>
      <c r="W259" s="2"/>
      <c r="X259" s="6">
        <f t="shared" si="98"/>
        <v>1925.52</v>
      </c>
      <c r="Y259" s="2"/>
      <c r="Z259" s="7">
        <f t="shared" si="99"/>
        <v>4.2789333333333337</v>
      </c>
    </row>
    <row r="260" spans="1:26" s="24" customFormat="1" hidden="1" outlineLevel="2" x14ac:dyDescent="0.25">
      <c r="A260" s="25"/>
      <c r="B260" s="11" t="str">
        <f>CONCATENATE("          ", "6283", " - ", "PLANT SERVICE")</f>
        <v xml:space="preserve">          6283 - PLANT SERVICE</v>
      </c>
      <c r="C260" s="11"/>
      <c r="D260" s="6"/>
      <c r="E260" s="2"/>
      <c r="F260" s="7">
        <f t="shared" si="92"/>
        <v>0</v>
      </c>
      <c r="G260" s="2"/>
      <c r="H260" s="6">
        <v>60</v>
      </c>
      <c r="I260" s="2"/>
      <c r="J260" s="7">
        <f t="shared" si="93"/>
        <v>5.4589851427465521E-5</v>
      </c>
      <c r="K260" s="2"/>
      <c r="L260" s="6">
        <f t="shared" si="94"/>
        <v>-60</v>
      </c>
      <c r="M260" s="2"/>
      <c r="N260" s="7">
        <f t="shared" si="95"/>
        <v>-1</v>
      </c>
      <c r="O260" s="11"/>
      <c r="P260" s="6">
        <v>541.98</v>
      </c>
      <c r="Q260" s="2"/>
      <c r="R260" s="7">
        <f t="shared" si="96"/>
        <v>5.0954144609257579E-5</v>
      </c>
      <c r="S260" s="2"/>
      <c r="T260" s="6">
        <v>540</v>
      </c>
      <c r="U260" s="2"/>
      <c r="V260" s="7">
        <f t="shared" si="97"/>
        <v>4.5048248558048343E-5</v>
      </c>
      <c r="W260" s="2"/>
      <c r="X260" s="6">
        <f t="shared" si="98"/>
        <v>1.9800000000000182</v>
      </c>
      <c r="Y260" s="2"/>
      <c r="Z260" s="7">
        <f t="shared" si="99"/>
        <v>3.6666666666667004E-3</v>
      </c>
    </row>
    <row r="261" spans="1:26" s="24" customFormat="1" hidden="1" outlineLevel="2" x14ac:dyDescent="0.25">
      <c r="A261" s="25"/>
      <c r="B261" s="11" t="str">
        <f>CONCATENATE("          ", "6284", " - ", "TRASH REMOVAL EXPENSE")</f>
        <v xml:space="preserve">          6284 - TRASH REMOVAL EXPENSE</v>
      </c>
      <c r="C261" s="11"/>
      <c r="D261" s="6">
        <v>134.82</v>
      </c>
      <c r="E261" s="2"/>
      <c r="F261" s="7">
        <f t="shared" si="92"/>
        <v>3.8926661269329051E-4</v>
      </c>
      <c r="G261" s="2"/>
      <c r="H261" s="6">
        <v>62.5</v>
      </c>
      <c r="I261" s="2"/>
      <c r="J261" s="7">
        <f t="shared" si="93"/>
        <v>5.6864428570276581E-5</v>
      </c>
      <c r="K261" s="2"/>
      <c r="L261" s="6">
        <f t="shared" si="94"/>
        <v>72.319999999999993</v>
      </c>
      <c r="M261" s="2"/>
      <c r="N261" s="7">
        <f t="shared" si="95"/>
        <v>1.1571199999999999</v>
      </c>
      <c r="O261" s="11"/>
      <c r="P261" s="6">
        <v>1213.3800000000001</v>
      </c>
      <c r="Q261" s="2"/>
      <c r="R261" s="7">
        <f t="shared" si="96"/>
        <v>1.1407568542378126E-4</v>
      </c>
      <c r="S261" s="2"/>
      <c r="T261" s="6">
        <v>562.5</v>
      </c>
      <c r="U261" s="2"/>
      <c r="V261" s="7">
        <f t="shared" si="97"/>
        <v>4.6925258914633693E-5</v>
      </c>
      <c r="W261" s="2"/>
      <c r="X261" s="6">
        <f t="shared" si="98"/>
        <v>650.88000000000011</v>
      </c>
      <c r="Y261" s="2"/>
      <c r="Z261" s="7">
        <f t="shared" si="99"/>
        <v>1.1571200000000001</v>
      </c>
    </row>
    <row r="262" spans="1:26" s="24" customFormat="1" hidden="1" outlineLevel="2" x14ac:dyDescent="0.25">
      <c r="A262" s="25"/>
      <c r="B262" s="11" t="str">
        <f>CONCATENATE("          ", "6285", " - ", "JANITORIAL SERVICES")</f>
        <v xml:space="preserve">          6285 - JANITORIAL SERVICES</v>
      </c>
      <c r="C262" s="11"/>
      <c r="D262" s="6">
        <v>4223.54</v>
      </c>
      <c r="E262" s="2"/>
      <c r="F262" s="7">
        <f t="shared" si="92"/>
        <v>1.2194652940028337E-2</v>
      </c>
      <c r="G262" s="2"/>
      <c r="H262" s="6">
        <v>4270</v>
      </c>
      <c r="I262" s="2"/>
      <c r="J262" s="7">
        <f t="shared" si="93"/>
        <v>3.884977759921296E-3</v>
      </c>
      <c r="K262" s="2"/>
      <c r="L262" s="6">
        <f t="shared" si="94"/>
        <v>-46.460000000000036</v>
      </c>
      <c r="M262" s="2"/>
      <c r="N262" s="7">
        <f t="shared" si="95"/>
        <v>-1.0880562060889939E-2</v>
      </c>
      <c r="O262" s="11"/>
      <c r="P262" s="6">
        <v>37470.04</v>
      </c>
      <c r="Q262" s="2"/>
      <c r="R262" s="7">
        <f t="shared" si="96"/>
        <v>3.522738545102524E-3</v>
      </c>
      <c r="S262" s="2"/>
      <c r="T262" s="6">
        <v>38695</v>
      </c>
      <c r="U262" s="2"/>
      <c r="V262" s="7">
        <f t="shared" si="97"/>
        <v>3.2280406999142235E-3</v>
      </c>
      <c r="W262" s="2"/>
      <c r="X262" s="6">
        <f t="shared" si="98"/>
        <v>-1224.9599999999991</v>
      </c>
      <c r="Y262" s="2"/>
      <c r="Z262" s="7">
        <f t="shared" si="99"/>
        <v>-3.1656803204548369E-2</v>
      </c>
    </row>
    <row r="263" spans="1:26" s="27" customFormat="1" outlineLevel="1" collapsed="1" x14ac:dyDescent="0.25">
      <c r="A263" s="26"/>
      <c r="B263" s="13" t="str">
        <f>CONCATENATE("     ","Subscriptions &amp; Dues                              ")</f>
        <v xml:space="preserve">     Subscriptions &amp; Dues                              </v>
      </c>
      <c r="C263" s="13"/>
      <c r="D263" s="1">
        <f>SUM(OSRRefD22_19x_0)</f>
        <v>616.54</v>
      </c>
      <c r="E263" s="1"/>
      <c r="F263" s="5">
        <f t="shared" ref="F263:F265" si="100">IF(D$12=0,0,D263/D$12)</f>
        <v>1.7801397225183306E-3</v>
      </c>
      <c r="G263" s="1"/>
      <c r="H263" s="1">
        <f>SUM(OSRRefH22_19x_0)</f>
        <v>1715</v>
      </c>
      <c r="I263" s="1"/>
      <c r="J263" s="5">
        <f t="shared" ref="J263:J265" si="101">IF(H$12=0,0,H263/H$12)</f>
        <v>1.5603599199683895E-3</v>
      </c>
      <c r="K263" s="1"/>
      <c r="L263" s="1">
        <f t="shared" ref="L263:L265" si="102">+D263-H263</f>
        <v>-1098.46</v>
      </c>
      <c r="M263" s="1"/>
      <c r="N263" s="5">
        <f t="shared" ref="N263:N265" si="103">IF(H263=0,0,L263/H263)</f>
        <v>-0.64050145772594758</v>
      </c>
      <c r="O263" s="13"/>
      <c r="P263" s="1">
        <f>SUM(OSRRefP22_19x_0)</f>
        <v>35.269999999999982</v>
      </c>
      <c r="Q263" s="1"/>
      <c r="R263" s="5">
        <f t="shared" ref="R263:R265" si="104">IF(P$12=0,0,P263/P$12)</f>
        <v>3.3159022110936085E-6</v>
      </c>
      <c r="S263" s="1"/>
      <c r="T263" s="1">
        <f>SUM(OSRRefT22_19x_0)</f>
        <v>19450</v>
      </c>
      <c r="U263" s="1"/>
      <c r="V263" s="5">
        <f t="shared" ref="V263:V265" si="105">IF(T$12=0,0,T263/T$12)</f>
        <v>1.6225711749148894E-3</v>
      </c>
      <c r="W263" s="1"/>
      <c r="X263" s="1">
        <f t="shared" ref="X263:X265" si="106">+P263-T263</f>
        <v>-19414.73</v>
      </c>
      <c r="Y263" s="1"/>
      <c r="Z263" s="5">
        <f t="shared" ref="Z263:Z265" si="107">IF(T263=0,0,X263/T263)</f>
        <v>-0.99818663239074545</v>
      </c>
    </row>
    <row r="264" spans="1:26" s="24" customFormat="1" hidden="1" outlineLevel="2" x14ac:dyDescent="0.25">
      <c r="A264" s="25"/>
      <c r="B264" s="11" t="str">
        <f>CONCATENATE("          ", "6258", " - ", "MEMBERSHIP DUES")</f>
        <v xml:space="preserve">          6258 - MEMBERSHIP DUES</v>
      </c>
      <c r="C264" s="11"/>
      <c r="D264" s="6">
        <v>616.54</v>
      </c>
      <c r="E264" s="2"/>
      <c r="F264" s="7">
        <f t="shared" si="100"/>
        <v>1.7801397225183306E-3</v>
      </c>
      <c r="G264" s="2"/>
      <c r="H264" s="6">
        <v>400</v>
      </c>
      <c r="I264" s="2"/>
      <c r="J264" s="7">
        <f t="shared" si="101"/>
        <v>3.6393234284977014E-4</v>
      </c>
      <c r="K264" s="2"/>
      <c r="L264" s="6">
        <f t="shared" si="102"/>
        <v>216.53999999999996</v>
      </c>
      <c r="M264" s="2"/>
      <c r="N264" s="7">
        <f t="shared" si="103"/>
        <v>0.54134999999999989</v>
      </c>
      <c r="O264" s="11"/>
      <c r="P264" s="6">
        <v>-830.09</v>
      </c>
      <c r="Q264" s="2"/>
      <c r="R264" s="7">
        <f t="shared" si="104"/>
        <v>-7.8040750394292458E-5</v>
      </c>
      <c r="S264" s="2"/>
      <c r="T264" s="6">
        <v>14640</v>
      </c>
      <c r="U264" s="2"/>
      <c r="V264" s="7">
        <f t="shared" si="105"/>
        <v>1.2213080720181995E-3</v>
      </c>
      <c r="W264" s="2"/>
      <c r="X264" s="6">
        <f t="shared" si="106"/>
        <v>-15470.09</v>
      </c>
      <c r="Y264" s="2"/>
      <c r="Z264" s="7">
        <f t="shared" si="107"/>
        <v>-1.0567001366120219</v>
      </c>
    </row>
    <row r="265" spans="1:26" s="24" customFormat="1" hidden="1" outlineLevel="2" x14ac:dyDescent="0.25">
      <c r="A265" s="25"/>
      <c r="B265" s="11" t="str">
        <f>CONCATENATE("          ", "6275", " - ", "SUBSCRIPTIONS")</f>
        <v xml:space="preserve">          6275 - SUBSCRIPTIONS</v>
      </c>
      <c r="C265" s="11"/>
      <c r="D265" s="6"/>
      <c r="E265" s="2"/>
      <c r="F265" s="7">
        <f t="shared" si="100"/>
        <v>0</v>
      </c>
      <c r="G265" s="2"/>
      <c r="H265" s="6">
        <v>1315</v>
      </c>
      <c r="I265" s="2"/>
      <c r="J265" s="7">
        <f t="shared" si="101"/>
        <v>1.1964275771186193E-3</v>
      </c>
      <c r="K265" s="2"/>
      <c r="L265" s="6">
        <f t="shared" si="102"/>
        <v>-1315</v>
      </c>
      <c r="M265" s="2"/>
      <c r="N265" s="7">
        <f t="shared" si="103"/>
        <v>-1</v>
      </c>
      <c r="O265" s="11"/>
      <c r="P265" s="6">
        <v>865.36</v>
      </c>
      <c r="Q265" s="2"/>
      <c r="R265" s="7">
        <f t="shared" si="104"/>
        <v>8.1356652605386071E-5</v>
      </c>
      <c r="S265" s="2"/>
      <c r="T265" s="6">
        <v>4810</v>
      </c>
      <c r="U265" s="2"/>
      <c r="V265" s="7">
        <f t="shared" si="105"/>
        <v>4.0126310289668988E-4</v>
      </c>
      <c r="W265" s="2"/>
      <c r="X265" s="6">
        <f t="shared" si="106"/>
        <v>-3944.64</v>
      </c>
      <c r="Y265" s="2"/>
      <c r="Z265" s="7">
        <f t="shared" si="107"/>
        <v>-0.82009147609147603</v>
      </c>
    </row>
    <row r="266" spans="1:26" s="27" customFormat="1" outlineLevel="1" collapsed="1" x14ac:dyDescent="0.25">
      <c r="A266" s="26"/>
      <c r="B266" s="13" t="str">
        <f>CONCATENATE("     ","Supplies                                          ")</f>
        <v xml:space="preserve">     Supplies                                          </v>
      </c>
      <c r="C266" s="13"/>
      <c r="D266" s="1">
        <f>SUM(OSRRefD22_20x_0)</f>
        <v>11929.24</v>
      </c>
      <c r="E266" s="1"/>
      <c r="F266" s="5">
        <f t="shared" ref="F266:F273" si="108">IF(D$12=0,0,D266/D$12)</f>
        <v>3.4443367800069048E-2</v>
      </c>
      <c r="G266" s="1"/>
      <c r="H266" s="1">
        <f>SUM(OSRRefH22_20x_0)</f>
        <v>19045</v>
      </c>
      <c r="I266" s="1"/>
      <c r="J266" s="5">
        <f t="shared" ref="J266:J273" si="109">IF(H$12=0,0,H266/H$12)</f>
        <v>1.7327728673934679E-2</v>
      </c>
      <c r="K266" s="1"/>
      <c r="L266" s="1">
        <f t="shared" ref="L266:L273" si="110">+D266-H266</f>
        <v>-7115.76</v>
      </c>
      <c r="M266" s="1"/>
      <c r="N266" s="5">
        <f t="shared" ref="N266:N273" si="111">IF(H266=0,0,L266/H266)</f>
        <v>-0.37362877395641902</v>
      </c>
      <c r="O266" s="13"/>
      <c r="P266" s="1">
        <f>SUM(OSRRefP22_20x_0)</f>
        <v>86281.63</v>
      </c>
      <c r="Q266" s="1"/>
      <c r="R266" s="5">
        <f t="shared" ref="R266:R273" si="112">IF(P$12=0,0,P266/P$12)</f>
        <v>8.1117507143113349E-3</v>
      </c>
      <c r="S266" s="1"/>
      <c r="T266" s="1">
        <f>SUM(OSRRefT22_20x_0)</f>
        <v>157550</v>
      </c>
      <c r="U266" s="1"/>
      <c r="V266" s="5">
        <f t="shared" ref="V266:V273" si="113">IF(T$12=0,0,T266/T$12)</f>
        <v>1.3143243630223178E-2</v>
      </c>
      <c r="W266" s="1"/>
      <c r="X266" s="1">
        <f t="shared" ref="X266:X273" si="114">+P266-T266</f>
        <v>-71268.37</v>
      </c>
      <c r="Y266" s="1"/>
      <c r="Z266" s="5">
        <f t="shared" ref="Z266:Z273" si="115">IF(T266=0,0,X266/T266)</f>
        <v>-0.45235398286258327</v>
      </c>
    </row>
    <row r="267" spans="1:26" s="24" customFormat="1" hidden="1" outlineLevel="2" x14ac:dyDescent="0.25">
      <c r="A267" s="25"/>
      <c r="B267" s="11" t="str">
        <f>CONCATENATE("          ", "6234", " - ", "EXPENDABLE SUPPLIES &amp; EQUIPMEN")</f>
        <v xml:space="preserve">          6234 - EXPENDABLE SUPPLIES &amp; EQUIPMEN</v>
      </c>
      <c r="C267" s="11"/>
      <c r="D267" s="6">
        <v>140.75</v>
      </c>
      <c r="E267" s="2"/>
      <c r="F267" s="7">
        <f t="shared" si="108"/>
        <v>4.0638833805504114E-4</v>
      </c>
      <c r="G267" s="2"/>
      <c r="H267" s="6">
        <v>300</v>
      </c>
      <c r="I267" s="2"/>
      <c r="J267" s="7">
        <f t="shared" si="109"/>
        <v>2.7294925713732758E-4</v>
      </c>
      <c r="K267" s="2"/>
      <c r="L267" s="6">
        <f t="shared" si="110"/>
        <v>-159.25</v>
      </c>
      <c r="M267" s="2"/>
      <c r="N267" s="7">
        <f t="shared" si="111"/>
        <v>-0.53083333333333338</v>
      </c>
      <c r="O267" s="11"/>
      <c r="P267" s="6">
        <v>3301.7</v>
      </c>
      <c r="Q267" s="2"/>
      <c r="R267" s="7">
        <f t="shared" si="112"/>
        <v>3.1040868529537202E-4</v>
      </c>
      <c r="S267" s="2"/>
      <c r="T267" s="6">
        <v>6550</v>
      </c>
      <c r="U267" s="2"/>
      <c r="V267" s="7">
        <f t="shared" si="113"/>
        <v>5.4641857047262347E-4</v>
      </c>
      <c r="W267" s="2"/>
      <c r="X267" s="6">
        <f t="shared" si="114"/>
        <v>-3248.3</v>
      </c>
      <c r="Y267" s="2"/>
      <c r="Z267" s="7">
        <f t="shared" si="115"/>
        <v>-0.49592366412213745</v>
      </c>
    </row>
    <row r="268" spans="1:26" s="24" customFormat="1" hidden="1" outlineLevel="2" x14ac:dyDescent="0.25">
      <c r="A268" s="25"/>
      <c r="B268" s="11" t="str">
        <f>CONCATENATE("          ", "6237", " - ", "JANITORIAL SUPPLIES")</f>
        <v xml:space="preserve">          6237 - JANITORIAL SUPPLIES</v>
      </c>
      <c r="C268" s="11"/>
      <c r="D268" s="6">
        <v>470.52</v>
      </c>
      <c r="E268" s="2"/>
      <c r="F268" s="7">
        <f t="shared" si="108"/>
        <v>1.3585352811485466E-3</v>
      </c>
      <c r="G268" s="2"/>
      <c r="H268" s="6">
        <v>45</v>
      </c>
      <c r="I268" s="2"/>
      <c r="J268" s="7">
        <f t="shared" si="109"/>
        <v>4.094238857059914E-5</v>
      </c>
      <c r="K268" s="2"/>
      <c r="L268" s="6">
        <f t="shared" si="110"/>
        <v>425.52</v>
      </c>
      <c r="M268" s="2"/>
      <c r="N268" s="7">
        <f t="shared" si="111"/>
        <v>9.4559999999999995</v>
      </c>
      <c r="O268" s="11"/>
      <c r="P268" s="6">
        <v>4822.6499999999996</v>
      </c>
      <c r="Q268" s="2"/>
      <c r="R268" s="7">
        <f t="shared" si="112"/>
        <v>4.5340050463086467E-4</v>
      </c>
      <c r="S268" s="2"/>
      <c r="T268" s="6">
        <v>400</v>
      </c>
      <c r="U268" s="2"/>
      <c r="V268" s="7">
        <f t="shared" si="113"/>
        <v>3.3369073005961735E-5</v>
      </c>
      <c r="W268" s="2"/>
      <c r="X268" s="6">
        <f t="shared" si="114"/>
        <v>4422.6499999999996</v>
      </c>
      <c r="Y268" s="2"/>
      <c r="Z268" s="7">
        <f t="shared" si="115"/>
        <v>11.056624999999999</v>
      </c>
    </row>
    <row r="269" spans="1:26" s="24" customFormat="1" hidden="1" outlineLevel="2" x14ac:dyDescent="0.25">
      <c r="A269" s="25"/>
      <c r="B269" s="11" t="str">
        <f>CONCATENATE("          ", "6241", " - ", "OFFICE EXPENSE")</f>
        <v xml:space="preserve">          6241 - OFFICE EXPENSE</v>
      </c>
      <c r="C269" s="11"/>
      <c r="D269" s="6">
        <v>730.26</v>
      </c>
      <c r="E269" s="2"/>
      <c r="F269" s="7">
        <f t="shared" si="108"/>
        <v>2.1084841758300128E-3</v>
      </c>
      <c r="G269" s="2"/>
      <c r="H269" s="6">
        <v>1275</v>
      </c>
      <c r="I269" s="2"/>
      <c r="J269" s="7">
        <f t="shared" si="109"/>
        <v>1.1600343428336422E-3</v>
      </c>
      <c r="K269" s="2"/>
      <c r="L269" s="6">
        <f t="shared" si="110"/>
        <v>-544.74</v>
      </c>
      <c r="M269" s="2"/>
      <c r="N269" s="7">
        <f t="shared" si="111"/>
        <v>-0.42724705882352942</v>
      </c>
      <c r="O269" s="11"/>
      <c r="P269" s="6">
        <v>23531.73</v>
      </c>
      <c r="Q269" s="2"/>
      <c r="R269" s="7">
        <f t="shared" si="112"/>
        <v>2.2123310331119317E-3</v>
      </c>
      <c r="S269" s="2"/>
      <c r="T269" s="6">
        <v>17225</v>
      </c>
      <c r="U269" s="2"/>
      <c r="V269" s="7">
        <f t="shared" si="113"/>
        <v>1.4369557063192272E-3</v>
      </c>
      <c r="W269" s="2"/>
      <c r="X269" s="6">
        <f t="shared" si="114"/>
        <v>6306.73</v>
      </c>
      <c r="Y269" s="2"/>
      <c r="Z269" s="7">
        <f t="shared" si="115"/>
        <v>0.36613817126269954</v>
      </c>
    </row>
    <row r="270" spans="1:26" s="24" customFormat="1" hidden="1" outlineLevel="2" x14ac:dyDescent="0.25">
      <c r="A270" s="25"/>
      <c r="B270" s="11" t="str">
        <f>CONCATENATE("          ", "6243", " - ", "PAPER SUPPLIES")</f>
        <v xml:space="preserve">          6243 - PAPER SUPPLIES</v>
      </c>
      <c r="C270" s="11"/>
      <c r="D270" s="6">
        <v>5529.37</v>
      </c>
      <c r="E270" s="2"/>
      <c r="F270" s="7">
        <f t="shared" si="108"/>
        <v>1.5964983906155614E-2</v>
      </c>
      <c r="G270" s="2"/>
      <c r="H270" s="6">
        <v>250</v>
      </c>
      <c r="I270" s="2"/>
      <c r="J270" s="7">
        <f t="shared" si="109"/>
        <v>2.2745771428110632E-4</v>
      </c>
      <c r="K270" s="2"/>
      <c r="L270" s="6">
        <f t="shared" si="110"/>
        <v>5279.37</v>
      </c>
      <c r="M270" s="2"/>
      <c r="N270" s="7">
        <f t="shared" si="111"/>
        <v>21.11748</v>
      </c>
      <c r="O270" s="11"/>
      <c r="P270" s="6">
        <v>17096.919999999998</v>
      </c>
      <c r="Q270" s="2"/>
      <c r="R270" s="7">
        <f t="shared" si="112"/>
        <v>1.6073636186813313E-3</v>
      </c>
      <c r="S270" s="2"/>
      <c r="T270" s="6">
        <v>3250</v>
      </c>
      <c r="U270" s="2"/>
      <c r="V270" s="7">
        <f t="shared" si="113"/>
        <v>2.7112371817343908E-4</v>
      </c>
      <c r="W270" s="2"/>
      <c r="X270" s="6">
        <f t="shared" si="114"/>
        <v>13846.919999999998</v>
      </c>
      <c r="Y270" s="2"/>
      <c r="Z270" s="7">
        <f t="shared" si="115"/>
        <v>4.2605907692307685</v>
      </c>
    </row>
    <row r="271" spans="1:26" s="24" customFormat="1" hidden="1" outlineLevel="2" x14ac:dyDescent="0.25">
      <c r="A271" s="25"/>
      <c r="B271" s="11" t="str">
        <f>CONCATENATE("          ", "6245", " - ", "PRINTING")</f>
        <v xml:space="preserve">          6245 - PRINTING</v>
      </c>
      <c r="C271" s="11"/>
      <c r="D271" s="6">
        <v>289.75</v>
      </c>
      <c r="E271" s="2"/>
      <c r="F271" s="7">
        <f t="shared" si="108"/>
        <v>8.3659695169767791E-4</v>
      </c>
      <c r="G271" s="2"/>
      <c r="H271" s="6">
        <v>100</v>
      </c>
      <c r="I271" s="2"/>
      <c r="J271" s="7">
        <f t="shared" si="109"/>
        <v>9.0983085712442534E-5</v>
      </c>
      <c r="K271" s="2"/>
      <c r="L271" s="6">
        <f t="shared" si="110"/>
        <v>189.75</v>
      </c>
      <c r="M271" s="2"/>
      <c r="N271" s="7">
        <f t="shared" si="111"/>
        <v>1.8975</v>
      </c>
      <c r="O271" s="11"/>
      <c r="P271" s="6">
        <v>10076.35</v>
      </c>
      <c r="Q271" s="2"/>
      <c r="R271" s="7">
        <f t="shared" si="112"/>
        <v>9.4732609143048196E-4</v>
      </c>
      <c r="S271" s="2"/>
      <c r="T271" s="6">
        <v>2100</v>
      </c>
      <c r="U271" s="2"/>
      <c r="V271" s="7">
        <f t="shared" si="113"/>
        <v>1.7518763328129911E-4</v>
      </c>
      <c r="W271" s="2"/>
      <c r="X271" s="6">
        <f t="shared" si="114"/>
        <v>7976.35</v>
      </c>
      <c r="Y271" s="2"/>
      <c r="Z271" s="7">
        <f t="shared" si="115"/>
        <v>3.7982619047619051</v>
      </c>
    </row>
    <row r="272" spans="1:26" s="24" customFormat="1" hidden="1" outlineLevel="2" x14ac:dyDescent="0.25">
      <c r="A272" s="25"/>
      <c r="B272" s="11" t="str">
        <f>CONCATENATE("          ", "6247", " - ", "STORE SUPPLIES")</f>
        <v xml:space="preserve">          6247 - STORE SUPPLIES</v>
      </c>
      <c r="C272" s="11"/>
      <c r="D272" s="6">
        <v>4768.59</v>
      </c>
      <c r="E272" s="2"/>
      <c r="F272" s="7">
        <f t="shared" si="108"/>
        <v>1.3768379147182156E-2</v>
      </c>
      <c r="G272" s="2"/>
      <c r="H272" s="6">
        <v>16075</v>
      </c>
      <c r="I272" s="2"/>
      <c r="J272" s="7">
        <f t="shared" si="109"/>
        <v>1.4625531028275138E-2</v>
      </c>
      <c r="K272" s="2"/>
      <c r="L272" s="6">
        <f t="shared" si="110"/>
        <v>-11306.41</v>
      </c>
      <c r="M272" s="2"/>
      <c r="N272" s="7">
        <f t="shared" si="111"/>
        <v>-0.7033536547433904</v>
      </c>
      <c r="O272" s="11"/>
      <c r="P272" s="6">
        <v>27452.28</v>
      </c>
      <c r="Q272" s="2"/>
      <c r="R272" s="7">
        <f t="shared" si="112"/>
        <v>2.5809207811613522E-3</v>
      </c>
      <c r="S272" s="2"/>
      <c r="T272" s="6">
        <v>118525</v>
      </c>
      <c r="U272" s="2"/>
      <c r="V272" s="7">
        <f t="shared" si="113"/>
        <v>9.8876734450790375E-3</v>
      </c>
      <c r="W272" s="2"/>
      <c r="X272" s="6">
        <f t="shared" si="114"/>
        <v>-91072.72</v>
      </c>
      <c r="Y272" s="2"/>
      <c r="Z272" s="7">
        <f t="shared" si="115"/>
        <v>-0.76838405399704701</v>
      </c>
    </row>
    <row r="273" spans="1:26" s="24" customFormat="1" hidden="1" outlineLevel="2" x14ac:dyDescent="0.25">
      <c r="A273" s="25"/>
      <c r="B273" s="11" t="str">
        <f>CONCATENATE("          ", "6248", " - ", "UNIFORMS")</f>
        <v xml:space="preserve">          6248 - UNIFORMS</v>
      </c>
      <c r="C273" s="11"/>
      <c r="D273" s="6"/>
      <c r="E273" s="2"/>
      <c r="F273" s="7">
        <f t="shared" si="108"/>
        <v>0</v>
      </c>
      <c r="G273" s="2"/>
      <c r="H273" s="6">
        <v>1000</v>
      </c>
      <c r="I273" s="2"/>
      <c r="J273" s="7">
        <f t="shared" si="109"/>
        <v>9.0983085712442529E-4</v>
      </c>
      <c r="K273" s="2"/>
      <c r="L273" s="6">
        <f t="shared" si="110"/>
        <v>-1000</v>
      </c>
      <c r="M273" s="2"/>
      <c r="N273" s="7">
        <f t="shared" si="111"/>
        <v>-1</v>
      </c>
      <c r="O273" s="11"/>
      <c r="P273" s="6"/>
      <c r="Q273" s="2"/>
      <c r="R273" s="7">
        <f t="shared" si="112"/>
        <v>0</v>
      </c>
      <c r="S273" s="2"/>
      <c r="T273" s="6">
        <v>9500</v>
      </c>
      <c r="U273" s="2"/>
      <c r="V273" s="7">
        <f t="shared" si="113"/>
        <v>7.9251548389159122E-4</v>
      </c>
      <c r="W273" s="2"/>
      <c r="X273" s="6">
        <f t="shared" si="114"/>
        <v>-9500</v>
      </c>
      <c r="Y273" s="2"/>
      <c r="Z273" s="7">
        <f t="shared" si="115"/>
        <v>-1</v>
      </c>
    </row>
    <row r="274" spans="1:26" s="27" customFormat="1" outlineLevel="1" collapsed="1" x14ac:dyDescent="0.25">
      <c r="A274" s="26"/>
      <c r="B274" s="13" t="str">
        <f>CONCATENATE("     ","Telephone/Data Lines                              ")</f>
        <v xml:space="preserve">     Telephone/Data Lines                              </v>
      </c>
      <c r="C274" s="13"/>
      <c r="D274" s="1">
        <f>SUM(OSRRefD22_21x_0)</f>
        <v>1359.61</v>
      </c>
      <c r="E274" s="1"/>
      <c r="F274" s="5">
        <f t="shared" ref="F274:F276" si="116">IF(D$12=0,0,D274/D$12)</f>
        <v>3.9256102898970833E-3</v>
      </c>
      <c r="G274" s="1"/>
      <c r="H274" s="1">
        <f>SUM(OSRRefH22_21x_0)</f>
        <v>2620</v>
      </c>
      <c r="I274" s="1"/>
      <c r="J274" s="5">
        <f t="shared" ref="J274:J276" si="117">IF(H$12=0,0,H274/H$12)</f>
        <v>2.3837568456659946E-3</v>
      </c>
      <c r="K274" s="1"/>
      <c r="L274" s="1">
        <f t="shared" ref="L274:L276" si="118">+D274-H274</f>
        <v>-1260.3900000000001</v>
      </c>
      <c r="M274" s="1"/>
      <c r="N274" s="5">
        <f t="shared" ref="N274:N276" si="119">IF(H274=0,0,L274/H274)</f>
        <v>-0.48106488549618326</v>
      </c>
      <c r="O274" s="13"/>
      <c r="P274" s="1">
        <f>SUM(OSRRefP22_21x_0)</f>
        <v>24868.66</v>
      </c>
      <c r="Q274" s="1"/>
      <c r="R274" s="5">
        <f t="shared" ref="R274:R276" si="120">IF(P$12=0,0,P274/P$12)</f>
        <v>2.3380222478291812E-3</v>
      </c>
      <c r="S274" s="1"/>
      <c r="T274" s="1">
        <f>SUM(OSRRefT22_21x_0)</f>
        <v>28855</v>
      </c>
      <c r="U274" s="1"/>
      <c r="V274" s="5">
        <f t="shared" ref="V274:V276" si="121">IF(T$12=0,0,T274/T$12)</f>
        <v>2.4071615039675648E-3</v>
      </c>
      <c r="W274" s="1"/>
      <c r="X274" s="1">
        <f t="shared" ref="X274:X276" si="122">+P274-T274</f>
        <v>-3986.34</v>
      </c>
      <c r="Y274" s="1"/>
      <c r="Z274" s="5">
        <f t="shared" ref="Z274:Z276" si="123">IF(T274=0,0,X274/T274)</f>
        <v>-0.13815075376884423</v>
      </c>
    </row>
    <row r="275" spans="1:26" s="24" customFormat="1" hidden="1" outlineLevel="2" x14ac:dyDescent="0.25">
      <c r="A275" s="25"/>
      <c r="B275" s="11" t="str">
        <f>CONCATENATE("          ", "6303", " - ", "DATA PHONE LINES")</f>
        <v xml:space="preserve">          6303 - DATA PHONE LINES</v>
      </c>
      <c r="C275" s="11"/>
      <c r="D275" s="6"/>
      <c r="E275" s="2"/>
      <c r="F275" s="7">
        <f t="shared" si="116"/>
        <v>0</v>
      </c>
      <c r="G275" s="2"/>
      <c r="H275" s="6">
        <v>1030</v>
      </c>
      <c r="I275" s="2"/>
      <c r="J275" s="7">
        <f t="shared" si="117"/>
        <v>9.3712578283815815E-4</v>
      </c>
      <c r="K275" s="2"/>
      <c r="L275" s="6">
        <f t="shared" si="118"/>
        <v>-1030</v>
      </c>
      <c r="M275" s="2"/>
      <c r="N275" s="7">
        <f t="shared" si="119"/>
        <v>-1</v>
      </c>
      <c r="O275" s="11"/>
      <c r="P275" s="6">
        <v>2360</v>
      </c>
      <c r="Q275" s="2"/>
      <c r="R275" s="7">
        <f t="shared" si="120"/>
        <v>2.2187494239242755E-4</v>
      </c>
      <c r="S275" s="2"/>
      <c r="T275" s="6">
        <v>11995</v>
      </c>
      <c r="U275" s="2"/>
      <c r="V275" s="7">
        <f t="shared" si="121"/>
        <v>1.0006550767662776E-3</v>
      </c>
      <c r="W275" s="2"/>
      <c r="X275" s="6">
        <f t="shared" si="122"/>
        <v>-9635</v>
      </c>
      <c r="Y275" s="2"/>
      <c r="Z275" s="7">
        <f t="shared" si="123"/>
        <v>-0.80325135473113796</v>
      </c>
    </row>
    <row r="276" spans="1:26" s="24" customFormat="1" hidden="1" outlineLevel="2" x14ac:dyDescent="0.25">
      <c r="A276" s="25"/>
      <c r="B276" s="11" t="str">
        <f>CONCATENATE("          ", "6309", " - ", "TELEPHONE")</f>
        <v xml:space="preserve">          6309 - TELEPHONE</v>
      </c>
      <c r="C276" s="11"/>
      <c r="D276" s="6">
        <v>1359.61</v>
      </c>
      <c r="E276" s="2"/>
      <c r="F276" s="7">
        <f t="shared" si="116"/>
        <v>3.9256102898970833E-3</v>
      </c>
      <c r="G276" s="2"/>
      <c r="H276" s="6">
        <v>1590</v>
      </c>
      <c r="I276" s="2"/>
      <c r="J276" s="7">
        <f t="shared" si="117"/>
        <v>1.4466310628278363E-3</v>
      </c>
      <c r="K276" s="2"/>
      <c r="L276" s="6">
        <f t="shared" si="118"/>
        <v>-230.3900000000001</v>
      </c>
      <c r="M276" s="2"/>
      <c r="N276" s="7">
        <f t="shared" si="119"/>
        <v>-0.14489937106918246</v>
      </c>
      <c r="O276" s="11"/>
      <c r="P276" s="6">
        <v>22508.66</v>
      </c>
      <c r="Q276" s="2"/>
      <c r="R276" s="7">
        <f t="shared" si="120"/>
        <v>2.1161473054367537E-3</v>
      </c>
      <c r="S276" s="2"/>
      <c r="T276" s="6">
        <v>16860</v>
      </c>
      <c r="U276" s="2"/>
      <c r="V276" s="7">
        <f t="shared" si="121"/>
        <v>1.4065064272012872E-3</v>
      </c>
      <c r="W276" s="2"/>
      <c r="X276" s="6">
        <f t="shared" si="122"/>
        <v>5648.66</v>
      </c>
      <c r="Y276" s="2"/>
      <c r="Z276" s="7">
        <f t="shared" si="123"/>
        <v>0.33503321470937131</v>
      </c>
    </row>
    <row r="277" spans="1:26" s="27" customFormat="1" outlineLevel="1" collapsed="1" x14ac:dyDescent="0.25">
      <c r="A277" s="26"/>
      <c r="B277" s="13" t="str">
        <f>CONCATENATE("     ","Training                                          ")</f>
        <v xml:space="preserve">     Training                                          </v>
      </c>
      <c r="C277" s="13"/>
      <c r="D277" s="1">
        <f>SUM(OSRRefD22_22x_0)</f>
        <v>5044.2</v>
      </c>
      <c r="E277" s="1"/>
      <c r="F277" s="5">
        <f t="shared" ref="F277:F282" si="124">IF(D$12=0,0,D277/D$12)</f>
        <v>1.4564149590175761E-2</v>
      </c>
      <c r="G277" s="1"/>
      <c r="H277" s="1">
        <f>SUM(OSRRefH22_22x_0)</f>
        <v>4525</v>
      </c>
      <c r="I277" s="1"/>
      <c r="J277" s="5">
        <f t="shared" ref="J277:J282" si="125">IF(H$12=0,0,H277/H$12)</f>
        <v>4.1169846284880244E-3</v>
      </c>
      <c r="K277" s="1"/>
      <c r="L277" s="1">
        <f t="shared" ref="L277:L282" si="126">+D277-H277</f>
        <v>519.19999999999982</v>
      </c>
      <c r="M277" s="1"/>
      <c r="N277" s="5">
        <f t="shared" ref="N277:N282" si="127">IF(H277=0,0,L277/H277)</f>
        <v>0.11474033149171267</v>
      </c>
      <c r="O277" s="13"/>
      <c r="P277" s="1">
        <f>SUM(OSRRefP22_22x_0)</f>
        <v>22242.63</v>
      </c>
      <c r="Q277" s="1"/>
      <c r="R277" s="5">
        <f t="shared" ref="R277:R282" si="128">IF(P$12=0,0,P277/P$12)</f>
        <v>2.0911365465703735E-3</v>
      </c>
      <c r="S277" s="1"/>
      <c r="T277" s="1">
        <f>SUM(OSRRefT22_22x_0)</f>
        <v>27175</v>
      </c>
      <c r="U277" s="1"/>
      <c r="V277" s="5">
        <f t="shared" ref="V277:V282" si="129">IF(T$12=0,0,T277/T$12)</f>
        <v>2.2670113973425254E-3</v>
      </c>
      <c r="W277" s="1"/>
      <c r="X277" s="1">
        <f t="shared" ref="X277:X282" si="130">+P277-T277</f>
        <v>-4932.369999999999</v>
      </c>
      <c r="Y277" s="1"/>
      <c r="Z277" s="5">
        <f t="shared" ref="Z277:Z282" si="131">IF(T277=0,0,X277/T277)</f>
        <v>-0.18150395584176629</v>
      </c>
    </row>
    <row r="278" spans="1:26" s="24" customFormat="1" hidden="1" outlineLevel="2" x14ac:dyDescent="0.25">
      <c r="A278" s="25"/>
      <c r="B278" s="11" t="str">
        <f>CONCATENATE("          ", "6376", " - ", "TRAINING")</f>
        <v xml:space="preserve">          6376 - TRAINING</v>
      </c>
      <c r="C278" s="11"/>
      <c r="D278" s="6">
        <v>5044.2</v>
      </c>
      <c r="E278" s="2"/>
      <c r="F278" s="7">
        <f t="shared" si="124"/>
        <v>1.4564149590175761E-2</v>
      </c>
      <c r="G278" s="2"/>
      <c r="H278" s="6">
        <v>4525</v>
      </c>
      <c r="I278" s="2"/>
      <c r="J278" s="7">
        <f t="shared" si="125"/>
        <v>4.1169846284880244E-3</v>
      </c>
      <c r="K278" s="2"/>
      <c r="L278" s="6">
        <f t="shared" si="126"/>
        <v>519.19999999999982</v>
      </c>
      <c r="M278" s="2"/>
      <c r="N278" s="7">
        <f t="shared" si="127"/>
        <v>0.11474033149171267</v>
      </c>
      <c r="O278" s="11"/>
      <c r="P278" s="6">
        <v>22242.63</v>
      </c>
      <c r="Q278" s="2"/>
      <c r="R278" s="7">
        <f t="shared" si="128"/>
        <v>2.0911365465703735E-3</v>
      </c>
      <c r="S278" s="2"/>
      <c r="T278" s="6">
        <v>27175</v>
      </c>
      <c r="U278" s="2"/>
      <c r="V278" s="7">
        <f t="shared" si="129"/>
        <v>2.2670113973425254E-3</v>
      </c>
      <c r="W278" s="2"/>
      <c r="X278" s="6">
        <f t="shared" si="130"/>
        <v>-4932.369999999999</v>
      </c>
      <c r="Y278" s="2"/>
      <c r="Z278" s="7">
        <f t="shared" si="131"/>
        <v>-0.18150395584176629</v>
      </c>
    </row>
    <row r="279" spans="1:26" s="27" customFormat="1" outlineLevel="1" collapsed="1" x14ac:dyDescent="0.25">
      <c r="A279" s="26"/>
      <c r="B279" s="13" t="str">
        <f>CONCATENATE("     ","Travel                                            ")</f>
        <v xml:space="preserve">     Travel                                            </v>
      </c>
      <c r="C279" s="13"/>
      <c r="D279" s="1">
        <f>SUM(OSRRefD22_23x_0)</f>
        <v>160.16999999999999</v>
      </c>
      <c r="E279" s="1"/>
      <c r="F279" s="5">
        <f t="shared" si="124"/>
        <v>4.6245982313517533E-4</v>
      </c>
      <c r="G279" s="1"/>
      <c r="H279" s="1">
        <f>SUM(OSRRefH22_23x_0)</f>
        <v>125</v>
      </c>
      <c r="I279" s="1"/>
      <c r="J279" s="5">
        <f t="shared" si="125"/>
        <v>1.1372885714055316E-4</v>
      </c>
      <c r="K279" s="1"/>
      <c r="L279" s="1">
        <f t="shared" si="126"/>
        <v>35.169999999999987</v>
      </c>
      <c r="M279" s="1"/>
      <c r="N279" s="5">
        <f t="shared" si="127"/>
        <v>0.28135999999999989</v>
      </c>
      <c r="O279" s="13"/>
      <c r="P279" s="1">
        <f>SUM(OSRRefP22_23x_0)</f>
        <v>1054.28</v>
      </c>
      <c r="Q279" s="1"/>
      <c r="R279" s="5">
        <f t="shared" si="128"/>
        <v>9.9117929773512081E-5</v>
      </c>
      <c r="S279" s="1"/>
      <c r="T279" s="1">
        <f>SUM(OSRRefT22_23x_0)</f>
        <v>1460</v>
      </c>
      <c r="U279" s="1"/>
      <c r="V279" s="5">
        <f t="shared" si="129"/>
        <v>1.2179711647176034E-4</v>
      </c>
      <c r="W279" s="1"/>
      <c r="X279" s="1">
        <f t="shared" si="130"/>
        <v>-405.72</v>
      </c>
      <c r="Y279" s="1"/>
      <c r="Z279" s="5">
        <f t="shared" si="131"/>
        <v>-0.27789041095890415</v>
      </c>
    </row>
    <row r="280" spans="1:26" s="24" customFormat="1" hidden="1" outlineLevel="2" x14ac:dyDescent="0.25">
      <c r="A280" s="25"/>
      <c r="B280" s="11" t="str">
        <f>CONCATENATE("          ", "6292", " - ", "TRAVEL/CONFERENCE")</f>
        <v xml:space="preserve">          6292 - TRAVEL/CONFERENCE</v>
      </c>
      <c r="C280" s="11"/>
      <c r="D280" s="6">
        <v>91.1</v>
      </c>
      <c r="E280" s="2"/>
      <c r="F280" s="7">
        <f t="shared" si="124"/>
        <v>2.6303358860969264E-4</v>
      </c>
      <c r="G280" s="2"/>
      <c r="H280" s="6"/>
      <c r="I280" s="2"/>
      <c r="J280" s="7">
        <f t="shared" si="125"/>
        <v>0</v>
      </c>
      <c r="K280" s="2"/>
      <c r="L280" s="6">
        <f t="shared" si="126"/>
        <v>91.1</v>
      </c>
      <c r="M280" s="2"/>
      <c r="N280" s="7">
        <f t="shared" si="127"/>
        <v>0</v>
      </c>
      <c r="O280" s="11"/>
      <c r="P280" s="6">
        <v>326.60000000000002</v>
      </c>
      <c r="Q280" s="2"/>
      <c r="R280" s="7">
        <f t="shared" si="128"/>
        <v>3.0705235671765609E-5</v>
      </c>
      <c r="S280" s="2"/>
      <c r="T280" s="6"/>
      <c r="U280" s="2"/>
      <c r="V280" s="7">
        <f t="shared" si="129"/>
        <v>0</v>
      </c>
      <c r="W280" s="2"/>
      <c r="X280" s="6">
        <f t="shared" si="130"/>
        <v>326.60000000000002</v>
      </c>
      <c r="Y280" s="2"/>
      <c r="Z280" s="7">
        <f t="shared" si="131"/>
        <v>0</v>
      </c>
    </row>
    <row r="281" spans="1:26" s="24" customFormat="1" hidden="1" outlineLevel="2" x14ac:dyDescent="0.25">
      <c r="A281" s="25"/>
      <c r="B281" s="11" t="str">
        <f>CONCATENATE("          ", "6294", " - ", "TRAVEL OPERATIONAL")</f>
        <v xml:space="preserve">          6294 - TRAVEL OPERATIONAL</v>
      </c>
      <c r="C281" s="11"/>
      <c r="D281" s="6">
        <v>14.13</v>
      </c>
      <c r="E281" s="2"/>
      <c r="F281" s="7">
        <f t="shared" si="124"/>
        <v>4.079763564275475E-5</v>
      </c>
      <c r="G281" s="2"/>
      <c r="H281" s="6">
        <v>125</v>
      </c>
      <c r="I281" s="2"/>
      <c r="J281" s="7">
        <f t="shared" si="125"/>
        <v>1.1372885714055316E-4</v>
      </c>
      <c r="K281" s="2"/>
      <c r="L281" s="6">
        <f t="shared" si="126"/>
        <v>-110.87</v>
      </c>
      <c r="M281" s="2"/>
      <c r="N281" s="7">
        <f t="shared" si="127"/>
        <v>-0.88696000000000008</v>
      </c>
      <c r="O281" s="11"/>
      <c r="P281" s="6">
        <v>361.61</v>
      </c>
      <c r="Q281" s="2"/>
      <c r="R281" s="7">
        <f t="shared" si="128"/>
        <v>3.3996694033273612E-5</v>
      </c>
      <c r="S281" s="2"/>
      <c r="T281" s="6">
        <v>910</v>
      </c>
      <c r="U281" s="2"/>
      <c r="V281" s="7">
        <f t="shared" si="129"/>
        <v>7.5914641088562952E-5</v>
      </c>
      <c r="W281" s="2"/>
      <c r="X281" s="6">
        <f t="shared" si="130"/>
        <v>-548.39</v>
      </c>
      <c r="Y281" s="2"/>
      <c r="Z281" s="7">
        <f t="shared" si="131"/>
        <v>-0.60262637362637361</v>
      </c>
    </row>
    <row r="282" spans="1:26" s="24" customFormat="1" hidden="1" outlineLevel="2" x14ac:dyDescent="0.25">
      <c r="A282" s="25"/>
      <c r="B282" s="11" t="str">
        <f>CONCATENATE("          ", "6298", " - ", "VEHICLE MILEAGE")</f>
        <v xml:space="preserve">          6298 - VEHICLE MILEAGE</v>
      </c>
      <c r="C282" s="11"/>
      <c r="D282" s="6">
        <v>54.94</v>
      </c>
      <c r="E282" s="2"/>
      <c r="F282" s="7">
        <f t="shared" si="124"/>
        <v>1.5862859888272795E-4</v>
      </c>
      <c r="G282" s="2"/>
      <c r="H282" s="6"/>
      <c r="I282" s="2"/>
      <c r="J282" s="7">
        <f t="shared" si="125"/>
        <v>0</v>
      </c>
      <c r="K282" s="2"/>
      <c r="L282" s="6">
        <f t="shared" si="126"/>
        <v>54.94</v>
      </c>
      <c r="M282" s="2"/>
      <c r="N282" s="7">
        <f t="shared" si="127"/>
        <v>0</v>
      </c>
      <c r="O282" s="11"/>
      <c r="P282" s="6">
        <v>366.07</v>
      </c>
      <c r="Q282" s="2"/>
      <c r="R282" s="7">
        <f t="shared" si="128"/>
        <v>3.441600006847286E-5</v>
      </c>
      <c r="S282" s="2"/>
      <c r="T282" s="6">
        <v>550</v>
      </c>
      <c r="U282" s="2"/>
      <c r="V282" s="7">
        <f t="shared" si="129"/>
        <v>4.5882475383197385E-5</v>
      </c>
      <c r="W282" s="2"/>
      <c r="X282" s="6">
        <f t="shared" si="130"/>
        <v>-183.93</v>
      </c>
      <c r="Y282" s="2"/>
      <c r="Z282" s="7">
        <f t="shared" si="131"/>
        <v>-0.33441818181818184</v>
      </c>
    </row>
    <row r="283" spans="1:26" s="27" customFormat="1" outlineLevel="1" collapsed="1" x14ac:dyDescent="0.25">
      <c r="A283" s="26"/>
      <c r="B283" s="13" t="str">
        <f>CONCATENATE("     ","Utilities                                         ")</f>
        <v xml:space="preserve">     Utilities                                         </v>
      </c>
      <c r="C283" s="13"/>
      <c r="D283" s="1">
        <f>SUM(OSRRefD22_24x_0)</f>
        <v>6145.51</v>
      </c>
      <c r="E283" s="1"/>
      <c r="F283" s="5">
        <f t="shared" ref="F283:F284" si="132">IF(D$12=0,0,D283/D$12)</f>
        <v>1.7743968706221212E-2</v>
      </c>
      <c r="G283" s="1"/>
      <c r="H283" s="1">
        <f>SUM(OSRRefH22_24x_0)</f>
        <v>5200</v>
      </c>
      <c r="I283" s="1"/>
      <c r="J283" s="5">
        <f t="shared" ref="J283:J284" si="133">IF(H$12=0,0,H283/H$12)</f>
        <v>4.7311204570470115E-3</v>
      </c>
      <c r="K283" s="1"/>
      <c r="L283" s="1">
        <f t="shared" ref="L283:L284" si="134">+D283-H283</f>
        <v>945.51000000000022</v>
      </c>
      <c r="M283" s="1"/>
      <c r="N283" s="5">
        <f t="shared" ref="N283:N284" si="135">IF(H283=0,0,L283/H283)</f>
        <v>0.1818288461538462</v>
      </c>
      <c r="O283" s="13"/>
      <c r="P283" s="1">
        <f>SUM(OSRRefP22_24x_0)</f>
        <v>53004.3</v>
      </c>
      <c r="Q283" s="1"/>
      <c r="R283" s="5">
        <f t="shared" ref="R283:R284" si="136">IF(P$12=0,0,P283/P$12)</f>
        <v>4.9831889868859952E-3</v>
      </c>
      <c r="S283" s="1"/>
      <c r="T283" s="1">
        <f>SUM(OSRRefT22_24x_0)</f>
        <v>48875</v>
      </c>
      <c r="U283" s="1"/>
      <c r="V283" s="5">
        <f t="shared" ref="V283:V284" si="137">IF(T$12=0,0,T283/T$12)</f>
        <v>4.0772836079159495E-3</v>
      </c>
      <c r="W283" s="1"/>
      <c r="X283" s="1">
        <f t="shared" ref="X283:X284" si="138">+P283-T283</f>
        <v>4129.3000000000029</v>
      </c>
      <c r="Y283" s="1"/>
      <c r="Z283" s="5">
        <f t="shared" ref="Z283:Z284" si="139">IF(T283=0,0,X283/T283)</f>
        <v>8.4486956521739195E-2</v>
      </c>
    </row>
    <row r="284" spans="1:26" s="24" customFormat="1" hidden="1" outlineLevel="2" x14ac:dyDescent="0.25">
      <c r="A284" s="25"/>
      <c r="B284" s="11" t="str">
        <f>CONCATENATE("          ", "6274", " - ", "UTILITIES")</f>
        <v xml:space="preserve">          6274 - UTILITIES</v>
      </c>
      <c r="C284" s="11"/>
      <c r="D284" s="6">
        <v>6145.51</v>
      </c>
      <c r="E284" s="2"/>
      <c r="F284" s="7">
        <f t="shared" si="132"/>
        <v>1.7743968706221212E-2</v>
      </c>
      <c r="G284" s="2"/>
      <c r="H284" s="6">
        <v>5200</v>
      </c>
      <c r="I284" s="2"/>
      <c r="J284" s="7">
        <f t="shared" si="133"/>
        <v>4.7311204570470115E-3</v>
      </c>
      <c r="K284" s="2"/>
      <c r="L284" s="6">
        <f t="shared" si="134"/>
        <v>945.51000000000022</v>
      </c>
      <c r="M284" s="2"/>
      <c r="N284" s="7">
        <f t="shared" si="135"/>
        <v>0.1818288461538462</v>
      </c>
      <c r="O284" s="11"/>
      <c r="P284" s="6">
        <v>53004.3</v>
      </c>
      <c r="Q284" s="2"/>
      <c r="R284" s="7">
        <f t="shared" si="136"/>
        <v>4.9831889868859952E-3</v>
      </c>
      <c r="S284" s="2"/>
      <c r="T284" s="6">
        <v>48875</v>
      </c>
      <c r="U284" s="2"/>
      <c r="V284" s="7">
        <f t="shared" si="137"/>
        <v>4.0772836079159495E-3</v>
      </c>
      <c r="W284" s="2"/>
      <c r="X284" s="6">
        <f t="shared" si="138"/>
        <v>4129.3000000000029</v>
      </c>
      <c r="Y284" s="2"/>
      <c r="Z284" s="7">
        <f t="shared" si="139"/>
        <v>8.4486956521739195E-2</v>
      </c>
    </row>
    <row r="285" spans="1:26" s="56" customFormat="1" x14ac:dyDescent="0.25">
      <c r="A285" s="36"/>
      <c r="B285" s="36"/>
      <c r="C285" s="36"/>
      <c r="D285" s="1"/>
      <c r="E285" s="1"/>
      <c r="F285" s="5"/>
      <c r="G285" s="1"/>
      <c r="H285" s="1"/>
      <c r="I285" s="1"/>
      <c r="J285" s="5"/>
      <c r="K285" s="1"/>
      <c r="L285" s="1"/>
      <c r="M285" s="1"/>
      <c r="N285" s="5"/>
      <c r="O285" s="36"/>
      <c r="P285" s="1"/>
      <c r="Q285" s="1"/>
      <c r="R285" s="5"/>
      <c r="S285" s="1"/>
      <c r="T285" s="1"/>
      <c r="U285" s="1"/>
      <c r="V285" s="5"/>
      <c r="W285" s="1"/>
      <c r="X285" s="1"/>
      <c r="Y285" s="1"/>
      <c r="Z285" s="5"/>
    </row>
    <row r="286" spans="1:26" s="23" customFormat="1" collapsed="1" x14ac:dyDescent="0.25">
      <c r="A286" s="10"/>
      <c r="B286" s="29" t="s">
        <v>0</v>
      </c>
      <c r="C286" s="10"/>
      <c r="D286" s="4">
        <f>SUM(OSRRefD25x_0)</f>
        <v>32173.4</v>
      </c>
      <c r="E286" s="4"/>
      <c r="F286" s="12">
        <f t="shared" ref="F286:F298" si="140">IF(D$12=0,0,D286/D$12)</f>
        <v>9.2894455101812157E-2</v>
      </c>
      <c r="G286" s="4"/>
      <c r="H286" s="4">
        <f>SUM(OSRRefH25x_0)</f>
        <v>61000</v>
      </c>
      <c r="I286" s="4"/>
      <c r="J286" s="12">
        <f t="shared" ref="J286:J298" si="141">IF(H$12=0,0,H286/H$12)</f>
        <v>5.5499682284589943E-2</v>
      </c>
      <c r="K286" s="4"/>
      <c r="L286" s="4">
        <f t="shared" ref="L286:L298" si="142">+D286-H286</f>
        <v>-28826.6</v>
      </c>
      <c r="M286" s="4"/>
      <c r="N286" s="12">
        <f t="shared" ref="N286:N298" si="143">IF(H286=0,0,L286/H286)</f>
        <v>-0.47256721311475408</v>
      </c>
      <c r="O286" s="10"/>
      <c r="P286" s="4">
        <f>SUM(OSRRefP25x_0)</f>
        <v>683610.02</v>
      </c>
      <c r="Q286" s="4"/>
      <c r="R286" s="12">
        <f t="shared" ref="R286:R298" si="144">IF(P$12=0,0,P286/P$12)</f>
        <v>6.426946347728231E-2</v>
      </c>
      <c r="S286" s="4"/>
      <c r="T286" s="4">
        <f>SUM(OSRRefT25x_0)</f>
        <v>718675</v>
      </c>
      <c r="U286" s="4"/>
      <c r="V286" s="12">
        <f t="shared" ref="V286:V298" si="145">IF(T$12=0,0,T286/T$12)</f>
        <v>5.9953796356398879E-2</v>
      </c>
      <c r="W286" s="4"/>
      <c r="X286" s="4">
        <f t="shared" ref="X286:X298" si="146">+P286-T286</f>
        <v>-35064.979999999981</v>
      </c>
      <c r="Y286" s="4"/>
      <c r="Z286" s="12">
        <f t="shared" ref="Z286:Z298" si="147">IF(T286=0,0,X286/T286)</f>
        <v>-4.8791150380909289E-2</v>
      </c>
    </row>
    <row r="287" spans="1:26" s="24" customFormat="1" hidden="1" outlineLevel="1" x14ac:dyDescent="0.25">
      <c r="A287" s="44"/>
      <c r="B287" s="11" t="str">
        <f>CONCATENATE("          ", "4098", " - ", "TAXABLE SALES-GRAD RENTALS")</f>
        <v xml:space="preserve">          4098 - TAXABLE SALES-GRAD RENTALS</v>
      </c>
      <c r="C287" s="11"/>
      <c r="D287" s="2">
        <f>--42</f>
        <v>42</v>
      </c>
      <c r="E287" s="2"/>
      <c r="F287" s="19">
        <f t="shared" si="140"/>
        <v>1.2126685753685064E-4</v>
      </c>
      <c r="G287" s="2"/>
      <c r="H287" s="2"/>
      <c r="I287" s="2"/>
      <c r="J287" s="19">
        <f t="shared" si="141"/>
        <v>0</v>
      </c>
      <c r="K287" s="2"/>
      <c r="L287" s="2">
        <f t="shared" si="142"/>
        <v>42</v>
      </c>
      <c r="M287" s="2"/>
      <c r="N287" s="19">
        <f t="shared" si="143"/>
        <v>0</v>
      </c>
      <c r="O287" s="11"/>
      <c r="P287" s="2">
        <f>--2098.85</f>
        <v>2098.85</v>
      </c>
      <c r="Q287" s="2"/>
      <c r="R287" s="19">
        <f t="shared" si="144"/>
        <v>1.9732297577980786E-4</v>
      </c>
      <c r="S287" s="2"/>
      <c r="T287" s="2"/>
      <c r="U287" s="2"/>
      <c r="V287" s="19">
        <f t="shared" si="145"/>
        <v>0</v>
      </c>
      <c r="W287" s="2"/>
      <c r="X287" s="2">
        <f t="shared" si="146"/>
        <v>2098.85</v>
      </c>
      <c r="Y287" s="2"/>
      <c r="Z287" s="19">
        <f t="shared" si="147"/>
        <v>0</v>
      </c>
    </row>
    <row r="288" spans="1:26" s="24" customFormat="1" hidden="1" outlineLevel="1" x14ac:dyDescent="0.25">
      <c r="A288" s="44"/>
      <c r="B288" s="11" t="str">
        <f>CONCATENATE("          ", "4187", " - ", "NON-TAXABLE SALES-COMPUTER REP")</f>
        <v xml:space="preserve">          4187 - NON-TAXABLE SALES-COMPUTER REP</v>
      </c>
      <c r="C288" s="11"/>
      <c r="D288" s="2">
        <f>-213.35</f>
        <v>-213.35</v>
      </c>
      <c r="E288" s="2"/>
      <c r="F288" s="19">
        <f t="shared" si="140"/>
        <v>-6.1600676322588288E-4</v>
      </c>
      <c r="G288" s="2"/>
      <c r="H288" s="2"/>
      <c r="I288" s="2"/>
      <c r="J288" s="19">
        <f t="shared" si="141"/>
        <v>0</v>
      </c>
      <c r="K288" s="2"/>
      <c r="L288" s="2">
        <f t="shared" si="142"/>
        <v>-213.35</v>
      </c>
      <c r="M288" s="2"/>
      <c r="N288" s="19">
        <f t="shared" si="143"/>
        <v>0</v>
      </c>
      <c r="O288" s="11"/>
      <c r="P288" s="2">
        <f>--15579.51</f>
        <v>15579.51</v>
      </c>
      <c r="Q288" s="2"/>
      <c r="R288" s="19">
        <f t="shared" si="144"/>
        <v>1.4647046117594277E-3</v>
      </c>
      <c r="S288" s="2"/>
      <c r="T288" s="2"/>
      <c r="U288" s="2"/>
      <c r="V288" s="19">
        <f t="shared" si="145"/>
        <v>0</v>
      </c>
      <c r="W288" s="2"/>
      <c r="X288" s="2">
        <f t="shared" si="146"/>
        <v>15579.51</v>
      </c>
      <c r="Y288" s="2"/>
      <c r="Z288" s="19">
        <f t="shared" si="147"/>
        <v>0</v>
      </c>
    </row>
    <row r="289" spans="1:26" s="24" customFormat="1" hidden="1" outlineLevel="1" x14ac:dyDescent="0.25">
      <c r="A289" s="44"/>
      <c r="B289" s="11" t="str">
        <f>CONCATENATE("          ", "4197", " - ", "NON-TAXABLE SALES-RETURNED CHE")</f>
        <v xml:space="preserve">          4197 - NON-TAXABLE SALES-RETURNED CHE</v>
      </c>
      <c r="C289" s="11"/>
      <c r="D289" s="2">
        <f t="shared" ref="D289:D291" si="148">0</f>
        <v>0</v>
      </c>
      <c r="E289" s="2"/>
      <c r="F289" s="19">
        <f t="shared" si="140"/>
        <v>0</v>
      </c>
      <c r="G289" s="2"/>
      <c r="H289" s="2"/>
      <c r="I289" s="2"/>
      <c r="J289" s="19">
        <f t="shared" si="141"/>
        <v>0</v>
      </c>
      <c r="K289" s="2"/>
      <c r="L289" s="2">
        <f t="shared" si="142"/>
        <v>0</v>
      </c>
      <c r="M289" s="2"/>
      <c r="N289" s="19">
        <f t="shared" si="143"/>
        <v>0</v>
      </c>
      <c r="O289" s="11"/>
      <c r="P289" s="2">
        <f>--30</f>
        <v>30</v>
      </c>
      <c r="Q289" s="2"/>
      <c r="R289" s="19">
        <f t="shared" si="144"/>
        <v>2.8204441829545876E-6</v>
      </c>
      <c r="S289" s="2"/>
      <c r="T289" s="2"/>
      <c r="U289" s="2"/>
      <c r="V289" s="19">
        <f t="shared" si="145"/>
        <v>0</v>
      </c>
      <c r="W289" s="2"/>
      <c r="X289" s="2">
        <f t="shared" si="146"/>
        <v>30</v>
      </c>
      <c r="Y289" s="2"/>
      <c r="Z289" s="19">
        <f t="shared" si="147"/>
        <v>0</v>
      </c>
    </row>
    <row r="290" spans="1:26" s="24" customFormat="1" hidden="1" outlineLevel="1" x14ac:dyDescent="0.25">
      <c r="A290" s="44"/>
      <c r="B290" s="11" t="str">
        <f>CONCATENATE("          ", "4198", " - ", "NON-TAXABLE SALES-GRAD RENTALS")</f>
        <v xml:space="preserve">          4198 - NON-TAXABLE SALES-GRAD RENTALS</v>
      </c>
      <c r="C290" s="11"/>
      <c r="D290" s="2">
        <f t="shared" si="148"/>
        <v>0</v>
      </c>
      <c r="E290" s="2"/>
      <c r="F290" s="19">
        <f t="shared" si="140"/>
        <v>0</v>
      </c>
      <c r="G290" s="2"/>
      <c r="H290" s="2"/>
      <c r="I290" s="2"/>
      <c r="J290" s="19">
        <f t="shared" si="141"/>
        <v>0</v>
      </c>
      <c r="K290" s="2"/>
      <c r="L290" s="2">
        <f t="shared" si="142"/>
        <v>0</v>
      </c>
      <c r="M290" s="2"/>
      <c r="N290" s="19">
        <f t="shared" si="143"/>
        <v>0</v>
      </c>
      <c r="O290" s="11"/>
      <c r="P290" s="2">
        <f>--3732.1</f>
        <v>3732.1</v>
      </c>
      <c r="Q290" s="2"/>
      <c r="R290" s="19">
        <f t="shared" si="144"/>
        <v>3.5087265784016056E-4</v>
      </c>
      <c r="S290" s="2"/>
      <c r="T290" s="2"/>
      <c r="U290" s="2"/>
      <c r="V290" s="19">
        <f t="shared" si="145"/>
        <v>0</v>
      </c>
      <c r="W290" s="2"/>
      <c r="X290" s="2">
        <f t="shared" si="146"/>
        <v>3732.1</v>
      </c>
      <c r="Y290" s="2"/>
      <c r="Z290" s="19">
        <f t="shared" si="147"/>
        <v>0</v>
      </c>
    </row>
    <row r="291" spans="1:26" s="24" customFormat="1" hidden="1" outlineLevel="1" x14ac:dyDescent="0.25">
      <c r="A291" s="44"/>
      <c r="B291" s="11" t="str">
        <f>CONCATENATE("          ", "4387", " - ", "SALES RETURN NON TAXABLE-COMPU")</f>
        <v xml:space="preserve">          4387 - SALES RETURN NON TAXABLE-COMPU</v>
      </c>
      <c r="C291" s="11"/>
      <c r="D291" s="2">
        <f t="shared" si="148"/>
        <v>0</v>
      </c>
      <c r="E291" s="2"/>
      <c r="F291" s="19">
        <f t="shared" si="140"/>
        <v>0</v>
      </c>
      <c r="G291" s="2"/>
      <c r="H291" s="2"/>
      <c r="I291" s="2"/>
      <c r="J291" s="19">
        <f t="shared" si="141"/>
        <v>0</v>
      </c>
      <c r="K291" s="2"/>
      <c r="L291" s="2">
        <f t="shared" si="142"/>
        <v>0</v>
      </c>
      <c r="M291" s="2"/>
      <c r="N291" s="19">
        <f t="shared" si="143"/>
        <v>0</v>
      </c>
      <c r="O291" s="11"/>
      <c r="P291" s="2">
        <f>-7889</f>
        <v>-7889</v>
      </c>
      <c r="Q291" s="2"/>
      <c r="R291" s="19">
        <f t="shared" si="144"/>
        <v>-7.4168280531095802E-4</v>
      </c>
      <c r="S291" s="2"/>
      <c r="T291" s="2"/>
      <c r="U291" s="2"/>
      <c r="V291" s="19">
        <f t="shared" si="145"/>
        <v>0</v>
      </c>
      <c r="W291" s="2"/>
      <c r="X291" s="2">
        <f t="shared" si="146"/>
        <v>-7889</v>
      </c>
      <c r="Y291" s="2"/>
      <c r="Z291" s="19">
        <f t="shared" si="147"/>
        <v>0</v>
      </c>
    </row>
    <row r="292" spans="1:26" s="24" customFormat="1" hidden="1" outlineLevel="1" x14ac:dyDescent="0.25">
      <c r="A292" s="44"/>
      <c r="B292" s="11" t="str">
        <f>CONCATENATE("          ", "5087", " - ", "PURCHASES @ COST-COMPUTER REPA")</f>
        <v xml:space="preserve">          5087 - PURCHASES @ COST-COMPUTER REPA</v>
      </c>
      <c r="C292" s="11"/>
      <c r="D292" s="2">
        <f>-48.04</f>
        <v>-48.04</v>
      </c>
      <c r="E292" s="2"/>
      <c r="F292" s="19">
        <f t="shared" si="140"/>
        <v>-1.3870618657310248E-4</v>
      </c>
      <c r="G292" s="2"/>
      <c r="H292" s="2"/>
      <c r="I292" s="2"/>
      <c r="J292" s="19">
        <f t="shared" si="141"/>
        <v>0</v>
      </c>
      <c r="K292" s="2"/>
      <c r="L292" s="2">
        <f t="shared" si="142"/>
        <v>-48.04</v>
      </c>
      <c r="M292" s="2"/>
      <c r="N292" s="19">
        <f t="shared" si="143"/>
        <v>0</v>
      </c>
      <c r="O292" s="11"/>
      <c r="P292" s="2">
        <f>-104.76</f>
        <v>-104.76</v>
      </c>
      <c r="Q292" s="2"/>
      <c r="R292" s="19">
        <f t="shared" si="144"/>
        <v>-9.8489910868774204E-6</v>
      </c>
      <c r="S292" s="2"/>
      <c r="T292" s="2"/>
      <c r="U292" s="2"/>
      <c r="V292" s="19">
        <f t="shared" si="145"/>
        <v>0</v>
      </c>
      <c r="W292" s="2"/>
      <c r="X292" s="2">
        <f t="shared" si="146"/>
        <v>-104.76</v>
      </c>
      <c r="Y292" s="2"/>
      <c r="Z292" s="19">
        <f t="shared" si="147"/>
        <v>0</v>
      </c>
    </row>
    <row r="293" spans="1:26" s="24" customFormat="1" hidden="1" outlineLevel="1" x14ac:dyDescent="0.25">
      <c r="A293" s="44"/>
      <c r="B293" s="11" t="str">
        <f>CONCATENATE("          ", "9150", " - ", "MISC. INCOME")</f>
        <v xml:space="preserve">          9150 - MISC. INCOME</v>
      </c>
      <c r="C293" s="11"/>
      <c r="D293" s="2">
        <f>--19077.75</f>
        <v>19077.75</v>
      </c>
      <c r="E293" s="2"/>
      <c r="F293" s="19">
        <f t="shared" si="140"/>
        <v>5.5083304556515528E-2</v>
      </c>
      <c r="G293" s="2"/>
      <c r="H293" s="2">
        <v>31250</v>
      </c>
      <c r="I293" s="2"/>
      <c r="J293" s="19">
        <f t="shared" si="141"/>
        <v>2.8432214285138292E-2</v>
      </c>
      <c r="K293" s="2"/>
      <c r="L293" s="2">
        <f t="shared" si="142"/>
        <v>-12172.25</v>
      </c>
      <c r="M293" s="2"/>
      <c r="N293" s="19">
        <f t="shared" si="143"/>
        <v>-0.38951200000000002</v>
      </c>
      <c r="O293" s="11"/>
      <c r="P293" s="2">
        <f>--388705.88</f>
        <v>388705.88</v>
      </c>
      <c r="Q293" s="2"/>
      <c r="R293" s="19">
        <f t="shared" si="144"/>
        <v>3.6544107937541467E-2</v>
      </c>
      <c r="S293" s="2"/>
      <c r="T293" s="2">
        <v>292825</v>
      </c>
      <c r="U293" s="2"/>
      <c r="V293" s="19">
        <f t="shared" si="145"/>
        <v>2.4428247007426865E-2</v>
      </c>
      <c r="W293" s="2"/>
      <c r="X293" s="2">
        <f t="shared" si="146"/>
        <v>95880.88</v>
      </c>
      <c r="Y293" s="2"/>
      <c r="Z293" s="19">
        <f t="shared" si="147"/>
        <v>0.32743406471441988</v>
      </c>
    </row>
    <row r="294" spans="1:26" s="24" customFormat="1" hidden="1" outlineLevel="1" x14ac:dyDescent="0.25">
      <c r="A294" s="44"/>
      <c r="B294" s="11" t="str">
        <f>CONCATENATE("          ", "9151", " - ", "MISC. INCOME")</f>
        <v xml:space="preserve">          9151 - MISC. INCOME</v>
      </c>
      <c r="C294" s="11"/>
      <c r="D294" s="2">
        <f>--13315.04</f>
        <v>13315.04</v>
      </c>
      <c r="E294" s="2"/>
      <c r="F294" s="19">
        <f t="shared" si="140"/>
        <v>3.844459663755876E-2</v>
      </c>
      <c r="G294" s="2"/>
      <c r="H294" s="2">
        <v>12850</v>
      </c>
      <c r="I294" s="2"/>
      <c r="J294" s="19">
        <f t="shared" si="141"/>
        <v>1.1691326514048866E-2</v>
      </c>
      <c r="K294" s="2"/>
      <c r="L294" s="2">
        <f t="shared" si="142"/>
        <v>465.04000000000087</v>
      </c>
      <c r="M294" s="2"/>
      <c r="N294" s="19">
        <f t="shared" si="143"/>
        <v>3.6189883268482562E-2</v>
      </c>
      <c r="O294" s="11"/>
      <c r="P294" s="2">
        <f>--169392.7</f>
        <v>169392.7</v>
      </c>
      <c r="Q294" s="2"/>
      <c r="R294" s="19">
        <f t="shared" si="144"/>
        <v>1.5925421844999052E-2</v>
      </c>
      <c r="S294" s="2"/>
      <c r="T294" s="2">
        <v>103400</v>
      </c>
      <c r="U294" s="2"/>
      <c r="V294" s="19">
        <f t="shared" si="145"/>
        <v>8.6259053720411094E-3</v>
      </c>
      <c r="W294" s="2"/>
      <c r="X294" s="2">
        <f t="shared" si="146"/>
        <v>65992.700000000012</v>
      </c>
      <c r="Y294" s="2"/>
      <c r="Z294" s="19">
        <f t="shared" si="147"/>
        <v>0.63822727272727287</v>
      </c>
    </row>
    <row r="295" spans="1:26" s="24" customFormat="1" hidden="1" outlineLevel="1" x14ac:dyDescent="0.25">
      <c r="A295" s="44"/>
      <c r="B295" s="11" t="str">
        <f>CONCATENATE("          ", "9152", " - ", "MISC. INCOME")</f>
        <v xml:space="preserve">          9152 - MISC. INCOME</v>
      </c>
      <c r="C295" s="11"/>
      <c r="D295" s="2">
        <f t="shared" ref="D295:D298" si="149">0</f>
        <v>0</v>
      </c>
      <c r="E295" s="2"/>
      <c r="F295" s="19">
        <f t="shared" si="140"/>
        <v>0</v>
      </c>
      <c r="G295" s="2"/>
      <c r="H295" s="2"/>
      <c r="I295" s="2"/>
      <c r="J295" s="19">
        <f t="shared" si="141"/>
        <v>0</v>
      </c>
      <c r="K295" s="2"/>
      <c r="L295" s="2">
        <f t="shared" si="142"/>
        <v>0</v>
      </c>
      <c r="M295" s="2"/>
      <c r="N295" s="19">
        <f t="shared" si="143"/>
        <v>0</v>
      </c>
      <c r="O295" s="11"/>
      <c r="P295" s="2">
        <f>--4699.86</f>
        <v>4699.8599999999997</v>
      </c>
      <c r="Q295" s="2"/>
      <c r="R295" s="19">
        <f t="shared" si="144"/>
        <v>4.4185642659003155E-4</v>
      </c>
      <c r="S295" s="2"/>
      <c r="T295" s="2"/>
      <c r="U295" s="2"/>
      <c r="V295" s="19">
        <f t="shared" si="145"/>
        <v>0</v>
      </c>
      <c r="W295" s="2"/>
      <c r="X295" s="2">
        <f t="shared" si="146"/>
        <v>4699.8599999999997</v>
      </c>
      <c r="Y295" s="2"/>
      <c r="Z295" s="19">
        <f t="shared" si="147"/>
        <v>0</v>
      </c>
    </row>
    <row r="296" spans="1:26" s="24" customFormat="1" hidden="1" outlineLevel="1" x14ac:dyDescent="0.25">
      <c r="A296" s="44"/>
      <c r="B296" s="11" t="str">
        <f>CONCATENATE("          ", "9153", " - ", "MISC. INCOME")</f>
        <v xml:space="preserve">          9153 - MISC. INCOME</v>
      </c>
      <c r="C296" s="11"/>
      <c r="D296" s="2">
        <f t="shared" si="149"/>
        <v>0</v>
      </c>
      <c r="E296" s="2"/>
      <c r="F296" s="19">
        <f t="shared" si="140"/>
        <v>0</v>
      </c>
      <c r="G296" s="2"/>
      <c r="H296" s="2"/>
      <c r="I296" s="2"/>
      <c r="J296" s="19">
        <f t="shared" si="141"/>
        <v>0</v>
      </c>
      <c r="K296" s="2"/>
      <c r="L296" s="2">
        <f t="shared" si="142"/>
        <v>0</v>
      </c>
      <c r="M296" s="2"/>
      <c r="N296" s="19">
        <f t="shared" si="143"/>
        <v>0</v>
      </c>
      <c r="O296" s="11"/>
      <c r="P296" s="2">
        <f>--450</f>
        <v>450</v>
      </c>
      <c r="Q296" s="2"/>
      <c r="R296" s="19">
        <f t="shared" si="144"/>
        <v>4.2306662744318814E-5</v>
      </c>
      <c r="S296" s="2"/>
      <c r="T296" s="2"/>
      <c r="U296" s="2"/>
      <c r="V296" s="19">
        <f t="shared" si="145"/>
        <v>0</v>
      </c>
      <c r="W296" s="2"/>
      <c r="X296" s="2">
        <f t="shared" si="146"/>
        <v>450</v>
      </c>
      <c r="Y296" s="2"/>
      <c r="Z296" s="19">
        <f t="shared" si="147"/>
        <v>0</v>
      </c>
    </row>
    <row r="297" spans="1:26" s="24" customFormat="1" hidden="1" outlineLevel="1" x14ac:dyDescent="0.25">
      <c r="A297" s="44"/>
      <c r="B297" s="11" t="str">
        <f>CONCATENATE("          ", "9160", " - ", "MISC. INCOME")</f>
        <v xml:space="preserve">          9160 - MISC. INCOME</v>
      </c>
      <c r="C297" s="11"/>
      <c r="D297" s="2">
        <f t="shared" si="149"/>
        <v>0</v>
      </c>
      <c r="E297" s="2"/>
      <c r="F297" s="19">
        <f t="shared" si="140"/>
        <v>0</v>
      </c>
      <c r="G297" s="2"/>
      <c r="H297" s="2">
        <v>16900</v>
      </c>
      <c r="I297" s="2"/>
      <c r="J297" s="19">
        <f t="shared" si="141"/>
        <v>1.5376141485402789E-2</v>
      </c>
      <c r="K297" s="2"/>
      <c r="L297" s="2">
        <f t="shared" si="142"/>
        <v>-16900</v>
      </c>
      <c r="M297" s="2"/>
      <c r="N297" s="19">
        <f t="shared" si="143"/>
        <v>-1</v>
      </c>
      <c r="O297" s="11"/>
      <c r="P297" s="2">
        <f>--22475</f>
        <v>22475</v>
      </c>
      <c r="Q297" s="2"/>
      <c r="R297" s="19">
        <f t="shared" si="144"/>
        <v>2.1129827670634785E-3</v>
      </c>
      <c r="S297" s="2"/>
      <c r="T297" s="2">
        <v>322450</v>
      </c>
      <c r="U297" s="2"/>
      <c r="V297" s="19">
        <f t="shared" si="145"/>
        <v>2.6899643976930905E-2</v>
      </c>
      <c r="W297" s="2"/>
      <c r="X297" s="2">
        <f t="shared" si="146"/>
        <v>-299975</v>
      </c>
      <c r="Y297" s="2"/>
      <c r="Z297" s="19">
        <f t="shared" si="147"/>
        <v>-0.93029927120483791</v>
      </c>
    </row>
    <row r="298" spans="1:26" s="24" customFormat="1" hidden="1" outlineLevel="1" x14ac:dyDescent="0.25">
      <c r="A298" s="44"/>
      <c r="B298" s="11" t="str">
        <f>CONCATENATE("          ", "9163", " - ", "MISC. INCOME")</f>
        <v xml:space="preserve">          9163 - MISC. INCOME</v>
      </c>
      <c r="C298" s="11"/>
      <c r="D298" s="2">
        <f t="shared" si="149"/>
        <v>0</v>
      </c>
      <c r="E298" s="2"/>
      <c r="F298" s="19">
        <f t="shared" si="140"/>
        <v>0</v>
      </c>
      <c r="G298" s="2"/>
      <c r="H298" s="2"/>
      <c r="I298" s="2"/>
      <c r="J298" s="19">
        <f t="shared" si="141"/>
        <v>0</v>
      </c>
      <c r="K298" s="2"/>
      <c r="L298" s="2">
        <f t="shared" si="142"/>
        <v>0</v>
      </c>
      <c r="M298" s="2"/>
      <c r="N298" s="19">
        <f t="shared" si="143"/>
        <v>0</v>
      </c>
      <c r="O298" s="11"/>
      <c r="P298" s="2">
        <f>--84439.88</f>
        <v>84439.88</v>
      </c>
      <c r="Q298" s="2"/>
      <c r="R298" s="19">
        <f t="shared" si="144"/>
        <v>7.9385989451794484E-3</v>
      </c>
      <c r="S298" s="2"/>
      <c r="T298" s="2"/>
      <c r="U298" s="2"/>
      <c r="V298" s="19">
        <f t="shared" si="145"/>
        <v>0</v>
      </c>
      <c r="W298" s="2"/>
      <c r="X298" s="2">
        <f t="shared" si="146"/>
        <v>84439.88</v>
      </c>
      <c r="Y298" s="2"/>
      <c r="Z298" s="19">
        <f t="shared" si="147"/>
        <v>0</v>
      </c>
    </row>
    <row r="299" spans="1:26" x14ac:dyDescent="0.25">
      <c r="A299" s="9"/>
      <c r="B299" s="10"/>
      <c r="C299" s="10"/>
      <c r="D299" s="3"/>
      <c r="E299" s="3"/>
      <c r="F299" s="8"/>
      <c r="G299" s="3"/>
      <c r="H299" s="3"/>
      <c r="I299" s="3"/>
      <c r="J299" s="8"/>
      <c r="K299" s="3"/>
      <c r="L299" s="3"/>
      <c r="M299" s="3"/>
      <c r="N299" s="8"/>
      <c r="O299" s="10"/>
      <c r="P299" s="3"/>
      <c r="Q299" s="3"/>
      <c r="R299" s="8"/>
      <c r="S299" s="3"/>
      <c r="T299" s="3"/>
      <c r="U299" s="3"/>
      <c r="V299" s="8"/>
      <c r="W299" s="3"/>
      <c r="X299" s="3"/>
      <c r="Y299" s="3"/>
      <c r="Z299" s="8"/>
    </row>
    <row r="300" spans="1:26" s="23" customFormat="1" x14ac:dyDescent="0.25">
      <c r="A300" s="10"/>
      <c r="B300" s="28" t="s">
        <v>3</v>
      </c>
      <c r="C300" s="28"/>
      <c r="D300" s="20">
        <f>+D188-D190+D286</f>
        <v>-154381.3399999995</v>
      </c>
      <c r="E300" s="14"/>
      <c r="F300" s="22">
        <f>IF(D$12=0,0,D300/D$12)</f>
        <v>-0.44574618962209617</v>
      </c>
      <c r="G300" s="14"/>
      <c r="H300" s="20">
        <f>+H188-H190+H286</f>
        <v>241408.93375561625</v>
      </c>
      <c r="I300" s="14"/>
      <c r="J300" s="22">
        <f>IF(H$12=0,0,H300/H$12)</f>
        <v>0.21964129711636596</v>
      </c>
      <c r="K300" s="16"/>
      <c r="L300" s="20">
        <f>+D300-H300</f>
        <v>-395790.27375561575</v>
      </c>
      <c r="M300" s="16"/>
      <c r="N300" s="22">
        <f>IF(H300=0,0,L300/H300)</f>
        <v>-1.6395013539817183</v>
      </c>
      <c r="O300" s="29"/>
      <c r="P300" s="20">
        <f>+P188-P190+P286</f>
        <v>961333.3599999994</v>
      </c>
      <c r="Q300" s="14"/>
      <c r="R300" s="22">
        <f>IF(P$12=0,0,P300/P$12)</f>
        <v>9.0379569436406224E-2</v>
      </c>
      <c r="S300" s="14"/>
      <c r="T300" s="20">
        <f>+T188-T190+T286</f>
        <v>1604882.6887827422</v>
      </c>
      <c r="U300" s="14"/>
      <c r="V300" s="22">
        <f>IF(T$12=0,0,T300/T$12)</f>
        <v>0.13388361901998874</v>
      </c>
      <c r="W300" s="16"/>
      <c r="X300" s="20">
        <f>+P300-T300</f>
        <v>-643549.32878274284</v>
      </c>
      <c r="Y300" s="16"/>
      <c r="Z300" s="22">
        <f>IF(T300=0,0,X300/T300)</f>
        <v>-0.40099462302185879</v>
      </c>
    </row>
    <row r="301" spans="1:26" x14ac:dyDescent="0.25">
      <c r="A301" s="9"/>
      <c r="B301" s="10"/>
      <c r="C301" s="9"/>
      <c r="D301" s="3"/>
      <c r="E301" s="3"/>
      <c r="F301" s="8"/>
      <c r="G301" s="3"/>
      <c r="H301" s="3"/>
      <c r="I301" s="3"/>
      <c r="J301" s="8"/>
      <c r="K301" s="3"/>
      <c r="L301" s="3"/>
      <c r="M301" s="3"/>
      <c r="N301" s="8"/>
      <c r="P301" s="3"/>
      <c r="Q301" s="3"/>
      <c r="R301" s="8"/>
      <c r="S301" s="3"/>
      <c r="T301" s="3"/>
      <c r="U301" s="3"/>
      <c r="V301" s="8"/>
      <c r="W301" s="3"/>
      <c r="X301" s="3"/>
      <c r="Y301" s="3"/>
      <c r="Z301" s="8"/>
    </row>
    <row r="302" spans="1:26" s="23" customFormat="1" x14ac:dyDescent="0.25">
      <c r="A302" s="52"/>
      <c r="B302" s="10" t="s">
        <v>14</v>
      </c>
      <c r="C302" s="10"/>
      <c r="D302" s="4">
        <v>90956.97</v>
      </c>
      <c r="E302" s="4"/>
      <c r="F302" s="12">
        <f>IF(D$12=0,0,D302/D$12)</f>
        <v>0.26262061721365709</v>
      </c>
      <c r="G302" s="4"/>
      <c r="H302" s="4">
        <v>91889</v>
      </c>
      <c r="I302" s="4"/>
      <c r="J302" s="12">
        <f>IF(H$12=0,0,H302/H$12)</f>
        <v>8.3603447630306318E-2</v>
      </c>
      <c r="K302" s="4"/>
      <c r="L302" s="4">
        <f>+D302-H302</f>
        <v>-932.02999999999884</v>
      </c>
      <c r="M302" s="4"/>
      <c r="N302" s="12">
        <f>IF(H302=0,0,L302/H302)</f>
        <v>-1.0142998617897669E-2</v>
      </c>
      <c r="O302" s="10"/>
      <c r="P302" s="4">
        <v>1139739.8799999999</v>
      </c>
      <c r="Q302" s="4"/>
      <c r="R302" s="12">
        <f>IF(P$12=0,0,P302/P$12)</f>
        <v>0.10715242382091197</v>
      </c>
      <c r="S302" s="4"/>
      <c r="T302" s="4">
        <v>1401184</v>
      </c>
      <c r="U302" s="4"/>
      <c r="V302" s="12">
        <f>IF(T$12=0,0,T302/T$12)</f>
        <v>0.11689052797696373</v>
      </c>
      <c r="W302" s="4"/>
      <c r="X302" s="4">
        <f>+P302-T302</f>
        <v>-261444.12000000011</v>
      </c>
      <c r="Y302" s="4"/>
      <c r="Z302" s="12">
        <f>IF(T302=0,0,X302/T302)</f>
        <v>-0.18658799986297311</v>
      </c>
    </row>
    <row r="303" spans="1:26" x14ac:dyDescent="0.25">
      <c r="A303" s="9"/>
      <c r="B303" s="10"/>
      <c r="C303" s="10"/>
      <c r="D303" s="3"/>
      <c r="E303" s="3"/>
      <c r="F303" s="8"/>
      <c r="G303" s="3"/>
      <c r="H303" s="3"/>
      <c r="I303" s="3"/>
      <c r="J303" s="8"/>
      <c r="K303" s="3"/>
      <c r="L303" s="3"/>
      <c r="M303" s="3"/>
      <c r="N303" s="8"/>
      <c r="O303" s="10"/>
      <c r="P303" s="3"/>
      <c r="Q303" s="3"/>
      <c r="R303" s="8"/>
      <c r="S303" s="3"/>
      <c r="T303" s="3"/>
      <c r="U303" s="3"/>
      <c r="V303" s="8"/>
      <c r="W303" s="3"/>
      <c r="X303" s="3"/>
      <c r="Y303" s="3"/>
      <c r="Z303" s="8"/>
    </row>
    <row r="304" spans="1:26" s="23" customFormat="1" ht="15.75" thickBot="1" x14ac:dyDescent="0.3">
      <c r="A304" s="10"/>
      <c r="B304" s="28" t="s">
        <v>4</v>
      </c>
      <c r="C304" s="28"/>
      <c r="D304" s="31">
        <f>+D300-D302</f>
        <v>-245338.3099999995</v>
      </c>
      <c r="E304" s="14"/>
      <c r="F304" s="34">
        <f>IF(D$12=0,0,D304/D$12)</f>
        <v>-0.70836680683575326</v>
      </c>
      <c r="G304" s="14"/>
      <c r="H304" s="31">
        <f>+H300-H302</f>
        <v>149519.93375561625</v>
      </c>
      <c r="I304" s="14"/>
      <c r="J304" s="34">
        <f>IF(H$12=0,0,H304/H$12)</f>
        <v>0.13603784948605963</v>
      </c>
      <c r="K304" s="16"/>
      <c r="L304" s="31">
        <f>D304-H304</f>
        <v>-394858.24375561578</v>
      </c>
      <c r="M304" s="16"/>
      <c r="N304" s="34">
        <f>IF(H304=0,0,L304/H304)</f>
        <v>-2.640840146444916</v>
      </c>
      <c r="O304" s="29"/>
      <c r="P304" s="31">
        <f>+P300-P302</f>
        <v>-178406.52000000048</v>
      </c>
      <c r="Q304" s="14"/>
      <c r="R304" s="34">
        <f>IF(P$12=0,0,P304/P$12)</f>
        <v>-1.6772854384505754E-2</v>
      </c>
      <c r="S304" s="14"/>
      <c r="T304" s="31">
        <f>+T300-T302</f>
        <v>203698.68878274225</v>
      </c>
      <c r="U304" s="14"/>
      <c r="V304" s="34">
        <f>IF(T$12=0,0,T304/T$12)</f>
        <v>1.6993091043025012E-2</v>
      </c>
      <c r="W304" s="16"/>
      <c r="X304" s="31">
        <f>P304-T304</f>
        <v>-382105.20878274273</v>
      </c>
      <c r="Y304" s="16"/>
      <c r="Z304" s="34">
        <f>IF(T304=0,0,X304/T304)</f>
        <v>-1.8758353873857407</v>
      </c>
    </row>
    <row r="305" spans="1:26" ht="15.75" thickTop="1" x14ac:dyDescent="0.25">
      <c r="A305" s="9"/>
      <c r="B305" s="9"/>
      <c r="C305" s="9"/>
      <c r="D305" s="3"/>
      <c r="E305" s="3"/>
      <c r="F305" s="8"/>
      <c r="G305" s="3"/>
      <c r="H305" s="3"/>
      <c r="I305" s="3"/>
      <c r="J305" s="8"/>
      <c r="K305" s="3"/>
      <c r="L305" s="3"/>
      <c r="M305" s="3"/>
      <c r="N305" s="8"/>
      <c r="P305" s="3"/>
      <c r="Q305" s="3"/>
      <c r="R305" s="8"/>
      <c r="S305" s="3"/>
      <c r="T305" s="3"/>
      <c r="U305" s="3"/>
      <c r="V305" s="8"/>
      <c r="W305" s="3"/>
      <c r="X305" s="3"/>
      <c r="Y305" s="3"/>
      <c r="Z305" s="8"/>
    </row>
    <row r="306" spans="1:26" x14ac:dyDescent="0.25">
      <c r="A306" s="9"/>
      <c r="B306" s="9"/>
      <c r="C306" s="9"/>
      <c r="D306" s="3"/>
      <c r="E306" s="3"/>
      <c r="F306" s="8"/>
      <c r="G306" s="3"/>
      <c r="H306" s="3"/>
      <c r="I306" s="3"/>
      <c r="J306" s="8"/>
      <c r="K306" s="3"/>
      <c r="L306" s="3"/>
      <c r="M306" s="3"/>
      <c r="N306" s="8"/>
      <c r="P306" s="3"/>
      <c r="Q306" s="3"/>
      <c r="R306" s="8"/>
      <c r="S306" s="3"/>
      <c r="T306" s="3"/>
      <c r="U306" s="3"/>
      <c r="V306" s="8"/>
      <c r="W306" s="3"/>
      <c r="X306" s="3"/>
      <c r="Y306" s="3"/>
      <c r="Z306" s="8"/>
    </row>
    <row r="307" spans="1:26" s="23" customFormat="1" ht="15.75" thickBot="1" x14ac:dyDescent="0.3">
      <c r="A307" s="10"/>
      <c r="B307" s="28" t="s">
        <v>5</v>
      </c>
      <c r="C307" s="28"/>
      <c r="D307" s="32">
        <f>SUM(D304:D306)</f>
        <v>-245338.3099999995</v>
      </c>
      <c r="E307" s="14"/>
      <c r="F307" s="35">
        <f>IF(D$12=0,0,D307/D$12)</f>
        <v>-0.70836680683575326</v>
      </c>
      <c r="G307" s="14"/>
      <c r="H307" s="32">
        <f>SUM(H304:H306)</f>
        <v>149519.93375561625</v>
      </c>
      <c r="I307" s="14"/>
      <c r="J307" s="35">
        <f>IF(H$12=0,0,H307/H$12)</f>
        <v>0.13603784948605963</v>
      </c>
      <c r="K307" s="16"/>
      <c r="L307" s="32">
        <f>+D307-H307</f>
        <v>-394858.24375561578</v>
      </c>
      <c r="M307" s="16"/>
      <c r="N307" s="35">
        <f>IF(H307=0,0,L307/H307)</f>
        <v>-2.640840146444916</v>
      </c>
      <c r="O307" s="29"/>
      <c r="P307" s="32">
        <f>SUM(P304:P306)</f>
        <v>-178406.52000000048</v>
      </c>
      <c r="Q307" s="14"/>
      <c r="R307" s="35">
        <f>IF(P$12=0,0,P307/P$12)</f>
        <v>-1.6772854384505754E-2</v>
      </c>
      <c r="S307" s="14"/>
      <c r="T307" s="32">
        <f>SUM(T304:T306)</f>
        <v>203698.68878274225</v>
      </c>
      <c r="U307" s="14"/>
      <c r="V307" s="35">
        <f>IF(T$12=0,0,T307/T$12)</f>
        <v>1.6993091043025012E-2</v>
      </c>
      <c r="W307" s="16"/>
      <c r="X307" s="32">
        <f>+P307-T307</f>
        <v>-382105.20878274273</v>
      </c>
      <c r="Y307" s="16"/>
      <c r="Z307" s="35">
        <f>IF(T307=0,0,X307/T307)</f>
        <v>-1.8758353873857407</v>
      </c>
    </row>
    <row r="308" spans="1:26" ht="15.75" thickTop="1" x14ac:dyDescent="0.25">
      <c r="A308" s="9"/>
      <c r="C308" s="9"/>
      <c r="D308" s="18"/>
      <c r="E308" s="18"/>
      <c r="G308" s="18"/>
      <c r="H308" s="18"/>
      <c r="I308" s="18"/>
      <c r="J308" s="42"/>
      <c r="K308" s="18"/>
      <c r="L308" s="18"/>
      <c r="M308" s="18"/>
      <c r="P308" s="18"/>
      <c r="Q308" s="18"/>
      <c r="R308" s="42"/>
      <c r="S308" s="18"/>
      <c r="T308" s="18"/>
      <c r="U308" s="18"/>
      <c r="V308" s="42"/>
      <c r="W308" s="18"/>
      <c r="X308" s="18"/>
    </row>
    <row r="309" spans="1:26" x14ac:dyDescent="0.25">
      <c r="A309" s="9"/>
      <c r="B309" s="57">
        <v>43934.46591770833</v>
      </c>
      <c r="D309" s="18"/>
      <c r="E309" s="18"/>
      <c r="G309" s="18"/>
      <c r="H309" s="18"/>
      <c r="I309" s="18"/>
      <c r="J309" s="42"/>
      <c r="K309" s="18"/>
      <c r="L309" s="18"/>
      <c r="M309" s="18"/>
      <c r="P309" s="18"/>
      <c r="Q309" s="18"/>
      <c r="R309" s="42"/>
      <c r="S309" s="18"/>
      <c r="T309" s="18"/>
      <c r="U309" s="18"/>
      <c r="V309" s="42"/>
      <c r="W309" s="18"/>
      <c r="X309" s="18"/>
    </row>
    <row r="310" spans="1:26" x14ac:dyDescent="0.25">
      <c r="A310" s="9"/>
      <c r="B310" s="62" t="s">
        <v>314</v>
      </c>
      <c r="D310" s="18"/>
      <c r="E310" s="18"/>
      <c r="G310" s="18"/>
      <c r="H310" s="18"/>
      <c r="I310" s="18"/>
      <c r="J310" s="42"/>
      <c r="K310" s="18"/>
      <c r="L310" s="18"/>
      <c r="M310" s="18"/>
      <c r="P310" s="18"/>
      <c r="Q310" s="18"/>
      <c r="R310" s="42"/>
      <c r="S310" s="18"/>
      <c r="T310" s="18"/>
      <c r="U310" s="18"/>
      <c r="V310" s="42"/>
      <c r="W310" s="18"/>
      <c r="X310" s="18"/>
    </row>
    <row r="311" spans="1:26" x14ac:dyDescent="0.25">
      <c r="A311" s="9"/>
      <c r="B311" s="60"/>
      <c r="D311" s="18"/>
      <c r="E311" s="18"/>
      <c r="G311" s="18"/>
      <c r="H311" s="18"/>
      <c r="I311" s="18"/>
      <c r="J311" s="42"/>
      <c r="K311" s="18"/>
      <c r="L311" s="18"/>
      <c r="M311" s="18"/>
      <c r="P311" s="18"/>
      <c r="Q311" s="18"/>
      <c r="R311" s="42"/>
      <c r="S311" s="18"/>
      <c r="T311" s="18"/>
      <c r="U311" s="18"/>
      <c r="V311" s="42"/>
      <c r="W311" s="18"/>
      <c r="X311" s="18"/>
    </row>
    <row r="312" spans="1:26" x14ac:dyDescent="0.25">
      <c r="D312" s="18"/>
      <c r="E312" s="18"/>
      <c r="G312" s="18"/>
      <c r="H312" s="18"/>
      <c r="I312" s="18"/>
      <c r="J312" s="42"/>
      <c r="K312" s="18"/>
      <c r="L312" s="18"/>
      <c r="M312" s="18"/>
      <c r="P312" s="18"/>
      <c r="Q312" s="18"/>
      <c r="R312" s="42"/>
      <c r="S312" s="18"/>
      <c r="T312" s="18"/>
      <c r="U312" s="18"/>
      <c r="V312" s="42"/>
      <c r="W312" s="18"/>
      <c r="X312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","301", " - ", "Bookstore Operations")</f>
        <v>Department 301 - Bookstore Operations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72545.560000000012</v>
      </c>
      <c r="E18" s="21"/>
      <c r="F18" s="30">
        <f t="shared" ref="F18:F28" si="0">IF(D$12=0,0,D18/D$12)</f>
        <v>0</v>
      </c>
      <c r="G18" s="21"/>
      <c r="H18" s="21">
        <f>SUM(OSRRefH22x_0)</f>
        <v>133375.99499911693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-60830.434999116915</v>
      </c>
      <c r="M18" s="4"/>
      <c r="N18" s="30">
        <f t="shared" ref="N18:N28" si="3">IF(H18=0,0,L18/H18)</f>
        <v>-0.45608233325284409</v>
      </c>
      <c r="O18" s="10"/>
      <c r="P18" s="21">
        <f>SUM(OSRRefP22x_0)</f>
        <v>1096636.8199999998</v>
      </c>
      <c r="Q18" s="21"/>
      <c r="R18" s="30">
        <f t="shared" ref="R18:R28" si="4">IF(P$12=0,0,P18/P$12)</f>
        <v>0</v>
      </c>
      <c r="S18" s="21"/>
      <c r="T18" s="21">
        <f>SUM(OSRRefT22x_0)</f>
        <v>1315565.5799970776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-218928.75999707775</v>
      </c>
      <c r="Y18" s="4"/>
      <c r="Z18" s="30">
        <f t="shared" ref="Z18:Z28" si="7">IF(T18=0,0,X18/T18)</f>
        <v>-0.16641417450095045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-9184.3200000000033</v>
      </c>
      <c r="E19" s="1"/>
      <c r="F19" s="5">
        <f t="shared" si="0"/>
        <v>0</v>
      </c>
      <c r="G19" s="1"/>
      <c r="H19" s="1">
        <f>SUM(OSRRefH22_0x_0)</f>
        <v>13479.014219886136</v>
      </c>
      <c r="I19" s="1"/>
      <c r="J19" s="5">
        <f t="shared" si="1"/>
        <v>0</v>
      </c>
      <c r="K19" s="1"/>
      <c r="L19" s="1">
        <f t="shared" si="2"/>
        <v>-22663.334219886139</v>
      </c>
      <c r="M19" s="1"/>
      <c r="N19" s="5">
        <f t="shared" si="3"/>
        <v>-1.6813792054948651</v>
      </c>
      <c r="O19" s="13"/>
      <c r="P19" s="1">
        <f>SUM(OSRRefP22_0x_0)</f>
        <v>91373.330000000016</v>
      </c>
      <c r="Q19" s="1"/>
      <c r="R19" s="5">
        <f t="shared" si="4"/>
        <v>0</v>
      </c>
      <c r="S19" s="1"/>
      <c r="T19" s="1">
        <f>SUM(OSRRefT22_0x_0)</f>
        <v>126723.27021207739</v>
      </c>
      <c r="U19" s="1"/>
      <c r="V19" s="5">
        <f t="shared" si="5"/>
        <v>0</v>
      </c>
      <c r="W19" s="1"/>
      <c r="X19" s="1">
        <f t="shared" si="6"/>
        <v>-35349.940212077374</v>
      </c>
      <c r="Y19" s="1"/>
      <c r="Z19" s="5">
        <f t="shared" si="7"/>
        <v>-0.27895381923870477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3512.51</v>
      </c>
      <c r="E20" s="2"/>
      <c r="F20" s="7">
        <f t="shared" si="0"/>
        <v>0</v>
      </c>
      <c r="G20" s="2"/>
      <c r="H20" s="6">
        <v>2035.9376213169201</v>
      </c>
      <c r="I20" s="2"/>
      <c r="J20" s="7">
        <f t="shared" si="1"/>
        <v>0</v>
      </c>
      <c r="K20" s="2"/>
      <c r="L20" s="6">
        <f t="shared" si="2"/>
        <v>1476.5723786830802</v>
      </c>
      <c r="M20" s="2"/>
      <c r="N20" s="7">
        <f t="shared" si="3"/>
        <v>0.72525423334334693</v>
      </c>
      <c r="O20" s="11"/>
      <c r="P20" s="6">
        <v>23922.68</v>
      </c>
      <c r="Q20" s="2"/>
      <c r="R20" s="7">
        <f t="shared" si="4"/>
        <v>0</v>
      </c>
      <c r="S20" s="2"/>
      <c r="T20" s="6">
        <v>20911.856689777469</v>
      </c>
      <c r="U20" s="2"/>
      <c r="V20" s="7">
        <f t="shared" si="5"/>
        <v>0</v>
      </c>
      <c r="W20" s="2"/>
      <c r="X20" s="6">
        <f t="shared" si="6"/>
        <v>3010.8233102225313</v>
      </c>
      <c r="Y20" s="2"/>
      <c r="Z20" s="7">
        <f t="shared" si="7"/>
        <v>0.14397685269593202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1047.4000000000001</v>
      </c>
      <c r="E21" s="2"/>
      <c r="F21" s="7">
        <f t="shared" si="0"/>
        <v>0</v>
      </c>
      <c r="G21" s="2"/>
      <c r="H21" s="6">
        <v>946.00869046153912</v>
      </c>
      <c r="I21" s="2"/>
      <c r="J21" s="7">
        <f t="shared" si="1"/>
        <v>0</v>
      </c>
      <c r="K21" s="2"/>
      <c r="L21" s="6">
        <f t="shared" si="2"/>
        <v>101.39130953846097</v>
      </c>
      <c r="M21" s="2"/>
      <c r="N21" s="7">
        <f t="shared" si="3"/>
        <v>0.10717798954784881</v>
      </c>
      <c r="O21" s="11"/>
      <c r="P21" s="6">
        <v>6220.26</v>
      </c>
      <c r="Q21" s="2"/>
      <c r="R21" s="7">
        <f t="shared" si="4"/>
        <v>0</v>
      </c>
      <c r="S21" s="2"/>
      <c r="T21" s="6">
        <v>8764.2220882499951</v>
      </c>
      <c r="U21" s="2"/>
      <c r="V21" s="7">
        <f t="shared" si="5"/>
        <v>0</v>
      </c>
      <c r="W21" s="2"/>
      <c r="X21" s="6">
        <f t="shared" si="6"/>
        <v>-2543.9620882499948</v>
      </c>
      <c r="Y21" s="2"/>
      <c r="Z21" s="7">
        <f t="shared" si="7"/>
        <v>-0.29026673019395871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3163.55</v>
      </c>
      <c r="E22" s="2"/>
      <c r="F22" s="7">
        <f t="shared" si="0"/>
        <v>0</v>
      </c>
      <c r="G22" s="2"/>
      <c r="H22" s="6">
        <v>5680.25</v>
      </c>
      <c r="I22" s="2"/>
      <c r="J22" s="7">
        <f t="shared" si="1"/>
        <v>0</v>
      </c>
      <c r="K22" s="2"/>
      <c r="L22" s="6">
        <f t="shared" si="2"/>
        <v>-2516.6999999999998</v>
      </c>
      <c r="M22" s="2"/>
      <c r="N22" s="7">
        <f t="shared" si="3"/>
        <v>-0.44306148496985165</v>
      </c>
      <c r="O22" s="11"/>
      <c r="P22" s="6">
        <v>36979.100000000006</v>
      </c>
      <c r="Q22" s="2"/>
      <c r="R22" s="7">
        <f t="shared" si="4"/>
        <v>0</v>
      </c>
      <c r="S22" s="2"/>
      <c r="T22" s="6">
        <v>51122.25</v>
      </c>
      <c r="U22" s="2"/>
      <c r="V22" s="7">
        <f t="shared" si="5"/>
        <v>0</v>
      </c>
      <c r="W22" s="2"/>
      <c r="X22" s="6">
        <f t="shared" si="6"/>
        <v>-14143.149999999994</v>
      </c>
      <c r="Y22" s="2"/>
      <c r="Z22" s="7">
        <f t="shared" si="7"/>
        <v>-0.27665351192484672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160.76</v>
      </c>
      <c r="E23" s="2"/>
      <c r="F23" s="7">
        <f t="shared" si="0"/>
        <v>0</v>
      </c>
      <c r="G23" s="2"/>
      <c r="H23" s="6">
        <v>129.45382079999999</v>
      </c>
      <c r="I23" s="2"/>
      <c r="J23" s="7">
        <f t="shared" si="1"/>
        <v>0</v>
      </c>
      <c r="K23" s="2"/>
      <c r="L23" s="6">
        <f t="shared" si="2"/>
        <v>31.306179200000003</v>
      </c>
      <c r="M23" s="2"/>
      <c r="N23" s="7">
        <f t="shared" si="3"/>
        <v>0.24183279416964112</v>
      </c>
      <c r="O23" s="11"/>
      <c r="P23" s="6">
        <v>1292.3</v>
      </c>
      <c r="Q23" s="2"/>
      <c r="R23" s="7">
        <f t="shared" si="4"/>
        <v>0</v>
      </c>
      <c r="S23" s="2"/>
      <c r="T23" s="6">
        <v>1199.3146015500001</v>
      </c>
      <c r="U23" s="2"/>
      <c r="V23" s="7">
        <f t="shared" si="5"/>
        <v>0</v>
      </c>
      <c r="W23" s="2"/>
      <c r="X23" s="6">
        <f t="shared" si="6"/>
        <v>92.985398449999821</v>
      </c>
      <c r="Y23" s="2"/>
      <c r="Z23" s="7">
        <f t="shared" si="7"/>
        <v>7.7532115701605758E-2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3933.42</v>
      </c>
      <c r="E24" s="2"/>
      <c r="F24" s="7">
        <f t="shared" si="0"/>
        <v>0</v>
      </c>
      <c r="G24" s="2"/>
      <c r="H24" s="6">
        <v>1788.6235346153799</v>
      </c>
      <c r="I24" s="2"/>
      <c r="J24" s="7">
        <f t="shared" si="1"/>
        <v>0</v>
      </c>
      <c r="K24" s="2"/>
      <c r="L24" s="6">
        <f t="shared" si="2"/>
        <v>2144.7964653846202</v>
      </c>
      <c r="M24" s="2"/>
      <c r="N24" s="7">
        <f t="shared" si="3"/>
        <v>1.1991324187992587</v>
      </c>
      <c r="O24" s="11"/>
      <c r="P24" s="6">
        <v>20069.63</v>
      </c>
      <c r="Q24" s="2"/>
      <c r="R24" s="7">
        <f t="shared" si="4"/>
        <v>0</v>
      </c>
      <c r="S24" s="2"/>
      <c r="T24" s="6">
        <v>17267.354662499969</v>
      </c>
      <c r="U24" s="2"/>
      <c r="V24" s="7">
        <f t="shared" si="5"/>
        <v>0</v>
      </c>
      <c r="W24" s="2"/>
      <c r="X24" s="6">
        <f t="shared" si="6"/>
        <v>2802.275337500032</v>
      </c>
      <c r="Y24" s="2"/>
      <c r="Z24" s="7">
        <f t="shared" si="7"/>
        <v>0.16228747206923463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1959.72</v>
      </c>
      <c r="E26" s="2"/>
      <c r="F26" s="7">
        <f t="shared" si="0"/>
        <v>0</v>
      </c>
      <c r="G26" s="2"/>
      <c r="H26" s="6">
        <v>1254.2404038461502</v>
      </c>
      <c r="I26" s="2"/>
      <c r="J26" s="7">
        <f t="shared" si="1"/>
        <v>0</v>
      </c>
      <c r="K26" s="2"/>
      <c r="L26" s="6">
        <f t="shared" si="2"/>
        <v>705.4795961538498</v>
      </c>
      <c r="M26" s="2"/>
      <c r="N26" s="7">
        <f t="shared" si="3"/>
        <v>0.56247557803949244</v>
      </c>
      <c r="O26" s="11"/>
      <c r="P26" s="6">
        <v>14886.729999999998</v>
      </c>
      <c r="Q26" s="2"/>
      <c r="R26" s="7">
        <f t="shared" si="4"/>
        <v>0</v>
      </c>
      <c r="S26" s="2"/>
      <c r="T26" s="6">
        <v>12129.003937499971</v>
      </c>
      <c r="U26" s="2"/>
      <c r="V26" s="7">
        <f t="shared" si="5"/>
        <v>0</v>
      </c>
      <c r="W26" s="2"/>
      <c r="X26" s="6">
        <f t="shared" si="6"/>
        <v>2757.7260625000272</v>
      </c>
      <c r="Y26" s="2"/>
      <c r="Z26" s="7">
        <f t="shared" si="7"/>
        <v>0.22736624348630968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-23036.670000000002</v>
      </c>
      <c r="E27" s="2"/>
      <c r="F27" s="7">
        <f t="shared" si="0"/>
        <v>0</v>
      </c>
      <c r="G27" s="2"/>
      <c r="H27" s="6">
        <v>1144.5001488461501</v>
      </c>
      <c r="I27" s="2"/>
      <c r="J27" s="7">
        <f t="shared" si="1"/>
        <v>0</v>
      </c>
      <c r="K27" s="2"/>
      <c r="L27" s="6">
        <f t="shared" si="2"/>
        <v>-24181.170148846151</v>
      </c>
      <c r="M27" s="2"/>
      <c r="N27" s="7">
        <f t="shared" si="3"/>
        <v>-21.128149413719925</v>
      </c>
      <c r="O27" s="11"/>
      <c r="P27" s="6">
        <v>-14989.98</v>
      </c>
      <c r="Q27" s="2"/>
      <c r="R27" s="7">
        <f t="shared" si="4"/>
        <v>0</v>
      </c>
      <c r="S27" s="2"/>
      <c r="T27" s="6">
        <v>10829.26823249997</v>
      </c>
      <c r="U27" s="2"/>
      <c r="V27" s="7">
        <f t="shared" si="5"/>
        <v>0</v>
      </c>
      <c r="W27" s="2"/>
      <c r="X27" s="6">
        <f t="shared" si="6"/>
        <v>-25819.248232499969</v>
      </c>
      <c r="Y27" s="2"/>
      <c r="Z27" s="7">
        <f t="shared" si="7"/>
        <v>-2.3842098725575216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>
        <v>74.989999999999995</v>
      </c>
      <c r="E28" s="2"/>
      <c r="F28" s="7">
        <f t="shared" si="0"/>
        <v>0</v>
      </c>
      <c r="G28" s="2"/>
      <c r="H28" s="6">
        <v>500</v>
      </c>
      <c r="I28" s="2"/>
      <c r="J28" s="7">
        <f t="shared" si="1"/>
        <v>0</v>
      </c>
      <c r="K28" s="2"/>
      <c r="L28" s="6">
        <f t="shared" si="2"/>
        <v>-425.01</v>
      </c>
      <c r="M28" s="2"/>
      <c r="N28" s="7">
        <f t="shared" si="3"/>
        <v>-0.85002</v>
      </c>
      <c r="O28" s="11"/>
      <c r="P28" s="6">
        <v>2992.61</v>
      </c>
      <c r="Q28" s="2"/>
      <c r="R28" s="7">
        <f t="shared" si="4"/>
        <v>0</v>
      </c>
      <c r="S28" s="2"/>
      <c r="T28" s="6">
        <v>4500</v>
      </c>
      <c r="U28" s="2"/>
      <c r="V28" s="7">
        <f t="shared" si="5"/>
        <v>0</v>
      </c>
      <c r="W28" s="2"/>
      <c r="X28" s="6">
        <f t="shared" si="6"/>
        <v>-1507.3899999999999</v>
      </c>
      <c r="Y28" s="2"/>
      <c r="Z28" s="7">
        <f t="shared" si="7"/>
        <v>-0.33497555555555553</v>
      </c>
    </row>
    <row r="29" spans="1:26" s="27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26378.02</v>
      </c>
      <c r="E29" s="1"/>
      <c r="F29" s="5">
        <f t="shared" ref="F29:F39" si="8">IF(D$12=0,0,D29/D$12)</f>
        <v>0</v>
      </c>
      <c r="G29" s="1"/>
      <c r="H29" s="1">
        <f>SUM(OSRRefH22_1x_0)</f>
        <v>47535.980779230769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-21157.960779230769</v>
      </c>
      <c r="M29" s="1"/>
      <c r="N29" s="5">
        <f t="shared" ref="N29:N39" si="11">IF(H29=0,0,L29/H29)</f>
        <v>-0.44509359925681852</v>
      </c>
      <c r="O29" s="13"/>
      <c r="P29" s="1">
        <f>SUM(OSRRefP22_1x_0)</f>
        <v>382151.69999999995</v>
      </c>
      <c r="Q29" s="1"/>
      <c r="R29" s="5">
        <f t="shared" ref="R29:R39" si="12">IF(P$12=0,0,P29/P$12)</f>
        <v>0</v>
      </c>
      <c r="S29" s="1"/>
      <c r="T29" s="1">
        <f>SUM(OSRRefT22_1x_0)</f>
        <v>439546.30978500016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-57394.609785000212</v>
      </c>
      <c r="Y29" s="1"/>
      <c r="Z29" s="5">
        <f t="shared" ref="Z29:Z39" si="15">IF(T29=0,0,X29/T29)</f>
        <v>-0.13057693468766518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6">
        <v>4822.2</v>
      </c>
      <c r="E30" s="2"/>
      <c r="F30" s="7">
        <f t="shared" si="8"/>
        <v>0</v>
      </c>
      <c r="G30" s="2"/>
      <c r="H30" s="6">
        <v>9645.4350000000013</v>
      </c>
      <c r="I30" s="2"/>
      <c r="J30" s="7">
        <f t="shared" si="9"/>
        <v>0</v>
      </c>
      <c r="K30" s="2"/>
      <c r="L30" s="6">
        <f t="shared" si="10"/>
        <v>-4823.2350000000015</v>
      </c>
      <c r="M30" s="2"/>
      <c r="N30" s="7">
        <f t="shared" si="11"/>
        <v>-0.50005365232361221</v>
      </c>
      <c r="O30" s="11"/>
      <c r="P30" s="6">
        <v>93238.31</v>
      </c>
      <c r="Q30" s="2"/>
      <c r="R30" s="7">
        <f t="shared" si="12"/>
        <v>0</v>
      </c>
      <c r="S30" s="2"/>
      <c r="T30" s="6">
        <v>94042.991250000006</v>
      </c>
      <c r="U30" s="2"/>
      <c r="V30" s="7">
        <f t="shared" si="13"/>
        <v>0</v>
      </c>
      <c r="W30" s="2"/>
      <c r="X30" s="6">
        <f t="shared" si="14"/>
        <v>-804.68125000000873</v>
      </c>
      <c r="Y30" s="2"/>
      <c r="Z30" s="7">
        <f t="shared" si="15"/>
        <v>-8.5565254710037592E-3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6">
        <v>4358.87</v>
      </c>
      <c r="E31" s="2"/>
      <c r="F31" s="7">
        <f t="shared" si="8"/>
        <v>0</v>
      </c>
      <c r="G31" s="2"/>
      <c r="H31" s="6">
        <v>9072.7182692307706</v>
      </c>
      <c r="I31" s="2"/>
      <c r="J31" s="7">
        <f t="shared" si="9"/>
        <v>0</v>
      </c>
      <c r="K31" s="2"/>
      <c r="L31" s="6">
        <f t="shared" si="10"/>
        <v>-4713.8482692307707</v>
      </c>
      <c r="M31" s="2"/>
      <c r="N31" s="7">
        <f t="shared" si="11"/>
        <v>-0.51956295008270259</v>
      </c>
      <c r="O31" s="11"/>
      <c r="P31" s="6">
        <v>57186.950000000004</v>
      </c>
      <c r="Q31" s="2"/>
      <c r="R31" s="7">
        <f t="shared" si="12"/>
        <v>0</v>
      </c>
      <c r="S31" s="2"/>
      <c r="T31" s="6">
        <v>86661.883125000124</v>
      </c>
      <c r="U31" s="2"/>
      <c r="V31" s="7">
        <f t="shared" si="13"/>
        <v>0</v>
      </c>
      <c r="W31" s="2"/>
      <c r="X31" s="6">
        <f t="shared" si="14"/>
        <v>-29474.93312500012</v>
      </c>
      <c r="Y31" s="2"/>
      <c r="Z31" s="7">
        <f t="shared" si="15"/>
        <v>-0.34011415471419898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5631.0275099999999</v>
      </c>
      <c r="I33" s="2"/>
      <c r="J33" s="7">
        <f t="shared" si="9"/>
        <v>0</v>
      </c>
      <c r="K33" s="2"/>
      <c r="L33" s="6">
        <f t="shared" si="10"/>
        <v>-5631.0275099999999</v>
      </c>
      <c r="M33" s="2"/>
      <c r="N33" s="7">
        <f t="shared" si="11"/>
        <v>-1</v>
      </c>
      <c r="O33" s="11"/>
      <c r="P33" s="6">
        <v>-1647.01</v>
      </c>
      <c r="Q33" s="2"/>
      <c r="R33" s="7">
        <f t="shared" si="12"/>
        <v>0</v>
      </c>
      <c r="S33" s="2"/>
      <c r="T33" s="6">
        <v>53357.035409999997</v>
      </c>
      <c r="U33" s="2"/>
      <c r="V33" s="7">
        <f t="shared" si="13"/>
        <v>0</v>
      </c>
      <c r="W33" s="2"/>
      <c r="X33" s="6">
        <f t="shared" si="14"/>
        <v>-55004.045409999999</v>
      </c>
      <c r="Y33" s="2"/>
      <c r="Z33" s="7">
        <f t="shared" si="15"/>
        <v>-1.0308677194552553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>
        <v>6820.27</v>
      </c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6820.27</v>
      </c>
      <c r="M34" s="2"/>
      <c r="N34" s="7">
        <f t="shared" si="11"/>
        <v>0</v>
      </c>
      <c r="O34" s="11"/>
      <c r="P34" s="6">
        <v>59852.88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59852.88</v>
      </c>
      <c r="Y34" s="2"/>
      <c r="Z34" s="7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>
        <v>650</v>
      </c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650</v>
      </c>
      <c r="M35" s="2"/>
      <c r="N35" s="7">
        <f t="shared" si="11"/>
        <v>0</v>
      </c>
      <c r="O35" s="11"/>
      <c r="P35" s="6">
        <v>11923.01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11923.01</v>
      </c>
      <c r="Y35" s="2"/>
      <c r="Z35" s="7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>
        <v>9726.68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9726.68</v>
      </c>
      <c r="M36" s="2"/>
      <c r="N36" s="7">
        <f t="shared" si="11"/>
        <v>0</v>
      </c>
      <c r="O36" s="11"/>
      <c r="P36" s="6">
        <v>159329.81999999998</v>
      </c>
      <c r="Q36" s="2"/>
      <c r="R36" s="7">
        <f t="shared" si="12"/>
        <v>0</v>
      </c>
      <c r="S36" s="2"/>
      <c r="T36" s="6">
        <v>17460</v>
      </c>
      <c r="U36" s="2"/>
      <c r="V36" s="7">
        <f t="shared" si="13"/>
        <v>0</v>
      </c>
      <c r="W36" s="2"/>
      <c r="X36" s="6">
        <f t="shared" si="14"/>
        <v>141869.81999999998</v>
      </c>
      <c r="Y36" s="2"/>
      <c r="Z36" s="7">
        <f t="shared" si="15"/>
        <v>8.1254192439862525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23186.799999999999</v>
      </c>
      <c r="I37" s="2"/>
      <c r="J37" s="7">
        <f t="shared" si="9"/>
        <v>0</v>
      </c>
      <c r="K37" s="2"/>
      <c r="L37" s="6">
        <f t="shared" si="10"/>
        <v>-23186.799999999999</v>
      </c>
      <c r="M37" s="2"/>
      <c r="N37" s="7">
        <f t="shared" si="11"/>
        <v>-1</v>
      </c>
      <c r="O37" s="11"/>
      <c r="P37" s="6">
        <v>2267.7399999999998</v>
      </c>
      <c r="Q37" s="2"/>
      <c r="R37" s="7">
        <f t="shared" si="12"/>
        <v>0</v>
      </c>
      <c r="S37" s="2"/>
      <c r="T37" s="6">
        <v>188024.4</v>
      </c>
      <c r="U37" s="2"/>
      <c r="V37" s="7">
        <f t="shared" si="13"/>
        <v>0</v>
      </c>
      <c r="W37" s="2"/>
      <c r="X37" s="6">
        <f t="shared" si="14"/>
        <v>-185756.66</v>
      </c>
      <c r="Y37" s="2"/>
      <c r="Z37" s="7">
        <f t="shared" si="15"/>
        <v>-0.98793911853993421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7" customFormat="1" outlineLevel="1" collapsed="1" x14ac:dyDescent="0.25">
      <c r="A40" s="26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25</v>
      </c>
      <c r="E40" s="1"/>
      <c r="F40" s="5">
        <f t="shared" ref="F40:F44" si="16">IF(D$12=0,0,D40/D$12)</f>
        <v>0</v>
      </c>
      <c r="G40" s="1"/>
      <c r="H40" s="1">
        <f>SUM(OSRRefH22_2x_0)</f>
        <v>1200</v>
      </c>
      <c r="I40" s="1"/>
      <c r="J40" s="5">
        <f t="shared" ref="J40:J44" si="17">IF(H$12=0,0,H40/H$12)</f>
        <v>0</v>
      </c>
      <c r="K40" s="1"/>
      <c r="L40" s="1">
        <f t="shared" ref="L40:L44" si="18">+D40-H40</f>
        <v>-1175</v>
      </c>
      <c r="M40" s="1"/>
      <c r="N40" s="5">
        <f t="shared" ref="N40:N44" si="19">IF(H40=0,0,L40/H40)</f>
        <v>-0.97916666666666663</v>
      </c>
      <c r="O40" s="13"/>
      <c r="P40" s="1">
        <f>SUM(OSRRefP22_2x_0)</f>
        <v>14215.07</v>
      </c>
      <c r="Q40" s="1"/>
      <c r="R40" s="5">
        <f t="shared" ref="R40:R44" si="20">IF(P$12=0,0,P40/P$12)</f>
        <v>0</v>
      </c>
      <c r="S40" s="1"/>
      <c r="T40" s="1">
        <f>SUM(OSRRefT22_2x_0)</f>
        <v>34800</v>
      </c>
      <c r="U40" s="1"/>
      <c r="V40" s="5">
        <f t="shared" ref="V40:V44" si="21">IF(T$12=0,0,T40/T$12)</f>
        <v>0</v>
      </c>
      <c r="W40" s="1"/>
      <c r="X40" s="1">
        <f t="shared" ref="X40:X44" si="22">+P40-T40</f>
        <v>-20584.93</v>
      </c>
      <c r="Y40" s="1"/>
      <c r="Z40" s="5">
        <f t="shared" ref="Z40:Z44" si="23">IF(T40=0,0,X40/T40)</f>
        <v>-0.59152097701149431</v>
      </c>
    </row>
    <row r="41" spans="1:26" s="24" customFormat="1" hidden="1" outlineLevel="2" x14ac:dyDescent="0.25">
      <c r="A41" s="25"/>
      <c r="B41" s="11" t="str">
        <f>CONCATENATE("          ", "6362", " - ", "ADVERTISING EXPENSE")</f>
        <v xml:space="preserve">          6362 - ADVERTISING EXPENSE</v>
      </c>
      <c r="C41" s="11"/>
      <c r="D41" s="6">
        <v>25</v>
      </c>
      <c r="E41" s="2"/>
      <c r="F41" s="7">
        <f t="shared" si="16"/>
        <v>0</v>
      </c>
      <c r="G41" s="2"/>
      <c r="H41" s="6">
        <v>1200</v>
      </c>
      <c r="I41" s="2"/>
      <c r="J41" s="7">
        <f t="shared" si="17"/>
        <v>0</v>
      </c>
      <c r="K41" s="2"/>
      <c r="L41" s="6">
        <f t="shared" si="18"/>
        <v>-1175</v>
      </c>
      <c r="M41" s="2"/>
      <c r="N41" s="7">
        <f t="shared" si="19"/>
        <v>-0.97916666666666663</v>
      </c>
      <c r="O41" s="11"/>
      <c r="P41" s="6">
        <v>14215.07</v>
      </c>
      <c r="Q41" s="2"/>
      <c r="R41" s="7">
        <f t="shared" si="20"/>
        <v>0</v>
      </c>
      <c r="S41" s="2"/>
      <c r="T41" s="6">
        <v>34800</v>
      </c>
      <c r="U41" s="2"/>
      <c r="V41" s="7">
        <f t="shared" si="21"/>
        <v>0</v>
      </c>
      <c r="W41" s="2"/>
      <c r="X41" s="6">
        <f t="shared" si="22"/>
        <v>-20584.93</v>
      </c>
      <c r="Y41" s="2"/>
      <c r="Z41" s="7">
        <f t="shared" si="23"/>
        <v>-0.59152097701149431</v>
      </c>
    </row>
    <row r="42" spans="1:26" s="27" customFormat="1" outlineLevel="1" collapsed="1" x14ac:dyDescent="0.25">
      <c r="A42" s="26"/>
      <c r="B42" s="13" t="str">
        <f>CONCATENATE("     ","Bad Debts/Over/Short                              ")</f>
        <v xml:space="preserve">     Bad Debts/Over/Short                              </v>
      </c>
      <c r="C42" s="13"/>
      <c r="D42" s="1">
        <f>SUM(OSRRefD22_3x_0)</f>
        <v>-50.18</v>
      </c>
      <c r="E42" s="1"/>
      <c r="F42" s="5">
        <f t="shared" si="16"/>
        <v>0</v>
      </c>
      <c r="G42" s="1"/>
      <c r="H42" s="1">
        <f>SUM(OSRRefH22_3x_0)</f>
        <v>125</v>
      </c>
      <c r="I42" s="1"/>
      <c r="J42" s="5">
        <f t="shared" si="17"/>
        <v>0</v>
      </c>
      <c r="K42" s="1"/>
      <c r="L42" s="1">
        <f t="shared" si="18"/>
        <v>-175.18</v>
      </c>
      <c r="M42" s="1"/>
      <c r="N42" s="5">
        <f t="shared" si="19"/>
        <v>-1.40144</v>
      </c>
      <c r="O42" s="13"/>
      <c r="P42" s="1">
        <f>SUM(OSRRefP22_3x_0)</f>
        <v>-19.63000000000001</v>
      </c>
      <c r="Q42" s="1"/>
      <c r="R42" s="5">
        <f t="shared" si="20"/>
        <v>0</v>
      </c>
      <c r="S42" s="1"/>
      <c r="T42" s="1">
        <f>SUM(OSRRefT22_3x_0)</f>
        <v>1125</v>
      </c>
      <c r="U42" s="1"/>
      <c r="V42" s="5">
        <f t="shared" si="21"/>
        <v>0</v>
      </c>
      <c r="W42" s="1"/>
      <c r="X42" s="1">
        <f t="shared" si="22"/>
        <v>-1144.6300000000001</v>
      </c>
      <c r="Y42" s="1"/>
      <c r="Z42" s="5">
        <f t="shared" si="23"/>
        <v>-1.0174488888888891</v>
      </c>
    </row>
    <row r="43" spans="1:26" s="24" customFormat="1" hidden="1" outlineLevel="2" x14ac:dyDescent="0.25">
      <c r="A43" s="25"/>
      <c r="B43" s="11" t="str">
        <f>CONCATENATE("          ", "6272", " - ", "CASH (OVER/SHORT)")</f>
        <v xml:space="preserve">          6272 - CASH (OVER/SHORT)</v>
      </c>
      <c r="C43" s="11"/>
      <c r="D43" s="6">
        <v>-50.18</v>
      </c>
      <c r="E43" s="2"/>
      <c r="F43" s="7">
        <f t="shared" si="16"/>
        <v>0</v>
      </c>
      <c r="G43" s="2"/>
      <c r="H43" s="6">
        <v>125</v>
      </c>
      <c r="I43" s="2"/>
      <c r="J43" s="7">
        <f t="shared" si="17"/>
        <v>0</v>
      </c>
      <c r="K43" s="2"/>
      <c r="L43" s="6">
        <f t="shared" si="18"/>
        <v>-175.18</v>
      </c>
      <c r="M43" s="2"/>
      <c r="N43" s="7">
        <f t="shared" si="19"/>
        <v>-1.40144</v>
      </c>
      <c r="O43" s="11"/>
      <c r="P43" s="6">
        <v>-64.430000000000007</v>
      </c>
      <c r="Q43" s="2"/>
      <c r="R43" s="7">
        <f t="shared" si="20"/>
        <v>0</v>
      </c>
      <c r="S43" s="2"/>
      <c r="T43" s="6">
        <v>1125</v>
      </c>
      <c r="U43" s="2"/>
      <c r="V43" s="7">
        <f t="shared" si="21"/>
        <v>0</v>
      </c>
      <c r="W43" s="2"/>
      <c r="X43" s="6">
        <f t="shared" si="22"/>
        <v>-1189.43</v>
      </c>
      <c r="Y43" s="2"/>
      <c r="Z43" s="7">
        <f t="shared" si="23"/>
        <v>-1.0572711111111113</v>
      </c>
    </row>
    <row r="44" spans="1:26" s="24" customFormat="1" hidden="1" outlineLevel="2" x14ac:dyDescent="0.25">
      <c r="A44" s="25"/>
      <c r="B44" s="11" t="str">
        <f>CONCATENATE("          ", "6342", " - ", "BAD DEBT")</f>
        <v xml:space="preserve">          6342 - BAD DEBT</v>
      </c>
      <c r="C44" s="11"/>
      <c r="D44" s="6"/>
      <c r="E44" s="2"/>
      <c r="F44" s="7">
        <f t="shared" si="16"/>
        <v>0</v>
      </c>
      <c r="G44" s="2"/>
      <c r="H44" s="6"/>
      <c r="I44" s="2"/>
      <c r="J44" s="7">
        <f t="shared" si="17"/>
        <v>0</v>
      </c>
      <c r="K44" s="2"/>
      <c r="L44" s="6">
        <f t="shared" si="18"/>
        <v>0</v>
      </c>
      <c r="M44" s="2"/>
      <c r="N44" s="7">
        <f t="shared" si="19"/>
        <v>0</v>
      </c>
      <c r="O44" s="11"/>
      <c r="P44" s="6">
        <v>44.8</v>
      </c>
      <c r="Q44" s="2"/>
      <c r="R44" s="7">
        <f t="shared" si="20"/>
        <v>0</v>
      </c>
      <c r="S44" s="2"/>
      <c r="T44" s="6"/>
      <c r="U44" s="2"/>
      <c r="V44" s="7">
        <f t="shared" si="21"/>
        <v>0</v>
      </c>
      <c r="W44" s="2"/>
      <c r="X44" s="6">
        <f t="shared" si="22"/>
        <v>44.8</v>
      </c>
      <c r="Y44" s="2"/>
      <c r="Z44" s="7">
        <f t="shared" si="23"/>
        <v>0</v>
      </c>
    </row>
    <row r="45" spans="1:26" s="27" customFormat="1" outlineLevel="1" collapsed="1" x14ac:dyDescent="0.25">
      <c r="A45" s="26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5564.8</v>
      </c>
      <c r="E45" s="1"/>
      <c r="F45" s="5">
        <f t="shared" ref="F45:F51" si="24">IF(D$12=0,0,D45/D$12)</f>
        <v>0</v>
      </c>
      <c r="G45" s="1"/>
      <c r="H45" s="1">
        <f>SUM(OSRRefH22_4x_0)</f>
        <v>13000</v>
      </c>
      <c r="I45" s="1"/>
      <c r="J45" s="5">
        <f t="shared" ref="J45:J51" si="25">IF(H$12=0,0,H45/H$12)</f>
        <v>0</v>
      </c>
      <c r="K45" s="1"/>
      <c r="L45" s="1">
        <f t="shared" ref="L45:L51" si="26">+D45-H45</f>
        <v>-7435.2</v>
      </c>
      <c r="M45" s="1"/>
      <c r="N45" s="5">
        <f t="shared" ref="N45:N51" si="27">IF(H45=0,0,L45/H45)</f>
        <v>-0.57193846153846151</v>
      </c>
      <c r="O45" s="13"/>
      <c r="P45" s="1">
        <f>SUM(OSRRefP22_4x_0)</f>
        <v>131000.03000000001</v>
      </c>
      <c r="Q45" s="1"/>
      <c r="R45" s="5">
        <f t="shared" ref="R45:R51" si="28">IF(P$12=0,0,P45/P$12)</f>
        <v>0</v>
      </c>
      <c r="S45" s="1"/>
      <c r="T45" s="1">
        <f>SUM(OSRRefT22_4x_0)</f>
        <v>149400</v>
      </c>
      <c r="U45" s="1"/>
      <c r="V45" s="5">
        <f t="shared" ref="V45:V51" si="29">IF(T$12=0,0,T45/T$12)</f>
        <v>0</v>
      </c>
      <c r="W45" s="1"/>
      <c r="X45" s="1">
        <f t="shared" ref="X45:X51" si="30">+P45-T45</f>
        <v>-18399.969999999987</v>
      </c>
      <c r="Y45" s="1"/>
      <c r="Z45" s="5">
        <f t="shared" ref="Z45:Z51" si="31">IF(T45=0,0,X45/T45)</f>
        <v>-0.12315910307898251</v>
      </c>
    </row>
    <row r="46" spans="1:26" s="24" customFormat="1" hidden="1" outlineLevel="2" x14ac:dyDescent="0.25">
      <c r="A46" s="25"/>
      <c r="B46" s="11" t="str">
        <f>CONCATENATE("          ", "6381", " - ", "BANK/CREDIT CARD FEES")</f>
        <v xml:space="preserve">          6381 - BANK/CREDIT CARD FEES</v>
      </c>
      <c r="C46" s="11"/>
      <c r="D46" s="6">
        <v>5564.8</v>
      </c>
      <c r="E46" s="2"/>
      <c r="F46" s="7">
        <f t="shared" si="24"/>
        <v>0</v>
      </c>
      <c r="G46" s="2"/>
      <c r="H46" s="6">
        <v>13000</v>
      </c>
      <c r="I46" s="2"/>
      <c r="J46" s="7">
        <f t="shared" si="25"/>
        <v>0</v>
      </c>
      <c r="K46" s="2"/>
      <c r="L46" s="6">
        <f t="shared" si="26"/>
        <v>-7435.2</v>
      </c>
      <c r="M46" s="2"/>
      <c r="N46" s="7">
        <f t="shared" si="27"/>
        <v>-0.57193846153846151</v>
      </c>
      <c r="O46" s="11"/>
      <c r="P46" s="6">
        <v>131000.03000000001</v>
      </c>
      <c r="Q46" s="2"/>
      <c r="R46" s="7">
        <f t="shared" si="28"/>
        <v>0</v>
      </c>
      <c r="S46" s="2"/>
      <c r="T46" s="6">
        <v>149400</v>
      </c>
      <c r="U46" s="2"/>
      <c r="V46" s="7">
        <f t="shared" si="29"/>
        <v>0</v>
      </c>
      <c r="W46" s="2"/>
      <c r="X46" s="6">
        <f t="shared" si="30"/>
        <v>-18399.969999999987</v>
      </c>
      <c r="Y46" s="2"/>
      <c r="Z46" s="7">
        <f t="shared" si="31"/>
        <v>-0.12315910307898251</v>
      </c>
    </row>
    <row r="47" spans="1:26" s="27" customFormat="1" outlineLevel="1" collapsed="1" x14ac:dyDescent="0.25">
      <c r="A47" s="26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SUM(OSRRefD22_5x_0)</f>
        <v>30273.599999999999</v>
      </c>
      <c r="E47" s="1"/>
      <c r="F47" s="5">
        <f t="shared" si="24"/>
        <v>0</v>
      </c>
      <c r="G47" s="1"/>
      <c r="H47" s="1">
        <f>SUM(OSRRefH22_5x_0)</f>
        <v>31271</v>
      </c>
      <c r="I47" s="1"/>
      <c r="J47" s="5">
        <f t="shared" si="25"/>
        <v>0</v>
      </c>
      <c r="K47" s="1"/>
      <c r="L47" s="1">
        <f t="shared" si="26"/>
        <v>-997.40000000000146</v>
      </c>
      <c r="M47" s="1"/>
      <c r="N47" s="5">
        <f t="shared" si="27"/>
        <v>-3.1895366313837145E-2</v>
      </c>
      <c r="O47" s="13"/>
      <c r="P47" s="1">
        <f>SUM(OSRRefP22_5x_0)</f>
        <v>267653.94</v>
      </c>
      <c r="Q47" s="1"/>
      <c r="R47" s="5">
        <f t="shared" si="28"/>
        <v>0</v>
      </c>
      <c r="S47" s="1"/>
      <c r="T47" s="1">
        <f>SUM(OSRRefT22_5x_0)</f>
        <v>275856</v>
      </c>
      <c r="U47" s="1"/>
      <c r="V47" s="5">
        <f t="shared" si="29"/>
        <v>0</v>
      </c>
      <c r="W47" s="1"/>
      <c r="X47" s="1">
        <f t="shared" si="30"/>
        <v>-8202.0599999999977</v>
      </c>
      <c r="Y47" s="1"/>
      <c r="Z47" s="5">
        <f t="shared" si="31"/>
        <v>-2.9733121628675821E-2</v>
      </c>
    </row>
    <row r="48" spans="1:26" s="24" customFormat="1" hidden="1" outlineLevel="2" x14ac:dyDescent="0.25">
      <c r="A48" s="25"/>
      <c r="B48" s="11" t="str">
        <f>CONCATENATE("          ", "6321", " - ", "BUILDING DEPRECIATION")</f>
        <v xml:space="preserve">          6321 - BUILDING DEPRECIATION</v>
      </c>
      <c r="C48" s="11"/>
      <c r="D48" s="6">
        <v>16396.52</v>
      </c>
      <c r="E48" s="2"/>
      <c r="F48" s="7">
        <f t="shared" si="24"/>
        <v>0</v>
      </c>
      <c r="G48" s="2"/>
      <c r="H48" s="6">
        <v>16397</v>
      </c>
      <c r="I48" s="2"/>
      <c r="J48" s="7">
        <f t="shared" si="25"/>
        <v>0</v>
      </c>
      <c r="K48" s="2"/>
      <c r="L48" s="6">
        <f t="shared" si="26"/>
        <v>-0.47999999999956344</v>
      </c>
      <c r="M48" s="2"/>
      <c r="N48" s="7">
        <f t="shared" si="27"/>
        <v>-2.927364761844017E-5</v>
      </c>
      <c r="O48" s="11"/>
      <c r="P48" s="6">
        <v>147568.68</v>
      </c>
      <c r="Q48" s="2"/>
      <c r="R48" s="7">
        <f t="shared" si="28"/>
        <v>0</v>
      </c>
      <c r="S48" s="2"/>
      <c r="T48" s="6">
        <v>147741</v>
      </c>
      <c r="U48" s="2"/>
      <c r="V48" s="7">
        <f t="shared" si="29"/>
        <v>0</v>
      </c>
      <c r="W48" s="2"/>
      <c r="X48" s="6">
        <f t="shared" si="30"/>
        <v>-172.32000000000698</v>
      </c>
      <c r="Y48" s="2"/>
      <c r="Z48" s="7">
        <f t="shared" si="31"/>
        <v>-1.1663654638861723E-3</v>
      </c>
    </row>
    <row r="49" spans="1:26" s="24" customFormat="1" hidden="1" outlineLevel="2" x14ac:dyDescent="0.25">
      <c r="A49" s="25"/>
      <c r="B49" s="11" t="str">
        <f>CONCATENATE("          ", "6322", " - ", "EQUIPMENT DEPRECIATION EXPENSE")</f>
        <v xml:space="preserve">          6322 - EQUIPMENT DEPRECIATION EXPENSE</v>
      </c>
      <c r="C49" s="11"/>
      <c r="D49" s="6">
        <v>13877.08</v>
      </c>
      <c r="E49" s="2"/>
      <c r="F49" s="7">
        <f t="shared" si="24"/>
        <v>0</v>
      </c>
      <c r="G49" s="2"/>
      <c r="H49" s="6">
        <v>13049</v>
      </c>
      <c r="I49" s="2"/>
      <c r="J49" s="7">
        <f t="shared" si="25"/>
        <v>0</v>
      </c>
      <c r="K49" s="2"/>
      <c r="L49" s="6">
        <f t="shared" si="26"/>
        <v>828.07999999999993</v>
      </c>
      <c r="M49" s="2"/>
      <c r="N49" s="7">
        <f t="shared" si="27"/>
        <v>6.3459268909494979E-2</v>
      </c>
      <c r="O49" s="11"/>
      <c r="P49" s="6">
        <v>120085.26000000001</v>
      </c>
      <c r="Q49" s="2"/>
      <c r="R49" s="7">
        <f t="shared" si="28"/>
        <v>0</v>
      </c>
      <c r="S49" s="2"/>
      <c r="T49" s="6">
        <v>117441</v>
      </c>
      <c r="U49" s="2"/>
      <c r="V49" s="7">
        <f t="shared" si="29"/>
        <v>0</v>
      </c>
      <c r="W49" s="2"/>
      <c r="X49" s="6">
        <f t="shared" si="30"/>
        <v>2644.2600000000093</v>
      </c>
      <c r="Y49" s="2"/>
      <c r="Z49" s="7">
        <f t="shared" si="31"/>
        <v>2.2515646154239229E-2</v>
      </c>
    </row>
    <row r="50" spans="1:26" s="24" customFormat="1" hidden="1" outlineLevel="2" x14ac:dyDescent="0.25">
      <c r="A50" s="25"/>
      <c r="B50" s="11" t="str">
        <f>CONCATENATE("          ", "6324", " - ", "FURNITURE + FIXT DEPRECIATION")</f>
        <v xml:space="preserve">          6324 - FURNITURE + FIXT DEPRECIATION</v>
      </c>
      <c r="C50" s="11"/>
      <c r="D50" s="6"/>
      <c r="E50" s="2"/>
      <c r="F50" s="7">
        <f t="shared" si="24"/>
        <v>0</v>
      </c>
      <c r="G50" s="2"/>
      <c r="H50" s="6">
        <v>1492</v>
      </c>
      <c r="I50" s="2"/>
      <c r="J50" s="7">
        <f t="shared" si="25"/>
        <v>0</v>
      </c>
      <c r="K50" s="2"/>
      <c r="L50" s="6">
        <f t="shared" si="26"/>
        <v>-1492</v>
      </c>
      <c r="M50" s="2"/>
      <c r="N50" s="7">
        <f t="shared" si="27"/>
        <v>-1</v>
      </c>
      <c r="O50" s="11"/>
      <c r="P50" s="6"/>
      <c r="Q50" s="2"/>
      <c r="R50" s="7">
        <f t="shared" si="28"/>
        <v>0</v>
      </c>
      <c r="S50" s="2"/>
      <c r="T50" s="6">
        <v>8676</v>
      </c>
      <c r="U50" s="2"/>
      <c r="V50" s="7">
        <f t="shared" si="29"/>
        <v>0</v>
      </c>
      <c r="W50" s="2"/>
      <c r="X50" s="6">
        <f t="shared" si="30"/>
        <v>-8676</v>
      </c>
      <c r="Y50" s="2"/>
      <c r="Z50" s="7">
        <f t="shared" si="31"/>
        <v>-1</v>
      </c>
    </row>
    <row r="51" spans="1:26" s="24" customFormat="1" hidden="1" outlineLevel="2" x14ac:dyDescent="0.25">
      <c r="A51" s="25"/>
      <c r="B51" s="11" t="str">
        <f>CONCATENATE("          ", "6326", " - ", "VEHICLES DEPRECIATION EXPENSE")</f>
        <v xml:space="preserve">          6326 - VEHICLES DEPRECIATION EXPENSE</v>
      </c>
      <c r="C51" s="11"/>
      <c r="D51" s="6"/>
      <c r="E51" s="2"/>
      <c r="F51" s="7">
        <f t="shared" si="24"/>
        <v>0</v>
      </c>
      <c r="G51" s="2"/>
      <c r="H51" s="6">
        <v>333</v>
      </c>
      <c r="I51" s="2"/>
      <c r="J51" s="7">
        <f t="shared" si="25"/>
        <v>0</v>
      </c>
      <c r="K51" s="2"/>
      <c r="L51" s="6">
        <f t="shared" si="26"/>
        <v>-333</v>
      </c>
      <c r="M51" s="2"/>
      <c r="N51" s="7">
        <f t="shared" si="27"/>
        <v>-1</v>
      </c>
      <c r="O51" s="11"/>
      <c r="P51" s="6"/>
      <c r="Q51" s="2"/>
      <c r="R51" s="7">
        <f t="shared" si="28"/>
        <v>0</v>
      </c>
      <c r="S51" s="2"/>
      <c r="T51" s="6">
        <v>1998</v>
      </c>
      <c r="U51" s="2"/>
      <c r="V51" s="7">
        <f t="shared" si="29"/>
        <v>0</v>
      </c>
      <c r="W51" s="2"/>
      <c r="X51" s="6">
        <f t="shared" si="30"/>
        <v>-1998</v>
      </c>
      <c r="Y51" s="2"/>
      <c r="Z51" s="7">
        <f t="shared" si="31"/>
        <v>-1</v>
      </c>
    </row>
    <row r="52" spans="1:26" s="27" customFormat="1" outlineLevel="1" collapsed="1" x14ac:dyDescent="0.25">
      <c r="A52" s="26"/>
      <c r="B52" s="13" t="str">
        <f>CONCATENATE("     ","Discounts and Markdowns                           ")</f>
        <v xml:space="preserve">     Discounts and Markdowns                           </v>
      </c>
      <c r="C52" s="13"/>
      <c r="D52" s="1">
        <f>SUM(OSRRefD22_6x_0)</f>
        <v>-127.71000000000001</v>
      </c>
      <c r="E52" s="1"/>
      <c r="F52" s="5">
        <f t="shared" ref="F52:F54" si="32">IF(D$12=0,0,D52/D$12)</f>
        <v>0</v>
      </c>
      <c r="G52" s="1"/>
      <c r="H52" s="1">
        <f>SUM(OSRRefH22_6x_0)</f>
        <v>-400</v>
      </c>
      <c r="I52" s="1"/>
      <c r="J52" s="5">
        <f t="shared" ref="J52:J54" si="33">IF(H$12=0,0,H52/H$12)</f>
        <v>0</v>
      </c>
      <c r="K52" s="1"/>
      <c r="L52" s="1">
        <f t="shared" ref="L52:L54" si="34">+D52-H52</f>
        <v>272.28999999999996</v>
      </c>
      <c r="M52" s="1"/>
      <c r="N52" s="5">
        <f t="shared" ref="N52:N54" si="35">IF(H52=0,0,L52/H52)</f>
        <v>-0.68072499999999991</v>
      </c>
      <c r="O52" s="13"/>
      <c r="P52" s="1">
        <f>SUM(OSRRefP22_6x_0)</f>
        <v>-2406.42</v>
      </c>
      <c r="Q52" s="1"/>
      <c r="R52" s="5">
        <f t="shared" ref="R52:R54" si="36">IF(P$12=0,0,P52/P$12)</f>
        <v>0</v>
      </c>
      <c r="S52" s="1"/>
      <c r="T52" s="1">
        <f>SUM(OSRRefT22_6x_0)</f>
        <v>-3600</v>
      </c>
      <c r="U52" s="1"/>
      <c r="V52" s="5">
        <f t="shared" ref="V52:V54" si="37">IF(T$12=0,0,T52/T$12)</f>
        <v>0</v>
      </c>
      <c r="W52" s="1"/>
      <c r="X52" s="1">
        <f t="shared" ref="X52:X54" si="38">+P52-T52</f>
        <v>1193.58</v>
      </c>
      <c r="Y52" s="1"/>
      <c r="Z52" s="5">
        <f t="shared" ref="Z52:Z54" si="39">IF(T52=0,0,X52/T52)</f>
        <v>-0.33154999999999996</v>
      </c>
    </row>
    <row r="53" spans="1:26" s="24" customFormat="1" hidden="1" outlineLevel="2" x14ac:dyDescent="0.25">
      <c r="A53" s="25"/>
      <c r="B53" s="11" t="str">
        <f>CONCATENATE("          ", "6382", " - ", "DISCOUNTS/MARK DOWNS")</f>
        <v xml:space="preserve">          6382 - DISCOUNTS/MARK DOWNS</v>
      </c>
      <c r="C53" s="11"/>
      <c r="D53" s="6">
        <v>8</v>
      </c>
      <c r="E53" s="2"/>
      <c r="F53" s="7">
        <f t="shared" si="32"/>
        <v>0</v>
      </c>
      <c r="G53" s="2"/>
      <c r="H53" s="6">
        <v>-400</v>
      </c>
      <c r="I53" s="2"/>
      <c r="J53" s="7">
        <f t="shared" si="33"/>
        <v>0</v>
      </c>
      <c r="K53" s="2"/>
      <c r="L53" s="6">
        <f t="shared" si="34"/>
        <v>408</v>
      </c>
      <c r="M53" s="2"/>
      <c r="N53" s="7">
        <f t="shared" si="35"/>
        <v>-1.02</v>
      </c>
      <c r="O53" s="11"/>
      <c r="P53" s="6">
        <v>353.4</v>
      </c>
      <c r="Q53" s="2"/>
      <c r="R53" s="7">
        <f t="shared" si="36"/>
        <v>0</v>
      </c>
      <c r="S53" s="2"/>
      <c r="T53" s="6">
        <v>-3600</v>
      </c>
      <c r="U53" s="2"/>
      <c r="V53" s="7">
        <f t="shared" si="37"/>
        <v>0</v>
      </c>
      <c r="W53" s="2"/>
      <c r="X53" s="6">
        <f t="shared" si="38"/>
        <v>3953.4</v>
      </c>
      <c r="Y53" s="2"/>
      <c r="Z53" s="7">
        <f t="shared" si="39"/>
        <v>-1.0981666666666667</v>
      </c>
    </row>
    <row r="54" spans="1:26" s="24" customFormat="1" hidden="1" outlineLevel="2" x14ac:dyDescent="0.25">
      <c r="A54" s="25"/>
      <c r="B54" s="11" t="str">
        <f>CONCATENATE("          ", "9175", " - ", "EARNED DISCOUNTS")</f>
        <v xml:space="preserve">          9175 - EARNED DISCOUNTS</v>
      </c>
      <c r="C54" s="11"/>
      <c r="D54" s="6">
        <v>-135.71</v>
      </c>
      <c r="E54" s="2"/>
      <c r="F54" s="7">
        <f t="shared" si="32"/>
        <v>0</v>
      </c>
      <c r="G54" s="2"/>
      <c r="H54" s="6"/>
      <c r="I54" s="2"/>
      <c r="J54" s="7">
        <f t="shared" si="33"/>
        <v>0</v>
      </c>
      <c r="K54" s="2"/>
      <c r="L54" s="6">
        <f t="shared" si="34"/>
        <v>-135.71</v>
      </c>
      <c r="M54" s="2"/>
      <c r="N54" s="7">
        <f t="shared" si="35"/>
        <v>0</v>
      </c>
      <c r="O54" s="11"/>
      <c r="P54" s="6">
        <v>-2759.82</v>
      </c>
      <c r="Q54" s="2"/>
      <c r="R54" s="7">
        <f t="shared" si="36"/>
        <v>0</v>
      </c>
      <c r="S54" s="2"/>
      <c r="T54" s="6"/>
      <c r="U54" s="2"/>
      <c r="V54" s="7">
        <f t="shared" si="37"/>
        <v>0</v>
      </c>
      <c r="W54" s="2"/>
      <c r="X54" s="6">
        <f t="shared" si="38"/>
        <v>-2759.82</v>
      </c>
      <c r="Y54" s="2"/>
      <c r="Z54" s="7">
        <f t="shared" si="39"/>
        <v>0</v>
      </c>
    </row>
    <row r="55" spans="1:26" s="27" customFormat="1" outlineLevel="1" collapsed="1" x14ac:dyDescent="0.25">
      <c r="A55" s="26"/>
      <c r="B55" s="13" t="str">
        <f>CONCATENATE("     ","Donations                                         ")</f>
        <v xml:space="preserve">     Donations                                         </v>
      </c>
      <c r="C55" s="13"/>
      <c r="D55" s="1">
        <f>SUM(OSRRefD22_7x_0)</f>
        <v>769.23</v>
      </c>
      <c r="E55" s="1"/>
      <c r="F55" s="5">
        <f t="shared" ref="F55:F57" si="40">IF(D$12=0,0,D55/D$12)</f>
        <v>0</v>
      </c>
      <c r="G55" s="1"/>
      <c r="H55" s="1">
        <f>SUM(OSRRefH22_7x_0)</f>
        <v>1000</v>
      </c>
      <c r="I55" s="1"/>
      <c r="J55" s="5">
        <f t="shared" ref="J55:J57" si="41">IF(H$12=0,0,H55/H$12)</f>
        <v>0</v>
      </c>
      <c r="K55" s="1"/>
      <c r="L55" s="1">
        <f t="shared" ref="L55:L57" si="42">+D55-H55</f>
        <v>-230.76999999999998</v>
      </c>
      <c r="M55" s="1"/>
      <c r="N55" s="5">
        <f t="shared" ref="N55:N57" si="43">IF(H55=0,0,L55/H55)</f>
        <v>-0.23076999999999998</v>
      </c>
      <c r="O55" s="13"/>
      <c r="P55" s="1">
        <f>SUM(OSRRefP22_7x_0)</f>
        <v>12371.45</v>
      </c>
      <c r="Q55" s="1"/>
      <c r="R55" s="5">
        <f t="shared" ref="R55:R57" si="44">IF(P$12=0,0,P55/P$12)</f>
        <v>0</v>
      </c>
      <c r="S55" s="1"/>
      <c r="T55" s="1">
        <f>SUM(OSRRefT22_7x_0)</f>
        <v>9000</v>
      </c>
      <c r="U55" s="1"/>
      <c r="V55" s="5">
        <f t="shared" ref="V55:V57" si="45">IF(T$12=0,0,T55/T$12)</f>
        <v>0</v>
      </c>
      <c r="W55" s="1"/>
      <c r="X55" s="1">
        <f t="shared" ref="X55:X57" si="46">+P55-T55</f>
        <v>3371.4500000000007</v>
      </c>
      <c r="Y55" s="1"/>
      <c r="Z55" s="5">
        <f t="shared" ref="Z55:Z57" si="47">IF(T55=0,0,X55/T55)</f>
        <v>0.37460555555555564</v>
      </c>
    </row>
    <row r="56" spans="1:26" s="24" customFormat="1" hidden="1" outlineLevel="2" x14ac:dyDescent="0.25">
      <c r="A56" s="25"/>
      <c r="B56" s="11" t="str">
        <f>CONCATENATE("          ", "6395", " - ", "DONATION-OFF CAMPUS")</f>
        <v xml:space="preserve">          6395 - DONATION-OFF CAMPUS</v>
      </c>
      <c r="C56" s="11"/>
      <c r="D56" s="6"/>
      <c r="E56" s="2"/>
      <c r="F56" s="7">
        <f t="shared" si="40"/>
        <v>0</v>
      </c>
      <c r="G56" s="2"/>
      <c r="H56" s="6">
        <v>1000</v>
      </c>
      <c r="I56" s="2"/>
      <c r="J56" s="7">
        <f t="shared" si="41"/>
        <v>0</v>
      </c>
      <c r="K56" s="2"/>
      <c r="L56" s="6">
        <f t="shared" si="42"/>
        <v>-1000</v>
      </c>
      <c r="M56" s="2"/>
      <c r="N56" s="7">
        <f t="shared" si="43"/>
        <v>-1</v>
      </c>
      <c r="O56" s="11"/>
      <c r="P56" s="6"/>
      <c r="Q56" s="2"/>
      <c r="R56" s="7">
        <f t="shared" si="44"/>
        <v>0</v>
      </c>
      <c r="S56" s="2"/>
      <c r="T56" s="6">
        <v>9000</v>
      </c>
      <c r="U56" s="2"/>
      <c r="V56" s="7">
        <f t="shared" si="45"/>
        <v>0</v>
      </c>
      <c r="W56" s="2"/>
      <c r="X56" s="6">
        <f t="shared" si="46"/>
        <v>-9000</v>
      </c>
      <c r="Y56" s="2"/>
      <c r="Z56" s="7">
        <f t="shared" si="47"/>
        <v>-1</v>
      </c>
    </row>
    <row r="57" spans="1:26" s="24" customFormat="1" hidden="1" outlineLevel="2" x14ac:dyDescent="0.25">
      <c r="A57" s="25"/>
      <c r="B57" s="11" t="str">
        <f>CONCATENATE("          ", "6399", " - ", "DONATION-ON CAMPUS")</f>
        <v xml:space="preserve">          6399 - DONATION-ON CAMPUS</v>
      </c>
      <c r="C57" s="11"/>
      <c r="D57" s="6">
        <v>769.23</v>
      </c>
      <c r="E57" s="2"/>
      <c r="F57" s="7">
        <f t="shared" si="40"/>
        <v>0</v>
      </c>
      <c r="G57" s="2"/>
      <c r="H57" s="6"/>
      <c r="I57" s="2"/>
      <c r="J57" s="7">
        <f t="shared" si="41"/>
        <v>0</v>
      </c>
      <c r="K57" s="2"/>
      <c r="L57" s="6">
        <f t="shared" si="42"/>
        <v>769.23</v>
      </c>
      <c r="M57" s="2"/>
      <c r="N57" s="7">
        <f t="shared" si="43"/>
        <v>0</v>
      </c>
      <c r="O57" s="11"/>
      <c r="P57" s="6">
        <v>12371.45</v>
      </c>
      <c r="Q57" s="2"/>
      <c r="R57" s="7">
        <f t="shared" si="44"/>
        <v>0</v>
      </c>
      <c r="S57" s="2"/>
      <c r="T57" s="6"/>
      <c r="U57" s="2"/>
      <c r="V57" s="7">
        <f t="shared" si="45"/>
        <v>0</v>
      </c>
      <c r="W57" s="2"/>
      <c r="X57" s="6">
        <f t="shared" si="46"/>
        <v>12371.45</v>
      </c>
      <c r="Y57" s="2"/>
      <c r="Z57" s="7">
        <f t="shared" si="47"/>
        <v>0</v>
      </c>
    </row>
    <row r="58" spans="1:26" s="27" customFormat="1" outlineLevel="1" collapsed="1" x14ac:dyDescent="0.25">
      <c r="A58" s="26"/>
      <c r="B58" s="13" t="str">
        <f>CONCATENATE("     ","Employees' Appreciation                           ")</f>
        <v xml:space="preserve">     Employees' Appreciation                           </v>
      </c>
      <c r="C58" s="13"/>
      <c r="D58" s="1">
        <f>SUM(OSRRefD22_8x_0)</f>
        <v>157.24</v>
      </c>
      <c r="E58" s="1"/>
      <c r="F58" s="5">
        <f t="shared" ref="F58:F76" si="48">IF(D$12=0,0,D58/D$12)</f>
        <v>0</v>
      </c>
      <c r="G58" s="1"/>
      <c r="H58" s="1">
        <f>SUM(OSRRefH22_8x_0)</f>
        <v>200</v>
      </c>
      <c r="I58" s="1"/>
      <c r="J58" s="5">
        <f t="shared" ref="J58:J76" si="49">IF(H$12=0,0,H58/H$12)</f>
        <v>0</v>
      </c>
      <c r="K58" s="1"/>
      <c r="L58" s="1">
        <f t="shared" ref="L58:L76" si="50">+D58-H58</f>
        <v>-42.759999999999991</v>
      </c>
      <c r="M58" s="1"/>
      <c r="N58" s="5">
        <f t="shared" ref="N58:N76" si="51">IF(H58=0,0,L58/H58)</f>
        <v>-0.21379999999999996</v>
      </c>
      <c r="O58" s="13"/>
      <c r="P58" s="1">
        <f>SUM(OSRRefP22_8x_0)</f>
        <v>1027.57</v>
      </c>
      <c r="Q58" s="1"/>
      <c r="R58" s="5">
        <f t="shared" ref="R58:R76" si="52">IF(P$12=0,0,P58/P$12)</f>
        <v>0</v>
      </c>
      <c r="S58" s="1"/>
      <c r="T58" s="1">
        <f>SUM(OSRRefT22_8x_0)</f>
        <v>1800</v>
      </c>
      <c r="U58" s="1"/>
      <c r="V58" s="5">
        <f t="shared" ref="V58:V76" si="53">IF(T$12=0,0,T58/T$12)</f>
        <v>0</v>
      </c>
      <c r="W58" s="1"/>
      <c r="X58" s="1">
        <f t="shared" ref="X58:X76" si="54">+P58-T58</f>
        <v>-772.43000000000006</v>
      </c>
      <c r="Y58" s="1"/>
      <c r="Z58" s="5">
        <f t="shared" ref="Z58:Z76" si="55">IF(T58=0,0,X58/T58)</f>
        <v>-0.42912777777777783</v>
      </c>
    </row>
    <row r="59" spans="1:26" s="24" customFormat="1" hidden="1" outlineLevel="2" x14ac:dyDescent="0.25">
      <c r="A59" s="25"/>
      <c r="B59" s="11" t="str">
        <f>CONCATENATE("          ", "6277", " - ", "EMPLOYEE APPRECIATION")</f>
        <v xml:space="preserve">          6277 - EMPLOYEE APPRECIATION</v>
      </c>
      <c r="C59" s="11"/>
      <c r="D59" s="6">
        <v>157.24</v>
      </c>
      <c r="E59" s="2"/>
      <c r="F59" s="7">
        <f t="shared" si="48"/>
        <v>0</v>
      </c>
      <c r="G59" s="2"/>
      <c r="H59" s="6">
        <v>200</v>
      </c>
      <c r="I59" s="2"/>
      <c r="J59" s="7">
        <f t="shared" si="49"/>
        <v>0</v>
      </c>
      <c r="K59" s="2"/>
      <c r="L59" s="6">
        <f t="shared" si="50"/>
        <v>-42.759999999999991</v>
      </c>
      <c r="M59" s="2"/>
      <c r="N59" s="7">
        <f t="shared" si="51"/>
        <v>-0.21379999999999996</v>
      </c>
      <c r="O59" s="11"/>
      <c r="P59" s="6">
        <v>1027.57</v>
      </c>
      <c r="Q59" s="2"/>
      <c r="R59" s="7">
        <f t="shared" si="52"/>
        <v>0</v>
      </c>
      <c r="S59" s="2"/>
      <c r="T59" s="6">
        <v>1800</v>
      </c>
      <c r="U59" s="2"/>
      <c r="V59" s="7">
        <f t="shared" si="53"/>
        <v>0</v>
      </c>
      <c r="W59" s="2"/>
      <c r="X59" s="6">
        <f t="shared" si="54"/>
        <v>-772.43000000000006</v>
      </c>
      <c r="Y59" s="2"/>
      <c r="Z59" s="7">
        <f t="shared" si="55"/>
        <v>-0.42912777777777783</v>
      </c>
    </row>
    <row r="60" spans="1:26" s="27" customFormat="1" outlineLevel="1" collapsed="1" x14ac:dyDescent="0.25">
      <c r="A60" s="26"/>
      <c r="B60" s="13" t="str">
        <f>CONCATENATE("     ","Freight out/Postage                               ")</f>
        <v xml:space="preserve">     Freight out/Postage                               </v>
      </c>
      <c r="C60" s="13"/>
      <c r="D60" s="1">
        <f>SUM(OSRRefD22_9x_0)</f>
        <v>14.61</v>
      </c>
      <c r="E60" s="1"/>
      <c r="F60" s="5">
        <f t="shared" si="48"/>
        <v>0</v>
      </c>
      <c r="G60" s="1"/>
      <c r="H60" s="1">
        <f>SUM(OSRRefH22_9x_0)</f>
        <v>30</v>
      </c>
      <c r="I60" s="1"/>
      <c r="J60" s="5">
        <f t="shared" si="49"/>
        <v>0</v>
      </c>
      <c r="K60" s="1"/>
      <c r="L60" s="1">
        <f t="shared" si="50"/>
        <v>-15.39</v>
      </c>
      <c r="M60" s="1"/>
      <c r="N60" s="5">
        <f t="shared" si="51"/>
        <v>-0.51300000000000001</v>
      </c>
      <c r="O60" s="13"/>
      <c r="P60" s="1">
        <f>SUM(OSRRefP22_9x_0)</f>
        <v>29</v>
      </c>
      <c r="Q60" s="1"/>
      <c r="R60" s="5">
        <f t="shared" si="52"/>
        <v>0</v>
      </c>
      <c r="S60" s="1"/>
      <c r="T60" s="1">
        <f>SUM(OSRRefT22_9x_0)</f>
        <v>270</v>
      </c>
      <c r="U60" s="1"/>
      <c r="V60" s="5">
        <f t="shared" si="53"/>
        <v>0</v>
      </c>
      <c r="W60" s="1"/>
      <c r="X60" s="1">
        <f t="shared" si="54"/>
        <v>-241</v>
      </c>
      <c r="Y60" s="1"/>
      <c r="Z60" s="5">
        <f t="shared" si="55"/>
        <v>-0.8925925925925926</v>
      </c>
    </row>
    <row r="61" spans="1:26" s="24" customFormat="1" hidden="1" outlineLevel="2" x14ac:dyDescent="0.25">
      <c r="A61" s="25"/>
      <c r="B61" s="11" t="str">
        <f>CONCATENATE("          ", "6307", " - ", "POSTAGE")</f>
        <v xml:space="preserve">          6307 - POSTAGE</v>
      </c>
      <c r="C61" s="11"/>
      <c r="D61" s="6">
        <v>14.61</v>
      </c>
      <c r="E61" s="2"/>
      <c r="F61" s="7">
        <f t="shared" si="48"/>
        <v>0</v>
      </c>
      <c r="G61" s="2"/>
      <c r="H61" s="6">
        <v>30</v>
      </c>
      <c r="I61" s="2"/>
      <c r="J61" s="7">
        <f t="shared" si="49"/>
        <v>0</v>
      </c>
      <c r="K61" s="2"/>
      <c r="L61" s="6">
        <f t="shared" si="50"/>
        <v>-15.39</v>
      </c>
      <c r="M61" s="2"/>
      <c r="N61" s="7">
        <f t="shared" si="51"/>
        <v>-0.51300000000000001</v>
      </c>
      <c r="O61" s="11"/>
      <c r="P61" s="6">
        <v>29</v>
      </c>
      <c r="Q61" s="2"/>
      <c r="R61" s="7">
        <f t="shared" si="52"/>
        <v>0</v>
      </c>
      <c r="S61" s="2"/>
      <c r="T61" s="6">
        <v>270</v>
      </c>
      <c r="U61" s="2"/>
      <c r="V61" s="7">
        <f t="shared" si="53"/>
        <v>0</v>
      </c>
      <c r="W61" s="2"/>
      <c r="X61" s="6">
        <f t="shared" si="54"/>
        <v>-241</v>
      </c>
      <c r="Y61" s="2"/>
      <c r="Z61" s="7">
        <f t="shared" si="55"/>
        <v>-0.8925925925925926</v>
      </c>
    </row>
    <row r="62" spans="1:26" s="27" customFormat="1" outlineLevel="1" collapsed="1" x14ac:dyDescent="0.25">
      <c r="A62" s="26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SUM(OSRRefD22_10x_0)</f>
        <v>0</v>
      </c>
      <c r="E62" s="1"/>
      <c r="F62" s="5">
        <f t="shared" si="48"/>
        <v>0</v>
      </c>
      <c r="G62" s="1"/>
      <c r="H62" s="1">
        <f>SUM(OSRRefH22_10x_0)</f>
        <v>100</v>
      </c>
      <c r="I62" s="1"/>
      <c r="J62" s="5">
        <f t="shared" si="49"/>
        <v>0</v>
      </c>
      <c r="K62" s="1"/>
      <c r="L62" s="1">
        <f t="shared" si="50"/>
        <v>-100</v>
      </c>
      <c r="M62" s="1"/>
      <c r="N62" s="5">
        <f t="shared" si="51"/>
        <v>-1</v>
      </c>
      <c r="O62" s="13"/>
      <c r="P62" s="1">
        <f>SUM(OSRRefP22_10x_0)</f>
        <v>-11754.76</v>
      </c>
      <c r="Q62" s="1"/>
      <c r="R62" s="5">
        <f t="shared" si="52"/>
        <v>0</v>
      </c>
      <c r="S62" s="1"/>
      <c r="T62" s="1">
        <f>SUM(OSRRefT22_10x_0)</f>
        <v>900</v>
      </c>
      <c r="U62" s="1"/>
      <c r="V62" s="5">
        <f t="shared" si="53"/>
        <v>0</v>
      </c>
      <c r="W62" s="1"/>
      <c r="X62" s="1">
        <f t="shared" si="54"/>
        <v>-12654.76</v>
      </c>
      <c r="Y62" s="1"/>
      <c r="Z62" s="5">
        <f t="shared" si="55"/>
        <v>-14.060844444444445</v>
      </c>
    </row>
    <row r="63" spans="1:26" s="24" customFormat="1" hidden="1" outlineLevel="2" x14ac:dyDescent="0.25">
      <c r="A63" s="25"/>
      <c r="B63" s="11" t="str">
        <f>CONCATENATE("          ", "6279", " - ", "GENERAL EXPENSE")</f>
        <v xml:space="preserve">          6279 - GENERAL EXPENSE</v>
      </c>
      <c r="C63" s="11"/>
      <c r="D63" s="6"/>
      <c r="E63" s="2"/>
      <c r="F63" s="7">
        <f t="shared" si="48"/>
        <v>0</v>
      </c>
      <c r="G63" s="2"/>
      <c r="H63" s="6">
        <v>100</v>
      </c>
      <c r="I63" s="2"/>
      <c r="J63" s="7">
        <f t="shared" si="49"/>
        <v>0</v>
      </c>
      <c r="K63" s="2"/>
      <c r="L63" s="6">
        <f t="shared" si="50"/>
        <v>-100</v>
      </c>
      <c r="M63" s="2"/>
      <c r="N63" s="7">
        <f t="shared" si="51"/>
        <v>-1</v>
      </c>
      <c r="O63" s="11"/>
      <c r="P63" s="6">
        <v>-11754.76</v>
      </c>
      <c r="Q63" s="2"/>
      <c r="R63" s="7">
        <f t="shared" si="52"/>
        <v>0</v>
      </c>
      <c r="S63" s="2"/>
      <c r="T63" s="6">
        <v>900</v>
      </c>
      <c r="U63" s="2"/>
      <c r="V63" s="7">
        <f t="shared" si="53"/>
        <v>0</v>
      </c>
      <c r="W63" s="2"/>
      <c r="X63" s="6">
        <f t="shared" si="54"/>
        <v>-12654.76</v>
      </c>
      <c r="Y63" s="2"/>
      <c r="Z63" s="7">
        <f t="shared" si="55"/>
        <v>-14.060844444444445</v>
      </c>
    </row>
    <row r="64" spans="1:26" s="27" customFormat="1" outlineLevel="1" collapsed="1" x14ac:dyDescent="0.25">
      <c r="A64" s="26"/>
      <c r="B64" s="13" t="str">
        <f>CONCATENATE("     ","Insurance                                         ")</f>
        <v xml:space="preserve">     Insurance                                         </v>
      </c>
      <c r="C64" s="13"/>
      <c r="D64" s="1">
        <f>SUM(OSRRefD22_11x_0)</f>
        <v>3883.56</v>
      </c>
      <c r="E64" s="1"/>
      <c r="F64" s="5">
        <f t="shared" si="48"/>
        <v>0</v>
      </c>
      <c r="G64" s="1"/>
      <c r="H64" s="1">
        <f>SUM(OSRRefH22_11x_0)</f>
        <v>3660</v>
      </c>
      <c r="I64" s="1"/>
      <c r="J64" s="5">
        <f t="shared" si="49"/>
        <v>0</v>
      </c>
      <c r="K64" s="1"/>
      <c r="L64" s="1">
        <f t="shared" si="50"/>
        <v>223.55999999999995</v>
      </c>
      <c r="M64" s="1"/>
      <c r="N64" s="5">
        <f t="shared" si="51"/>
        <v>6.1081967213114742E-2</v>
      </c>
      <c r="O64" s="13"/>
      <c r="P64" s="1">
        <f>SUM(OSRRefP22_11x_0)</f>
        <v>34952.04</v>
      </c>
      <c r="Q64" s="1"/>
      <c r="R64" s="5">
        <f t="shared" si="52"/>
        <v>0</v>
      </c>
      <c r="S64" s="1"/>
      <c r="T64" s="1">
        <f>SUM(OSRRefT22_11x_0)</f>
        <v>32940</v>
      </c>
      <c r="U64" s="1"/>
      <c r="V64" s="5">
        <f t="shared" si="53"/>
        <v>0</v>
      </c>
      <c r="W64" s="1"/>
      <c r="X64" s="1">
        <f t="shared" si="54"/>
        <v>2012.0400000000009</v>
      </c>
      <c r="Y64" s="1"/>
      <c r="Z64" s="5">
        <f t="shared" si="55"/>
        <v>6.1081967213114784E-2</v>
      </c>
    </row>
    <row r="65" spans="1:26" s="24" customFormat="1" hidden="1" outlineLevel="2" x14ac:dyDescent="0.25">
      <c r="A65" s="25"/>
      <c r="B65" s="11" t="str">
        <f>CONCATENATE("          ", "6314", " - ", "LIABILITY INSURANCE")</f>
        <v xml:space="preserve">          6314 - LIABILITY INSURANCE</v>
      </c>
      <c r="C65" s="11"/>
      <c r="D65" s="6">
        <v>3883.56</v>
      </c>
      <c r="E65" s="2"/>
      <c r="F65" s="7">
        <f t="shared" si="48"/>
        <v>0</v>
      </c>
      <c r="G65" s="2"/>
      <c r="H65" s="6">
        <v>3660</v>
      </c>
      <c r="I65" s="2"/>
      <c r="J65" s="7">
        <f t="shared" si="49"/>
        <v>0</v>
      </c>
      <c r="K65" s="2"/>
      <c r="L65" s="6">
        <f t="shared" si="50"/>
        <v>223.55999999999995</v>
      </c>
      <c r="M65" s="2"/>
      <c r="N65" s="7">
        <f t="shared" si="51"/>
        <v>6.1081967213114742E-2</v>
      </c>
      <c r="O65" s="11"/>
      <c r="P65" s="6">
        <v>34952.04</v>
      </c>
      <c r="Q65" s="2"/>
      <c r="R65" s="7">
        <f t="shared" si="52"/>
        <v>0</v>
      </c>
      <c r="S65" s="2"/>
      <c r="T65" s="6">
        <v>32940</v>
      </c>
      <c r="U65" s="2"/>
      <c r="V65" s="7">
        <f t="shared" si="53"/>
        <v>0</v>
      </c>
      <c r="W65" s="2"/>
      <c r="X65" s="6">
        <f t="shared" si="54"/>
        <v>2012.0400000000009</v>
      </c>
      <c r="Y65" s="2"/>
      <c r="Z65" s="7">
        <f t="shared" si="55"/>
        <v>6.1081967213114784E-2</v>
      </c>
    </row>
    <row r="66" spans="1:26" s="27" customFormat="1" outlineLevel="1" collapsed="1" x14ac:dyDescent="0.25">
      <c r="A66" s="26"/>
      <c r="B66" s="13" t="str">
        <f>CONCATENATE("     ","Inventory Adjustment                              ")</f>
        <v xml:space="preserve">     Inventory Adjustment                              </v>
      </c>
      <c r="C66" s="13"/>
      <c r="D66" s="1">
        <f>SUM(OSRRefD22_12x_0)</f>
        <v>0</v>
      </c>
      <c r="E66" s="1"/>
      <c r="F66" s="5">
        <f t="shared" si="48"/>
        <v>0</v>
      </c>
      <c r="G66" s="1"/>
      <c r="H66" s="1">
        <f>SUM(OSRRefH22_12x_0)</f>
        <v>0</v>
      </c>
      <c r="I66" s="1"/>
      <c r="J66" s="5">
        <f t="shared" si="49"/>
        <v>0</v>
      </c>
      <c r="K66" s="1"/>
      <c r="L66" s="1">
        <f t="shared" si="50"/>
        <v>0</v>
      </c>
      <c r="M66" s="1"/>
      <c r="N66" s="5">
        <f t="shared" si="51"/>
        <v>0</v>
      </c>
      <c r="O66" s="13"/>
      <c r="P66" s="1">
        <f>SUM(OSRRefP22_12x_0)</f>
        <v>0</v>
      </c>
      <c r="Q66" s="1"/>
      <c r="R66" s="5">
        <f t="shared" si="52"/>
        <v>0</v>
      </c>
      <c r="S66" s="1"/>
      <c r="T66" s="1">
        <f>SUM(OSRRefT22_12x_0)</f>
        <v>0</v>
      </c>
      <c r="U66" s="1"/>
      <c r="V66" s="5">
        <f t="shared" si="53"/>
        <v>0</v>
      </c>
      <c r="W66" s="1"/>
      <c r="X66" s="1">
        <f t="shared" si="54"/>
        <v>0</v>
      </c>
      <c r="Y66" s="1"/>
      <c r="Z66" s="5">
        <f t="shared" si="55"/>
        <v>0</v>
      </c>
    </row>
    <row r="67" spans="1:26" s="24" customFormat="1" hidden="1" outlineLevel="2" x14ac:dyDescent="0.25">
      <c r="A67" s="25"/>
      <c r="B67" s="11" t="str">
        <f>CONCATENATE("          ", "6408", " - ", "INVENTORY ADJUSTMENT")</f>
        <v xml:space="preserve">          6408 - INVENTORY ADJUSTMENT</v>
      </c>
      <c r="C67" s="11"/>
      <c r="D67" s="6"/>
      <c r="E67" s="2"/>
      <c r="F67" s="7">
        <f t="shared" si="48"/>
        <v>0</v>
      </c>
      <c r="G67" s="2"/>
      <c r="H67" s="6">
        <v>0</v>
      </c>
      <c r="I67" s="2"/>
      <c r="J67" s="7">
        <f t="shared" si="49"/>
        <v>0</v>
      </c>
      <c r="K67" s="2"/>
      <c r="L67" s="6">
        <f t="shared" si="50"/>
        <v>0</v>
      </c>
      <c r="M67" s="2"/>
      <c r="N67" s="7">
        <f t="shared" si="51"/>
        <v>0</v>
      </c>
      <c r="O67" s="11"/>
      <c r="P67" s="6"/>
      <c r="Q67" s="2"/>
      <c r="R67" s="7">
        <f t="shared" si="52"/>
        <v>0</v>
      </c>
      <c r="S67" s="2"/>
      <c r="T67" s="6">
        <v>0</v>
      </c>
      <c r="U67" s="2"/>
      <c r="V67" s="7">
        <f t="shared" si="53"/>
        <v>0</v>
      </c>
      <c r="W67" s="2"/>
      <c r="X67" s="6">
        <f t="shared" si="54"/>
        <v>0</v>
      </c>
      <c r="Y67" s="2"/>
      <c r="Z67" s="7">
        <f t="shared" si="55"/>
        <v>0</v>
      </c>
    </row>
    <row r="68" spans="1:26" s="27" customFormat="1" outlineLevel="1" collapsed="1" x14ac:dyDescent="0.25">
      <c r="A68" s="26"/>
      <c r="B68" s="13" t="str">
        <f>CONCATENATE("     ","Professional Services                             ")</f>
        <v xml:space="preserve">     Professional Services                             </v>
      </c>
      <c r="C68" s="13"/>
      <c r="D68" s="1">
        <f>SUM(OSRRefD22_13x_0)</f>
        <v>0</v>
      </c>
      <c r="E68" s="1"/>
      <c r="F68" s="5">
        <f t="shared" si="48"/>
        <v>0</v>
      </c>
      <c r="G68" s="1"/>
      <c r="H68" s="1">
        <f>SUM(OSRRefH22_13x_0)</f>
        <v>900</v>
      </c>
      <c r="I68" s="1"/>
      <c r="J68" s="5">
        <f t="shared" si="49"/>
        <v>0</v>
      </c>
      <c r="K68" s="1"/>
      <c r="L68" s="1">
        <f t="shared" si="50"/>
        <v>-900</v>
      </c>
      <c r="M68" s="1"/>
      <c r="N68" s="5">
        <f t="shared" si="51"/>
        <v>-1</v>
      </c>
      <c r="O68" s="13"/>
      <c r="P68" s="1">
        <f>SUM(OSRRefP22_13x_0)</f>
        <v>4658.41</v>
      </c>
      <c r="Q68" s="1"/>
      <c r="R68" s="5">
        <f t="shared" si="52"/>
        <v>0</v>
      </c>
      <c r="S68" s="1"/>
      <c r="T68" s="1">
        <f>SUM(OSRRefT22_13x_0)</f>
        <v>8100</v>
      </c>
      <c r="U68" s="1"/>
      <c r="V68" s="5">
        <f t="shared" si="53"/>
        <v>0</v>
      </c>
      <c r="W68" s="1"/>
      <c r="X68" s="1">
        <f t="shared" si="54"/>
        <v>-3441.59</v>
      </c>
      <c r="Y68" s="1"/>
      <c r="Z68" s="5">
        <f t="shared" si="55"/>
        <v>-0.42488765432098768</v>
      </c>
    </row>
    <row r="69" spans="1:26" s="24" customFormat="1" hidden="1" outlineLevel="2" x14ac:dyDescent="0.25">
      <c r="A69" s="25"/>
      <c r="B69" s="11" t="str">
        <f>CONCATENATE("          ", "6336", " - ", "PROFESSIONAL SERVICES")</f>
        <v xml:space="preserve">          6336 - PROFESSIONAL SERVICES</v>
      </c>
      <c r="C69" s="11"/>
      <c r="D69" s="6"/>
      <c r="E69" s="2"/>
      <c r="F69" s="7">
        <f t="shared" si="48"/>
        <v>0</v>
      </c>
      <c r="G69" s="2"/>
      <c r="H69" s="6">
        <v>900</v>
      </c>
      <c r="I69" s="2"/>
      <c r="J69" s="7">
        <f t="shared" si="49"/>
        <v>0</v>
      </c>
      <c r="K69" s="2"/>
      <c r="L69" s="6">
        <f t="shared" si="50"/>
        <v>-900</v>
      </c>
      <c r="M69" s="2"/>
      <c r="N69" s="7">
        <f t="shared" si="51"/>
        <v>-1</v>
      </c>
      <c r="O69" s="11"/>
      <c r="P69" s="6">
        <v>4658.41</v>
      </c>
      <c r="Q69" s="2"/>
      <c r="R69" s="7">
        <f t="shared" si="52"/>
        <v>0</v>
      </c>
      <c r="S69" s="2"/>
      <c r="T69" s="6">
        <v>8100</v>
      </c>
      <c r="U69" s="2"/>
      <c r="V69" s="7">
        <f t="shared" si="53"/>
        <v>0</v>
      </c>
      <c r="W69" s="2"/>
      <c r="X69" s="6">
        <f t="shared" si="54"/>
        <v>-3441.59</v>
      </c>
      <c r="Y69" s="2"/>
      <c r="Z69" s="7">
        <f t="shared" si="55"/>
        <v>-0.42488765432098768</v>
      </c>
    </row>
    <row r="70" spans="1:26" s="27" customFormat="1" outlineLevel="1" collapsed="1" x14ac:dyDescent="0.25">
      <c r="A70" s="26"/>
      <c r="B70" s="13" t="str">
        <f>CONCATENATE("     ","Rent                                              ")</f>
        <v xml:space="preserve">     Rent                                              </v>
      </c>
      <c r="C70" s="13"/>
      <c r="D70" s="1">
        <f>SUM(OSRRefD22_14x_0)</f>
        <v>-800</v>
      </c>
      <c r="E70" s="1"/>
      <c r="F70" s="5">
        <f t="shared" si="48"/>
        <v>0</v>
      </c>
      <c r="G70" s="1"/>
      <c r="H70" s="1">
        <f>SUM(OSRRefH22_14x_0)</f>
        <v>-800</v>
      </c>
      <c r="I70" s="1"/>
      <c r="J70" s="5">
        <f t="shared" si="49"/>
        <v>0</v>
      </c>
      <c r="K70" s="1"/>
      <c r="L70" s="1">
        <f t="shared" si="50"/>
        <v>0</v>
      </c>
      <c r="M70" s="1"/>
      <c r="N70" s="5">
        <f t="shared" si="51"/>
        <v>0</v>
      </c>
      <c r="O70" s="13"/>
      <c r="P70" s="1">
        <f>SUM(OSRRefP22_14x_0)</f>
        <v>-5600</v>
      </c>
      <c r="Q70" s="1"/>
      <c r="R70" s="5">
        <f t="shared" si="52"/>
        <v>0</v>
      </c>
      <c r="S70" s="1"/>
      <c r="T70" s="1">
        <f>SUM(OSRRefT22_14x_0)</f>
        <v>-7200</v>
      </c>
      <c r="U70" s="1"/>
      <c r="V70" s="5">
        <f t="shared" si="53"/>
        <v>0</v>
      </c>
      <c r="W70" s="1"/>
      <c r="X70" s="1">
        <f t="shared" si="54"/>
        <v>1600</v>
      </c>
      <c r="Y70" s="1"/>
      <c r="Z70" s="5">
        <f t="shared" si="55"/>
        <v>-0.22222222222222221</v>
      </c>
    </row>
    <row r="71" spans="1:26" s="24" customFormat="1" hidden="1" outlineLevel="2" x14ac:dyDescent="0.25">
      <c r="A71" s="25"/>
      <c r="B71" s="11" t="str">
        <f>CONCATENATE("          ", "6273", " - ", "RENT")</f>
        <v xml:space="preserve">          6273 - RENT</v>
      </c>
      <c r="C71" s="11"/>
      <c r="D71" s="6">
        <v>-800</v>
      </c>
      <c r="E71" s="2"/>
      <c r="F71" s="7">
        <f t="shared" si="48"/>
        <v>0</v>
      </c>
      <c r="G71" s="2"/>
      <c r="H71" s="6">
        <v>-800</v>
      </c>
      <c r="I71" s="2"/>
      <c r="J71" s="7">
        <f t="shared" si="49"/>
        <v>0</v>
      </c>
      <c r="K71" s="2"/>
      <c r="L71" s="6">
        <f t="shared" si="50"/>
        <v>0</v>
      </c>
      <c r="M71" s="2"/>
      <c r="N71" s="7">
        <f t="shared" si="51"/>
        <v>0</v>
      </c>
      <c r="O71" s="11"/>
      <c r="P71" s="6">
        <v>-5600</v>
      </c>
      <c r="Q71" s="2"/>
      <c r="R71" s="7">
        <f t="shared" si="52"/>
        <v>0</v>
      </c>
      <c r="S71" s="2"/>
      <c r="T71" s="6">
        <v>-7200</v>
      </c>
      <c r="U71" s="2"/>
      <c r="V71" s="7">
        <f t="shared" si="53"/>
        <v>0</v>
      </c>
      <c r="W71" s="2"/>
      <c r="X71" s="6">
        <f t="shared" si="54"/>
        <v>1600</v>
      </c>
      <c r="Y71" s="2"/>
      <c r="Z71" s="7">
        <f t="shared" si="55"/>
        <v>-0.22222222222222221</v>
      </c>
    </row>
    <row r="72" spans="1:26" s="27" customFormat="1" outlineLevel="1" collapsed="1" x14ac:dyDescent="0.25">
      <c r="A72" s="26"/>
      <c r="B72" s="13" t="str">
        <f>CONCATENATE("     ","Repair and Maintenance                            ")</f>
        <v xml:space="preserve">     Repair and Maintenance                            </v>
      </c>
      <c r="C72" s="13"/>
      <c r="D72" s="1">
        <f>SUM(OSRRefD22_15x_0)</f>
        <v>2107.09</v>
      </c>
      <c r="E72" s="1"/>
      <c r="F72" s="5">
        <f t="shared" si="48"/>
        <v>0</v>
      </c>
      <c r="G72" s="1"/>
      <c r="H72" s="1">
        <f>SUM(OSRRefH22_15x_0)</f>
        <v>7000</v>
      </c>
      <c r="I72" s="1"/>
      <c r="J72" s="5">
        <f t="shared" si="49"/>
        <v>0</v>
      </c>
      <c r="K72" s="1"/>
      <c r="L72" s="1">
        <f t="shared" si="50"/>
        <v>-4892.91</v>
      </c>
      <c r="M72" s="1"/>
      <c r="N72" s="5">
        <f t="shared" si="51"/>
        <v>-0.69898714285714281</v>
      </c>
      <c r="O72" s="13"/>
      <c r="P72" s="1">
        <f>SUM(OSRRefP22_15x_0)</f>
        <v>58782.880000000005</v>
      </c>
      <c r="Q72" s="1"/>
      <c r="R72" s="5">
        <f t="shared" si="52"/>
        <v>0</v>
      </c>
      <c r="S72" s="1"/>
      <c r="T72" s="1">
        <f>SUM(OSRRefT22_15x_0)</f>
        <v>105285</v>
      </c>
      <c r="U72" s="1"/>
      <c r="V72" s="5">
        <f t="shared" si="53"/>
        <v>0</v>
      </c>
      <c r="W72" s="1"/>
      <c r="X72" s="1">
        <f t="shared" si="54"/>
        <v>-46502.119999999995</v>
      </c>
      <c r="Y72" s="1"/>
      <c r="Z72" s="5">
        <f t="shared" si="55"/>
        <v>-0.44167849171296952</v>
      </c>
    </row>
    <row r="73" spans="1:26" s="24" customFormat="1" hidden="1" outlineLevel="2" x14ac:dyDescent="0.25">
      <c r="A73" s="25"/>
      <c r="B73" s="11" t="str">
        <f>CONCATENATE("          ", "6371", " - ", "COMPUTER SOFTWARE MAINTENANCE")</f>
        <v xml:space="preserve">          6371 - COMPUTER SOFTWARE MAINTENANCE</v>
      </c>
      <c r="C73" s="11"/>
      <c r="D73" s="6">
        <v>631.04999999999995</v>
      </c>
      <c r="E73" s="2"/>
      <c r="F73" s="7">
        <f t="shared" si="48"/>
        <v>0</v>
      </c>
      <c r="G73" s="2"/>
      <c r="H73" s="6"/>
      <c r="I73" s="2"/>
      <c r="J73" s="7">
        <f t="shared" si="49"/>
        <v>0</v>
      </c>
      <c r="K73" s="2"/>
      <c r="L73" s="6">
        <f t="shared" si="50"/>
        <v>631.04999999999995</v>
      </c>
      <c r="M73" s="2"/>
      <c r="N73" s="7">
        <f t="shared" si="51"/>
        <v>0</v>
      </c>
      <c r="O73" s="11"/>
      <c r="P73" s="6">
        <v>15786.449999999999</v>
      </c>
      <c r="Q73" s="2"/>
      <c r="R73" s="7">
        <f t="shared" si="52"/>
        <v>0</v>
      </c>
      <c r="S73" s="2"/>
      <c r="T73" s="6">
        <v>48535</v>
      </c>
      <c r="U73" s="2"/>
      <c r="V73" s="7">
        <f t="shared" si="53"/>
        <v>0</v>
      </c>
      <c r="W73" s="2"/>
      <c r="X73" s="6">
        <f t="shared" si="54"/>
        <v>-32748.550000000003</v>
      </c>
      <c r="Y73" s="2"/>
      <c r="Z73" s="7">
        <f t="shared" si="55"/>
        <v>-0.67474090862264346</v>
      </c>
    </row>
    <row r="74" spans="1:26" s="24" customFormat="1" hidden="1" outlineLevel="2" x14ac:dyDescent="0.25">
      <c r="A74" s="25"/>
      <c r="B74" s="11" t="str">
        <f>CONCATENATE("          ", "6372", " - ", "COMPUTER HARDWARE MAINTENANCE")</f>
        <v xml:space="preserve">          6372 - COMPUTER HARDWARE MAINTENANCE</v>
      </c>
      <c r="C74" s="11"/>
      <c r="D74" s="6"/>
      <c r="E74" s="2"/>
      <c r="F74" s="7">
        <f t="shared" si="48"/>
        <v>0</v>
      </c>
      <c r="G74" s="2"/>
      <c r="H74" s="6"/>
      <c r="I74" s="2"/>
      <c r="J74" s="7">
        <f t="shared" si="49"/>
        <v>0</v>
      </c>
      <c r="K74" s="2"/>
      <c r="L74" s="6">
        <f t="shared" si="50"/>
        <v>0</v>
      </c>
      <c r="M74" s="2"/>
      <c r="N74" s="7">
        <f t="shared" si="51"/>
        <v>0</v>
      </c>
      <c r="O74" s="11"/>
      <c r="P74" s="6">
        <v>52.32</v>
      </c>
      <c r="Q74" s="2"/>
      <c r="R74" s="7">
        <f t="shared" si="52"/>
        <v>0</v>
      </c>
      <c r="S74" s="2"/>
      <c r="T74" s="6"/>
      <c r="U74" s="2"/>
      <c r="V74" s="7">
        <f t="shared" si="53"/>
        <v>0</v>
      </c>
      <c r="W74" s="2"/>
      <c r="X74" s="6">
        <f t="shared" si="54"/>
        <v>52.32</v>
      </c>
      <c r="Y74" s="2"/>
      <c r="Z74" s="7">
        <f t="shared" si="55"/>
        <v>0</v>
      </c>
    </row>
    <row r="75" spans="1:26" s="24" customFormat="1" hidden="1" outlineLevel="2" x14ac:dyDescent="0.25">
      <c r="A75" s="25"/>
      <c r="B75" s="11" t="str">
        <f>CONCATENATE("          ", "6373", " - ", "MAINTENANCE CONTRACTS")</f>
        <v xml:space="preserve">          6373 - MAINTENANCE CONTRACTS</v>
      </c>
      <c r="C75" s="11"/>
      <c r="D75" s="6">
        <v>1357.68</v>
      </c>
      <c r="E75" s="2"/>
      <c r="F75" s="7">
        <f t="shared" si="48"/>
        <v>0</v>
      </c>
      <c r="G75" s="2"/>
      <c r="H75" s="6"/>
      <c r="I75" s="2"/>
      <c r="J75" s="7">
        <f t="shared" si="49"/>
        <v>0</v>
      </c>
      <c r="K75" s="2"/>
      <c r="L75" s="6">
        <f t="shared" si="50"/>
        <v>1357.68</v>
      </c>
      <c r="M75" s="2"/>
      <c r="N75" s="7">
        <f t="shared" si="51"/>
        <v>0</v>
      </c>
      <c r="O75" s="11"/>
      <c r="P75" s="6">
        <v>8602.0499999999993</v>
      </c>
      <c r="Q75" s="2"/>
      <c r="R75" s="7">
        <f t="shared" si="52"/>
        <v>0</v>
      </c>
      <c r="S75" s="2"/>
      <c r="T75" s="6"/>
      <c r="U75" s="2"/>
      <c r="V75" s="7">
        <f t="shared" si="53"/>
        <v>0</v>
      </c>
      <c r="W75" s="2"/>
      <c r="X75" s="6">
        <f t="shared" si="54"/>
        <v>8602.0499999999993</v>
      </c>
      <c r="Y75" s="2"/>
      <c r="Z75" s="7">
        <f t="shared" si="55"/>
        <v>0</v>
      </c>
    </row>
    <row r="76" spans="1:26" s="24" customFormat="1" hidden="1" outlineLevel="2" x14ac:dyDescent="0.25">
      <c r="A76" s="25"/>
      <c r="B76" s="11" t="str">
        <f>CONCATENATE("          ", "6375", " - ", "OUTSIDE REPAIRS &amp; MAINTENANCE")</f>
        <v xml:space="preserve">          6375 - OUTSIDE REPAIRS &amp; MAINTENANCE</v>
      </c>
      <c r="C76" s="11"/>
      <c r="D76" s="6">
        <v>118.36</v>
      </c>
      <c r="E76" s="2"/>
      <c r="F76" s="7">
        <f t="shared" si="48"/>
        <v>0</v>
      </c>
      <c r="G76" s="2"/>
      <c r="H76" s="6">
        <v>7000</v>
      </c>
      <c r="I76" s="2"/>
      <c r="J76" s="7">
        <f t="shared" si="49"/>
        <v>0</v>
      </c>
      <c r="K76" s="2"/>
      <c r="L76" s="6">
        <f t="shared" si="50"/>
        <v>-6881.64</v>
      </c>
      <c r="M76" s="2"/>
      <c r="N76" s="7">
        <f t="shared" si="51"/>
        <v>-0.98309142857142862</v>
      </c>
      <c r="O76" s="11"/>
      <c r="P76" s="6">
        <v>34342.060000000005</v>
      </c>
      <c r="Q76" s="2"/>
      <c r="R76" s="7">
        <f t="shared" si="52"/>
        <v>0</v>
      </c>
      <c r="S76" s="2"/>
      <c r="T76" s="6">
        <v>56750</v>
      </c>
      <c r="U76" s="2"/>
      <c r="V76" s="7">
        <f t="shared" si="53"/>
        <v>0</v>
      </c>
      <c r="W76" s="2"/>
      <c r="X76" s="6">
        <f t="shared" si="54"/>
        <v>-22407.939999999995</v>
      </c>
      <c r="Y76" s="2"/>
      <c r="Z76" s="7">
        <f t="shared" si="55"/>
        <v>-0.39485356828193824</v>
      </c>
    </row>
    <row r="77" spans="1:26" s="27" customFormat="1" outlineLevel="1" collapsed="1" x14ac:dyDescent="0.25">
      <c r="A77" s="26"/>
      <c r="B77" s="13" t="str">
        <f>CONCATENATE("     ","Services                                          ")</f>
        <v xml:space="preserve">     Services                                          </v>
      </c>
      <c r="C77" s="13"/>
      <c r="D77" s="1">
        <f>SUM(OSRRefD22_16x_0)</f>
        <v>4330.68</v>
      </c>
      <c r="E77" s="1"/>
      <c r="F77" s="5">
        <f t="shared" ref="F77:F80" si="56">IF(D$12=0,0,D77/D$12)</f>
        <v>0</v>
      </c>
      <c r="G77" s="1"/>
      <c r="H77" s="1">
        <f>SUM(OSRRefH22_16x_0)</f>
        <v>4100</v>
      </c>
      <c r="I77" s="1"/>
      <c r="J77" s="5">
        <f t="shared" ref="J77:J80" si="57">IF(H$12=0,0,H77/H$12)</f>
        <v>0</v>
      </c>
      <c r="K77" s="1"/>
      <c r="L77" s="1">
        <f t="shared" ref="L77:L80" si="58">+D77-H77</f>
        <v>230.68000000000029</v>
      </c>
      <c r="M77" s="1"/>
      <c r="N77" s="5">
        <f t="shared" ref="N77:N80" si="59">IF(H77=0,0,L77/H77)</f>
        <v>5.6263414634146414E-2</v>
      </c>
      <c r="O77" s="13"/>
      <c r="P77" s="1">
        <f>SUM(OSRRefP22_16x_0)</f>
        <v>37150.950000000004</v>
      </c>
      <c r="Q77" s="1"/>
      <c r="R77" s="5">
        <f t="shared" ref="R77:R80" si="60">IF(P$12=0,0,P77/P$12)</f>
        <v>0</v>
      </c>
      <c r="S77" s="1"/>
      <c r="T77" s="1">
        <f>SUM(OSRRefT22_16x_0)</f>
        <v>36900</v>
      </c>
      <c r="U77" s="1"/>
      <c r="V77" s="5">
        <f t="shared" ref="V77:V80" si="61">IF(T$12=0,0,T77/T$12)</f>
        <v>0</v>
      </c>
      <c r="W77" s="1"/>
      <c r="X77" s="1">
        <f t="shared" ref="X77:X80" si="62">+P77-T77</f>
        <v>250.95000000000437</v>
      </c>
      <c r="Y77" s="1"/>
      <c r="Z77" s="5">
        <f t="shared" ref="Z77:Z80" si="63">IF(T77=0,0,X77/T77)</f>
        <v>6.8008130081301998E-3</v>
      </c>
    </row>
    <row r="78" spans="1:26" s="24" customFormat="1" hidden="1" outlineLevel="2" x14ac:dyDescent="0.25">
      <c r="A78" s="25"/>
      <c r="B78" s="11" t="str">
        <f>CONCATENATE("          ", "6282", " - ", "JANITORIAL/EXTERMINATOR EXPENS")</f>
        <v xml:space="preserve">          6282 - JANITORIAL/EXTERMINATOR EXPENS</v>
      </c>
      <c r="C78" s="11"/>
      <c r="D78" s="6">
        <v>222.5</v>
      </c>
      <c r="E78" s="2"/>
      <c r="F78" s="7">
        <f t="shared" si="56"/>
        <v>0</v>
      </c>
      <c r="G78" s="2"/>
      <c r="H78" s="6"/>
      <c r="I78" s="2"/>
      <c r="J78" s="7">
        <f t="shared" si="57"/>
        <v>0</v>
      </c>
      <c r="K78" s="2"/>
      <c r="L78" s="6">
        <f t="shared" si="58"/>
        <v>222.5</v>
      </c>
      <c r="M78" s="2"/>
      <c r="N78" s="7">
        <f t="shared" si="59"/>
        <v>0</v>
      </c>
      <c r="O78" s="11"/>
      <c r="P78" s="6">
        <v>2002.5</v>
      </c>
      <c r="Q78" s="2"/>
      <c r="R78" s="7">
        <f t="shared" si="60"/>
        <v>0</v>
      </c>
      <c r="S78" s="2"/>
      <c r="T78" s="6"/>
      <c r="U78" s="2"/>
      <c r="V78" s="7">
        <f t="shared" si="61"/>
        <v>0</v>
      </c>
      <c r="W78" s="2"/>
      <c r="X78" s="6">
        <f t="shared" si="62"/>
        <v>2002.5</v>
      </c>
      <c r="Y78" s="2"/>
      <c r="Z78" s="7">
        <f t="shared" si="63"/>
        <v>0</v>
      </c>
    </row>
    <row r="79" spans="1:26" s="24" customFormat="1" hidden="1" outlineLevel="2" x14ac:dyDescent="0.25">
      <c r="A79" s="25"/>
      <c r="B79" s="11" t="str">
        <f>CONCATENATE("          ", "6283", " - ", "PLANT SERVICE")</f>
        <v xml:space="preserve">          6283 - PLANT SERVICE</v>
      </c>
      <c r="C79" s="11"/>
      <c r="D79" s="6"/>
      <c r="E79" s="2"/>
      <c r="F79" s="7">
        <f t="shared" si="56"/>
        <v>0</v>
      </c>
      <c r="G79" s="2"/>
      <c r="H79" s="6"/>
      <c r="I79" s="2"/>
      <c r="J79" s="7">
        <f t="shared" si="57"/>
        <v>0</v>
      </c>
      <c r="K79" s="2"/>
      <c r="L79" s="6">
        <f t="shared" si="58"/>
        <v>0</v>
      </c>
      <c r="M79" s="2"/>
      <c r="N79" s="7">
        <f t="shared" si="59"/>
        <v>0</v>
      </c>
      <c r="O79" s="11"/>
      <c r="P79" s="6">
        <v>363.33</v>
      </c>
      <c r="Q79" s="2"/>
      <c r="R79" s="7">
        <f t="shared" si="60"/>
        <v>0</v>
      </c>
      <c r="S79" s="2"/>
      <c r="T79" s="6"/>
      <c r="U79" s="2"/>
      <c r="V79" s="7">
        <f t="shared" si="61"/>
        <v>0</v>
      </c>
      <c r="W79" s="2"/>
      <c r="X79" s="6">
        <f t="shared" si="62"/>
        <v>363.33</v>
      </c>
      <c r="Y79" s="2"/>
      <c r="Z79" s="7">
        <f t="shared" si="63"/>
        <v>0</v>
      </c>
    </row>
    <row r="80" spans="1:26" s="24" customFormat="1" hidden="1" outlineLevel="2" x14ac:dyDescent="0.25">
      <c r="A80" s="25"/>
      <c r="B80" s="11" t="str">
        <f>CONCATENATE("          ", "6285", " - ", "JANITORIAL SERVICES")</f>
        <v xml:space="preserve">          6285 - JANITORIAL SERVICES</v>
      </c>
      <c r="C80" s="11"/>
      <c r="D80" s="6">
        <v>4108.18</v>
      </c>
      <c r="E80" s="2"/>
      <c r="F80" s="7">
        <f t="shared" si="56"/>
        <v>0</v>
      </c>
      <c r="G80" s="2"/>
      <c r="H80" s="6">
        <v>4100</v>
      </c>
      <c r="I80" s="2"/>
      <c r="J80" s="7">
        <f t="shared" si="57"/>
        <v>0</v>
      </c>
      <c r="K80" s="2"/>
      <c r="L80" s="6">
        <f t="shared" si="58"/>
        <v>8.180000000000291</v>
      </c>
      <c r="M80" s="2"/>
      <c r="N80" s="7">
        <f t="shared" si="59"/>
        <v>1.995121951219583E-3</v>
      </c>
      <c r="O80" s="11"/>
      <c r="P80" s="6">
        <v>34785.120000000003</v>
      </c>
      <c r="Q80" s="2"/>
      <c r="R80" s="7">
        <f t="shared" si="60"/>
        <v>0</v>
      </c>
      <c r="S80" s="2"/>
      <c r="T80" s="6">
        <v>36900</v>
      </c>
      <c r="U80" s="2"/>
      <c r="V80" s="7">
        <f t="shared" si="61"/>
        <v>0</v>
      </c>
      <c r="W80" s="2"/>
      <c r="X80" s="6">
        <f t="shared" si="62"/>
        <v>-2114.8799999999974</v>
      </c>
      <c r="Y80" s="2"/>
      <c r="Z80" s="7">
        <f t="shared" si="63"/>
        <v>-5.7313821138211311E-2</v>
      </c>
    </row>
    <row r="81" spans="1:26" s="27" customFormat="1" outlineLevel="1" collapsed="1" x14ac:dyDescent="0.25">
      <c r="A81" s="26"/>
      <c r="B81" s="13" t="str">
        <f>CONCATENATE("     ","Subscriptions &amp; Dues                              ")</f>
        <v xml:space="preserve">     Subscriptions &amp; Dues                              </v>
      </c>
      <c r="C81" s="13"/>
      <c r="D81" s="1">
        <f>SUM(OSRRefD22_17x_0)</f>
        <v>0</v>
      </c>
      <c r="E81" s="1"/>
      <c r="F81" s="5">
        <f t="shared" ref="F81:F83" si="64">IF(D$12=0,0,D81/D$12)</f>
        <v>0</v>
      </c>
      <c r="G81" s="1"/>
      <c r="H81" s="1">
        <f>SUM(OSRRefH22_17x_0)</f>
        <v>100</v>
      </c>
      <c r="I81" s="1"/>
      <c r="J81" s="5">
        <f t="shared" ref="J81:J83" si="65">IF(H$12=0,0,H81/H$12)</f>
        <v>0</v>
      </c>
      <c r="K81" s="1"/>
      <c r="L81" s="1">
        <f t="shared" ref="L81:L83" si="66">+D81-H81</f>
        <v>-100</v>
      </c>
      <c r="M81" s="1"/>
      <c r="N81" s="5">
        <f t="shared" ref="N81:N83" si="67">IF(H81=0,0,L81/H81)</f>
        <v>-1</v>
      </c>
      <c r="O81" s="13"/>
      <c r="P81" s="1">
        <f>SUM(OSRRefP22_17x_0)</f>
        <v>1280.3</v>
      </c>
      <c r="Q81" s="1"/>
      <c r="R81" s="5">
        <f t="shared" ref="R81:R83" si="68">IF(P$12=0,0,P81/P$12)</f>
        <v>0</v>
      </c>
      <c r="S81" s="1"/>
      <c r="T81" s="1">
        <f>SUM(OSRRefT22_17x_0)</f>
        <v>5745</v>
      </c>
      <c r="U81" s="1"/>
      <c r="V81" s="5">
        <f t="shared" ref="V81:V83" si="69">IF(T$12=0,0,T81/T$12)</f>
        <v>0</v>
      </c>
      <c r="W81" s="1"/>
      <c r="X81" s="1">
        <f t="shared" ref="X81:X83" si="70">+P81-T81</f>
        <v>-4464.7</v>
      </c>
      <c r="Y81" s="1"/>
      <c r="Z81" s="5">
        <f t="shared" ref="Z81:Z83" si="71">IF(T81=0,0,X81/T81)</f>
        <v>-0.77714534377719757</v>
      </c>
    </row>
    <row r="82" spans="1:26" s="24" customFormat="1" hidden="1" outlineLevel="2" x14ac:dyDescent="0.25">
      <c r="A82" s="25"/>
      <c r="B82" s="11" t="str">
        <f>CONCATENATE("          ", "6258", " - ", "MEMBERSHIP DUES")</f>
        <v xml:space="preserve">          6258 - MEMBERSHIP DUES</v>
      </c>
      <c r="C82" s="11"/>
      <c r="D82" s="6"/>
      <c r="E82" s="2"/>
      <c r="F82" s="7">
        <f t="shared" si="64"/>
        <v>0</v>
      </c>
      <c r="G82" s="2"/>
      <c r="H82" s="6">
        <v>100</v>
      </c>
      <c r="I82" s="2"/>
      <c r="J82" s="7">
        <f t="shared" si="65"/>
        <v>0</v>
      </c>
      <c r="K82" s="2"/>
      <c r="L82" s="6">
        <f t="shared" si="66"/>
        <v>-100</v>
      </c>
      <c r="M82" s="2"/>
      <c r="N82" s="7">
        <f t="shared" si="67"/>
        <v>-1</v>
      </c>
      <c r="O82" s="11"/>
      <c r="P82" s="6">
        <v>875</v>
      </c>
      <c r="Q82" s="2"/>
      <c r="R82" s="7">
        <f t="shared" si="68"/>
        <v>0</v>
      </c>
      <c r="S82" s="2"/>
      <c r="T82" s="6">
        <v>5745</v>
      </c>
      <c r="U82" s="2"/>
      <c r="V82" s="7">
        <f t="shared" si="69"/>
        <v>0</v>
      </c>
      <c r="W82" s="2"/>
      <c r="X82" s="6">
        <f t="shared" si="70"/>
        <v>-4870</v>
      </c>
      <c r="Y82" s="2"/>
      <c r="Z82" s="7">
        <f t="shared" si="71"/>
        <v>-0.84769364664926028</v>
      </c>
    </row>
    <row r="83" spans="1:26" s="24" customFormat="1" hidden="1" outlineLevel="2" x14ac:dyDescent="0.25">
      <c r="A83" s="25"/>
      <c r="B83" s="11" t="str">
        <f>CONCATENATE("          ", "6275", " - ", "SUBSCRIPTIONS")</f>
        <v xml:space="preserve">          6275 - SUBSCRIPTIONS</v>
      </c>
      <c r="C83" s="11"/>
      <c r="D83" s="6"/>
      <c r="E83" s="2"/>
      <c r="F83" s="7">
        <f t="shared" si="64"/>
        <v>0</v>
      </c>
      <c r="G83" s="2"/>
      <c r="H83" s="6"/>
      <c r="I83" s="2"/>
      <c r="J83" s="7">
        <f t="shared" si="65"/>
        <v>0</v>
      </c>
      <c r="K83" s="2"/>
      <c r="L83" s="6">
        <f t="shared" si="66"/>
        <v>0</v>
      </c>
      <c r="M83" s="2"/>
      <c r="N83" s="7">
        <f t="shared" si="67"/>
        <v>0</v>
      </c>
      <c r="O83" s="11"/>
      <c r="P83" s="6">
        <v>405.3</v>
      </c>
      <c r="Q83" s="2"/>
      <c r="R83" s="7">
        <f t="shared" si="68"/>
        <v>0</v>
      </c>
      <c r="S83" s="2"/>
      <c r="T83" s="6"/>
      <c r="U83" s="2"/>
      <c r="V83" s="7">
        <f t="shared" si="69"/>
        <v>0</v>
      </c>
      <c r="W83" s="2"/>
      <c r="X83" s="6">
        <f t="shared" si="70"/>
        <v>405.3</v>
      </c>
      <c r="Y83" s="2"/>
      <c r="Z83" s="7">
        <f t="shared" si="71"/>
        <v>0</v>
      </c>
    </row>
    <row r="84" spans="1:26" s="27" customFormat="1" outlineLevel="1" collapsed="1" x14ac:dyDescent="0.25">
      <c r="A84" s="26"/>
      <c r="B84" s="13" t="str">
        <f>CONCATENATE("     ","Supplies                                          ")</f>
        <v xml:space="preserve">     Supplies                                          </v>
      </c>
      <c r="C84" s="13"/>
      <c r="D84" s="1">
        <f>SUM(OSRRefD22_18x_0)</f>
        <v>425.90000000000003</v>
      </c>
      <c r="E84" s="1"/>
      <c r="F84" s="5">
        <f t="shared" ref="F84:F90" si="72">IF(D$12=0,0,D84/D$12)</f>
        <v>0</v>
      </c>
      <c r="G84" s="1"/>
      <c r="H84" s="1">
        <f>SUM(OSRRefH22_18x_0)</f>
        <v>4250</v>
      </c>
      <c r="I84" s="1"/>
      <c r="J84" s="5">
        <f t="shared" ref="J84:J90" si="73">IF(H$12=0,0,H84/H$12)</f>
        <v>0</v>
      </c>
      <c r="K84" s="1"/>
      <c r="L84" s="1">
        <f t="shared" ref="L84:L90" si="74">+D84-H84</f>
        <v>-3824.1</v>
      </c>
      <c r="M84" s="1"/>
      <c r="N84" s="5">
        <f t="shared" ref="N84:N90" si="75">IF(H84=0,0,L84/H84)</f>
        <v>-0.89978823529411767</v>
      </c>
      <c r="O84" s="13"/>
      <c r="P84" s="1">
        <f>SUM(OSRRefP22_18x_0)</f>
        <v>13547.24</v>
      </c>
      <c r="Q84" s="1"/>
      <c r="R84" s="5">
        <f t="shared" ref="R84:R90" si="76">IF(P$12=0,0,P84/P$12)</f>
        <v>0</v>
      </c>
      <c r="S84" s="1"/>
      <c r="T84" s="1">
        <f>SUM(OSRRefT22_18x_0)</f>
        <v>38350</v>
      </c>
      <c r="U84" s="1"/>
      <c r="V84" s="5">
        <f t="shared" ref="V84:V90" si="77">IF(T$12=0,0,T84/T$12)</f>
        <v>0</v>
      </c>
      <c r="W84" s="1"/>
      <c r="X84" s="1">
        <f t="shared" ref="X84:X90" si="78">+P84-T84</f>
        <v>-24802.760000000002</v>
      </c>
      <c r="Y84" s="1"/>
      <c r="Z84" s="5">
        <f t="shared" ref="Z84:Z90" si="79">IF(T84=0,0,X84/T84)</f>
        <v>-0.64674732724902217</v>
      </c>
    </row>
    <row r="85" spans="1:26" s="24" customFormat="1" hidden="1" outlineLevel="2" x14ac:dyDescent="0.25">
      <c r="A85" s="25"/>
      <c r="B85" s="11" t="str">
        <f>CONCATENATE("          ", "6234", " - ", "EXPENDABLE SUPPLIES &amp; EQUIPMEN")</f>
        <v xml:space="preserve">          6234 - EXPENDABLE SUPPLIES &amp; EQUIPMEN</v>
      </c>
      <c r="C85" s="11"/>
      <c r="D85" s="6">
        <v>140.75</v>
      </c>
      <c r="E85" s="2"/>
      <c r="F85" s="7">
        <f t="shared" si="72"/>
        <v>0</v>
      </c>
      <c r="G85" s="2"/>
      <c r="H85" s="6"/>
      <c r="I85" s="2"/>
      <c r="J85" s="7">
        <f t="shared" si="73"/>
        <v>0</v>
      </c>
      <c r="K85" s="2"/>
      <c r="L85" s="6">
        <f t="shared" si="74"/>
        <v>140.75</v>
      </c>
      <c r="M85" s="2"/>
      <c r="N85" s="7">
        <f t="shared" si="75"/>
        <v>0</v>
      </c>
      <c r="O85" s="11"/>
      <c r="P85" s="6">
        <v>1448.29</v>
      </c>
      <c r="Q85" s="2"/>
      <c r="R85" s="7">
        <f t="shared" si="76"/>
        <v>0</v>
      </c>
      <c r="S85" s="2"/>
      <c r="T85" s="6"/>
      <c r="U85" s="2"/>
      <c r="V85" s="7">
        <f t="shared" si="77"/>
        <v>0</v>
      </c>
      <c r="W85" s="2"/>
      <c r="X85" s="6">
        <f t="shared" si="78"/>
        <v>1448.29</v>
      </c>
      <c r="Y85" s="2"/>
      <c r="Z85" s="7">
        <f t="shared" si="79"/>
        <v>0</v>
      </c>
    </row>
    <row r="86" spans="1:26" s="24" customFormat="1" hidden="1" outlineLevel="2" x14ac:dyDescent="0.25">
      <c r="A86" s="25"/>
      <c r="B86" s="11" t="str">
        <f>CONCATENATE("          ", "6237", " - ", "JANITORIAL SUPPLIES")</f>
        <v xml:space="preserve">          6237 - JANITORIAL SUPPLIES</v>
      </c>
      <c r="C86" s="11"/>
      <c r="D86" s="6">
        <v>87.82</v>
      </c>
      <c r="E86" s="2"/>
      <c r="F86" s="7">
        <f t="shared" si="72"/>
        <v>0</v>
      </c>
      <c r="G86" s="2"/>
      <c r="H86" s="6"/>
      <c r="I86" s="2"/>
      <c r="J86" s="7">
        <f t="shared" si="73"/>
        <v>0</v>
      </c>
      <c r="K86" s="2"/>
      <c r="L86" s="6">
        <f t="shared" si="74"/>
        <v>87.82</v>
      </c>
      <c r="M86" s="2"/>
      <c r="N86" s="7">
        <f t="shared" si="75"/>
        <v>0</v>
      </c>
      <c r="O86" s="11"/>
      <c r="P86" s="6">
        <v>3925.28</v>
      </c>
      <c r="Q86" s="2"/>
      <c r="R86" s="7">
        <f t="shared" si="76"/>
        <v>0</v>
      </c>
      <c r="S86" s="2"/>
      <c r="T86" s="6"/>
      <c r="U86" s="2"/>
      <c r="V86" s="7">
        <f t="shared" si="77"/>
        <v>0</v>
      </c>
      <c r="W86" s="2"/>
      <c r="X86" s="6">
        <f t="shared" si="78"/>
        <v>3925.28</v>
      </c>
      <c r="Y86" s="2"/>
      <c r="Z86" s="7">
        <f t="shared" si="79"/>
        <v>0</v>
      </c>
    </row>
    <row r="87" spans="1:26" s="24" customFormat="1" hidden="1" outlineLevel="2" x14ac:dyDescent="0.25">
      <c r="A87" s="25"/>
      <c r="B87" s="11" t="str">
        <f>CONCATENATE("          ", "6241", " - ", "OFFICE EXPENSE")</f>
        <v xml:space="preserve">          6241 - OFFICE EXPENSE</v>
      </c>
      <c r="C87" s="11"/>
      <c r="D87" s="6">
        <v>189.86</v>
      </c>
      <c r="E87" s="2"/>
      <c r="F87" s="7">
        <f t="shared" si="72"/>
        <v>0</v>
      </c>
      <c r="G87" s="2"/>
      <c r="H87" s="6"/>
      <c r="I87" s="2"/>
      <c r="J87" s="7">
        <f t="shared" si="73"/>
        <v>0</v>
      </c>
      <c r="K87" s="2"/>
      <c r="L87" s="6">
        <f t="shared" si="74"/>
        <v>189.86</v>
      </c>
      <c r="M87" s="2"/>
      <c r="N87" s="7">
        <f t="shared" si="75"/>
        <v>0</v>
      </c>
      <c r="O87" s="11"/>
      <c r="P87" s="6">
        <v>8607.59</v>
      </c>
      <c r="Q87" s="2"/>
      <c r="R87" s="7">
        <f t="shared" si="76"/>
        <v>0</v>
      </c>
      <c r="S87" s="2"/>
      <c r="T87" s="6"/>
      <c r="U87" s="2"/>
      <c r="V87" s="7">
        <f t="shared" si="77"/>
        <v>0</v>
      </c>
      <c r="W87" s="2"/>
      <c r="X87" s="6">
        <f t="shared" si="78"/>
        <v>8607.59</v>
      </c>
      <c r="Y87" s="2"/>
      <c r="Z87" s="7">
        <f t="shared" si="79"/>
        <v>0</v>
      </c>
    </row>
    <row r="88" spans="1:26" s="24" customFormat="1" hidden="1" outlineLevel="2" x14ac:dyDescent="0.25">
      <c r="A88" s="25"/>
      <c r="B88" s="11" t="str">
        <f>CONCATENATE("          ", "6245", " - ", "PRINTING")</f>
        <v xml:space="preserve">          6245 - PRINTING</v>
      </c>
      <c r="C88" s="11"/>
      <c r="D88" s="6"/>
      <c r="E88" s="2"/>
      <c r="F88" s="7">
        <f t="shared" si="72"/>
        <v>0</v>
      </c>
      <c r="G88" s="2"/>
      <c r="H88" s="6"/>
      <c r="I88" s="2"/>
      <c r="J88" s="7">
        <f t="shared" si="73"/>
        <v>0</v>
      </c>
      <c r="K88" s="2"/>
      <c r="L88" s="6">
        <f t="shared" si="74"/>
        <v>0</v>
      </c>
      <c r="M88" s="2"/>
      <c r="N88" s="7">
        <f t="shared" si="75"/>
        <v>0</v>
      </c>
      <c r="O88" s="11"/>
      <c r="P88" s="6">
        <v>19.73</v>
      </c>
      <c r="Q88" s="2"/>
      <c r="R88" s="7">
        <f t="shared" si="76"/>
        <v>0</v>
      </c>
      <c r="S88" s="2"/>
      <c r="T88" s="6"/>
      <c r="U88" s="2"/>
      <c r="V88" s="7">
        <f t="shared" si="77"/>
        <v>0</v>
      </c>
      <c r="W88" s="2"/>
      <c r="X88" s="6">
        <f t="shared" si="78"/>
        <v>19.73</v>
      </c>
      <c r="Y88" s="2"/>
      <c r="Z88" s="7">
        <f t="shared" si="79"/>
        <v>0</v>
      </c>
    </row>
    <row r="89" spans="1:26" s="24" customFormat="1" hidden="1" outlineLevel="2" x14ac:dyDescent="0.25">
      <c r="A89" s="25"/>
      <c r="B89" s="11" t="str">
        <f>CONCATENATE("          ", "6247", " - ", "STORE SUPPLIES")</f>
        <v xml:space="preserve">          6247 - STORE SUPPLIES</v>
      </c>
      <c r="C89" s="11"/>
      <c r="D89" s="6">
        <v>7.47</v>
      </c>
      <c r="E89" s="2"/>
      <c r="F89" s="7">
        <f t="shared" si="72"/>
        <v>0</v>
      </c>
      <c r="G89" s="2"/>
      <c r="H89" s="6">
        <v>3250</v>
      </c>
      <c r="I89" s="2"/>
      <c r="J89" s="7">
        <f t="shared" si="73"/>
        <v>0</v>
      </c>
      <c r="K89" s="2"/>
      <c r="L89" s="6">
        <f t="shared" si="74"/>
        <v>-3242.53</v>
      </c>
      <c r="M89" s="2"/>
      <c r="N89" s="7">
        <f t="shared" si="75"/>
        <v>-0.99770153846153853</v>
      </c>
      <c r="O89" s="11"/>
      <c r="P89" s="6">
        <v>-453.65</v>
      </c>
      <c r="Q89" s="2"/>
      <c r="R89" s="7">
        <f t="shared" si="76"/>
        <v>0</v>
      </c>
      <c r="S89" s="2"/>
      <c r="T89" s="6">
        <v>29350</v>
      </c>
      <c r="U89" s="2"/>
      <c r="V89" s="7">
        <f t="shared" si="77"/>
        <v>0</v>
      </c>
      <c r="W89" s="2"/>
      <c r="X89" s="6">
        <f t="shared" si="78"/>
        <v>-29803.65</v>
      </c>
      <c r="Y89" s="2"/>
      <c r="Z89" s="7">
        <f t="shared" si="79"/>
        <v>-1.0154565587734243</v>
      </c>
    </row>
    <row r="90" spans="1:26" s="24" customFormat="1" hidden="1" outlineLevel="2" x14ac:dyDescent="0.25">
      <c r="A90" s="25"/>
      <c r="B90" s="11" t="str">
        <f>CONCATENATE("          ", "6248", " - ", "UNIFORMS")</f>
        <v xml:space="preserve">          6248 - UNIFORMS</v>
      </c>
      <c r="C90" s="11"/>
      <c r="D90" s="6"/>
      <c r="E90" s="2"/>
      <c r="F90" s="7">
        <f t="shared" si="72"/>
        <v>0</v>
      </c>
      <c r="G90" s="2"/>
      <c r="H90" s="6">
        <v>1000</v>
      </c>
      <c r="I90" s="2"/>
      <c r="J90" s="7">
        <f t="shared" si="73"/>
        <v>0</v>
      </c>
      <c r="K90" s="2"/>
      <c r="L90" s="6">
        <f t="shared" si="74"/>
        <v>-1000</v>
      </c>
      <c r="M90" s="2"/>
      <c r="N90" s="7">
        <f t="shared" si="75"/>
        <v>-1</v>
      </c>
      <c r="O90" s="11"/>
      <c r="P90" s="6"/>
      <c r="Q90" s="2"/>
      <c r="R90" s="7">
        <f t="shared" si="76"/>
        <v>0</v>
      </c>
      <c r="S90" s="2"/>
      <c r="T90" s="6">
        <v>9000</v>
      </c>
      <c r="U90" s="2"/>
      <c r="V90" s="7">
        <f t="shared" si="77"/>
        <v>0</v>
      </c>
      <c r="W90" s="2"/>
      <c r="X90" s="6">
        <f t="shared" si="78"/>
        <v>-9000</v>
      </c>
      <c r="Y90" s="2"/>
      <c r="Z90" s="7">
        <f t="shared" si="79"/>
        <v>-1</v>
      </c>
    </row>
    <row r="91" spans="1:26" s="27" customFormat="1" outlineLevel="1" collapsed="1" x14ac:dyDescent="0.25">
      <c r="A91" s="26"/>
      <c r="B91" s="13" t="str">
        <f>CONCATENATE("     ","Telephone/Data Lines                              ")</f>
        <v xml:space="preserve">     Telephone/Data Lines                              </v>
      </c>
      <c r="C91" s="13"/>
      <c r="D91" s="1">
        <f>SUM(OSRRefD22_19x_0)</f>
        <v>481.2</v>
      </c>
      <c r="E91" s="1"/>
      <c r="F91" s="5">
        <f t="shared" ref="F91:F98" si="80">IF(D$12=0,0,D91/D$12)</f>
        <v>0</v>
      </c>
      <c r="G91" s="1"/>
      <c r="H91" s="1">
        <f>SUM(OSRRefH22_19x_0)</f>
        <v>500</v>
      </c>
      <c r="I91" s="1"/>
      <c r="J91" s="5">
        <f t="shared" ref="J91:J98" si="81">IF(H$12=0,0,H91/H$12)</f>
        <v>0</v>
      </c>
      <c r="K91" s="1"/>
      <c r="L91" s="1">
        <f t="shared" ref="L91:L98" si="82">+D91-H91</f>
        <v>-18.800000000000011</v>
      </c>
      <c r="M91" s="1"/>
      <c r="N91" s="5">
        <f t="shared" ref="N91:N98" si="83">IF(H91=0,0,L91/H91)</f>
        <v>-3.7600000000000022E-2</v>
      </c>
      <c r="O91" s="13"/>
      <c r="P91" s="1">
        <f>SUM(OSRRefP22_19x_0)</f>
        <v>4774.6000000000004</v>
      </c>
      <c r="Q91" s="1"/>
      <c r="R91" s="5">
        <f t="shared" ref="R91:R98" si="84">IF(P$12=0,0,P91/P$12)</f>
        <v>0</v>
      </c>
      <c r="S91" s="1"/>
      <c r="T91" s="1">
        <f>SUM(OSRRefT22_19x_0)</f>
        <v>4500</v>
      </c>
      <c r="U91" s="1"/>
      <c r="V91" s="5">
        <f t="shared" ref="V91:V98" si="85">IF(T$12=0,0,T91/T$12)</f>
        <v>0</v>
      </c>
      <c r="W91" s="1"/>
      <c r="X91" s="1">
        <f t="shared" ref="X91:X98" si="86">+P91-T91</f>
        <v>274.60000000000036</v>
      </c>
      <c r="Y91" s="1"/>
      <c r="Z91" s="5">
        <f t="shared" ref="Z91:Z98" si="87">IF(T91=0,0,X91/T91)</f>
        <v>6.1022222222222304E-2</v>
      </c>
    </row>
    <row r="92" spans="1:26" s="24" customFormat="1" hidden="1" outlineLevel="2" x14ac:dyDescent="0.25">
      <c r="A92" s="25"/>
      <c r="B92" s="11" t="str">
        <f>CONCATENATE("          ", "6309", " - ", "TELEPHONE")</f>
        <v xml:space="preserve">          6309 - TELEPHONE</v>
      </c>
      <c r="C92" s="11"/>
      <c r="D92" s="6">
        <v>481.2</v>
      </c>
      <c r="E92" s="2"/>
      <c r="F92" s="7">
        <f t="shared" si="80"/>
        <v>0</v>
      </c>
      <c r="G92" s="2"/>
      <c r="H92" s="6">
        <v>500</v>
      </c>
      <c r="I92" s="2"/>
      <c r="J92" s="7">
        <f t="shared" si="81"/>
        <v>0</v>
      </c>
      <c r="K92" s="2"/>
      <c r="L92" s="6">
        <f t="shared" si="82"/>
        <v>-18.800000000000011</v>
      </c>
      <c r="M92" s="2"/>
      <c r="N92" s="7">
        <f t="shared" si="83"/>
        <v>-3.7600000000000022E-2</v>
      </c>
      <c r="O92" s="11"/>
      <c r="P92" s="6">
        <v>4774.6000000000004</v>
      </c>
      <c r="Q92" s="2"/>
      <c r="R92" s="7">
        <f t="shared" si="84"/>
        <v>0</v>
      </c>
      <c r="S92" s="2"/>
      <c r="T92" s="6">
        <v>4500</v>
      </c>
      <c r="U92" s="2"/>
      <c r="V92" s="7">
        <f t="shared" si="85"/>
        <v>0</v>
      </c>
      <c r="W92" s="2"/>
      <c r="X92" s="6">
        <f t="shared" si="86"/>
        <v>274.60000000000036</v>
      </c>
      <c r="Y92" s="2"/>
      <c r="Z92" s="7">
        <f t="shared" si="87"/>
        <v>6.1022222222222304E-2</v>
      </c>
    </row>
    <row r="93" spans="1:26" s="27" customFormat="1" outlineLevel="1" collapsed="1" x14ac:dyDescent="0.25">
      <c r="A93" s="26"/>
      <c r="B93" s="13" t="str">
        <f>CONCATENATE("     ","Training                                          ")</f>
        <v xml:space="preserve">     Training                                          </v>
      </c>
      <c r="C93" s="13"/>
      <c r="D93" s="1">
        <f>SUM(OSRRefD22_20x_0)</f>
        <v>2017.8</v>
      </c>
      <c r="E93" s="1"/>
      <c r="F93" s="5">
        <f t="shared" si="80"/>
        <v>0</v>
      </c>
      <c r="G93" s="1"/>
      <c r="H93" s="1">
        <f>SUM(OSRRefH22_20x_0)</f>
        <v>1125</v>
      </c>
      <c r="I93" s="1"/>
      <c r="J93" s="5">
        <f t="shared" si="81"/>
        <v>0</v>
      </c>
      <c r="K93" s="1"/>
      <c r="L93" s="1">
        <f t="shared" si="82"/>
        <v>892.8</v>
      </c>
      <c r="M93" s="1"/>
      <c r="N93" s="5">
        <f t="shared" si="83"/>
        <v>0.79359999999999997</v>
      </c>
      <c r="O93" s="13"/>
      <c r="P93" s="1">
        <f>SUM(OSRRefP22_20x_0)</f>
        <v>10452.68</v>
      </c>
      <c r="Q93" s="1"/>
      <c r="R93" s="5">
        <f t="shared" si="84"/>
        <v>0</v>
      </c>
      <c r="S93" s="1"/>
      <c r="T93" s="1">
        <f>SUM(OSRRefT22_20x_0)</f>
        <v>10125</v>
      </c>
      <c r="U93" s="1"/>
      <c r="V93" s="5">
        <f t="shared" si="85"/>
        <v>0</v>
      </c>
      <c r="W93" s="1"/>
      <c r="X93" s="1">
        <f t="shared" si="86"/>
        <v>327.68000000000029</v>
      </c>
      <c r="Y93" s="1"/>
      <c r="Z93" s="5">
        <f t="shared" si="87"/>
        <v>3.2363456790123486E-2</v>
      </c>
    </row>
    <row r="94" spans="1:26" s="24" customFormat="1" hidden="1" outlineLevel="2" x14ac:dyDescent="0.25">
      <c r="A94" s="25"/>
      <c r="B94" s="11" t="str">
        <f>CONCATENATE("          ", "6376", " - ", "TRAINING")</f>
        <v xml:space="preserve">          6376 - TRAINING</v>
      </c>
      <c r="C94" s="11"/>
      <c r="D94" s="6">
        <v>2017.8</v>
      </c>
      <c r="E94" s="2"/>
      <c r="F94" s="7">
        <f t="shared" si="80"/>
        <v>0</v>
      </c>
      <c r="G94" s="2"/>
      <c r="H94" s="6">
        <v>1125</v>
      </c>
      <c r="I94" s="2"/>
      <c r="J94" s="7">
        <f t="shared" si="81"/>
        <v>0</v>
      </c>
      <c r="K94" s="2"/>
      <c r="L94" s="6">
        <f t="shared" si="82"/>
        <v>892.8</v>
      </c>
      <c r="M94" s="2"/>
      <c r="N94" s="7">
        <f t="shared" si="83"/>
        <v>0.79359999999999997</v>
      </c>
      <c r="O94" s="11"/>
      <c r="P94" s="6">
        <v>10452.68</v>
      </c>
      <c r="Q94" s="2"/>
      <c r="R94" s="7">
        <f t="shared" si="84"/>
        <v>0</v>
      </c>
      <c r="S94" s="2"/>
      <c r="T94" s="6">
        <v>10125</v>
      </c>
      <c r="U94" s="2"/>
      <c r="V94" s="7">
        <f t="shared" si="85"/>
        <v>0</v>
      </c>
      <c r="W94" s="2"/>
      <c r="X94" s="6">
        <f t="shared" si="86"/>
        <v>327.68000000000029</v>
      </c>
      <c r="Y94" s="2"/>
      <c r="Z94" s="7">
        <f t="shared" si="87"/>
        <v>3.2363456790123486E-2</v>
      </c>
    </row>
    <row r="95" spans="1:26" s="27" customFormat="1" outlineLevel="1" collapsed="1" x14ac:dyDescent="0.25">
      <c r="A95" s="26"/>
      <c r="B95" s="13" t="str">
        <f>CONCATENATE("     ","Travel                                            ")</f>
        <v xml:space="preserve">     Travel                                            </v>
      </c>
      <c r="C95" s="13"/>
      <c r="D95" s="1">
        <f>SUM(OSRRefD22_21x_0)</f>
        <v>146.04</v>
      </c>
      <c r="E95" s="1"/>
      <c r="F95" s="5">
        <f t="shared" si="80"/>
        <v>0</v>
      </c>
      <c r="G95" s="1"/>
      <c r="H95" s="1">
        <f>SUM(OSRRefH22_21x_0)</f>
        <v>0</v>
      </c>
      <c r="I95" s="1"/>
      <c r="J95" s="5">
        <f t="shared" si="81"/>
        <v>0</v>
      </c>
      <c r="K95" s="1"/>
      <c r="L95" s="1">
        <f t="shared" si="82"/>
        <v>146.04</v>
      </c>
      <c r="M95" s="1"/>
      <c r="N95" s="5">
        <f t="shared" si="83"/>
        <v>0</v>
      </c>
      <c r="O95" s="13"/>
      <c r="P95" s="1">
        <f>SUM(OSRRefP22_21x_0)</f>
        <v>858.44</v>
      </c>
      <c r="Q95" s="1"/>
      <c r="R95" s="5">
        <f t="shared" si="84"/>
        <v>0</v>
      </c>
      <c r="S95" s="1"/>
      <c r="T95" s="1">
        <f>SUM(OSRRefT22_21x_0)</f>
        <v>0</v>
      </c>
      <c r="U95" s="1"/>
      <c r="V95" s="5">
        <f t="shared" si="85"/>
        <v>0</v>
      </c>
      <c r="W95" s="1"/>
      <c r="X95" s="1">
        <f t="shared" si="86"/>
        <v>858.44</v>
      </c>
      <c r="Y95" s="1"/>
      <c r="Z95" s="5">
        <f t="shared" si="87"/>
        <v>0</v>
      </c>
    </row>
    <row r="96" spans="1:26" s="24" customFormat="1" hidden="1" outlineLevel="2" x14ac:dyDescent="0.25">
      <c r="A96" s="25"/>
      <c r="B96" s="11" t="str">
        <f>CONCATENATE("          ", "6292", " - ", "TRAVEL/CONFERENCE")</f>
        <v xml:space="preserve">          6292 - TRAVEL/CONFERENCE</v>
      </c>
      <c r="C96" s="11"/>
      <c r="D96" s="6">
        <v>91.1</v>
      </c>
      <c r="E96" s="2"/>
      <c r="F96" s="7">
        <f t="shared" si="80"/>
        <v>0</v>
      </c>
      <c r="G96" s="2"/>
      <c r="H96" s="6"/>
      <c r="I96" s="2"/>
      <c r="J96" s="7">
        <f t="shared" si="81"/>
        <v>0</v>
      </c>
      <c r="K96" s="2"/>
      <c r="L96" s="6">
        <f t="shared" si="82"/>
        <v>91.1</v>
      </c>
      <c r="M96" s="2"/>
      <c r="N96" s="7">
        <f t="shared" si="83"/>
        <v>0</v>
      </c>
      <c r="O96" s="11"/>
      <c r="P96" s="6">
        <v>636.70000000000005</v>
      </c>
      <c r="Q96" s="2"/>
      <c r="R96" s="7">
        <f t="shared" si="84"/>
        <v>0</v>
      </c>
      <c r="S96" s="2"/>
      <c r="T96" s="6"/>
      <c r="U96" s="2"/>
      <c r="V96" s="7">
        <f t="shared" si="85"/>
        <v>0</v>
      </c>
      <c r="W96" s="2"/>
      <c r="X96" s="6">
        <f t="shared" si="86"/>
        <v>636.70000000000005</v>
      </c>
      <c r="Y96" s="2"/>
      <c r="Z96" s="7">
        <f t="shared" si="87"/>
        <v>0</v>
      </c>
    </row>
    <row r="97" spans="1:26" s="24" customFormat="1" hidden="1" outlineLevel="2" x14ac:dyDescent="0.25">
      <c r="A97" s="25"/>
      <c r="B97" s="11" t="str">
        <f>CONCATENATE("          ", "6294", " - ", "TRAVEL OPERATIONAL")</f>
        <v xml:space="preserve">          6294 - TRAVEL OPERATIONAL</v>
      </c>
      <c r="C97" s="11"/>
      <c r="D97" s="6"/>
      <c r="E97" s="2"/>
      <c r="F97" s="7">
        <f t="shared" si="80"/>
        <v>0</v>
      </c>
      <c r="G97" s="2"/>
      <c r="H97" s="6"/>
      <c r="I97" s="2"/>
      <c r="J97" s="7">
        <f t="shared" si="81"/>
        <v>0</v>
      </c>
      <c r="K97" s="2"/>
      <c r="L97" s="6">
        <f t="shared" si="82"/>
        <v>0</v>
      </c>
      <c r="M97" s="2"/>
      <c r="N97" s="7">
        <f t="shared" si="83"/>
        <v>0</v>
      </c>
      <c r="O97" s="11"/>
      <c r="P97" s="6">
        <v>-144.33000000000001</v>
      </c>
      <c r="Q97" s="2"/>
      <c r="R97" s="7">
        <f t="shared" si="84"/>
        <v>0</v>
      </c>
      <c r="S97" s="2"/>
      <c r="T97" s="6"/>
      <c r="U97" s="2"/>
      <c r="V97" s="7">
        <f t="shared" si="85"/>
        <v>0</v>
      </c>
      <c r="W97" s="2"/>
      <c r="X97" s="6">
        <f t="shared" si="86"/>
        <v>-144.33000000000001</v>
      </c>
      <c r="Y97" s="2"/>
      <c r="Z97" s="7">
        <f t="shared" si="87"/>
        <v>0</v>
      </c>
    </row>
    <row r="98" spans="1:26" s="24" customFormat="1" hidden="1" outlineLevel="2" x14ac:dyDescent="0.25">
      <c r="A98" s="25"/>
      <c r="B98" s="11" t="str">
        <f>CONCATENATE("          ", "6298", " - ", "VEHICLE MILEAGE")</f>
        <v xml:space="preserve">          6298 - VEHICLE MILEAGE</v>
      </c>
      <c r="C98" s="11"/>
      <c r="D98" s="6">
        <v>54.94</v>
      </c>
      <c r="E98" s="2"/>
      <c r="F98" s="7">
        <f t="shared" si="80"/>
        <v>0</v>
      </c>
      <c r="G98" s="2"/>
      <c r="H98" s="6"/>
      <c r="I98" s="2"/>
      <c r="J98" s="7">
        <f t="shared" si="81"/>
        <v>0</v>
      </c>
      <c r="K98" s="2"/>
      <c r="L98" s="6">
        <f t="shared" si="82"/>
        <v>54.94</v>
      </c>
      <c r="M98" s="2"/>
      <c r="N98" s="7">
        <f t="shared" si="83"/>
        <v>0</v>
      </c>
      <c r="O98" s="11"/>
      <c r="P98" s="6">
        <v>366.07</v>
      </c>
      <c r="Q98" s="2"/>
      <c r="R98" s="7">
        <f t="shared" si="84"/>
        <v>0</v>
      </c>
      <c r="S98" s="2"/>
      <c r="T98" s="6"/>
      <c r="U98" s="2"/>
      <c r="V98" s="7">
        <f t="shared" si="85"/>
        <v>0</v>
      </c>
      <c r="W98" s="2"/>
      <c r="X98" s="6">
        <f t="shared" si="86"/>
        <v>366.07</v>
      </c>
      <c r="Y98" s="2"/>
      <c r="Z98" s="7">
        <f t="shared" si="87"/>
        <v>0</v>
      </c>
    </row>
    <row r="99" spans="1:26" s="27" customFormat="1" outlineLevel="1" collapsed="1" x14ac:dyDescent="0.25">
      <c r="A99" s="26"/>
      <c r="B99" s="13" t="str">
        <f>CONCATENATE("     ","Utilities                                         ")</f>
        <v xml:space="preserve">     Utilities                                         </v>
      </c>
      <c r="C99" s="13"/>
      <c r="D99" s="1">
        <f>SUM(OSRRefD22_22x_0)</f>
        <v>6133</v>
      </c>
      <c r="E99" s="1"/>
      <c r="F99" s="5">
        <f t="shared" ref="F99:F100" si="88">IF(D$12=0,0,D99/D$12)</f>
        <v>0</v>
      </c>
      <c r="G99" s="1"/>
      <c r="H99" s="1">
        <f>SUM(OSRRefH22_22x_0)</f>
        <v>5000</v>
      </c>
      <c r="I99" s="1"/>
      <c r="J99" s="5">
        <f t="shared" ref="J99:J100" si="89">IF(H$12=0,0,H99/H$12)</f>
        <v>0</v>
      </c>
      <c r="K99" s="1"/>
      <c r="L99" s="1">
        <f t="shared" ref="L99:L100" si="90">+D99-H99</f>
        <v>1133</v>
      </c>
      <c r="M99" s="1"/>
      <c r="N99" s="5">
        <f t="shared" ref="N99:N100" si="91">IF(H99=0,0,L99/H99)</f>
        <v>0.2266</v>
      </c>
      <c r="O99" s="13"/>
      <c r="P99" s="1">
        <f>SUM(OSRRefP22_22x_0)</f>
        <v>50138</v>
      </c>
      <c r="Q99" s="1"/>
      <c r="R99" s="5">
        <f t="shared" ref="R99:R100" si="92">IF(P$12=0,0,P99/P$12)</f>
        <v>0</v>
      </c>
      <c r="S99" s="1"/>
      <c r="T99" s="1">
        <f>SUM(OSRRefT22_22x_0)</f>
        <v>45000</v>
      </c>
      <c r="U99" s="1"/>
      <c r="V99" s="5">
        <f t="shared" ref="V99:V100" si="93">IF(T$12=0,0,T99/T$12)</f>
        <v>0</v>
      </c>
      <c r="W99" s="1"/>
      <c r="X99" s="1">
        <f t="shared" ref="X99:X100" si="94">+P99-T99</f>
        <v>5138</v>
      </c>
      <c r="Y99" s="1"/>
      <c r="Z99" s="5">
        <f t="shared" ref="Z99:Z100" si="95">IF(T99=0,0,X99/T99)</f>
        <v>0.11417777777777778</v>
      </c>
    </row>
    <row r="100" spans="1:26" s="24" customFormat="1" hidden="1" outlineLevel="2" x14ac:dyDescent="0.25">
      <c r="A100" s="25"/>
      <c r="B100" s="11" t="str">
        <f>CONCATENATE("          ", "6274", " - ", "UTILITIES")</f>
        <v xml:space="preserve">          6274 - UTILITIES</v>
      </c>
      <c r="C100" s="11"/>
      <c r="D100" s="6">
        <v>6133</v>
      </c>
      <c r="E100" s="2"/>
      <c r="F100" s="7">
        <f t="shared" si="88"/>
        <v>0</v>
      </c>
      <c r="G100" s="2"/>
      <c r="H100" s="6">
        <v>5000</v>
      </c>
      <c r="I100" s="2"/>
      <c r="J100" s="7">
        <f t="shared" si="89"/>
        <v>0</v>
      </c>
      <c r="K100" s="2"/>
      <c r="L100" s="6">
        <f t="shared" si="90"/>
        <v>1133</v>
      </c>
      <c r="M100" s="2"/>
      <c r="N100" s="7">
        <f t="shared" si="91"/>
        <v>0.2266</v>
      </c>
      <c r="O100" s="11"/>
      <c r="P100" s="6">
        <v>50138</v>
      </c>
      <c r="Q100" s="2"/>
      <c r="R100" s="7">
        <f t="shared" si="92"/>
        <v>0</v>
      </c>
      <c r="S100" s="2"/>
      <c r="T100" s="6">
        <v>45000</v>
      </c>
      <c r="U100" s="2"/>
      <c r="V100" s="7">
        <f t="shared" si="93"/>
        <v>0</v>
      </c>
      <c r="W100" s="2"/>
      <c r="X100" s="6">
        <f t="shared" si="94"/>
        <v>5138</v>
      </c>
      <c r="Y100" s="2"/>
      <c r="Z100" s="7">
        <f t="shared" si="95"/>
        <v>0.11417777777777778</v>
      </c>
    </row>
    <row r="101" spans="1:26" s="56" customFormat="1" x14ac:dyDescent="0.25">
      <c r="A101" s="36"/>
      <c r="B101" s="36"/>
      <c r="C101" s="36"/>
      <c r="D101" s="1"/>
      <c r="E101" s="1"/>
      <c r="F101" s="5"/>
      <c r="G101" s="1"/>
      <c r="H101" s="1"/>
      <c r="I101" s="1"/>
      <c r="J101" s="5"/>
      <c r="K101" s="1"/>
      <c r="L101" s="1"/>
      <c r="M101" s="1"/>
      <c r="N101" s="5"/>
      <c r="O101" s="36"/>
      <c r="P101" s="1"/>
      <c r="Q101" s="1"/>
      <c r="R101" s="5"/>
      <c r="S101" s="1"/>
      <c r="T101" s="1"/>
      <c r="U101" s="1"/>
      <c r="V101" s="5"/>
      <c r="W101" s="1"/>
      <c r="X101" s="1"/>
      <c r="Y101" s="1"/>
      <c r="Z101" s="5"/>
    </row>
    <row r="102" spans="1:26" s="23" customFormat="1" collapsed="1" x14ac:dyDescent="0.25">
      <c r="A102" s="10"/>
      <c r="B102" s="29" t="s">
        <v>0</v>
      </c>
      <c r="C102" s="10"/>
      <c r="D102" s="4">
        <f>SUM(OSRRefD25x_0)</f>
        <v>17656.7</v>
      </c>
      <c r="E102" s="4"/>
      <c r="F102" s="12">
        <f t="shared" ref="F102:F106" si="96">IF(D$12=0,0,D102/D$12)</f>
        <v>0</v>
      </c>
      <c r="G102" s="4"/>
      <c r="H102" s="4">
        <f>SUM(OSRRefH25x_0)</f>
        <v>24000</v>
      </c>
      <c r="I102" s="4"/>
      <c r="J102" s="12">
        <f t="shared" ref="J102:J106" si="97">IF(H$12=0,0,H102/H$12)</f>
        <v>0</v>
      </c>
      <c r="K102" s="4"/>
      <c r="L102" s="4">
        <f t="shared" ref="L102:L106" si="98">+D102-H102</f>
        <v>-6343.2999999999993</v>
      </c>
      <c r="M102" s="4"/>
      <c r="N102" s="12">
        <f t="shared" ref="N102:N106" si="99">IF(H102=0,0,L102/H102)</f>
        <v>-0.26430416666666662</v>
      </c>
      <c r="O102" s="10"/>
      <c r="P102" s="4">
        <f>SUM(OSRRefP25x_0)</f>
        <v>208877.41999999998</v>
      </c>
      <c r="Q102" s="4"/>
      <c r="R102" s="12">
        <f t="shared" ref="R102:R106" si="100">IF(P$12=0,0,P102/P$12)</f>
        <v>0</v>
      </c>
      <c r="S102" s="4"/>
      <c r="T102" s="4">
        <f>SUM(OSRRefT25x_0)</f>
        <v>216000</v>
      </c>
      <c r="U102" s="4"/>
      <c r="V102" s="12">
        <f t="shared" ref="V102:V106" si="101">IF(T$12=0,0,T102/T$12)</f>
        <v>0</v>
      </c>
      <c r="W102" s="4"/>
      <c r="X102" s="4">
        <f t="shared" ref="X102:X106" si="102">+P102-T102</f>
        <v>-7122.5800000000163</v>
      </c>
      <c r="Y102" s="4"/>
      <c r="Z102" s="12">
        <f t="shared" ref="Z102:Z106" si="103">IF(T102=0,0,X102/T102)</f>
        <v>-3.297490740740748E-2</v>
      </c>
    </row>
    <row r="103" spans="1:26" s="24" customFormat="1" hidden="1" outlineLevel="1" x14ac:dyDescent="0.25">
      <c r="A103" s="44"/>
      <c r="B103" s="11" t="str">
        <f>CONCATENATE("          ", "9150", " - ", "MISC. INCOME")</f>
        <v xml:space="preserve">          9150 - MISC. INCOME</v>
      </c>
      <c r="C103" s="11"/>
      <c r="D103" s="2">
        <f>--4341.66</f>
        <v>4341.66</v>
      </c>
      <c r="E103" s="2"/>
      <c r="F103" s="19">
        <f t="shared" si="96"/>
        <v>0</v>
      </c>
      <c r="G103" s="2"/>
      <c r="H103" s="2">
        <v>21500</v>
      </c>
      <c r="I103" s="2"/>
      <c r="J103" s="19">
        <f t="shared" si="97"/>
        <v>0</v>
      </c>
      <c r="K103" s="2"/>
      <c r="L103" s="2">
        <f t="shared" si="98"/>
        <v>-17158.34</v>
      </c>
      <c r="M103" s="2"/>
      <c r="N103" s="19">
        <f t="shared" si="99"/>
        <v>-0.79806232558139534</v>
      </c>
      <c r="O103" s="11"/>
      <c r="P103" s="2">
        <f>--201779.02</f>
        <v>201779.02</v>
      </c>
      <c r="Q103" s="2"/>
      <c r="R103" s="19">
        <f t="shared" si="100"/>
        <v>0</v>
      </c>
      <c r="S103" s="2"/>
      <c r="T103" s="2">
        <v>193500</v>
      </c>
      <c r="U103" s="2"/>
      <c r="V103" s="19">
        <f t="shared" si="101"/>
        <v>0</v>
      </c>
      <c r="W103" s="2"/>
      <c r="X103" s="2">
        <f t="shared" si="102"/>
        <v>8279.0199999999895</v>
      </c>
      <c r="Y103" s="2"/>
      <c r="Z103" s="19">
        <f t="shared" si="103"/>
        <v>4.2785633074935346E-2</v>
      </c>
    </row>
    <row r="104" spans="1:26" s="24" customFormat="1" hidden="1" outlineLevel="1" x14ac:dyDescent="0.25">
      <c r="A104" s="44"/>
      <c r="B104" s="11" t="str">
        <f>CONCATENATE("          ", "9151", " - ", "MISC. INCOME")</f>
        <v xml:space="preserve">          9151 - MISC. INCOME</v>
      </c>
      <c r="C104" s="11"/>
      <c r="D104" s="2">
        <f>--13315.04</f>
        <v>13315.04</v>
      </c>
      <c r="E104" s="2"/>
      <c r="F104" s="19">
        <f t="shared" si="96"/>
        <v>0</v>
      </c>
      <c r="G104" s="2"/>
      <c r="H104" s="2">
        <v>500</v>
      </c>
      <c r="I104" s="2"/>
      <c r="J104" s="19">
        <f t="shared" si="97"/>
        <v>0</v>
      </c>
      <c r="K104" s="2"/>
      <c r="L104" s="2">
        <f t="shared" si="98"/>
        <v>12815.04</v>
      </c>
      <c r="M104" s="2"/>
      <c r="N104" s="19">
        <f t="shared" si="99"/>
        <v>25.630080000000003</v>
      </c>
      <c r="O104" s="11"/>
      <c r="P104" s="2">
        <f>--6648.4</f>
        <v>6648.4</v>
      </c>
      <c r="Q104" s="2"/>
      <c r="R104" s="19">
        <f t="shared" si="100"/>
        <v>0</v>
      </c>
      <c r="S104" s="2"/>
      <c r="T104" s="2">
        <v>4500</v>
      </c>
      <c r="U104" s="2"/>
      <c r="V104" s="19">
        <f t="shared" si="101"/>
        <v>0</v>
      </c>
      <c r="W104" s="2"/>
      <c r="X104" s="2">
        <f t="shared" si="102"/>
        <v>2148.3999999999996</v>
      </c>
      <c r="Y104" s="2"/>
      <c r="Z104" s="19">
        <f t="shared" si="103"/>
        <v>0.47742222222222214</v>
      </c>
    </row>
    <row r="105" spans="1:26" s="24" customFormat="1" hidden="1" outlineLevel="1" x14ac:dyDescent="0.25">
      <c r="A105" s="44"/>
      <c r="B105" s="11" t="str">
        <f>CONCATENATE("          ", "9153", " - ", "MISC. INCOME")</f>
        <v xml:space="preserve">          9153 - MISC. INCOME</v>
      </c>
      <c r="C105" s="11"/>
      <c r="D105" s="2">
        <f t="shared" ref="D105:D106" si="104">0</f>
        <v>0</v>
      </c>
      <c r="E105" s="2"/>
      <c r="F105" s="19">
        <f t="shared" si="96"/>
        <v>0</v>
      </c>
      <c r="G105" s="2"/>
      <c r="H105" s="2"/>
      <c r="I105" s="2"/>
      <c r="J105" s="19">
        <f t="shared" si="97"/>
        <v>0</v>
      </c>
      <c r="K105" s="2"/>
      <c r="L105" s="2">
        <f t="shared" si="98"/>
        <v>0</v>
      </c>
      <c r="M105" s="2"/>
      <c r="N105" s="19">
        <f t="shared" si="99"/>
        <v>0</v>
      </c>
      <c r="O105" s="11"/>
      <c r="P105" s="2">
        <f>--450</f>
        <v>450</v>
      </c>
      <c r="Q105" s="2"/>
      <c r="R105" s="19">
        <f t="shared" si="100"/>
        <v>0</v>
      </c>
      <c r="S105" s="2"/>
      <c r="T105" s="2"/>
      <c r="U105" s="2"/>
      <c r="V105" s="19">
        <f t="shared" si="101"/>
        <v>0</v>
      </c>
      <c r="W105" s="2"/>
      <c r="X105" s="2">
        <f t="shared" si="102"/>
        <v>450</v>
      </c>
      <c r="Y105" s="2"/>
      <c r="Z105" s="19">
        <f t="shared" si="103"/>
        <v>0</v>
      </c>
    </row>
    <row r="106" spans="1:26" s="24" customFormat="1" hidden="1" outlineLevel="1" x14ac:dyDescent="0.25">
      <c r="A106" s="44"/>
      <c r="B106" s="11" t="str">
        <f>CONCATENATE("          ", "9160", " - ", "MISC. INCOME")</f>
        <v xml:space="preserve">          9160 - MISC. INCOME</v>
      </c>
      <c r="C106" s="11"/>
      <c r="D106" s="2">
        <f t="shared" si="104"/>
        <v>0</v>
      </c>
      <c r="E106" s="2"/>
      <c r="F106" s="19">
        <f t="shared" si="96"/>
        <v>0</v>
      </c>
      <c r="G106" s="2"/>
      <c r="H106" s="2">
        <v>2000</v>
      </c>
      <c r="I106" s="2"/>
      <c r="J106" s="19">
        <f t="shared" si="97"/>
        <v>0</v>
      </c>
      <c r="K106" s="2"/>
      <c r="L106" s="2">
        <f t="shared" si="98"/>
        <v>-2000</v>
      </c>
      <c r="M106" s="2"/>
      <c r="N106" s="19">
        <f t="shared" si="99"/>
        <v>-1</v>
      </c>
      <c r="O106" s="11"/>
      <c r="P106" s="2">
        <f>0</f>
        <v>0</v>
      </c>
      <c r="Q106" s="2"/>
      <c r="R106" s="19">
        <f t="shared" si="100"/>
        <v>0</v>
      </c>
      <c r="S106" s="2"/>
      <c r="T106" s="2">
        <v>18000</v>
      </c>
      <c r="U106" s="2"/>
      <c r="V106" s="19">
        <f t="shared" si="101"/>
        <v>0</v>
      </c>
      <c r="W106" s="2"/>
      <c r="X106" s="2">
        <f t="shared" si="102"/>
        <v>-18000</v>
      </c>
      <c r="Y106" s="2"/>
      <c r="Z106" s="19">
        <f t="shared" si="103"/>
        <v>-1</v>
      </c>
    </row>
    <row r="107" spans="1:26" x14ac:dyDescent="0.25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10"/>
      <c r="B108" s="28" t="s">
        <v>3</v>
      </c>
      <c r="C108" s="28"/>
      <c r="D108" s="20">
        <f>+D16-D18+D102</f>
        <v>-54888.860000000015</v>
      </c>
      <c r="E108" s="14"/>
      <c r="F108" s="22">
        <f>IF(D$12=0,0,D108/D$12)</f>
        <v>0</v>
      </c>
      <c r="G108" s="14"/>
      <c r="H108" s="20">
        <f>+H16-H18+H102</f>
        <v>-109375.99499911693</v>
      </c>
      <c r="I108" s="14"/>
      <c r="J108" s="22">
        <f>IF(H$12=0,0,H108/H$12)</f>
        <v>0</v>
      </c>
      <c r="K108" s="16"/>
      <c r="L108" s="20">
        <f>+D108-H108</f>
        <v>54487.134999116912</v>
      </c>
      <c r="M108" s="16"/>
      <c r="N108" s="22">
        <f>IF(H108=0,0,L108/H108)</f>
        <v>-0.49816355955945202</v>
      </c>
      <c r="O108" s="29"/>
      <c r="P108" s="20">
        <f>+P16-P18+P102</f>
        <v>-887759.39999999991</v>
      </c>
      <c r="Q108" s="14"/>
      <c r="R108" s="22">
        <f>IF(P$12=0,0,P108/P$12)</f>
        <v>0</v>
      </c>
      <c r="S108" s="14"/>
      <c r="T108" s="20">
        <f>+T16-T18+T102</f>
        <v>-1099565.5799970776</v>
      </c>
      <c r="U108" s="14"/>
      <c r="V108" s="22">
        <f>IF(T$12=0,0,T108/T$12)</f>
        <v>0</v>
      </c>
      <c r="W108" s="16"/>
      <c r="X108" s="20">
        <f>+P108-T108</f>
        <v>211806.17999707768</v>
      </c>
      <c r="Y108" s="16"/>
      <c r="Z108" s="22">
        <f>IF(T108=0,0,X108/T108)</f>
        <v>-0.19262714643872411</v>
      </c>
    </row>
    <row r="109" spans="1:26" x14ac:dyDescent="0.25">
      <c r="A109" s="9"/>
      <c r="B109" s="10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25">
      <c r="A110" s="52"/>
      <c r="B110" s="10" t="s">
        <v>14</v>
      </c>
      <c r="C110" s="10"/>
      <c r="D110" s="4"/>
      <c r="E110" s="4"/>
      <c r="F110" s="12">
        <f>IF(D$12=0,0,D110/D$12)</f>
        <v>0</v>
      </c>
      <c r="G110" s="4"/>
      <c r="H110" s="4"/>
      <c r="I110" s="4"/>
      <c r="J110" s="12">
        <f>IF(H$12=0,0,H110/H$12)</f>
        <v>0</v>
      </c>
      <c r="K110" s="4"/>
      <c r="L110" s="4">
        <f>+D110-H110</f>
        <v>0</v>
      </c>
      <c r="M110" s="4"/>
      <c r="N110" s="12">
        <f>IF(H110=0,0,L110/H110)</f>
        <v>0</v>
      </c>
      <c r="O110" s="10"/>
      <c r="P110" s="4"/>
      <c r="Q110" s="4"/>
      <c r="R110" s="12">
        <f>IF(P$12=0,0,P110/P$12)</f>
        <v>0</v>
      </c>
      <c r="S110" s="4"/>
      <c r="T110" s="4"/>
      <c r="U110" s="4"/>
      <c r="V110" s="12">
        <f>IF(T$12=0,0,T110/T$12)</f>
        <v>0</v>
      </c>
      <c r="W110" s="4"/>
      <c r="X110" s="4">
        <f>+P110-T110</f>
        <v>0</v>
      </c>
      <c r="Y110" s="4"/>
      <c r="Z110" s="12">
        <f>IF(T110=0,0,X110/T110)</f>
        <v>0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ht="15.75" thickBot="1" x14ac:dyDescent="0.3">
      <c r="A112" s="10"/>
      <c r="B112" s="28" t="s">
        <v>4</v>
      </c>
      <c r="C112" s="28"/>
      <c r="D112" s="31">
        <f>+D108-D110</f>
        <v>-54888.860000000015</v>
      </c>
      <c r="E112" s="14"/>
      <c r="F112" s="34">
        <f>IF(D$12=0,0,D112/D$12)</f>
        <v>0</v>
      </c>
      <c r="G112" s="14"/>
      <c r="H112" s="31">
        <f>+H108-H110</f>
        <v>-109375.99499911693</v>
      </c>
      <c r="I112" s="14"/>
      <c r="J112" s="34">
        <f>IF(H$12=0,0,H112/H$12)</f>
        <v>0</v>
      </c>
      <c r="K112" s="16"/>
      <c r="L112" s="31">
        <f>D112-H112</f>
        <v>54487.134999116912</v>
      </c>
      <c r="M112" s="16"/>
      <c r="N112" s="34">
        <f>IF(H112=0,0,L112/H112)</f>
        <v>-0.49816355955945202</v>
      </c>
      <c r="O112" s="29"/>
      <c r="P112" s="31">
        <f>+P108-P110</f>
        <v>-887759.39999999991</v>
      </c>
      <c r="Q112" s="14"/>
      <c r="R112" s="34">
        <f>IF(P$12=0,0,P112/P$12)</f>
        <v>0</v>
      </c>
      <c r="S112" s="14"/>
      <c r="T112" s="31">
        <f>+T108-T110</f>
        <v>-1099565.5799970776</v>
      </c>
      <c r="U112" s="14"/>
      <c r="V112" s="34">
        <f>IF(T$12=0,0,T112/T$12)</f>
        <v>0</v>
      </c>
      <c r="W112" s="16"/>
      <c r="X112" s="31">
        <f>P112-T112</f>
        <v>211806.17999707768</v>
      </c>
      <c r="Y112" s="16"/>
      <c r="Z112" s="34">
        <f>IF(T112=0,0,X112/T112)</f>
        <v>-0.19262714643872411</v>
      </c>
    </row>
    <row r="113" spans="1:26" ht="15.75" thickTop="1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.75" thickBot="1" x14ac:dyDescent="0.3">
      <c r="A115" s="10"/>
      <c r="B115" s="28" t="s">
        <v>5</v>
      </c>
      <c r="C115" s="28"/>
      <c r="D115" s="32">
        <f>SUM(D112:D114)</f>
        <v>-54888.860000000015</v>
      </c>
      <c r="E115" s="14"/>
      <c r="F115" s="35">
        <f>IF(D$12=0,0,D115/D$12)</f>
        <v>0</v>
      </c>
      <c r="G115" s="14"/>
      <c r="H115" s="32">
        <f>SUM(H112:H114)</f>
        <v>-109375.99499911693</v>
      </c>
      <c r="I115" s="14"/>
      <c r="J115" s="35">
        <f>IF(H$12=0,0,H115/H$12)</f>
        <v>0</v>
      </c>
      <c r="K115" s="16"/>
      <c r="L115" s="32">
        <f>+D115-H115</f>
        <v>54487.134999116912</v>
      </c>
      <c r="M115" s="16"/>
      <c r="N115" s="35">
        <f>IF(H115=0,0,L115/H115)</f>
        <v>-0.49816355955945202</v>
      </c>
      <c r="O115" s="29"/>
      <c r="P115" s="32">
        <f>SUM(P112:P114)</f>
        <v>-887759.39999999991</v>
      </c>
      <c r="Q115" s="14"/>
      <c r="R115" s="35">
        <f>IF(P$12=0,0,P115/P$12)</f>
        <v>0</v>
      </c>
      <c r="S115" s="14"/>
      <c r="T115" s="32">
        <f>SUM(T112:T114)</f>
        <v>-1099565.5799970776</v>
      </c>
      <c r="U115" s="14"/>
      <c r="V115" s="35">
        <f>IF(T$12=0,0,T115/T$12)</f>
        <v>0</v>
      </c>
      <c r="W115" s="16"/>
      <c r="X115" s="32">
        <f>+P115-T115</f>
        <v>211806.17999707768</v>
      </c>
      <c r="Y115" s="16"/>
      <c r="Z115" s="35">
        <f>IF(T115=0,0,X115/T115)</f>
        <v>-0.19262714643872411</v>
      </c>
    </row>
    <row r="116" spans="1:26" ht="15.75" thickTop="1" x14ac:dyDescent="0.25">
      <c r="A116" s="9"/>
      <c r="C116" s="9"/>
      <c r="D116" s="18"/>
      <c r="E116" s="18"/>
      <c r="G116" s="18"/>
      <c r="H116" s="18"/>
      <c r="I116" s="18"/>
      <c r="J116" s="42"/>
      <c r="K116" s="18"/>
      <c r="L116" s="18"/>
      <c r="M116" s="18"/>
      <c r="P116" s="18"/>
      <c r="Q116" s="18"/>
      <c r="R116" s="42"/>
      <c r="S116" s="18"/>
      <c r="T116" s="18"/>
      <c r="U116" s="18"/>
      <c r="V116" s="42"/>
      <c r="W116" s="18"/>
      <c r="X116" s="18"/>
    </row>
    <row r="117" spans="1:26" x14ac:dyDescent="0.25">
      <c r="A117" s="9"/>
      <c r="B117" s="57">
        <v>43934.466292592595</v>
      </c>
      <c r="D117" s="18"/>
      <c r="E117" s="18"/>
      <c r="G117" s="18"/>
      <c r="H117" s="18"/>
      <c r="I117" s="18"/>
      <c r="J117" s="42"/>
      <c r="K117" s="18"/>
      <c r="L117" s="18"/>
      <c r="M117" s="18"/>
      <c r="P117" s="18"/>
      <c r="Q117" s="18"/>
      <c r="R117" s="42"/>
      <c r="S117" s="18"/>
      <c r="T117" s="18"/>
      <c r="U117" s="18"/>
      <c r="V117" s="42"/>
      <c r="W117" s="18"/>
      <c r="X117" s="18"/>
    </row>
    <row r="118" spans="1:26" x14ac:dyDescent="0.25">
      <c r="A118" s="9"/>
      <c r="B118" s="62" t="s">
        <v>314</v>
      </c>
      <c r="D118" s="18"/>
      <c r="E118" s="18"/>
      <c r="G118" s="18"/>
      <c r="H118" s="18"/>
      <c r="I118" s="18"/>
      <c r="J118" s="42"/>
      <c r="K118" s="18"/>
      <c r="L118" s="18"/>
      <c r="M118" s="18"/>
      <c r="P118" s="18"/>
      <c r="Q118" s="18"/>
      <c r="R118" s="42"/>
      <c r="S118" s="18"/>
      <c r="T118" s="18"/>
      <c r="U118" s="18"/>
      <c r="V118" s="42"/>
      <c r="W118" s="18"/>
      <c r="X118" s="18"/>
    </row>
    <row r="119" spans="1:26" x14ac:dyDescent="0.25">
      <c r="A119" s="9"/>
      <c r="B119" s="60"/>
      <c r="D119" s="18"/>
      <c r="E119" s="18"/>
      <c r="G119" s="18"/>
      <c r="H119" s="18"/>
      <c r="I119" s="18"/>
      <c r="J119" s="42"/>
      <c r="K119" s="18"/>
      <c r="L119" s="18"/>
      <c r="M119" s="18"/>
      <c r="P119" s="18"/>
      <c r="Q119" s="18"/>
      <c r="R119" s="42"/>
      <c r="S119" s="18"/>
      <c r="T119" s="18"/>
      <c r="U119" s="18"/>
      <c r="V119" s="42"/>
      <c r="W119" s="18"/>
      <c r="X119" s="18"/>
    </row>
    <row r="120" spans="1:26" x14ac:dyDescent="0.25">
      <c r="D120" s="18"/>
      <c r="E120" s="18"/>
      <c r="G120" s="18"/>
      <c r="H120" s="18"/>
      <c r="I120" s="18"/>
      <c r="J120" s="42"/>
      <c r="K120" s="18"/>
      <c r="L120" s="18"/>
      <c r="M120" s="18"/>
      <c r="P120" s="18"/>
      <c r="Q120" s="18"/>
      <c r="R120" s="42"/>
      <c r="S120" s="18"/>
      <c r="T120" s="18"/>
      <c r="U120" s="18"/>
      <c r="V120" s="42"/>
      <c r="W120" s="18"/>
      <c r="X120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40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","306", " - ", "Warehouse")</f>
        <v>Department 306 - Warehouse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46126.94999999999</v>
      </c>
      <c r="E18" s="21"/>
      <c r="F18" s="30">
        <f t="shared" ref="F18:F28" si="0">IF(D$12=0,0,D18/D$12)</f>
        <v>0</v>
      </c>
      <c r="G18" s="21"/>
      <c r="H18" s="21">
        <f>SUM(OSRRefH22x_0)</f>
        <v>28861.095931636002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17265.854068363988</v>
      </c>
      <c r="M18" s="4"/>
      <c r="N18" s="30">
        <f t="shared" ref="N18:N28" si="3">IF(H18=0,0,L18/H18)</f>
        <v>0.59823972413459447</v>
      </c>
      <c r="O18" s="10"/>
      <c r="P18" s="21">
        <f>SUM(OSRRefP22x_0)</f>
        <v>423383.16000000009</v>
      </c>
      <c r="Q18" s="21"/>
      <c r="R18" s="30">
        <f t="shared" ref="R18:R28" si="4">IF(P$12=0,0,P18/P$12)</f>
        <v>0</v>
      </c>
      <c r="S18" s="21"/>
      <c r="T18" s="21">
        <f>SUM(OSRRefT22x_0)</f>
        <v>402296.24926195102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21086.910738049075</v>
      </c>
      <c r="Y18" s="4"/>
      <c r="Z18" s="30">
        <f t="shared" ref="Z18:Z28" si="7">IF(T18=0,0,X18/T18)</f>
        <v>5.2416374193731428E-2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6031.2299999999987</v>
      </c>
      <c r="E19" s="1"/>
      <c r="F19" s="5">
        <f t="shared" si="0"/>
        <v>0</v>
      </c>
      <c r="G19" s="1"/>
      <c r="H19" s="1">
        <f>SUM(OSRRefH22_0x_0)</f>
        <v>3962.9048236360004</v>
      </c>
      <c r="I19" s="1"/>
      <c r="J19" s="5">
        <f t="shared" si="1"/>
        <v>0</v>
      </c>
      <c r="K19" s="1"/>
      <c r="L19" s="1">
        <f t="shared" si="2"/>
        <v>2068.3251763639983</v>
      </c>
      <c r="M19" s="1"/>
      <c r="N19" s="5">
        <f t="shared" si="3"/>
        <v>0.52192148648836123</v>
      </c>
      <c r="O19" s="13"/>
      <c r="P19" s="1">
        <f>SUM(OSRRefP22_0x_0)</f>
        <v>55620.28</v>
      </c>
      <c r="Q19" s="1"/>
      <c r="R19" s="5">
        <f t="shared" si="4"/>
        <v>0</v>
      </c>
      <c r="S19" s="1"/>
      <c r="T19" s="1">
        <f>SUM(OSRRefT22_0x_0)</f>
        <v>44876.594958950998</v>
      </c>
      <c r="U19" s="1"/>
      <c r="V19" s="5">
        <f t="shared" si="5"/>
        <v>0</v>
      </c>
      <c r="W19" s="1"/>
      <c r="X19" s="1">
        <f t="shared" si="6"/>
        <v>10743.685041049001</v>
      </c>
      <c r="Y19" s="1"/>
      <c r="Z19" s="5">
        <f t="shared" si="7"/>
        <v>0.23940508523154086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1494.88</v>
      </c>
      <c r="E20" s="2"/>
      <c r="F20" s="7">
        <f t="shared" si="0"/>
        <v>0</v>
      </c>
      <c r="G20" s="2"/>
      <c r="H20" s="6">
        <v>909.62312091599995</v>
      </c>
      <c r="I20" s="2"/>
      <c r="J20" s="7">
        <f t="shared" si="1"/>
        <v>0</v>
      </c>
      <c r="K20" s="2"/>
      <c r="L20" s="6">
        <f t="shared" si="2"/>
        <v>585.25687908400016</v>
      </c>
      <c r="M20" s="2"/>
      <c r="N20" s="7">
        <f t="shared" si="3"/>
        <v>0.6434058959436304</v>
      </c>
      <c r="O20" s="11"/>
      <c r="P20" s="6">
        <v>13329.1</v>
      </c>
      <c r="Q20" s="2"/>
      <c r="R20" s="7">
        <f t="shared" si="4"/>
        <v>0</v>
      </c>
      <c r="S20" s="2"/>
      <c r="T20" s="6">
        <v>12247.047127431</v>
      </c>
      <c r="U20" s="2"/>
      <c r="V20" s="7">
        <f t="shared" si="5"/>
        <v>0</v>
      </c>
      <c r="W20" s="2"/>
      <c r="X20" s="6">
        <f t="shared" si="6"/>
        <v>1082.0528725690001</v>
      </c>
      <c r="Y20" s="2"/>
      <c r="Z20" s="7">
        <f t="shared" si="7"/>
        <v>8.835214409728305E-2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785.15</v>
      </c>
      <c r="E21" s="2"/>
      <c r="F21" s="7">
        <f t="shared" si="0"/>
        <v>0</v>
      </c>
      <c r="G21" s="2"/>
      <c r="H21" s="6">
        <v>459.63692680000003</v>
      </c>
      <c r="I21" s="2"/>
      <c r="J21" s="7">
        <f t="shared" si="1"/>
        <v>0</v>
      </c>
      <c r="K21" s="2"/>
      <c r="L21" s="6">
        <f t="shared" si="2"/>
        <v>325.51307319999995</v>
      </c>
      <c r="M21" s="2"/>
      <c r="N21" s="7">
        <f t="shared" si="3"/>
        <v>0.70819608743411333</v>
      </c>
      <c r="O21" s="11"/>
      <c r="P21" s="6">
        <v>6296.7</v>
      </c>
      <c r="Q21" s="2"/>
      <c r="R21" s="7">
        <f t="shared" si="4"/>
        <v>0</v>
      </c>
      <c r="S21" s="2"/>
      <c r="T21" s="6">
        <v>6735.4096112999996</v>
      </c>
      <c r="U21" s="2"/>
      <c r="V21" s="7">
        <f t="shared" si="5"/>
        <v>0</v>
      </c>
      <c r="W21" s="2"/>
      <c r="X21" s="6">
        <f t="shared" si="6"/>
        <v>-438.70961129999978</v>
      </c>
      <c r="Y21" s="2"/>
      <c r="Z21" s="7">
        <f t="shared" si="7"/>
        <v>-6.5134807920809515E-2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2064.35</v>
      </c>
      <c r="E22" s="2"/>
      <c r="F22" s="7">
        <f t="shared" si="0"/>
        <v>0</v>
      </c>
      <c r="G22" s="2"/>
      <c r="H22" s="6">
        <v>663</v>
      </c>
      <c r="I22" s="2"/>
      <c r="J22" s="7">
        <f t="shared" si="1"/>
        <v>0</v>
      </c>
      <c r="K22" s="2"/>
      <c r="L22" s="6">
        <f t="shared" si="2"/>
        <v>1401.35</v>
      </c>
      <c r="M22" s="2"/>
      <c r="N22" s="7">
        <f t="shared" si="3"/>
        <v>2.1136500754147813</v>
      </c>
      <c r="O22" s="11"/>
      <c r="P22" s="6">
        <v>17888.670000000002</v>
      </c>
      <c r="Q22" s="2"/>
      <c r="R22" s="7">
        <f t="shared" si="4"/>
        <v>0</v>
      </c>
      <c r="S22" s="2"/>
      <c r="T22" s="6">
        <v>5967</v>
      </c>
      <c r="U22" s="2"/>
      <c r="V22" s="7">
        <f t="shared" si="5"/>
        <v>0</v>
      </c>
      <c r="W22" s="2"/>
      <c r="X22" s="6">
        <f t="shared" si="6"/>
        <v>11921.670000000002</v>
      </c>
      <c r="Y22" s="2"/>
      <c r="Z22" s="7">
        <f t="shared" si="7"/>
        <v>1.9979336349924588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107.44</v>
      </c>
      <c r="E23" s="2"/>
      <c r="F23" s="7">
        <f t="shared" si="0"/>
        <v>0</v>
      </c>
      <c r="G23" s="2"/>
      <c r="H23" s="6">
        <v>62.897684720000001</v>
      </c>
      <c r="I23" s="2"/>
      <c r="J23" s="7">
        <f t="shared" si="1"/>
        <v>0</v>
      </c>
      <c r="K23" s="2"/>
      <c r="L23" s="6">
        <f t="shared" si="2"/>
        <v>44.542315279999997</v>
      </c>
      <c r="M23" s="2"/>
      <c r="N23" s="7">
        <f t="shared" si="3"/>
        <v>0.70817098400820111</v>
      </c>
      <c r="O23" s="11"/>
      <c r="P23" s="6">
        <v>955.15</v>
      </c>
      <c r="Q23" s="2"/>
      <c r="R23" s="7">
        <f t="shared" si="4"/>
        <v>0</v>
      </c>
      <c r="S23" s="2"/>
      <c r="T23" s="6">
        <v>921.68763102000003</v>
      </c>
      <c r="U23" s="2"/>
      <c r="V23" s="7">
        <f t="shared" si="5"/>
        <v>0</v>
      </c>
      <c r="W23" s="2"/>
      <c r="X23" s="6">
        <f t="shared" si="6"/>
        <v>33.462368979999951</v>
      </c>
      <c r="Y23" s="2"/>
      <c r="Z23" s="7">
        <f t="shared" si="7"/>
        <v>3.6305541979518914E-2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656.7</v>
      </c>
      <c r="E24" s="2"/>
      <c r="F24" s="7">
        <f t="shared" si="0"/>
        <v>0</v>
      </c>
      <c r="G24" s="2"/>
      <c r="H24" s="6">
        <v>724.55319919999999</v>
      </c>
      <c r="I24" s="2"/>
      <c r="J24" s="7">
        <f t="shared" si="1"/>
        <v>0</v>
      </c>
      <c r="K24" s="2"/>
      <c r="L24" s="6">
        <f t="shared" si="2"/>
        <v>-67.853199199999949</v>
      </c>
      <c r="M24" s="2"/>
      <c r="N24" s="7">
        <f t="shared" si="3"/>
        <v>-9.3648332896630104E-2</v>
      </c>
      <c r="O24" s="11"/>
      <c r="P24" s="6">
        <v>6878.77</v>
      </c>
      <c r="Q24" s="2"/>
      <c r="R24" s="7">
        <f t="shared" si="4"/>
        <v>0</v>
      </c>
      <c r="S24" s="2"/>
      <c r="T24" s="6">
        <v>6892.6688922000003</v>
      </c>
      <c r="U24" s="2"/>
      <c r="V24" s="7">
        <f t="shared" si="5"/>
        <v>0</v>
      </c>
      <c r="W24" s="2"/>
      <c r="X24" s="6">
        <f t="shared" si="6"/>
        <v>-13.898892199999864</v>
      </c>
      <c r="Y24" s="2"/>
      <c r="Z24" s="7">
        <f t="shared" si="7"/>
        <v>-2.016474665673897E-3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303.94</v>
      </c>
      <c r="E26" s="2"/>
      <c r="F26" s="7">
        <f t="shared" si="0"/>
        <v>0</v>
      </c>
      <c r="G26" s="2"/>
      <c r="H26" s="6">
        <v>631.224604</v>
      </c>
      <c r="I26" s="2"/>
      <c r="J26" s="7">
        <f t="shared" si="1"/>
        <v>0</v>
      </c>
      <c r="K26" s="2"/>
      <c r="L26" s="6">
        <f t="shared" si="2"/>
        <v>-327.284604</v>
      </c>
      <c r="M26" s="2"/>
      <c r="N26" s="7">
        <f t="shared" si="3"/>
        <v>-0.51849151938317029</v>
      </c>
      <c r="O26" s="11"/>
      <c r="P26" s="6">
        <v>2986.33</v>
      </c>
      <c r="Q26" s="2"/>
      <c r="R26" s="7">
        <f t="shared" si="4"/>
        <v>0</v>
      </c>
      <c r="S26" s="2"/>
      <c r="T26" s="6">
        <v>5994.6958889999996</v>
      </c>
      <c r="U26" s="2"/>
      <c r="V26" s="7">
        <f t="shared" si="5"/>
        <v>0</v>
      </c>
      <c r="W26" s="2"/>
      <c r="X26" s="6">
        <f t="shared" si="6"/>
        <v>-3008.3658889999997</v>
      </c>
      <c r="Y26" s="2"/>
      <c r="Z26" s="7">
        <f t="shared" si="7"/>
        <v>-0.50183794886413124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389.2</v>
      </c>
      <c r="E27" s="2"/>
      <c r="F27" s="7">
        <f t="shared" si="0"/>
        <v>0</v>
      </c>
      <c r="G27" s="2"/>
      <c r="H27" s="6">
        <v>511.96928800000001</v>
      </c>
      <c r="I27" s="2"/>
      <c r="J27" s="7">
        <f t="shared" si="1"/>
        <v>0</v>
      </c>
      <c r="K27" s="2"/>
      <c r="L27" s="6">
        <f t="shared" si="2"/>
        <v>-122.76928800000002</v>
      </c>
      <c r="M27" s="2"/>
      <c r="N27" s="7">
        <f t="shared" si="3"/>
        <v>-0.23979814976713998</v>
      </c>
      <c r="O27" s="11"/>
      <c r="P27" s="6">
        <v>4480.09</v>
      </c>
      <c r="Q27" s="2"/>
      <c r="R27" s="7">
        <f t="shared" si="4"/>
        <v>0</v>
      </c>
      <c r="S27" s="2"/>
      <c r="T27" s="6">
        <v>6118.0858079999998</v>
      </c>
      <c r="U27" s="2"/>
      <c r="V27" s="7">
        <f t="shared" si="5"/>
        <v>0</v>
      </c>
      <c r="W27" s="2"/>
      <c r="X27" s="6">
        <f t="shared" si="6"/>
        <v>-1637.9958079999997</v>
      </c>
      <c r="Y27" s="2"/>
      <c r="Z27" s="7">
        <f t="shared" si="7"/>
        <v>-0.26773011353619114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>
        <v>229.57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229.57</v>
      </c>
      <c r="M28" s="2"/>
      <c r="N28" s="7">
        <f t="shared" si="3"/>
        <v>0</v>
      </c>
      <c r="O28" s="11"/>
      <c r="P28" s="6">
        <v>2805.47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2805.47</v>
      </c>
      <c r="Y28" s="2"/>
      <c r="Z28" s="7">
        <f t="shared" si="7"/>
        <v>0</v>
      </c>
    </row>
    <row r="29" spans="1:26" s="27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38404.979999999996</v>
      </c>
      <c r="E29" s="1"/>
      <c r="F29" s="5">
        <f t="shared" ref="F29:F39" si="8">IF(D$12=0,0,D29/D$12)</f>
        <v>0</v>
      </c>
      <c r="G29" s="1"/>
      <c r="H29" s="1">
        <f>SUM(OSRRefH22_1x_0)</f>
        <v>23223.191107999999</v>
      </c>
      <c r="I29" s="1"/>
      <c r="J29" s="5">
        <f t="shared" ref="J29:J39" si="9">IF(H$12=0,0,H29/H$12)</f>
        <v>0</v>
      </c>
      <c r="K29" s="1"/>
      <c r="L29" s="1">
        <f t="shared" ref="L29:L39" si="10">+D29-H29</f>
        <v>15181.788891999997</v>
      </c>
      <c r="M29" s="1"/>
      <c r="N29" s="5">
        <f t="shared" ref="N29:N39" si="11">IF(H29=0,0,L29/H29)</f>
        <v>0.65373396883299673</v>
      </c>
      <c r="O29" s="13"/>
      <c r="P29" s="1">
        <f>SUM(OSRRefP22_1x_0)</f>
        <v>357705.22000000003</v>
      </c>
      <c r="Q29" s="1"/>
      <c r="R29" s="5">
        <f t="shared" ref="R29:R39" si="12">IF(P$12=0,0,P29/P$12)</f>
        <v>0</v>
      </c>
      <c r="S29" s="1"/>
      <c r="T29" s="1">
        <f>SUM(OSRRefT22_1x_0)</f>
        <v>345294.65430300002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12410.565697000013</v>
      </c>
      <c r="Y29" s="1"/>
      <c r="Z29" s="5">
        <f t="shared" ref="Z29:Z39" si="15">IF(T29=0,0,X29/T29)</f>
        <v>3.5941957230851307E-2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3807.2751079999994</v>
      </c>
      <c r="I30" s="2"/>
      <c r="J30" s="7">
        <f t="shared" si="9"/>
        <v>0</v>
      </c>
      <c r="K30" s="2"/>
      <c r="L30" s="6">
        <f t="shared" si="10"/>
        <v>-3807.2751079999994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37120.932302999994</v>
      </c>
      <c r="U30" s="2"/>
      <c r="V30" s="7">
        <f t="shared" si="13"/>
        <v>0</v>
      </c>
      <c r="W30" s="2"/>
      <c r="X30" s="6">
        <f t="shared" si="14"/>
        <v>-37120.932302999994</v>
      </c>
      <c r="Y30" s="2"/>
      <c r="Z30" s="7">
        <f t="shared" si="15"/>
        <v>-1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6">
        <v>13633.86</v>
      </c>
      <c r="E31" s="2"/>
      <c r="F31" s="7">
        <f t="shared" si="8"/>
        <v>0</v>
      </c>
      <c r="G31" s="2"/>
      <c r="H31" s="6">
        <v>3649.5360000000001</v>
      </c>
      <c r="I31" s="2"/>
      <c r="J31" s="7">
        <f t="shared" si="9"/>
        <v>0</v>
      </c>
      <c r="K31" s="2"/>
      <c r="L31" s="6">
        <f t="shared" si="10"/>
        <v>9984.3240000000005</v>
      </c>
      <c r="M31" s="2"/>
      <c r="N31" s="7">
        <f t="shared" si="11"/>
        <v>2.7357790140993266</v>
      </c>
      <c r="O31" s="11"/>
      <c r="P31" s="6">
        <v>82462.099999999991</v>
      </c>
      <c r="Q31" s="2"/>
      <c r="R31" s="7">
        <f t="shared" si="12"/>
        <v>0</v>
      </c>
      <c r="S31" s="2"/>
      <c r="T31" s="6">
        <v>33825.792000000001</v>
      </c>
      <c r="U31" s="2"/>
      <c r="V31" s="7">
        <f t="shared" si="13"/>
        <v>0</v>
      </c>
      <c r="W31" s="2"/>
      <c r="X31" s="6">
        <f t="shared" si="14"/>
        <v>48636.30799999999</v>
      </c>
      <c r="Y31" s="2"/>
      <c r="Z31" s="7">
        <f t="shared" si="15"/>
        <v>1.437846835929222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3460.8</v>
      </c>
      <c r="I33" s="2"/>
      <c r="J33" s="7">
        <f t="shared" si="9"/>
        <v>0</v>
      </c>
      <c r="K33" s="2"/>
      <c r="L33" s="6">
        <f t="shared" si="10"/>
        <v>-3460.8</v>
      </c>
      <c r="M33" s="2"/>
      <c r="N33" s="7">
        <f t="shared" si="11"/>
        <v>-1</v>
      </c>
      <c r="O33" s="11"/>
      <c r="P33" s="6"/>
      <c r="Q33" s="2"/>
      <c r="R33" s="7">
        <f t="shared" si="12"/>
        <v>0</v>
      </c>
      <c r="S33" s="2"/>
      <c r="T33" s="6">
        <v>33742.800000000003</v>
      </c>
      <c r="U33" s="2"/>
      <c r="V33" s="7">
        <f t="shared" si="13"/>
        <v>0</v>
      </c>
      <c r="W33" s="2"/>
      <c r="X33" s="6">
        <f t="shared" si="14"/>
        <v>-33742.800000000003</v>
      </c>
      <c r="Y33" s="2"/>
      <c r="Z33" s="7">
        <f t="shared" si="15"/>
        <v>-1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>
        <v>1448.75</v>
      </c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1448.75</v>
      </c>
      <c r="M34" s="2"/>
      <c r="N34" s="7">
        <f t="shared" si="11"/>
        <v>0</v>
      </c>
      <c r="O34" s="11"/>
      <c r="P34" s="6">
        <v>17822.89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17822.89</v>
      </c>
      <c r="Y34" s="2"/>
      <c r="Z34" s="7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>
        <v>944.75</v>
      </c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944.75</v>
      </c>
      <c r="M35" s="2"/>
      <c r="N35" s="7">
        <f t="shared" si="11"/>
        <v>0</v>
      </c>
      <c r="O35" s="11"/>
      <c r="P35" s="6">
        <v>11789.97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11789.97</v>
      </c>
      <c r="Y35" s="2"/>
      <c r="Z35" s="7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>
        <v>20641.28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20641.28</v>
      </c>
      <c r="M36" s="2"/>
      <c r="N36" s="7">
        <f t="shared" si="11"/>
        <v>0</v>
      </c>
      <c r="O36" s="11"/>
      <c r="P36" s="6">
        <v>232769.08000000002</v>
      </c>
      <c r="Q36" s="2"/>
      <c r="R36" s="7">
        <f t="shared" si="12"/>
        <v>0</v>
      </c>
      <c r="S36" s="2"/>
      <c r="T36" s="6">
        <v>46139.25</v>
      </c>
      <c r="U36" s="2"/>
      <c r="V36" s="7">
        <f t="shared" si="13"/>
        <v>0</v>
      </c>
      <c r="W36" s="2"/>
      <c r="X36" s="6">
        <f t="shared" si="14"/>
        <v>186629.83000000002</v>
      </c>
      <c r="Y36" s="2"/>
      <c r="Z36" s="7">
        <f t="shared" si="15"/>
        <v>4.0449255243637472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>
        <v>1736.34</v>
      </c>
      <c r="E37" s="2"/>
      <c r="F37" s="7">
        <f t="shared" si="8"/>
        <v>0</v>
      </c>
      <c r="G37" s="2"/>
      <c r="H37" s="6">
        <v>12305.58</v>
      </c>
      <c r="I37" s="2"/>
      <c r="J37" s="7">
        <f t="shared" si="9"/>
        <v>0</v>
      </c>
      <c r="K37" s="2"/>
      <c r="L37" s="6">
        <f t="shared" si="10"/>
        <v>-10569.24</v>
      </c>
      <c r="M37" s="2"/>
      <c r="N37" s="7">
        <f t="shared" si="11"/>
        <v>-0.8588981583964348</v>
      </c>
      <c r="O37" s="11"/>
      <c r="P37" s="6">
        <v>12861.18</v>
      </c>
      <c r="Q37" s="2"/>
      <c r="R37" s="7">
        <f t="shared" si="12"/>
        <v>0</v>
      </c>
      <c r="S37" s="2"/>
      <c r="T37" s="6">
        <v>194465.88</v>
      </c>
      <c r="U37" s="2"/>
      <c r="V37" s="7">
        <f t="shared" si="13"/>
        <v>0</v>
      </c>
      <c r="W37" s="2"/>
      <c r="X37" s="6">
        <f t="shared" si="14"/>
        <v>-181604.7</v>
      </c>
      <c r="Y37" s="2"/>
      <c r="Z37" s="7">
        <f t="shared" si="15"/>
        <v>-0.93386407939531602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7" customFormat="1" outlineLevel="1" collapsed="1" x14ac:dyDescent="0.25">
      <c r="A40" s="26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52" si="16">IF(D$12=0,0,D40/D$12)</f>
        <v>0</v>
      </c>
      <c r="G40" s="1"/>
      <c r="H40" s="1">
        <f>SUM(OSRRefH22_2x_0)</f>
        <v>0</v>
      </c>
      <c r="I40" s="1"/>
      <c r="J40" s="5">
        <f t="shared" ref="J40:J52" si="17">IF(H$12=0,0,H40/H$12)</f>
        <v>0</v>
      </c>
      <c r="K40" s="1"/>
      <c r="L40" s="1">
        <f t="shared" ref="L40:L52" si="18">+D40-H40</f>
        <v>0</v>
      </c>
      <c r="M40" s="1"/>
      <c r="N40" s="5">
        <f t="shared" ref="N40:N52" si="19">IF(H40=0,0,L40/H40)</f>
        <v>0</v>
      </c>
      <c r="O40" s="13"/>
      <c r="P40" s="1">
        <f>SUM(OSRRefP22_2x_0)</f>
        <v>360</v>
      </c>
      <c r="Q40" s="1"/>
      <c r="R40" s="5">
        <f t="shared" ref="R40:R52" si="20">IF(P$12=0,0,P40/P$12)</f>
        <v>0</v>
      </c>
      <c r="S40" s="1"/>
      <c r="T40" s="1">
        <f>SUM(OSRRefT22_2x_0)</f>
        <v>800</v>
      </c>
      <c r="U40" s="1"/>
      <c r="V40" s="5">
        <f t="shared" ref="V40:V52" si="21">IF(T$12=0,0,T40/T$12)</f>
        <v>0</v>
      </c>
      <c r="W40" s="1"/>
      <c r="X40" s="1">
        <f t="shared" ref="X40:X52" si="22">+P40-T40</f>
        <v>-440</v>
      </c>
      <c r="Y40" s="1"/>
      <c r="Z40" s="5">
        <f t="shared" ref="Z40:Z52" si="23">IF(T40=0,0,X40/T40)</f>
        <v>-0.55000000000000004</v>
      </c>
    </row>
    <row r="41" spans="1:26" s="24" customFormat="1" hidden="1" outlineLevel="2" x14ac:dyDescent="0.25">
      <c r="A41" s="25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>
        <v>360</v>
      </c>
      <c r="Q41" s="2"/>
      <c r="R41" s="7">
        <f t="shared" si="20"/>
        <v>0</v>
      </c>
      <c r="S41" s="2"/>
      <c r="T41" s="6">
        <v>800</v>
      </c>
      <c r="U41" s="2"/>
      <c r="V41" s="7">
        <f t="shared" si="21"/>
        <v>0</v>
      </c>
      <c r="W41" s="2"/>
      <c r="X41" s="6">
        <f t="shared" si="22"/>
        <v>-440</v>
      </c>
      <c r="Y41" s="2"/>
      <c r="Z41" s="7">
        <f t="shared" si="23"/>
        <v>-0.55000000000000004</v>
      </c>
    </row>
    <row r="42" spans="1:26" s="27" customFormat="1" outlineLevel="1" collapsed="1" x14ac:dyDescent="0.25">
      <c r="A42" s="26"/>
      <c r="B42" s="13" t="str">
        <f>CONCATENATE("     ","Employees' Appreciation                           ")</f>
        <v xml:space="preserve">     Employees' Appreciation                           </v>
      </c>
      <c r="C42" s="13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50</v>
      </c>
      <c r="I42" s="1"/>
      <c r="J42" s="5">
        <f t="shared" si="17"/>
        <v>0</v>
      </c>
      <c r="K42" s="1"/>
      <c r="L42" s="1">
        <f t="shared" si="18"/>
        <v>-50</v>
      </c>
      <c r="M42" s="1"/>
      <c r="N42" s="5">
        <f t="shared" si="19"/>
        <v>-1</v>
      </c>
      <c r="O42" s="13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450</v>
      </c>
      <c r="U42" s="1"/>
      <c r="V42" s="5">
        <f t="shared" si="21"/>
        <v>0</v>
      </c>
      <c r="W42" s="1"/>
      <c r="X42" s="1">
        <f t="shared" si="22"/>
        <v>-450</v>
      </c>
      <c r="Y42" s="1"/>
      <c r="Z42" s="5">
        <f t="shared" si="23"/>
        <v>-1</v>
      </c>
    </row>
    <row r="43" spans="1:26" s="24" customFormat="1" hidden="1" outlineLevel="2" x14ac:dyDescent="0.25">
      <c r="A43" s="25"/>
      <c r="B43" s="11" t="str">
        <f>CONCATENATE("          ", "6277", " - ", "EMPLOYEE APPRECIATION")</f>
        <v xml:space="preserve">          6277 - EMPLOYEE APPRECIATION</v>
      </c>
      <c r="C43" s="11"/>
      <c r="D43" s="6"/>
      <c r="E43" s="2"/>
      <c r="F43" s="7">
        <f t="shared" si="16"/>
        <v>0</v>
      </c>
      <c r="G43" s="2"/>
      <c r="H43" s="6">
        <v>50</v>
      </c>
      <c r="I43" s="2"/>
      <c r="J43" s="7">
        <f t="shared" si="17"/>
        <v>0</v>
      </c>
      <c r="K43" s="2"/>
      <c r="L43" s="6">
        <f t="shared" si="18"/>
        <v>-50</v>
      </c>
      <c r="M43" s="2"/>
      <c r="N43" s="7">
        <f t="shared" si="19"/>
        <v>-1</v>
      </c>
      <c r="O43" s="11"/>
      <c r="P43" s="6"/>
      <c r="Q43" s="2"/>
      <c r="R43" s="7">
        <f t="shared" si="20"/>
        <v>0</v>
      </c>
      <c r="S43" s="2"/>
      <c r="T43" s="6">
        <v>450</v>
      </c>
      <c r="U43" s="2"/>
      <c r="V43" s="7">
        <f t="shared" si="21"/>
        <v>0</v>
      </c>
      <c r="W43" s="2"/>
      <c r="X43" s="6">
        <f t="shared" si="22"/>
        <v>-450</v>
      </c>
      <c r="Y43" s="2"/>
      <c r="Z43" s="7">
        <f t="shared" si="23"/>
        <v>-1</v>
      </c>
    </row>
    <row r="44" spans="1:26" s="27" customFormat="1" outlineLevel="1" collapsed="1" x14ac:dyDescent="0.25">
      <c r="A44" s="26"/>
      <c r="B44" s="13" t="str">
        <f>CONCATENATE("     ","Equipment Rental                                  ")</f>
        <v xml:space="preserve">     Equipment Rental                                  </v>
      </c>
      <c r="C44" s="13"/>
      <c r="D44" s="1">
        <f>SUM(OSRRefD22_4x_0)</f>
        <v>91.26</v>
      </c>
      <c r="E44" s="1"/>
      <c r="F44" s="5">
        <f t="shared" si="16"/>
        <v>0</v>
      </c>
      <c r="G44" s="1"/>
      <c r="H44" s="1">
        <f>SUM(OSRRefH22_4x_0)</f>
        <v>125</v>
      </c>
      <c r="I44" s="1"/>
      <c r="J44" s="5">
        <f t="shared" si="17"/>
        <v>0</v>
      </c>
      <c r="K44" s="1"/>
      <c r="L44" s="1">
        <f t="shared" si="18"/>
        <v>-33.739999999999995</v>
      </c>
      <c r="M44" s="1"/>
      <c r="N44" s="5">
        <f t="shared" si="19"/>
        <v>-0.26991999999999994</v>
      </c>
      <c r="O44" s="13"/>
      <c r="P44" s="1">
        <f>SUM(OSRRefP22_4x_0)</f>
        <v>884.2</v>
      </c>
      <c r="Q44" s="1"/>
      <c r="R44" s="5">
        <f t="shared" si="20"/>
        <v>0</v>
      </c>
      <c r="S44" s="1"/>
      <c r="T44" s="1">
        <f>SUM(OSRRefT22_4x_0)</f>
        <v>1125</v>
      </c>
      <c r="U44" s="1"/>
      <c r="V44" s="5">
        <f t="shared" si="21"/>
        <v>0</v>
      </c>
      <c r="W44" s="1"/>
      <c r="X44" s="1">
        <f t="shared" si="22"/>
        <v>-240.79999999999995</v>
      </c>
      <c r="Y44" s="1"/>
      <c r="Z44" s="5">
        <f t="shared" si="23"/>
        <v>-0.2140444444444444</v>
      </c>
    </row>
    <row r="45" spans="1:26" s="24" customFormat="1" hidden="1" outlineLevel="2" x14ac:dyDescent="0.25">
      <c r="A45" s="25"/>
      <c r="B45" s="11" t="str">
        <f>CONCATENATE("          ", "6351", " - ", "EQUIPMENT RENTAL")</f>
        <v xml:space="preserve">          6351 - EQUIPMENT RENTAL</v>
      </c>
      <c r="C45" s="11"/>
      <c r="D45" s="6">
        <v>91.26</v>
      </c>
      <c r="E45" s="2"/>
      <c r="F45" s="7">
        <f t="shared" si="16"/>
        <v>0</v>
      </c>
      <c r="G45" s="2"/>
      <c r="H45" s="6">
        <v>125</v>
      </c>
      <c r="I45" s="2"/>
      <c r="J45" s="7">
        <f t="shared" si="17"/>
        <v>0</v>
      </c>
      <c r="K45" s="2"/>
      <c r="L45" s="6">
        <f t="shared" si="18"/>
        <v>-33.739999999999995</v>
      </c>
      <c r="M45" s="2"/>
      <c r="N45" s="7">
        <f t="shared" si="19"/>
        <v>-0.26991999999999994</v>
      </c>
      <c r="O45" s="11"/>
      <c r="P45" s="6">
        <v>884.2</v>
      </c>
      <c r="Q45" s="2"/>
      <c r="R45" s="7">
        <f t="shared" si="20"/>
        <v>0</v>
      </c>
      <c r="S45" s="2"/>
      <c r="T45" s="6">
        <v>1125</v>
      </c>
      <c r="U45" s="2"/>
      <c r="V45" s="7">
        <f t="shared" si="21"/>
        <v>0</v>
      </c>
      <c r="W45" s="2"/>
      <c r="X45" s="6">
        <f t="shared" si="22"/>
        <v>-240.79999999999995</v>
      </c>
      <c r="Y45" s="2"/>
      <c r="Z45" s="7">
        <f t="shared" si="23"/>
        <v>-0.2140444444444444</v>
      </c>
    </row>
    <row r="46" spans="1:26" s="27" customFormat="1" outlineLevel="1" collapsed="1" x14ac:dyDescent="0.25">
      <c r="A46" s="26"/>
      <c r="B46" s="13" t="str">
        <f>CONCATENATE("     ","Freight out/Postage                               ")</f>
        <v xml:space="preserve">     Freight out/Postage                               </v>
      </c>
      <c r="C46" s="13"/>
      <c r="D46" s="1">
        <f>SUM(OSRRefD22_5x_0)</f>
        <v>715.95</v>
      </c>
      <c r="E46" s="1"/>
      <c r="F46" s="5">
        <f t="shared" si="16"/>
        <v>0</v>
      </c>
      <c r="G46" s="1"/>
      <c r="H46" s="1">
        <f>SUM(OSRRefH22_5x_0)</f>
        <v>10</v>
      </c>
      <c r="I46" s="1"/>
      <c r="J46" s="5">
        <f t="shared" si="17"/>
        <v>0</v>
      </c>
      <c r="K46" s="1"/>
      <c r="L46" s="1">
        <f t="shared" si="18"/>
        <v>705.95</v>
      </c>
      <c r="M46" s="1"/>
      <c r="N46" s="5">
        <f t="shared" si="19"/>
        <v>70.594999999999999</v>
      </c>
      <c r="O46" s="13"/>
      <c r="P46" s="1">
        <f>SUM(OSRRefP22_5x_0)</f>
        <v>3797.85</v>
      </c>
      <c r="Q46" s="1"/>
      <c r="R46" s="5">
        <f t="shared" si="20"/>
        <v>0</v>
      </c>
      <c r="S46" s="1"/>
      <c r="T46" s="1">
        <f>SUM(OSRRefT22_5x_0)</f>
        <v>90</v>
      </c>
      <c r="U46" s="1"/>
      <c r="V46" s="5">
        <f t="shared" si="21"/>
        <v>0</v>
      </c>
      <c r="W46" s="1"/>
      <c r="X46" s="1">
        <f t="shared" si="22"/>
        <v>3707.85</v>
      </c>
      <c r="Y46" s="1"/>
      <c r="Z46" s="5">
        <f t="shared" si="23"/>
        <v>41.198333333333331</v>
      </c>
    </row>
    <row r="47" spans="1:26" s="24" customFormat="1" hidden="1" outlineLevel="2" x14ac:dyDescent="0.25">
      <c r="A47" s="25"/>
      <c r="B47" s="11" t="str">
        <f>CONCATENATE("          ", "6307", " - ", "POSTAGE")</f>
        <v xml:space="preserve">          6307 - POSTAGE</v>
      </c>
      <c r="C47" s="11"/>
      <c r="D47" s="6">
        <v>715.95</v>
      </c>
      <c r="E47" s="2"/>
      <c r="F47" s="7">
        <f t="shared" si="16"/>
        <v>0</v>
      </c>
      <c r="G47" s="2"/>
      <c r="H47" s="6">
        <v>10</v>
      </c>
      <c r="I47" s="2"/>
      <c r="J47" s="7">
        <f t="shared" si="17"/>
        <v>0</v>
      </c>
      <c r="K47" s="2"/>
      <c r="L47" s="6">
        <f t="shared" si="18"/>
        <v>705.95</v>
      </c>
      <c r="M47" s="2"/>
      <c r="N47" s="7">
        <f t="shared" si="19"/>
        <v>70.594999999999999</v>
      </c>
      <c r="O47" s="11"/>
      <c r="P47" s="6">
        <v>3797.85</v>
      </c>
      <c r="Q47" s="2"/>
      <c r="R47" s="7">
        <f t="shared" si="20"/>
        <v>0</v>
      </c>
      <c r="S47" s="2"/>
      <c r="T47" s="6">
        <v>90</v>
      </c>
      <c r="U47" s="2"/>
      <c r="V47" s="7">
        <f t="shared" si="21"/>
        <v>0</v>
      </c>
      <c r="W47" s="2"/>
      <c r="X47" s="6">
        <f t="shared" si="22"/>
        <v>3707.85</v>
      </c>
      <c r="Y47" s="2"/>
      <c r="Z47" s="7">
        <f t="shared" si="23"/>
        <v>41.198333333333331</v>
      </c>
    </row>
    <row r="48" spans="1:26" s="27" customFormat="1" outlineLevel="1" collapsed="1" x14ac:dyDescent="0.25">
      <c r="A48" s="26"/>
      <c r="B48" s="13" t="str">
        <f>CONCATENATE("     ","General                                           ")</f>
        <v xml:space="preserve">     General                                           </v>
      </c>
      <c r="C48" s="13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3"/>
      <c r="P48" s="1">
        <f>SUM(OSRRefP22_6x_0)</f>
        <v>89.45</v>
      </c>
      <c r="Q48" s="1"/>
      <c r="R48" s="5">
        <f t="shared" si="20"/>
        <v>0</v>
      </c>
      <c r="S48" s="1"/>
      <c r="T48" s="1">
        <f>SUM(OSRRefT22_6x_0)</f>
        <v>0</v>
      </c>
      <c r="U48" s="1"/>
      <c r="V48" s="5">
        <f t="shared" si="21"/>
        <v>0</v>
      </c>
      <c r="W48" s="1"/>
      <c r="X48" s="1">
        <f t="shared" si="22"/>
        <v>89.45</v>
      </c>
      <c r="Y48" s="1"/>
      <c r="Z48" s="5">
        <f t="shared" si="23"/>
        <v>0</v>
      </c>
    </row>
    <row r="49" spans="1:26" s="24" customFormat="1" hidden="1" outlineLevel="2" x14ac:dyDescent="0.25">
      <c r="A49" s="25"/>
      <c r="B49" s="11" t="str">
        <f>CONCATENATE("          ", "6279", " - ", "GENERAL EXPENSE")</f>
        <v xml:space="preserve">          6279 - GENERAL EXPENSE</v>
      </c>
      <c r="C49" s="11"/>
      <c r="D49" s="6"/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0</v>
      </c>
      <c r="M49" s="2"/>
      <c r="N49" s="7">
        <f t="shared" si="19"/>
        <v>0</v>
      </c>
      <c r="O49" s="11"/>
      <c r="P49" s="6">
        <v>89.45</v>
      </c>
      <c r="Q49" s="2"/>
      <c r="R49" s="7">
        <f t="shared" si="20"/>
        <v>0</v>
      </c>
      <c r="S49" s="2"/>
      <c r="T49" s="6"/>
      <c r="U49" s="2"/>
      <c r="V49" s="7">
        <f t="shared" si="21"/>
        <v>0</v>
      </c>
      <c r="W49" s="2"/>
      <c r="X49" s="6">
        <f t="shared" si="22"/>
        <v>89.45</v>
      </c>
      <c r="Y49" s="2"/>
      <c r="Z49" s="7">
        <f t="shared" si="23"/>
        <v>0</v>
      </c>
    </row>
    <row r="50" spans="1:26" s="27" customFormat="1" outlineLevel="1" collapsed="1" x14ac:dyDescent="0.25">
      <c r="A50" s="26"/>
      <c r="B50" s="13" t="str">
        <f>CONCATENATE("     ","Repair and Maintenance                            ")</f>
        <v xml:space="preserve">     Repair and Maintenance                            </v>
      </c>
      <c r="C50" s="13"/>
      <c r="D50" s="1">
        <f>SUM(OSRRefD22_7x_0)</f>
        <v>127.47</v>
      </c>
      <c r="E50" s="1"/>
      <c r="F50" s="5">
        <f t="shared" si="16"/>
        <v>0</v>
      </c>
      <c r="G50" s="1"/>
      <c r="H50" s="1">
        <f>SUM(OSRRefH22_7x_0)</f>
        <v>125</v>
      </c>
      <c r="I50" s="1"/>
      <c r="J50" s="5">
        <f t="shared" si="17"/>
        <v>0</v>
      </c>
      <c r="K50" s="1"/>
      <c r="L50" s="1">
        <f t="shared" si="18"/>
        <v>2.4699999999999989</v>
      </c>
      <c r="M50" s="1"/>
      <c r="N50" s="5">
        <f t="shared" si="19"/>
        <v>1.9759999999999989E-2</v>
      </c>
      <c r="O50" s="13"/>
      <c r="P50" s="1">
        <f>SUM(OSRRefP22_7x_0)</f>
        <v>469.2</v>
      </c>
      <c r="Q50" s="1"/>
      <c r="R50" s="5">
        <f t="shared" si="20"/>
        <v>0</v>
      </c>
      <c r="S50" s="1"/>
      <c r="T50" s="1">
        <f>SUM(OSRRefT22_7x_0)</f>
        <v>1125</v>
      </c>
      <c r="U50" s="1"/>
      <c r="V50" s="5">
        <f t="shared" si="21"/>
        <v>0</v>
      </c>
      <c r="W50" s="1"/>
      <c r="X50" s="1">
        <f t="shared" si="22"/>
        <v>-655.8</v>
      </c>
      <c r="Y50" s="1"/>
      <c r="Z50" s="5">
        <f t="shared" si="23"/>
        <v>-0.5829333333333333</v>
      </c>
    </row>
    <row r="51" spans="1:26" s="24" customFormat="1" hidden="1" outlineLevel="2" x14ac:dyDescent="0.25">
      <c r="A51" s="25"/>
      <c r="B51" s="11" t="str">
        <f>CONCATENATE("          ", "6373", " - ", "MAINTENANCE CONTRACTS")</f>
        <v xml:space="preserve">          6373 - MAINTENANCE CONTRACTS</v>
      </c>
      <c r="C51" s="11"/>
      <c r="D51" s="6">
        <v>7.47</v>
      </c>
      <c r="E51" s="2"/>
      <c r="F51" s="7">
        <f t="shared" si="16"/>
        <v>0</v>
      </c>
      <c r="G51" s="2"/>
      <c r="H51" s="6"/>
      <c r="I51" s="2"/>
      <c r="J51" s="7">
        <f t="shared" si="17"/>
        <v>0</v>
      </c>
      <c r="K51" s="2"/>
      <c r="L51" s="6">
        <f t="shared" si="18"/>
        <v>7.47</v>
      </c>
      <c r="M51" s="2"/>
      <c r="N51" s="7">
        <f t="shared" si="19"/>
        <v>0</v>
      </c>
      <c r="O51" s="11"/>
      <c r="P51" s="6">
        <v>156.87</v>
      </c>
      <c r="Q51" s="2"/>
      <c r="R51" s="7">
        <f t="shared" si="20"/>
        <v>0</v>
      </c>
      <c r="S51" s="2"/>
      <c r="T51" s="6"/>
      <c r="U51" s="2"/>
      <c r="V51" s="7">
        <f t="shared" si="21"/>
        <v>0</v>
      </c>
      <c r="W51" s="2"/>
      <c r="X51" s="6">
        <f t="shared" si="22"/>
        <v>156.87</v>
      </c>
      <c r="Y51" s="2"/>
      <c r="Z51" s="7">
        <f t="shared" si="23"/>
        <v>0</v>
      </c>
    </row>
    <row r="52" spans="1:26" s="24" customFormat="1" hidden="1" outlineLevel="2" x14ac:dyDescent="0.25">
      <c r="A52" s="25"/>
      <c r="B52" s="11" t="str">
        <f>CONCATENATE("          ", "6375", " - ", "OUTSIDE REPAIRS &amp; MAINTENANCE")</f>
        <v xml:space="preserve">          6375 - OUTSIDE REPAIRS &amp; MAINTENANCE</v>
      </c>
      <c r="C52" s="11"/>
      <c r="D52" s="6">
        <v>120</v>
      </c>
      <c r="E52" s="2"/>
      <c r="F52" s="7">
        <f t="shared" si="16"/>
        <v>0</v>
      </c>
      <c r="G52" s="2"/>
      <c r="H52" s="6">
        <v>125</v>
      </c>
      <c r="I52" s="2"/>
      <c r="J52" s="7">
        <f t="shared" si="17"/>
        <v>0</v>
      </c>
      <c r="K52" s="2"/>
      <c r="L52" s="6">
        <f t="shared" si="18"/>
        <v>-5</v>
      </c>
      <c r="M52" s="2"/>
      <c r="N52" s="7">
        <f t="shared" si="19"/>
        <v>-0.04</v>
      </c>
      <c r="O52" s="11"/>
      <c r="P52" s="6">
        <v>312.33</v>
      </c>
      <c r="Q52" s="2"/>
      <c r="R52" s="7">
        <f t="shared" si="20"/>
        <v>0</v>
      </c>
      <c r="S52" s="2"/>
      <c r="T52" s="6">
        <v>1125</v>
      </c>
      <c r="U52" s="2"/>
      <c r="V52" s="7">
        <f t="shared" si="21"/>
        <v>0</v>
      </c>
      <c r="W52" s="2"/>
      <c r="X52" s="6">
        <f t="shared" si="22"/>
        <v>-812.67000000000007</v>
      </c>
      <c r="Y52" s="2"/>
      <c r="Z52" s="7">
        <f t="shared" si="23"/>
        <v>-0.72237333333333342</v>
      </c>
    </row>
    <row r="53" spans="1:26" s="27" customFormat="1" outlineLevel="1" collapsed="1" x14ac:dyDescent="0.25">
      <c r="A53" s="26"/>
      <c r="B53" s="13" t="str">
        <f>CONCATENATE("     ","Supplies                                          ")</f>
        <v xml:space="preserve">     Supplies                                          </v>
      </c>
      <c r="C53" s="13"/>
      <c r="D53" s="1">
        <f>SUM(OSRRefD22_8x_0)</f>
        <v>583.71</v>
      </c>
      <c r="E53" s="1"/>
      <c r="F53" s="5">
        <f t="shared" ref="F53:F57" si="24">IF(D$12=0,0,D53/D$12)</f>
        <v>0</v>
      </c>
      <c r="G53" s="1"/>
      <c r="H53" s="1">
        <f>SUM(OSRRefH22_8x_0)</f>
        <v>450</v>
      </c>
      <c r="I53" s="1"/>
      <c r="J53" s="5">
        <f t="shared" ref="J53:J57" si="25">IF(H$12=0,0,H53/H$12)</f>
        <v>0</v>
      </c>
      <c r="K53" s="1"/>
      <c r="L53" s="1">
        <f t="shared" ref="L53:L57" si="26">+D53-H53</f>
        <v>133.71000000000004</v>
      </c>
      <c r="M53" s="1"/>
      <c r="N53" s="5">
        <f t="shared" ref="N53:N57" si="27">IF(H53=0,0,L53/H53)</f>
        <v>0.29713333333333342</v>
      </c>
      <c r="O53" s="13"/>
      <c r="P53" s="1">
        <f>SUM(OSRRefP22_8x_0)</f>
        <v>2978.46</v>
      </c>
      <c r="Q53" s="1"/>
      <c r="R53" s="5">
        <f t="shared" ref="R53:R57" si="28">IF(P$12=0,0,P53/P$12)</f>
        <v>0</v>
      </c>
      <c r="S53" s="1"/>
      <c r="T53" s="1">
        <f>SUM(OSRRefT22_8x_0)</f>
        <v>5550</v>
      </c>
      <c r="U53" s="1"/>
      <c r="V53" s="5">
        <f t="shared" ref="V53:V57" si="29">IF(T$12=0,0,T53/T$12)</f>
        <v>0</v>
      </c>
      <c r="W53" s="1"/>
      <c r="X53" s="1">
        <f t="shared" ref="X53:X57" si="30">+P53-T53</f>
        <v>-2571.54</v>
      </c>
      <c r="Y53" s="1"/>
      <c r="Z53" s="5">
        <f t="shared" ref="Z53:Z57" si="31">IF(T53=0,0,X53/T53)</f>
        <v>-0.46334054054054052</v>
      </c>
    </row>
    <row r="54" spans="1:26" s="24" customFormat="1" hidden="1" outlineLevel="2" x14ac:dyDescent="0.25">
      <c r="A54" s="25"/>
      <c r="B54" s="11" t="str">
        <f>CONCATENATE("          ", "6237", " - ", "JANITORIAL SUPPLIES")</f>
        <v xml:space="preserve">          6237 - JANITORIAL SUPPLIES</v>
      </c>
      <c r="C54" s="11"/>
      <c r="D54" s="6"/>
      <c r="E54" s="2"/>
      <c r="F54" s="7">
        <f t="shared" si="24"/>
        <v>0</v>
      </c>
      <c r="G54" s="2"/>
      <c r="H54" s="6"/>
      <c r="I54" s="2"/>
      <c r="J54" s="7">
        <f t="shared" si="25"/>
        <v>0</v>
      </c>
      <c r="K54" s="2"/>
      <c r="L54" s="6">
        <f t="shared" si="26"/>
        <v>0</v>
      </c>
      <c r="M54" s="2"/>
      <c r="N54" s="7">
        <f t="shared" si="27"/>
        <v>0</v>
      </c>
      <c r="O54" s="11"/>
      <c r="P54" s="6">
        <v>226.95</v>
      </c>
      <c r="Q54" s="2"/>
      <c r="R54" s="7">
        <f t="shared" si="28"/>
        <v>0</v>
      </c>
      <c r="S54" s="2"/>
      <c r="T54" s="6"/>
      <c r="U54" s="2"/>
      <c r="V54" s="7">
        <f t="shared" si="29"/>
        <v>0</v>
      </c>
      <c r="W54" s="2"/>
      <c r="X54" s="6">
        <f t="shared" si="30"/>
        <v>226.95</v>
      </c>
      <c r="Y54" s="2"/>
      <c r="Z54" s="7">
        <f t="shared" si="31"/>
        <v>0</v>
      </c>
    </row>
    <row r="55" spans="1:26" s="24" customFormat="1" hidden="1" outlineLevel="2" x14ac:dyDescent="0.25">
      <c r="A55" s="25"/>
      <c r="B55" s="11" t="str">
        <f>CONCATENATE("          ", "6241", " - ", "OFFICE EXPENSE")</f>
        <v xml:space="preserve">          6241 - OFFICE EXPENSE</v>
      </c>
      <c r="C55" s="11"/>
      <c r="D55" s="6">
        <v>72</v>
      </c>
      <c r="E55" s="2"/>
      <c r="F55" s="7">
        <f t="shared" si="24"/>
        <v>0</v>
      </c>
      <c r="G55" s="2"/>
      <c r="H55" s="6">
        <v>150</v>
      </c>
      <c r="I55" s="2"/>
      <c r="J55" s="7">
        <f t="shared" si="25"/>
        <v>0</v>
      </c>
      <c r="K55" s="2"/>
      <c r="L55" s="6">
        <f t="shared" si="26"/>
        <v>-78</v>
      </c>
      <c r="M55" s="2"/>
      <c r="N55" s="7">
        <f t="shared" si="27"/>
        <v>-0.52</v>
      </c>
      <c r="O55" s="11"/>
      <c r="P55" s="6">
        <v>1605.07</v>
      </c>
      <c r="Q55" s="2"/>
      <c r="R55" s="7">
        <f t="shared" si="28"/>
        <v>0</v>
      </c>
      <c r="S55" s="2"/>
      <c r="T55" s="6">
        <v>1850</v>
      </c>
      <c r="U55" s="2"/>
      <c r="V55" s="7">
        <f t="shared" si="29"/>
        <v>0</v>
      </c>
      <c r="W55" s="2"/>
      <c r="X55" s="6">
        <f t="shared" si="30"/>
        <v>-244.93000000000006</v>
      </c>
      <c r="Y55" s="2"/>
      <c r="Z55" s="7">
        <f t="shared" si="31"/>
        <v>-0.13239459459459463</v>
      </c>
    </row>
    <row r="56" spans="1:26" s="24" customFormat="1" hidden="1" outlineLevel="2" x14ac:dyDescent="0.25">
      <c r="A56" s="25"/>
      <c r="B56" s="11" t="str">
        <f>CONCATENATE("          ", "6243", " - ", "PAPER SUPPLIES")</f>
        <v xml:space="preserve">          6243 - PAPER SUPPLIES</v>
      </c>
      <c r="C56" s="11"/>
      <c r="D56" s="6"/>
      <c r="E56" s="2"/>
      <c r="F56" s="7">
        <f t="shared" si="24"/>
        <v>0</v>
      </c>
      <c r="G56" s="2"/>
      <c r="H56" s="6"/>
      <c r="I56" s="2"/>
      <c r="J56" s="7">
        <f t="shared" si="25"/>
        <v>0</v>
      </c>
      <c r="K56" s="2"/>
      <c r="L56" s="6">
        <f t="shared" si="26"/>
        <v>0</v>
      </c>
      <c r="M56" s="2"/>
      <c r="N56" s="7">
        <f t="shared" si="27"/>
        <v>0</v>
      </c>
      <c r="O56" s="11"/>
      <c r="P56" s="6"/>
      <c r="Q56" s="2"/>
      <c r="R56" s="7">
        <f t="shared" si="28"/>
        <v>0</v>
      </c>
      <c r="S56" s="2"/>
      <c r="T56" s="6">
        <v>1000</v>
      </c>
      <c r="U56" s="2"/>
      <c r="V56" s="7">
        <f t="shared" si="29"/>
        <v>0</v>
      </c>
      <c r="W56" s="2"/>
      <c r="X56" s="6">
        <f t="shared" si="30"/>
        <v>-1000</v>
      </c>
      <c r="Y56" s="2"/>
      <c r="Z56" s="7">
        <f t="shared" si="31"/>
        <v>-1</v>
      </c>
    </row>
    <row r="57" spans="1:26" s="24" customFormat="1" hidden="1" outlineLevel="2" x14ac:dyDescent="0.25">
      <c r="A57" s="25"/>
      <c r="B57" s="11" t="str">
        <f>CONCATENATE("          ", "6247", " - ", "STORE SUPPLIES")</f>
        <v xml:space="preserve">          6247 - STORE SUPPLIES</v>
      </c>
      <c r="C57" s="11"/>
      <c r="D57" s="6">
        <v>511.71</v>
      </c>
      <c r="E57" s="2"/>
      <c r="F57" s="7">
        <f t="shared" si="24"/>
        <v>0</v>
      </c>
      <c r="G57" s="2"/>
      <c r="H57" s="6">
        <v>300</v>
      </c>
      <c r="I57" s="2"/>
      <c r="J57" s="7">
        <f t="shared" si="25"/>
        <v>0</v>
      </c>
      <c r="K57" s="2"/>
      <c r="L57" s="6">
        <f t="shared" si="26"/>
        <v>211.70999999999998</v>
      </c>
      <c r="M57" s="2"/>
      <c r="N57" s="7">
        <f t="shared" si="27"/>
        <v>0.70569999999999988</v>
      </c>
      <c r="O57" s="11"/>
      <c r="P57" s="6">
        <v>1146.44</v>
      </c>
      <c r="Q57" s="2"/>
      <c r="R57" s="7">
        <f t="shared" si="28"/>
        <v>0</v>
      </c>
      <c r="S57" s="2"/>
      <c r="T57" s="6">
        <v>2700</v>
      </c>
      <c r="U57" s="2"/>
      <c r="V57" s="7">
        <f t="shared" si="29"/>
        <v>0</v>
      </c>
      <c r="W57" s="2"/>
      <c r="X57" s="6">
        <f t="shared" si="30"/>
        <v>-1553.56</v>
      </c>
      <c r="Y57" s="2"/>
      <c r="Z57" s="7">
        <f t="shared" si="31"/>
        <v>-0.57539259259259257</v>
      </c>
    </row>
    <row r="58" spans="1:26" s="27" customFormat="1" outlineLevel="1" collapsed="1" x14ac:dyDescent="0.25">
      <c r="A58" s="26"/>
      <c r="B58" s="13" t="str">
        <f>CONCATENATE("     ","Telephone/Data Lines                              ")</f>
        <v xml:space="preserve">     Telephone/Data Lines                              </v>
      </c>
      <c r="C58" s="13"/>
      <c r="D58" s="1">
        <f>SUM(OSRRefD22_9x_0)</f>
        <v>172.35</v>
      </c>
      <c r="E58" s="1"/>
      <c r="F58" s="5">
        <f t="shared" ref="F58:F61" si="32">IF(D$12=0,0,D58/D$12)</f>
        <v>0</v>
      </c>
      <c r="G58" s="1"/>
      <c r="H58" s="1">
        <f>SUM(OSRRefH22_9x_0)</f>
        <v>165</v>
      </c>
      <c r="I58" s="1"/>
      <c r="J58" s="5">
        <f t="shared" ref="J58:J61" si="33">IF(H$12=0,0,H58/H$12)</f>
        <v>0</v>
      </c>
      <c r="K58" s="1"/>
      <c r="L58" s="1">
        <f t="shared" ref="L58:L61" si="34">+D58-H58</f>
        <v>7.3499999999999943</v>
      </c>
      <c r="M58" s="1"/>
      <c r="N58" s="5">
        <f t="shared" ref="N58:N61" si="35">IF(H58=0,0,L58/H58)</f>
        <v>4.4545454545454513E-2</v>
      </c>
      <c r="O58" s="13"/>
      <c r="P58" s="1">
        <f>SUM(OSRRefP22_9x_0)</f>
        <v>1398.5</v>
      </c>
      <c r="Q58" s="1"/>
      <c r="R58" s="5">
        <f t="shared" ref="R58:R61" si="36">IF(P$12=0,0,P58/P$12)</f>
        <v>0</v>
      </c>
      <c r="S58" s="1"/>
      <c r="T58" s="1">
        <f>SUM(OSRRefT22_9x_0)</f>
        <v>1485</v>
      </c>
      <c r="U58" s="1"/>
      <c r="V58" s="5">
        <f t="shared" ref="V58:V61" si="37">IF(T$12=0,0,T58/T$12)</f>
        <v>0</v>
      </c>
      <c r="W58" s="1"/>
      <c r="X58" s="1">
        <f t="shared" ref="X58:X61" si="38">+P58-T58</f>
        <v>-86.5</v>
      </c>
      <c r="Y58" s="1"/>
      <c r="Z58" s="5">
        <f t="shared" ref="Z58:Z61" si="39">IF(T58=0,0,X58/T58)</f>
        <v>-5.8249158249158252E-2</v>
      </c>
    </row>
    <row r="59" spans="1:26" s="24" customFormat="1" hidden="1" outlineLevel="2" x14ac:dyDescent="0.25">
      <c r="A59" s="25"/>
      <c r="B59" s="11" t="str">
        <f>CONCATENATE("          ", "6309", " - ", "TELEPHONE")</f>
        <v xml:space="preserve">          6309 - TELEPHONE</v>
      </c>
      <c r="C59" s="11"/>
      <c r="D59" s="6">
        <v>172.35</v>
      </c>
      <c r="E59" s="2"/>
      <c r="F59" s="7">
        <f t="shared" si="32"/>
        <v>0</v>
      </c>
      <c r="G59" s="2"/>
      <c r="H59" s="6">
        <v>165</v>
      </c>
      <c r="I59" s="2"/>
      <c r="J59" s="7">
        <f t="shared" si="33"/>
        <v>0</v>
      </c>
      <c r="K59" s="2"/>
      <c r="L59" s="6">
        <f t="shared" si="34"/>
        <v>7.3499999999999943</v>
      </c>
      <c r="M59" s="2"/>
      <c r="N59" s="7">
        <f t="shared" si="35"/>
        <v>4.4545454545454513E-2</v>
      </c>
      <c r="O59" s="11"/>
      <c r="P59" s="6">
        <v>1398.5</v>
      </c>
      <c r="Q59" s="2"/>
      <c r="R59" s="7">
        <f t="shared" si="36"/>
        <v>0</v>
      </c>
      <c r="S59" s="2"/>
      <c r="T59" s="6">
        <v>1485</v>
      </c>
      <c r="U59" s="2"/>
      <c r="V59" s="7">
        <f t="shared" si="37"/>
        <v>0</v>
      </c>
      <c r="W59" s="2"/>
      <c r="X59" s="6">
        <f t="shared" si="38"/>
        <v>-86.5</v>
      </c>
      <c r="Y59" s="2"/>
      <c r="Z59" s="7">
        <f t="shared" si="39"/>
        <v>-5.8249158249158252E-2</v>
      </c>
    </row>
    <row r="60" spans="1:26" s="27" customFormat="1" outlineLevel="1" collapsed="1" x14ac:dyDescent="0.25">
      <c r="A60" s="26"/>
      <c r="B60" s="13" t="str">
        <f>CONCATENATE("     ","Training                                          ")</f>
        <v xml:space="preserve">     Training                                          </v>
      </c>
      <c r="C60" s="13"/>
      <c r="D60" s="1">
        <f>SUM(OSRRefD22_10x_0)</f>
        <v>0</v>
      </c>
      <c r="E60" s="1"/>
      <c r="F60" s="5">
        <f t="shared" si="32"/>
        <v>0</v>
      </c>
      <c r="G60" s="1"/>
      <c r="H60" s="1">
        <f>SUM(OSRRefH22_10x_0)</f>
        <v>750</v>
      </c>
      <c r="I60" s="1"/>
      <c r="J60" s="5">
        <f t="shared" si="33"/>
        <v>0</v>
      </c>
      <c r="K60" s="1"/>
      <c r="L60" s="1">
        <f t="shared" si="34"/>
        <v>-750</v>
      </c>
      <c r="M60" s="1"/>
      <c r="N60" s="5">
        <f t="shared" si="35"/>
        <v>-1</v>
      </c>
      <c r="O60" s="13"/>
      <c r="P60" s="1">
        <f>SUM(OSRRefP22_10x_0)</f>
        <v>80</v>
      </c>
      <c r="Q60" s="1"/>
      <c r="R60" s="5">
        <f t="shared" si="36"/>
        <v>0</v>
      </c>
      <c r="S60" s="1"/>
      <c r="T60" s="1">
        <f>SUM(OSRRefT22_10x_0)</f>
        <v>1500</v>
      </c>
      <c r="U60" s="1"/>
      <c r="V60" s="5">
        <f t="shared" si="37"/>
        <v>0</v>
      </c>
      <c r="W60" s="1"/>
      <c r="X60" s="1">
        <f t="shared" si="38"/>
        <v>-1420</v>
      </c>
      <c r="Y60" s="1"/>
      <c r="Z60" s="5">
        <f t="shared" si="39"/>
        <v>-0.94666666666666666</v>
      </c>
    </row>
    <row r="61" spans="1:26" s="24" customFormat="1" hidden="1" outlineLevel="2" x14ac:dyDescent="0.25">
      <c r="A61" s="25"/>
      <c r="B61" s="11" t="str">
        <f>CONCATENATE("          ", "6376", " - ", "TRAINING")</f>
        <v xml:space="preserve">          6376 - TRAINING</v>
      </c>
      <c r="C61" s="11"/>
      <c r="D61" s="6"/>
      <c r="E61" s="2"/>
      <c r="F61" s="7">
        <f t="shared" si="32"/>
        <v>0</v>
      </c>
      <c r="G61" s="2"/>
      <c r="H61" s="6">
        <v>750</v>
      </c>
      <c r="I61" s="2"/>
      <c r="J61" s="7">
        <f t="shared" si="33"/>
        <v>0</v>
      </c>
      <c r="K61" s="2"/>
      <c r="L61" s="6">
        <f t="shared" si="34"/>
        <v>-750</v>
      </c>
      <c r="M61" s="2"/>
      <c r="N61" s="7">
        <f t="shared" si="35"/>
        <v>-1</v>
      </c>
      <c r="O61" s="11"/>
      <c r="P61" s="6">
        <v>80</v>
      </c>
      <c r="Q61" s="2"/>
      <c r="R61" s="7">
        <f t="shared" si="36"/>
        <v>0</v>
      </c>
      <c r="S61" s="2"/>
      <c r="T61" s="6">
        <v>1500</v>
      </c>
      <c r="U61" s="2"/>
      <c r="V61" s="7">
        <f t="shared" si="37"/>
        <v>0</v>
      </c>
      <c r="W61" s="2"/>
      <c r="X61" s="6">
        <f t="shared" si="38"/>
        <v>-1420</v>
      </c>
      <c r="Y61" s="2"/>
      <c r="Z61" s="7">
        <f t="shared" si="39"/>
        <v>-0.94666666666666666</v>
      </c>
    </row>
    <row r="62" spans="1:26" s="56" customFormat="1" x14ac:dyDescent="0.25">
      <c r="A62" s="36"/>
      <c r="B62" s="36"/>
      <c r="C62" s="36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6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9" t="s">
        <v>0</v>
      </c>
      <c r="C63" s="10"/>
      <c r="D63" s="4">
        <f>SUM(0)</f>
        <v>0</v>
      </c>
      <c r="E63" s="4"/>
      <c r="F63" s="12">
        <f>IF(D$12=0,0,D63/D$12)</f>
        <v>0</v>
      </c>
      <c r="G63" s="4"/>
      <c r="H63" s="4">
        <f>SUM(0)</f>
        <v>0</v>
      </c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>
        <f>SUM(0)</f>
        <v>0</v>
      </c>
      <c r="Q63" s="4"/>
      <c r="R63" s="12">
        <f>IF(P$12=0,0,P63/P$12)</f>
        <v>0</v>
      </c>
      <c r="S63" s="4"/>
      <c r="T63" s="4">
        <f>SUM(0)</f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8" t="s">
        <v>3</v>
      </c>
      <c r="C65" s="28"/>
      <c r="D65" s="20">
        <f>+D16-D18+D63</f>
        <v>-46126.94999999999</v>
      </c>
      <c r="E65" s="14"/>
      <c r="F65" s="22">
        <f>IF(D$12=0,0,D65/D$12)</f>
        <v>0</v>
      </c>
      <c r="G65" s="14"/>
      <c r="H65" s="20">
        <f>+H16-H18+H63</f>
        <v>-28861.095931636002</v>
      </c>
      <c r="I65" s="14"/>
      <c r="J65" s="22">
        <f>IF(H$12=0,0,H65/H$12)</f>
        <v>0</v>
      </c>
      <c r="K65" s="16"/>
      <c r="L65" s="20">
        <f>+D65-H65</f>
        <v>-17265.854068363988</v>
      </c>
      <c r="M65" s="16"/>
      <c r="N65" s="22">
        <f>IF(H65=0,0,L65/H65)</f>
        <v>0.59823972413459447</v>
      </c>
      <c r="O65" s="29"/>
      <c r="P65" s="20">
        <f>+P16-P18+P63</f>
        <v>-423383.16000000009</v>
      </c>
      <c r="Q65" s="14"/>
      <c r="R65" s="22">
        <f>IF(P$12=0,0,P65/P$12)</f>
        <v>0</v>
      </c>
      <c r="S65" s="14"/>
      <c r="T65" s="20">
        <f>+T16-T18+T63</f>
        <v>-402296.24926195102</v>
      </c>
      <c r="U65" s="14"/>
      <c r="V65" s="22">
        <f>IF(T$12=0,0,T65/T$12)</f>
        <v>0</v>
      </c>
      <c r="W65" s="16"/>
      <c r="X65" s="20">
        <f>+P65-T65</f>
        <v>-21086.910738049075</v>
      </c>
      <c r="Y65" s="16"/>
      <c r="Z65" s="22">
        <f>IF(T65=0,0,X65/T65)</f>
        <v>5.2416374193731428E-2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2"/>
      <c r="B67" s="10" t="s">
        <v>14</v>
      </c>
      <c r="C67" s="10"/>
      <c r="D67" s="4"/>
      <c r="E67" s="4"/>
      <c r="F67" s="12">
        <f>IF(D$12=0,0,D67/D$12)</f>
        <v>0</v>
      </c>
      <c r="G67" s="4"/>
      <c r="H67" s="4"/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/>
      <c r="Q67" s="4"/>
      <c r="R67" s="12">
        <f>IF(P$12=0,0,P67/P$12)</f>
        <v>0</v>
      </c>
      <c r="S67" s="4"/>
      <c r="T67" s="4"/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8" t="s">
        <v>4</v>
      </c>
      <c r="C69" s="28"/>
      <c r="D69" s="31">
        <f>+D65-D67</f>
        <v>-46126.94999999999</v>
      </c>
      <c r="E69" s="14"/>
      <c r="F69" s="34">
        <f>IF(D$12=0,0,D69/D$12)</f>
        <v>0</v>
      </c>
      <c r="G69" s="14"/>
      <c r="H69" s="31">
        <f>+H65-H67</f>
        <v>-28861.095931636002</v>
      </c>
      <c r="I69" s="14"/>
      <c r="J69" s="34">
        <f>IF(H$12=0,0,H69/H$12)</f>
        <v>0</v>
      </c>
      <c r="K69" s="16"/>
      <c r="L69" s="31">
        <f>D69-H69</f>
        <v>-17265.854068363988</v>
      </c>
      <c r="M69" s="16"/>
      <c r="N69" s="34">
        <f>IF(H69=0,0,L69/H69)</f>
        <v>0.59823972413459447</v>
      </c>
      <c r="O69" s="29"/>
      <c r="P69" s="31">
        <f>+P65-P67</f>
        <v>-423383.16000000009</v>
      </c>
      <c r="Q69" s="14"/>
      <c r="R69" s="34">
        <f>IF(P$12=0,0,P69/P$12)</f>
        <v>0</v>
      </c>
      <c r="S69" s="14"/>
      <c r="T69" s="31">
        <f>+T65-T67</f>
        <v>-402296.24926195102</v>
      </c>
      <c r="U69" s="14"/>
      <c r="V69" s="34">
        <f>IF(T$12=0,0,T69/T$12)</f>
        <v>0</v>
      </c>
      <c r="W69" s="16"/>
      <c r="X69" s="31">
        <f>P69-T69</f>
        <v>-21086.910738049075</v>
      </c>
      <c r="Y69" s="16"/>
      <c r="Z69" s="34">
        <f>IF(T69=0,0,X69/T69)</f>
        <v>5.2416374193731428E-2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8" t="s">
        <v>5</v>
      </c>
      <c r="C72" s="28"/>
      <c r="D72" s="32">
        <f>SUM(D69:D71)</f>
        <v>-46126.94999999999</v>
      </c>
      <c r="E72" s="14"/>
      <c r="F72" s="35">
        <f>IF(D$12=0,0,D72/D$12)</f>
        <v>0</v>
      </c>
      <c r="G72" s="14"/>
      <c r="H72" s="32">
        <f>SUM(H69:H71)</f>
        <v>-28861.095931636002</v>
      </c>
      <c r="I72" s="14"/>
      <c r="J72" s="35">
        <f>IF(H$12=0,0,H72/H$12)</f>
        <v>0</v>
      </c>
      <c r="K72" s="16"/>
      <c r="L72" s="32">
        <f>+D72-H72</f>
        <v>-17265.854068363988</v>
      </c>
      <c r="M72" s="16"/>
      <c r="N72" s="35">
        <f>IF(H72=0,0,L72/H72)</f>
        <v>0.59823972413459447</v>
      </c>
      <c r="O72" s="29"/>
      <c r="P72" s="32">
        <f>SUM(P69:P71)</f>
        <v>-423383.16000000009</v>
      </c>
      <c r="Q72" s="14"/>
      <c r="R72" s="35">
        <f>IF(P$12=0,0,P72/P$12)</f>
        <v>0</v>
      </c>
      <c r="S72" s="14"/>
      <c r="T72" s="32">
        <f>SUM(T69:T71)</f>
        <v>-402296.24926195102</v>
      </c>
      <c r="U72" s="14"/>
      <c r="V72" s="35">
        <f>IF(T$12=0,0,T72/T$12)</f>
        <v>0</v>
      </c>
      <c r="W72" s="16"/>
      <c r="X72" s="32">
        <f>+P72-T72</f>
        <v>-21086.910738049075</v>
      </c>
      <c r="Y72" s="16"/>
      <c r="Z72" s="35">
        <f>IF(T72=0,0,X72/T72)</f>
        <v>5.2416374193731428E-2</v>
      </c>
    </row>
    <row r="73" spans="1:26" ht="15.75" thickTop="1" x14ac:dyDescent="0.25">
      <c r="A73" s="9"/>
      <c r="C73" s="9"/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  <row r="74" spans="1:26" x14ac:dyDescent="0.25">
      <c r="A74" s="9"/>
      <c r="B74" s="57">
        <v>43934.466358796293</v>
      </c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  <row r="75" spans="1:26" x14ac:dyDescent="0.25">
      <c r="A75" s="9"/>
      <c r="B75" s="62" t="s">
        <v>314</v>
      </c>
      <c r="D75" s="18"/>
      <c r="E75" s="18"/>
      <c r="G75" s="18"/>
      <c r="H75" s="18"/>
      <c r="I75" s="18"/>
      <c r="J75" s="42"/>
      <c r="K75" s="18"/>
      <c r="L75" s="18"/>
      <c r="M75" s="18"/>
      <c r="P75" s="18"/>
      <c r="Q75" s="18"/>
      <c r="R75" s="42"/>
      <c r="S75" s="18"/>
      <c r="T75" s="18"/>
      <c r="U75" s="18"/>
      <c r="V75" s="42"/>
      <c r="W75" s="18"/>
      <c r="X75" s="18"/>
    </row>
    <row r="76" spans="1:26" x14ac:dyDescent="0.25">
      <c r="A76" s="9"/>
      <c r="B76" s="60"/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  <row r="77" spans="1:26" x14ac:dyDescent="0.25"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5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306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40837.089999999997</v>
      </c>
      <c r="E12" s="4"/>
      <c r="F12" s="12"/>
      <c r="G12" s="4"/>
      <c r="H12" s="4">
        <f>SUM(OSRRefH13x_0)</f>
        <v>76057</v>
      </c>
      <c r="I12" s="4"/>
      <c r="J12" s="12"/>
      <c r="K12" s="4"/>
      <c r="L12" s="4">
        <f t="shared" ref="L12:L54" si="0">+D12-H12</f>
        <v>-35219.910000000003</v>
      </c>
      <c r="M12" s="4"/>
      <c r="N12" s="12">
        <f t="shared" ref="N12:N54" si="1">IF(H12=0,0,L12/H12)</f>
        <v>-0.46307256399805413</v>
      </c>
      <c r="O12" s="10"/>
      <c r="P12" s="4">
        <f>SUM(OSRRefP13x_0)</f>
        <v>811540.20000000007</v>
      </c>
      <c r="Q12" s="4"/>
      <c r="R12" s="12"/>
      <c r="S12" s="4"/>
      <c r="T12" s="4">
        <f>SUM(OSRRefT13x_0)</f>
        <v>885016</v>
      </c>
      <c r="U12" s="4"/>
      <c r="V12" s="12"/>
      <c r="W12" s="4"/>
      <c r="X12" s="4">
        <f t="shared" ref="X12:X54" si="2">+P12-T12</f>
        <v>-73475.79999999993</v>
      </c>
      <c r="Y12" s="4"/>
      <c r="Z12" s="12">
        <f t="shared" ref="Z12:Z54" si="3">IF(T12=0,0,X12/T12)</f>
        <v>-8.3022001862113143E-2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59755.000000000007</v>
      </c>
      <c r="I13" s="2"/>
      <c r="J13" s="19"/>
      <c r="K13" s="2"/>
      <c r="L13" s="2">
        <f t="shared" si="0"/>
        <v>-59755.000000000007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743679</v>
      </c>
      <c r="U13" s="2"/>
      <c r="V13" s="19"/>
      <c r="W13" s="2"/>
      <c r="X13" s="2">
        <f t="shared" si="2"/>
        <v>-743679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--10.98</f>
        <v>10.98</v>
      </c>
      <c r="E14" s="2"/>
      <c r="F14" s="19"/>
      <c r="G14" s="2"/>
      <c r="H14" s="2"/>
      <c r="I14" s="2"/>
      <c r="J14" s="19"/>
      <c r="K14" s="2"/>
      <c r="L14" s="2">
        <f t="shared" si="0"/>
        <v>10.98</v>
      </c>
      <c r="M14" s="2"/>
      <c r="N14" s="19">
        <f t="shared" si="1"/>
        <v>0</v>
      </c>
      <c r="O14" s="11"/>
      <c r="P14" s="2">
        <f>--282.57</f>
        <v>282.57</v>
      </c>
      <c r="Q14" s="2"/>
      <c r="R14" s="19"/>
      <c r="S14" s="2"/>
      <c r="T14" s="2"/>
      <c r="U14" s="2"/>
      <c r="V14" s="19"/>
      <c r="W14" s="2"/>
      <c r="X14" s="2">
        <f t="shared" si="2"/>
        <v>282.57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--42.85</f>
        <v>42.85</v>
      </c>
      <c r="Q15" s="2"/>
      <c r="R15" s="19"/>
      <c r="S15" s="2"/>
      <c r="T15" s="2"/>
      <c r="U15" s="2"/>
      <c r="V15" s="19"/>
      <c r="W15" s="2"/>
      <c r="X15" s="2">
        <f t="shared" si="2"/>
        <v>42.85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>--2919.17</f>
        <v>2919.17</v>
      </c>
      <c r="E16" s="2"/>
      <c r="F16" s="19"/>
      <c r="G16" s="2"/>
      <c r="H16" s="2"/>
      <c r="I16" s="2"/>
      <c r="J16" s="19"/>
      <c r="K16" s="2"/>
      <c r="L16" s="2">
        <f t="shared" si="0"/>
        <v>2919.17</v>
      </c>
      <c r="M16" s="2"/>
      <c r="N16" s="19">
        <f t="shared" si="1"/>
        <v>0</v>
      </c>
      <c r="O16" s="11"/>
      <c r="P16" s="2">
        <f>--54689.24</f>
        <v>54689.24</v>
      </c>
      <c r="Q16" s="2"/>
      <c r="R16" s="19"/>
      <c r="S16" s="2"/>
      <c r="T16" s="2"/>
      <c r="U16" s="2"/>
      <c r="V16" s="19"/>
      <c r="W16" s="2"/>
      <c r="X16" s="2">
        <f t="shared" si="2"/>
        <v>54689.24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--4389.42</f>
        <v>4389.42</v>
      </c>
      <c r="E17" s="2"/>
      <c r="F17" s="19"/>
      <c r="G17" s="2"/>
      <c r="H17" s="2"/>
      <c r="I17" s="2"/>
      <c r="J17" s="19"/>
      <c r="K17" s="2"/>
      <c r="L17" s="2">
        <f t="shared" si="0"/>
        <v>4389.42</v>
      </c>
      <c r="M17" s="2"/>
      <c r="N17" s="19">
        <f t="shared" si="1"/>
        <v>0</v>
      </c>
      <c r="O17" s="11"/>
      <c r="P17" s="2">
        <f>--79638.55</f>
        <v>79638.55</v>
      </c>
      <c r="Q17" s="2"/>
      <c r="R17" s="19"/>
      <c r="S17" s="2"/>
      <c r="T17" s="2"/>
      <c r="U17" s="2"/>
      <c r="V17" s="19"/>
      <c r="W17" s="2"/>
      <c r="X17" s="2">
        <f t="shared" si="2"/>
        <v>79638.55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--8153.25</f>
        <v>8153.25</v>
      </c>
      <c r="E18" s="2"/>
      <c r="F18" s="19"/>
      <c r="G18" s="2"/>
      <c r="H18" s="2"/>
      <c r="I18" s="2"/>
      <c r="J18" s="19"/>
      <c r="K18" s="2"/>
      <c r="L18" s="2">
        <f t="shared" si="0"/>
        <v>8153.25</v>
      </c>
      <c r="M18" s="2"/>
      <c r="N18" s="19">
        <f t="shared" si="1"/>
        <v>0</v>
      </c>
      <c r="O18" s="11"/>
      <c r="P18" s="2">
        <f>--269684.99</f>
        <v>269684.99</v>
      </c>
      <c r="Q18" s="2"/>
      <c r="R18" s="19"/>
      <c r="S18" s="2"/>
      <c r="T18" s="2"/>
      <c r="U18" s="2"/>
      <c r="V18" s="19"/>
      <c r="W18" s="2"/>
      <c r="X18" s="2">
        <f t="shared" si="2"/>
        <v>269684.99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--17260.82</f>
        <v>17260.82</v>
      </c>
      <c r="E19" s="2"/>
      <c r="F19" s="19"/>
      <c r="G19" s="2"/>
      <c r="H19" s="2"/>
      <c r="I19" s="2"/>
      <c r="J19" s="19"/>
      <c r="K19" s="2"/>
      <c r="L19" s="2">
        <f t="shared" si="0"/>
        <v>17260.82</v>
      </c>
      <c r="M19" s="2"/>
      <c r="N19" s="19">
        <f t="shared" si="1"/>
        <v>0</v>
      </c>
      <c r="O19" s="11"/>
      <c r="P19" s="2">
        <f>--292597.05</f>
        <v>292597.05</v>
      </c>
      <c r="Q19" s="2"/>
      <c r="R19" s="19"/>
      <c r="S19" s="2"/>
      <c r="T19" s="2"/>
      <c r="U19" s="2"/>
      <c r="V19" s="19"/>
      <c r="W19" s="2"/>
      <c r="X19" s="2">
        <f t="shared" si="2"/>
        <v>292597.05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"4031", " - ", "TAXABLE SALES-FOOD")</f>
        <v xml:space="preserve">          4031 - TAXABLE SALES-FOOD</v>
      </c>
      <c r="C20" s="11"/>
      <c r="D20" s="2">
        <f>--44.3</f>
        <v>44.3</v>
      </c>
      <c r="E20" s="2"/>
      <c r="F20" s="19"/>
      <c r="G20" s="2"/>
      <c r="H20" s="2"/>
      <c r="I20" s="2"/>
      <c r="J20" s="19"/>
      <c r="K20" s="2"/>
      <c r="L20" s="2">
        <f t="shared" si="0"/>
        <v>44.3</v>
      </c>
      <c r="M20" s="2"/>
      <c r="N20" s="19">
        <f t="shared" si="1"/>
        <v>0</v>
      </c>
      <c r="O20" s="11"/>
      <c r="P20" s="2">
        <f>--486.34</f>
        <v>486.34</v>
      </c>
      <c r="Q20" s="2"/>
      <c r="R20" s="19"/>
      <c r="S20" s="2"/>
      <c r="T20" s="2"/>
      <c r="U20" s="2"/>
      <c r="V20" s="19"/>
      <c r="W20" s="2"/>
      <c r="X20" s="2">
        <f t="shared" si="2"/>
        <v>486.34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"4032", " - ", "TAXABLE SALES-JUICE")</f>
        <v xml:space="preserve">          4032 - TAXABLE SALES-JUICE</v>
      </c>
      <c r="C21" s="11"/>
      <c r="D21" s="2">
        <f>--240.81</f>
        <v>240.81</v>
      </c>
      <c r="E21" s="2"/>
      <c r="F21" s="19"/>
      <c r="G21" s="2"/>
      <c r="H21" s="2"/>
      <c r="I21" s="2"/>
      <c r="J21" s="19"/>
      <c r="K21" s="2"/>
      <c r="L21" s="2">
        <f t="shared" si="0"/>
        <v>240.81</v>
      </c>
      <c r="M21" s="2"/>
      <c r="N21" s="19">
        <f t="shared" si="1"/>
        <v>0</v>
      </c>
      <c r="O21" s="11"/>
      <c r="P21" s="2">
        <f>--1905.06</f>
        <v>1905.06</v>
      </c>
      <c r="Q21" s="2"/>
      <c r="R21" s="19"/>
      <c r="S21" s="2"/>
      <c r="T21" s="2"/>
      <c r="U21" s="2"/>
      <c r="V21" s="19"/>
      <c r="W21" s="2"/>
      <c r="X21" s="2">
        <f t="shared" si="2"/>
        <v>1905.06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"4033", " - ", "TAXABLE SALES-CANDY")</f>
        <v xml:space="preserve">          4033 - TAXABLE SALES-CANDY</v>
      </c>
      <c r="C22" s="11"/>
      <c r="D22" s="2">
        <f>--25.55</f>
        <v>25.55</v>
      </c>
      <c r="E22" s="2"/>
      <c r="F22" s="19"/>
      <c r="G22" s="2"/>
      <c r="H22" s="2"/>
      <c r="I22" s="2"/>
      <c r="J22" s="19"/>
      <c r="K22" s="2"/>
      <c r="L22" s="2">
        <f t="shared" si="0"/>
        <v>25.55</v>
      </c>
      <c r="M22" s="2"/>
      <c r="N22" s="19">
        <f t="shared" si="1"/>
        <v>0</v>
      </c>
      <c r="O22" s="11"/>
      <c r="P22" s="2">
        <f>--205.53</f>
        <v>205.53</v>
      </c>
      <c r="Q22" s="2"/>
      <c r="R22" s="19"/>
      <c r="S22" s="2"/>
      <c r="T22" s="2"/>
      <c r="U22" s="2"/>
      <c r="V22" s="19"/>
      <c r="W22" s="2"/>
      <c r="X22" s="2">
        <f t="shared" si="2"/>
        <v>205.53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"4034", " - ", "TAXABLE SALES-SODA")</f>
        <v xml:space="preserve">          4034 - TAXABLE SALES-SODA</v>
      </c>
      <c r="C23" s="11"/>
      <c r="D23" s="2">
        <f>--600.08</f>
        <v>600.08000000000004</v>
      </c>
      <c r="E23" s="2"/>
      <c r="F23" s="19"/>
      <c r="G23" s="2"/>
      <c r="H23" s="2"/>
      <c r="I23" s="2"/>
      <c r="J23" s="19"/>
      <c r="K23" s="2"/>
      <c r="L23" s="2">
        <f t="shared" si="0"/>
        <v>600.08000000000004</v>
      </c>
      <c r="M23" s="2"/>
      <c r="N23" s="19">
        <f t="shared" si="1"/>
        <v>0</v>
      </c>
      <c r="O23" s="11"/>
      <c r="P23" s="2">
        <f>--7803.51</f>
        <v>7803.51</v>
      </c>
      <c r="Q23" s="2"/>
      <c r="R23" s="19"/>
      <c r="S23" s="2"/>
      <c r="T23" s="2"/>
      <c r="U23" s="2"/>
      <c r="V23" s="19"/>
      <c r="W23" s="2"/>
      <c r="X23" s="2">
        <f t="shared" si="2"/>
        <v>7803.51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>--101.32</f>
        <v>101.32</v>
      </c>
      <c r="E24" s="2"/>
      <c r="F24" s="19"/>
      <c r="G24" s="2"/>
      <c r="H24" s="2"/>
      <c r="I24" s="2"/>
      <c r="J24" s="19"/>
      <c r="K24" s="2"/>
      <c r="L24" s="2">
        <f t="shared" si="0"/>
        <v>101.32</v>
      </c>
      <c r="M24" s="2"/>
      <c r="N24" s="19">
        <f t="shared" si="1"/>
        <v>0</v>
      </c>
      <c r="O24" s="11"/>
      <c r="P24" s="2">
        <f>--1981.84</f>
        <v>1981.84</v>
      </c>
      <c r="Q24" s="2"/>
      <c r="R24" s="19"/>
      <c r="S24" s="2"/>
      <c r="T24" s="2"/>
      <c r="U24" s="2"/>
      <c r="V24" s="19"/>
      <c r="W24" s="2"/>
      <c r="X24" s="2">
        <f t="shared" si="2"/>
        <v>1981.84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"4037", " - ", "TAXABLE SALES-WATER")</f>
        <v xml:space="preserve">          4037 - TAXABLE SALES-WATER</v>
      </c>
      <c r="C25" s="11"/>
      <c r="D25" s="2">
        <f>--24.8</f>
        <v>24.8</v>
      </c>
      <c r="E25" s="2"/>
      <c r="F25" s="19"/>
      <c r="G25" s="2"/>
      <c r="H25" s="2"/>
      <c r="I25" s="2"/>
      <c r="J25" s="19"/>
      <c r="K25" s="2"/>
      <c r="L25" s="2">
        <f t="shared" si="0"/>
        <v>24.8</v>
      </c>
      <c r="M25" s="2"/>
      <c r="N25" s="19">
        <f t="shared" si="1"/>
        <v>0</v>
      </c>
      <c r="O25" s="11"/>
      <c r="P25" s="2">
        <f>--513.51</f>
        <v>513.51</v>
      </c>
      <c r="Q25" s="2"/>
      <c r="R25" s="19"/>
      <c r="S25" s="2"/>
      <c r="T25" s="2"/>
      <c r="U25" s="2"/>
      <c r="V25" s="19"/>
      <c r="W25" s="2"/>
      <c r="X25" s="2">
        <f t="shared" si="2"/>
        <v>513.51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"4041", " - ", "TAXABLE SALES-LOGO GIFTS")</f>
        <v xml:space="preserve">          4041 - TAXABLE SALES-LOGO GIFTS</v>
      </c>
      <c r="C26" s="11"/>
      <c r="D26" s="2">
        <f>--130.53</f>
        <v>130.53</v>
      </c>
      <c r="E26" s="2"/>
      <c r="F26" s="19"/>
      <c r="G26" s="2"/>
      <c r="H26" s="2"/>
      <c r="I26" s="2"/>
      <c r="J26" s="19"/>
      <c r="K26" s="2"/>
      <c r="L26" s="2">
        <f t="shared" si="0"/>
        <v>130.53</v>
      </c>
      <c r="M26" s="2"/>
      <c r="N26" s="19">
        <f t="shared" si="1"/>
        <v>0</v>
      </c>
      <c r="O26" s="11"/>
      <c r="P26" s="2">
        <f>--494.2</f>
        <v>494.2</v>
      </c>
      <c r="Q26" s="2"/>
      <c r="R26" s="19"/>
      <c r="S26" s="2"/>
      <c r="T26" s="2"/>
      <c r="U26" s="2"/>
      <c r="V26" s="19"/>
      <c r="W26" s="2"/>
      <c r="X26" s="2">
        <f t="shared" si="2"/>
        <v>494.2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"4042", " - ", "TAXABLE SALES-EVERYDAY GIFTS")</f>
        <v xml:space="preserve">          4042 - TAXABLE SALES-EVERYDAY GIFTS</v>
      </c>
      <c r="C27" s="11"/>
      <c r="D27" s="2">
        <f>--155.99</f>
        <v>155.99</v>
      </c>
      <c r="E27" s="2"/>
      <c r="F27" s="19"/>
      <c r="G27" s="2"/>
      <c r="H27" s="2"/>
      <c r="I27" s="2"/>
      <c r="J27" s="19"/>
      <c r="K27" s="2"/>
      <c r="L27" s="2">
        <f t="shared" si="0"/>
        <v>155.99</v>
      </c>
      <c r="M27" s="2"/>
      <c r="N27" s="19">
        <f t="shared" si="1"/>
        <v>0</v>
      </c>
      <c r="O27" s="11"/>
      <c r="P27" s="2">
        <f>--583.7</f>
        <v>583.70000000000005</v>
      </c>
      <c r="Q27" s="2"/>
      <c r="R27" s="19"/>
      <c r="S27" s="2"/>
      <c r="T27" s="2"/>
      <c r="U27" s="2"/>
      <c r="V27" s="19"/>
      <c r="W27" s="2"/>
      <c r="X27" s="2">
        <f t="shared" si="2"/>
        <v>583.70000000000005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"4044", " - ", "TAXABLE SALES-ACCESSORIES")</f>
        <v xml:space="preserve">          4044 - TAXABLE SALES-ACCESSORIES</v>
      </c>
      <c r="C28" s="11"/>
      <c r="D28" s="2">
        <f>--19.95</f>
        <v>19.95</v>
      </c>
      <c r="E28" s="2"/>
      <c r="F28" s="19"/>
      <c r="G28" s="2"/>
      <c r="H28" s="2"/>
      <c r="I28" s="2"/>
      <c r="J28" s="19"/>
      <c r="K28" s="2"/>
      <c r="L28" s="2">
        <f t="shared" si="0"/>
        <v>19.95</v>
      </c>
      <c r="M28" s="2"/>
      <c r="N28" s="19">
        <f t="shared" si="1"/>
        <v>0</v>
      </c>
      <c r="O28" s="11"/>
      <c r="P28" s="2">
        <f>--179.5</f>
        <v>179.5</v>
      </c>
      <c r="Q28" s="2"/>
      <c r="R28" s="19"/>
      <c r="S28" s="2"/>
      <c r="T28" s="2"/>
      <c r="U28" s="2"/>
      <c r="V28" s="19"/>
      <c r="W28" s="2"/>
      <c r="X28" s="2">
        <f t="shared" si="2"/>
        <v>179.5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"4081", " - ", "TAXABLE SALES-ELECTRONICS")</f>
        <v xml:space="preserve">          4081 - TAXABLE SALES-ELECTRONICS</v>
      </c>
      <c r="C29" s="11"/>
      <c r="D29" s="2">
        <f>--64.95</f>
        <v>64.95</v>
      </c>
      <c r="E29" s="2"/>
      <c r="F29" s="19"/>
      <c r="G29" s="2"/>
      <c r="H29" s="2"/>
      <c r="I29" s="2"/>
      <c r="J29" s="19"/>
      <c r="K29" s="2"/>
      <c r="L29" s="2">
        <f t="shared" si="0"/>
        <v>64.95</v>
      </c>
      <c r="M29" s="2"/>
      <c r="N29" s="19">
        <f t="shared" si="1"/>
        <v>0</v>
      </c>
      <c r="O29" s="11"/>
      <c r="P29" s="2">
        <f>--3174.93</f>
        <v>3174.93</v>
      </c>
      <c r="Q29" s="2"/>
      <c r="R29" s="19"/>
      <c r="S29" s="2"/>
      <c r="T29" s="2"/>
      <c r="U29" s="2"/>
      <c r="V29" s="19"/>
      <c r="W29" s="2"/>
      <c r="X29" s="2">
        <f t="shared" si="2"/>
        <v>3174.93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"4082", " - ", "TAXABLE SALES-COMPUTER HARDWAR")</f>
        <v xml:space="preserve">          4082 - TAXABLE SALES-COMPUTER HARDWAR</v>
      </c>
      <c r="C30" s="11"/>
      <c r="D30" s="2">
        <f>--67.96</f>
        <v>67.959999999999994</v>
      </c>
      <c r="E30" s="2"/>
      <c r="F30" s="19"/>
      <c r="G30" s="2"/>
      <c r="H30" s="2"/>
      <c r="I30" s="2"/>
      <c r="J30" s="19"/>
      <c r="K30" s="2"/>
      <c r="L30" s="2">
        <f t="shared" si="0"/>
        <v>67.959999999999994</v>
      </c>
      <c r="M30" s="2"/>
      <c r="N30" s="19">
        <f t="shared" si="1"/>
        <v>0</v>
      </c>
      <c r="O30" s="11"/>
      <c r="P30" s="2">
        <f>--363.94</f>
        <v>363.94</v>
      </c>
      <c r="Q30" s="2"/>
      <c r="R30" s="19"/>
      <c r="S30" s="2"/>
      <c r="T30" s="2"/>
      <c r="U30" s="2"/>
      <c r="V30" s="19"/>
      <c r="W30" s="2"/>
      <c r="X30" s="2">
        <f t="shared" si="2"/>
        <v>363.94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"4083", " - ", "TAXABLE SALES-COMPUTER EQUIPME")</f>
        <v xml:space="preserve">          4083 - TAXABLE SALES-COMPUTER EQUIPME</v>
      </c>
      <c r="C31" s="11"/>
      <c r="D31" s="2">
        <f>--29.97</f>
        <v>29.97</v>
      </c>
      <c r="E31" s="2"/>
      <c r="F31" s="19"/>
      <c r="G31" s="2"/>
      <c r="H31" s="2"/>
      <c r="I31" s="2"/>
      <c r="J31" s="19"/>
      <c r="K31" s="2"/>
      <c r="L31" s="2">
        <f t="shared" si="0"/>
        <v>29.97</v>
      </c>
      <c r="M31" s="2"/>
      <c r="N31" s="19">
        <f t="shared" si="1"/>
        <v>0</v>
      </c>
      <c r="O31" s="11"/>
      <c r="P31" s="2">
        <f>--914.33</f>
        <v>914.33</v>
      </c>
      <c r="Q31" s="2"/>
      <c r="R31" s="19"/>
      <c r="S31" s="2"/>
      <c r="T31" s="2"/>
      <c r="U31" s="2"/>
      <c r="V31" s="19"/>
      <c r="W31" s="2"/>
      <c r="X31" s="2">
        <f t="shared" si="2"/>
        <v>914.33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"4086", " - ", "TAXABLE SALES-COMPUTER SUPPLIE")</f>
        <v xml:space="preserve">          4086 - TAXABLE SALES-COMPUTER SUPPLIE</v>
      </c>
      <c r="C32" s="11"/>
      <c r="D32" s="2">
        <f>--9</f>
        <v>9</v>
      </c>
      <c r="E32" s="2"/>
      <c r="F32" s="19"/>
      <c r="G32" s="2"/>
      <c r="H32" s="2"/>
      <c r="I32" s="2"/>
      <c r="J32" s="19"/>
      <c r="K32" s="2"/>
      <c r="L32" s="2">
        <f t="shared" si="0"/>
        <v>9</v>
      </c>
      <c r="M32" s="2"/>
      <c r="N32" s="19">
        <f t="shared" si="1"/>
        <v>0</v>
      </c>
      <c r="O32" s="11"/>
      <c r="P32" s="2">
        <f>--813.74</f>
        <v>813.74</v>
      </c>
      <c r="Q32" s="2"/>
      <c r="R32" s="19"/>
      <c r="S32" s="2"/>
      <c r="T32" s="2"/>
      <c r="U32" s="2"/>
      <c r="V32" s="19"/>
      <c r="W32" s="2"/>
      <c r="X32" s="2">
        <f t="shared" si="2"/>
        <v>813.74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"4100", " - ", "NON-TAXABLE SALES")</f>
        <v xml:space="preserve">          4100 - NON-TAXABLE SALES</v>
      </c>
      <c r="C33" s="11"/>
      <c r="D33" s="2">
        <f>0</f>
        <v>0</v>
      </c>
      <c r="E33" s="2"/>
      <c r="F33" s="19"/>
      <c r="G33" s="2"/>
      <c r="H33" s="2">
        <v>16302</v>
      </c>
      <c r="I33" s="2"/>
      <c r="J33" s="19"/>
      <c r="K33" s="2"/>
      <c r="L33" s="2">
        <f t="shared" si="0"/>
        <v>-16302</v>
      </c>
      <c r="M33" s="2"/>
      <c r="N33" s="19">
        <f t="shared" si="1"/>
        <v>-1</v>
      </c>
      <c r="O33" s="11"/>
      <c r="P33" s="2">
        <f>0</f>
        <v>0</v>
      </c>
      <c r="Q33" s="2"/>
      <c r="R33" s="19"/>
      <c r="S33" s="2"/>
      <c r="T33" s="2">
        <v>141337</v>
      </c>
      <c r="U33" s="2"/>
      <c r="V33" s="19"/>
      <c r="W33" s="2"/>
      <c r="X33" s="2">
        <f t="shared" si="2"/>
        <v>-141337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"4125", " - ", "NON-TAXABLE SALES-TEST FORMS")</f>
        <v xml:space="preserve">          4125 - NON-TAXABLE SALES-TEST FORMS</v>
      </c>
      <c r="C34" s="11"/>
      <c r="D34" s="2">
        <f>--4.54</f>
        <v>4.54</v>
      </c>
      <c r="E34" s="2"/>
      <c r="F34" s="19"/>
      <c r="G34" s="2"/>
      <c r="H34" s="2"/>
      <c r="I34" s="2"/>
      <c r="J34" s="19"/>
      <c r="K34" s="2"/>
      <c r="L34" s="2">
        <f t="shared" si="0"/>
        <v>4.54</v>
      </c>
      <c r="M34" s="2"/>
      <c r="N34" s="19">
        <f t="shared" si="1"/>
        <v>0</v>
      </c>
      <c r="O34" s="11"/>
      <c r="P34" s="2">
        <f>--267.61</f>
        <v>267.61</v>
      </c>
      <c r="Q34" s="2"/>
      <c r="R34" s="19"/>
      <c r="S34" s="2"/>
      <c r="T34" s="2"/>
      <c r="U34" s="2"/>
      <c r="V34" s="19"/>
      <c r="W34" s="2"/>
      <c r="X34" s="2">
        <f t="shared" si="2"/>
        <v>267.61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"4126", " - ", "NON-TAXABLE SALES-WRITING INST")</f>
        <v xml:space="preserve">          4126 - NON-TAXABLE SALES-WRITING INST</v>
      </c>
      <c r="C35" s="11"/>
      <c r="D35" s="2">
        <f>--110.71</f>
        <v>110.71</v>
      </c>
      <c r="E35" s="2"/>
      <c r="F35" s="19"/>
      <c r="G35" s="2"/>
      <c r="H35" s="2"/>
      <c r="I35" s="2"/>
      <c r="J35" s="19"/>
      <c r="K35" s="2"/>
      <c r="L35" s="2">
        <f t="shared" si="0"/>
        <v>110.71</v>
      </c>
      <c r="M35" s="2"/>
      <c r="N35" s="19">
        <f t="shared" si="1"/>
        <v>0</v>
      </c>
      <c r="O35" s="11"/>
      <c r="P35" s="2">
        <f>--3017.29</f>
        <v>3017.29</v>
      </c>
      <c r="Q35" s="2"/>
      <c r="R35" s="19"/>
      <c r="S35" s="2"/>
      <c r="T35" s="2"/>
      <c r="U35" s="2"/>
      <c r="V35" s="19"/>
      <c r="W35" s="2"/>
      <c r="X35" s="2">
        <f t="shared" si="2"/>
        <v>3017.29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"4127", " - ", "NON-TAXABLE SALES-SCHOOL SUPPL")</f>
        <v xml:space="preserve">          4127 - NON-TAXABLE SALES-SCHOOL SUPPL</v>
      </c>
      <c r="C36" s="11"/>
      <c r="D36" s="2">
        <f>--53.81</f>
        <v>53.81</v>
      </c>
      <c r="E36" s="2"/>
      <c r="F36" s="19"/>
      <c r="G36" s="2"/>
      <c r="H36" s="2"/>
      <c r="I36" s="2"/>
      <c r="J36" s="19"/>
      <c r="K36" s="2"/>
      <c r="L36" s="2">
        <f t="shared" si="0"/>
        <v>53.81</v>
      </c>
      <c r="M36" s="2"/>
      <c r="N36" s="19">
        <f t="shared" si="1"/>
        <v>0</v>
      </c>
      <c r="O36" s="11"/>
      <c r="P36" s="2">
        <f>--4716.22</f>
        <v>4716.22</v>
      </c>
      <c r="Q36" s="2"/>
      <c r="R36" s="19"/>
      <c r="S36" s="2"/>
      <c r="T36" s="2"/>
      <c r="U36" s="2"/>
      <c r="V36" s="19"/>
      <c r="W36" s="2"/>
      <c r="X36" s="2">
        <f t="shared" si="2"/>
        <v>4716.22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"4128", " - ", "NON-TAXABLE SALES-ART/TECH")</f>
        <v xml:space="preserve">          4128 - NON-TAXABLE SALES-ART/TECH</v>
      </c>
      <c r="C37" s="11"/>
      <c r="D37" s="2">
        <f>--52.12</f>
        <v>52.12</v>
      </c>
      <c r="E37" s="2"/>
      <c r="F37" s="19"/>
      <c r="G37" s="2"/>
      <c r="H37" s="2"/>
      <c r="I37" s="2"/>
      <c r="J37" s="19"/>
      <c r="K37" s="2"/>
      <c r="L37" s="2">
        <f t="shared" si="0"/>
        <v>52.12</v>
      </c>
      <c r="M37" s="2"/>
      <c r="N37" s="19">
        <f t="shared" si="1"/>
        <v>0</v>
      </c>
      <c r="O37" s="11"/>
      <c r="P37" s="2">
        <f>--730.62</f>
        <v>730.62</v>
      </c>
      <c r="Q37" s="2"/>
      <c r="R37" s="19"/>
      <c r="S37" s="2"/>
      <c r="T37" s="2"/>
      <c r="U37" s="2"/>
      <c r="V37" s="19"/>
      <c r="W37" s="2"/>
      <c r="X37" s="2">
        <f t="shared" si="2"/>
        <v>730.62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"4131", " - ", "NON-TAXABLE SALES-FOOD")</f>
        <v xml:space="preserve">          4131 - NON-TAXABLE SALES-FOOD</v>
      </c>
      <c r="C38" s="11"/>
      <c r="D38" s="2">
        <f>--4482.02</f>
        <v>4482.0200000000004</v>
      </c>
      <c r="E38" s="2"/>
      <c r="F38" s="19"/>
      <c r="G38" s="2"/>
      <c r="H38" s="2"/>
      <c r="I38" s="2"/>
      <c r="J38" s="19"/>
      <c r="K38" s="2"/>
      <c r="L38" s="2">
        <f t="shared" si="0"/>
        <v>4482.0200000000004</v>
      </c>
      <c r="M38" s="2"/>
      <c r="N38" s="19">
        <f t="shared" si="1"/>
        <v>0</v>
      </c>
      <c r="O38" s="11"/>
      <c r="P38" s="2">
        <f>--57883.57</f>
        <v>57883.57</v>
      </c>
      <c r="Q38" s="2"/>
      <c r="R38" s="19"/>
      <c r="S38" s="2"/>
      <c r="T38" s="2"/>
      <c r="U38" s="2"/>
      <c r="V38" s="19"/>
      <c r="W38" s="2"/>
      <c r="X38" s="2">
        <f t="shared" si="2"/>
        <v>57883.57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"4132", " - ", "NON-TAXABLE SALES-JUICE")</f>
        <v xml:space="preserve">          4132 - NON-TAXABLE SALES-JUICE</v>
      </c>
      <c r="C39" s="11"/>
      <c r="D39" s="2">
        <f>--1150.46</f>
        <v>1150.46</v>
      </c>
      <c r="E39" s="2"/>
      <c r="F39" s="19"/>
      <c r="G39" s="2"/>
      <c r="H39" s="2"/>
      <c r="I39" s="2"/>
      <c r="J39" s="19"/>
      <c r="K39" s="2"/>
      <c r="L39" s="2">
        <f t="shared" si="0"/>
        <v>1150.46</v>
      </c>
      <c r="M39" s="2"/>
      <c r="N39" s="19">
        <f t="shared" si="1"/>
        <v>0</v>
      </c>
      <c r="O39" s="11"/>
      <c r="P39" s="2">
        <f>--16199.63</f>
        <v>16199.63</v>
      </c>
      <c r="Q39" s="2"/>
      <c r="R39" s="19"/>
      <c r="S39" s="2"/>
      <c r="T39" s="2"/>
      <c r="U39" s="2"/>
      <c r="V39" s="19"/>
      <c r="W39" s="2"/>
      <c r="X39" s="2">
        <f t="shared" si="2"/>
        <v>16199.63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"4133", " - ", "NON-TAXABLE SALES-CANDY")</f>
        <v xml:space="preserve">          4133 - NON-TAXABLE SALES-CANDY</v>
      </c>
      <c r="C40" s="11"/>
      <c r="D40" s="2">
        <f>--1261.31</f>
        <v>1261.31</v>
      </c>
      <c r="E40" s="2"/>
      <c r="F40" s="19"/>
      <c r="G40" s="2"/>
      <c r="H40" s="2"/>
      <c r="I40" s="2"/>
      <c r="J40" s="19"/>
      <c r="K40" s="2"/>
      <c r="L40" s="2">
        <f t="shared" si="0"/>
        <v>1261.31</v>
      </c>
      <c r="M40" s="2"/>
      <c r="N40" s="19">
        <f t="shared" si="1"/>
        <v>0</v>
      </c>
      <c r="O40" s="11"/>
      <c r="P40" s="2">
        <f>--18084.29</f>
        <v>18084.29</v>
      </c>
      <c r="Q40" s="2"/>
      <c r="R40" s="19"/>
      <c r="S40" s="2"/>
      <c r="T40" s="2"/>
      <c r="U40" s="2"/>
      <c r="V40" s="19"/>
      <c r="W40" s="2"/>
      <c r="X40" s="2">
        <f t="shared" si="2"/>
        <v>18084.29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"4134", " - ", "NON-TAXABLE SALES-SODA")</f>
        <v xml:space="preserve">          4134 - NON-TAXABLE SALES-SODA</v>
      </c>
      <c r="C41" s="11"/>
      <c r="D41" s="2">
        <f t="shared" ref="D41:D42" si="4">0</f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--1.89</f>
        <v>1.89</v>
      </c>
      <c r="Q41" s="2"/>
      <c r="R41" s="19"/>
      <c r="S41" s="2"/>
      <c r="T41" s="2"/>
      <c r="U41" s="2"/>
      <c r="V41" s="19"/>
      <c r="W41" s="2"/>
      <c r="X41" s="2">
        <f t="shared" si="2"/>
        <v>1.89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"4135", " - ", "NON-TAXABLE SALES")</f>
        <v xml:space="preserve">          4135 - NON-TAXABLE SALES</v>
      </c>
      <c r="C42" s="11"/>
      <c r="D42" s="2">
        <f t="shared" si="4"/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--161.4</f>
        <v>161.4</v>
      </c>
      <c r="Q42" s="2"/>
      <c r="R42" s="19"/>
      <c r="S42" s="2"/>
      <c r="T42" s="2"/>
      <c r="U42" s="2"/>
      <c r="V42" s="19"/>
      <c r="W42" s="2"/>
      <c r="X42" s="2">
        <f t="shared" si="2"/>
        <v>161.4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"4137", " - ", "NON-TAXABLE SALES-WATER")</f>
        <v xml:space="preserve">          4137 - NON-TAXABLE SALES-WATER</v>
      </c>
      <c r="C43" s="11"/>
      <c r="D43" s="2">
        <f>--623</f>
        <v>623</v>
      </c>
      <c r="E43" s="2"/>
      <c r="F43" s="19"/>
      <c r="G43" s="2"/>
      <c r="H43" s="2"/>
      <c r="I43" s="2"/>
      <c r="J43" s="19"/>
      <c r="K43" s="2"/>
      <c r="L43" s="2">
        <f t="shared" si="0"/>
        <v>623</v>
      </c>
      <c r="M43" s="2"/>
      <c r="N43" s="19">
        <f t="shared" si="1"/>
        <v>0</v>
      </c>
      <c r="O43" s="11"/>
      <c r="P43" s="2">
        <f>--8396.06</f>
        <v>8396.06</v>
      </c>
      <c r="Q43" s="2"/>
      <c r="R43" s="19"/>
      <c r="S43" s="2"/>
      <c r="T43" s="2"/>
      <c r="U43" s="2"/>
      <c r="V43" s="19"/>
      <c r="W43" s="2"/>
      <c r="X43" s="2">
        <f t="shared" si="2"/>
        <v>8396.06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"4186", " - ", "NON-TAXABLE SALES-COMPUTER SUP")</f>
        <v xml:space="preserve">          4186 - NON-TAXABLE SALES-COMPUTER SUP</v>
      </c>
      <c r="C44" s="11"/>
      <c r="D44" s="2">
        <f t="shared" ref="D44:D45" si="5">0</f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-30.97</f>
        <v>-30.97</v>
      </c>
      <c r="Q44" s="2"/>
      <c r="R44" s="19"/>
      <c r="S44" s="2"/>
      <c r="T44" s="2"/>
      <c r="U44" s="2"/>
      <c r="V44" s="19"/>
      <c r="W44" s="2"/>
      <c r="X44" s="2">
        <f t="shared" si="2"/>
        <v>-30.97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"4217", " - ", "NON-TAXABLE SALES-DORM/HOUSEWA")</f>
        <v xml:space="preserve">          4217 - NON-TAXABLE SALES-DORM/HOUSEWA</v>
      </c>
      <c r="C45" s="11"/>
      <c r="D45" s="2">
        <f t="shared" si="5"/>
        <v>0</v>
      </c>
      <c r="E45" s="2"/>
      <c r="F45" s="19"/>
      <c r="G45" s="2"/>
      <c r="H45" s="2"/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-2.98</f>
        <v>-2.98</v>
      </c>
      <c r="Q45" s="2"/>
      <c r="R45" s="19"/>
      <c r="S45" s="2"/>
      <c r="T45" s="2"/>
      <c r="U45" s="2"/>
      <c r="V45" s="19"/>
      <c r="W45" s="2"/>
      <c r="X45" s="2">
        <f t="shared" si="2"/>
        <v>-2.98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"4225", " - ", "SALES RETURN TAXABLE-TEST FORM")</f>
        <v xml:space="preserve">          4225 - SALES RETURN TAXABLE-TEST FORM</v>
      </c>
      <c r="C46" s="11"/>
      <c r="D46" s="2">
        <f>-8.16</f>
        <v>-8.16</v>
      </c>
      <c r="E46" s="2"/>
      <c r="F46" s="19"/>
      <c r="G46" s="2"/>
      <c r="H46" s="2"/>
      <c r="I46" s="2"/>
      <c r="J46" s="19"/>
      <c r="K46" s="2"/>
      <c r="L46" s="2">
        <f t="shared" si="0"/>
        <v>-8.16</v>
      </c>
      <c r="M46" s="2"/>
      <c r="N46" s="19">
        <f t="shared" si="1"/>
        <v>0</v>
      </c>
      <c r="O46" s="11"/>
      <c r="P46" s="2">
        <f>-176.41</f>
        <v>-176.41</v>
      </c>
      <c r="Q46" s="2"/>
      <c r="R46" s="19"/>
      <c r="S46" s="2"/>
      <c r="T46" s="2"/>
      <c r="U46" s="2"/>
      <c r="V46" s="19"/>
      <c r="W46" s="2"/>
      <c r="X46" s="2">
        <f t="shared" si="2"/>
        <v>-176.41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"4226", " - ", "SALES RETURN TAXABLE-WRITING I")</f>
        <v xml:space="preserve">          4226 - SALES RETURN TAXABLE-WRITING I</v>
      </c>
      <c r="C47" s="11"/>
      <c r="D47" s="2">
        <f>-11.25</f>
        <v>-11.25</v>
      </c>
      <c r="E47" s="2"/>
      <c r="F47" s="19"/>
      <c r="G47" s="2"/>
      <c r="H47" s="2"/>
      <c r="I47" s="2"/>
      <c r="J47" s="19"/>
      <c r="K47" s="2"/>
      <c r="L47" s="2">
        <f t="shared" si="0"/>
        <v>-11.25</v>
      </c>
      <c r="M47" s="2"/>
      <c r="N47" s="19">
        <f t="shared" si="1"/>
        <v>0</v>
      </c>
      <c r="O47" s="11"/>
      <c r="P47" s="2">
        <f>-630.24</f>
        <v>-630.24</v>
      </c>
      <c r="Q47" s="2"/>
      <c r="R47" s="19"/>
      <c r="S47" s="2"/>
      <c r="T47" s="2"/>
      <c r="U47" s="2"/>
      <c r="V47" s="19"/>
      <c r="W47" s="2"/>
      <c r="X47" s="2">
        <f t="shared" si="2"/>
        <v>-630.24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"4227", " - ", "SALES RETURN TAXABLE-SCHOOL SU")</f>
        <v xml:space="preserve">          4227 - SALES RETURN TAXABLE-SCHOOL SU</v>
      </c>
      <c r="C48" s="11"/>
      <c r="D48" s="2">
        <f>-979.19</f>
        <v>-979.19</v>
      </c>
      <c r="E48" s="2"/>
      <c r="F48" s="19"/>
      <c r="G48" s="2"/>
      <c r="H48" s="2"/>
      <c r="I48" s="2"/>
      <c r="J48" s="19"/>
      <c r="K48" s="2"/>
      <c r="L48" s="2">
        <f t="shared" si="0"/>
        <v>-979.19</v>
      </c>
      <c r="M48" s="2"/>
      <c r="N48" s="19">
        <f t="shared" si="1"/>
        <v>0</v>
      </c>
      <c r="O48" s="11"/>
      <c r="P48" s="2">
        <f>-8593.61</f>
        <v>-8593.61</v>
      </c>
      <c r="Q48" s="2"/>
      <c r="R48" s="19"/>
      <c r="S48" s="2"/>
      <c r="T48" s="2"/>
      <c r="U48" s="2"/>
      <c r="V48" s="19"/>
      <c r="W48" s="2"/>
      <c r="X48" s="2">
        <f t="shared" si="2"/>
        <v>-8593.61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"4228", " - ", "SALES RETURN TAXABLE-ART/TECH")</f>
        <v xml:space="preserve">          4228 - SALES RETURN TAXABLE-ART/TECH</v>
      </c>
      <c r="C49" s="11"/>
      <c r="D49" s="2">
        <f>-139.18</f>
        <v>-139.18</v>
      </c>
      <c r="E49" s="2"/>
      <c r="F49" s="19"/>
      <c r="G49" s="2"/>
      <c r="H49" s="2"/>
      <c r="I49" s="2"/>
      <c r="J49" s="19"/>
      <c r="K49" s="2"/>
      <c r="L49" s="2">
        <f t="shared" si="0"/>
        <v>-139.18</v>
      </c>
      <c r="M49" s="2"/>
      <c r="N49" s="19">
        <f t="shared" si="1"/>
        <v>0</v>
      </c>
      <c r="O49" s="11"/>
      <c r="P49" s="2">
        <f>-4739.1</f>
        <v>-4739.1000000000004</v>
      </c>
      <c r="Q49" s="2"/>
      <c r="R49" s="19"/>
      <c r="S49" s="2"/>
      <c r="T49" s="2"/>
      <c r="U49" s="2"/>
      <c r="V49" s="19"/>
      <c r="W49" s="2"/>
      <c r="X49" s="2">
        <f t="shared" si="2"/>
        <v>-4739.1000000000004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"4233", " - ", "SALES RETURN TAXABLE-CANDY")</f>
        <v xml:space="preserve">          4233 - SALES RETURN TAXABLE-CANDY</v>
      </c>
      <c r="C50" s="11"/>
      <c r="D50" s="2">
        <f>-6.96</f>
        <v>-6.96</v>
      </c>
      <c r="E50" s="2"/>
      <c r="F50" s="19"/>
      <c r="G50" s="2"/>
      <c r="H50" s="2"/>
      <c r="I50" s="2"/>
      <c r="J50" s="19"/>
      <c r="K50" s="2"/>
      <c r="L50" s="2">
        <f t="shared" si="0"/>
        <v>-6.96</v>
      </c>
      <c r="M50" s="2"/>
      <c r="N50" s="19">
        <f t="shared" si="1"/>
        <v>0</v>
      </c>
      <c r="O50" s="11"/>
      <c r="P50" s="2">
        <f>-8.25</f>
        <v>-8.25</v>
      </c>
      <c r="Q50" s="2"/>
      <c r="R50" s="19"/>
      <c r="S50" s="2"/>
      <c r="T50" s="2"/>
      <c r="U50" s="2"/>
      <c r="V50" s="19"/>
      <c r="W50" s="2"/>
      <c r="X50" s="2">
        <f t="shared" si="2"/>
        <v>-8.25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"4281", " - ", "SALES RETURN TAXABLE-ELECTRONI")</f>
        <v xml:space="preserve">          4281 - SALES RETURN TAXABLE-ELECTRONI</v>
      </c>
      <c r="C51" s="11"/>
      <c r="D51" s="2">
        <f t="shared" ref="D51:D52" si="6">0</f>
        <v>0</v>
      </c>
      <c r="E51" s="2"/>
      <c r="F51" s="19"/>
      <c r="G51" s="2"/>
      <c r="H51" s="2"/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-54.97</f>
        <v>-54.97</v>
      </c>
      <c r="Q51" s="2"/>
      <c r="R51" s="19"/>
      <c r="S51" s="2"/>
      <c r="T51" s="2"/>
      <c r="U51" s="2"/>
      <c r="V51" s="19"/>
      <c r="W51" s="2"/>
      <c r="X51" s="2">
        <f t="shared" si="2"/>
        <v>-54.97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"4327", " - ", "SALES RETURN NON TAXABLE-SCHOO")</f>
        <v xml:space="preserve">          4327 - SALES RETURN NON TAXABLE-SCHOO</v>
      </c>
      <c r="C52" s="11"/>
      <c r="D52" s="2">
        <f t="shared" si="6"/>
        <v>0</v>
      </c>
      <c r="E52" s="2"/>
      <c r="F52" s="19"/>
      <c r="G52" s="2"/>
      <c r="H52" s="2"/>
      <c r="I52" s="2"/>
      <c r="J52" s="19"/>
      <c r="K52" s="2"/>
      <c r="L52" s="2">
        <f t="shared" si="0"/>
        <v>0</v>
      </c>
      <c r="M52" s="2"/>
      <c r="N52" s="19">
        <f t="shared" si="1"/>
        <v>0</v>
      </c>
      <c r="O52" s="11"/>
      <c r="P52" s="2">
        <f>-21.87</f>
        <v>-21.87</v>
      </c>
      <c r="Q52" s="2"/>
      <c r="R52" s="19"/>
      <c r="S52" s="2"/>
      <c r="T52" s="2"/>
      <c r="U52" s="2"/>
      <c r="V52" s="19"/>
      <c r="W52" s="2"/>
      <c r="X52" s="2">
        <f t="shared" si="2"/>
        <v>-21.87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"4331", " - ", "SALES RETURN NON TAXABLE-FOOD")</f>
        <v xml:space="preserve">          4331 - SALES RETURN NON TAXABLE-FOOD</v>
      </c>
      <c r="C53" s="11"/>
      <c r="D53" s="2">
        <f>-4.99</f>
        <v>-4.99</v>
      </c>
      <c r="E53" s="2"/>
      <c r="F53" s="19"/>
      <c r="G53" s="2"/>
      <c r="H53" s="2"/>
      <c r="I53" s="2"/>
      <c r="J53" s="19"/>
      <c r="K53" s="2"/>
      <c r="L53" s="2">
        <f t="shared" si="0"/>
        <v>-4.99</v>
      </c>
      <c r="M53" s="2"/>
      <c r="N53" s="19">
        <f t="shared" si="1"/>
        <v>0</v>
      </c>
      <c r="O53" s="11"/>
      <c r="P53" s="2">
        <f>-12.57</f>
        <v>-12.57</v>
      </c>
      <c r="Q53" s="2"/>
      <c r="R53" s="19"/>
      <c r="S53" s="2"/>
      <c r="T53" s="2"/>
      <c r="U53" s="2"/>
      <c r="V53" s="19"/>
      <c r="W53" s="2"/>
      <c r="X53" s="2">
        <f t="shared" si="2"/>
        <v>-12.57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"4332", " - ", "SALES RETURN NON TAXABLE-JUICE")</f>
        <v xml:space="preserve">          4332 - SALES RETURN NON TAXABLE-JUICE</v>
      </c>
      <c r="C54" s="11"/>
      <c r="D54" s="2">
        <f>0</f>
        <v>0</v>
      </c>
      <c r="E54" s="2"/>
      <c r="F54" s="19"/>
      <c r="G54" s="2"/>
      <c r="H54" s="2"/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-2.79</f>
        <v>-2.79</v>
      </c>
      <c r="Q54" s="2"/>
      <c r="R54" s="19"/>
      <c r="S54" s="2"/>
      <c r="T54" s="2"/>
      <c r="U54" s="2"/>
      <c r="V54" s="19"/>
      <c r="W54" s="2"/>
      <c r="X54" s="2">
        <f t="shared" si="2"/>
        <v>-2.79</v>
      </c>
      <c r="Y54" s="2"/>
      <c r="Z54" s="19">
        <f t="shared" si="3"/>
        <v>0</v>
      </c>
    </row>
    <row r="55" spans="1:26" x14ac:dyDescent="0.25">
      <c r="A55" s="9"/>
      <c r="B55" s="10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collapsed="1" x14ac:dyDescent="0.25">
      <c r="A56" s="10"/>
      <c r="B56" s="29" t="s">
        <v>8</v>
      </c>
      <c r="C56" s="10"/>
      <c r="D56" s="4">
        <f>SUM(OSRRefD16x_0)</f>
        <v>20741.480000000003</v>
      </c>
      <c r="E56" s="4"/>
      <c r="F56" s="12">
        <f t="shared" ref="F56:F80" si="7">IF(D$12=0,0,D56/D$12)</f>
        <v>0.50790788471950388</v>
      </c>
      <c r="G56" s="4"/>
      <c r="H56" s="4">
        <f>SUM(OSRRefH16x_0)</f>
        <v>36217</v>
      </c>
      <c r="I56" s="4"/>
      <c r="J56" s="12">
        <f t="shared" ref="J56:J80" si="8">IF(H$12=0,0,H56/H$12)</f>
        <v>0.47618233693151191</v>
      </c>
      <c r="K56" s="4"/>
      <c r="L56" s="4">
        <f t="shared" ref="L56:L80" si="9">+D56-H56</f>
        <v>-15475.519999999997</v>
      </c>
      <c r="M56" s="4"/>
      <c r="N56" s="12">
        <f t="shared" ref="N56:N80" si="10">IF(H56=0,0,L56/H56)</f>
        <v>-0.42729988679349468</v>
      </c>
      <c r="O56" s="10"/>
      <c r="P56" s="4">
        <f>SUM(OSRRefP16x_0)</f>
        <v>406443.02999999991</v>
      </c>
      <c r="Q56" s="4"/>
      <c r="R56" s="12">
        <f t="shared" ref="R56:R80" si="11">IF(P$12=0,0,P56/P$12)</f>
        <v>0.50082920106730378</v>
      </c>
      <c r="S56" s="4"/>
      <c r="T56" s="4">
        <f>SUM(OSRRefT16x_0)</f>
        <v>419696</v>
      </c>
      <c r="U56" s="4"/>
      <c r="V56" s="12">
        <f t="shared" ref="V56:V80" si="12">IF(T$12=0,0,T56/T$12)</f>
        <v>0.47422419481681688</v>
      </c>
      <c r="W56" s="4"/>
      <c r="X56" s="4">
        <f t="shared" ref="X56:X80" si="13">+P56-T56</f>
        <v>-13252.970000000088</v>
      </c>
      <c r="Y56" s="4"/>
      <c r="Z56" s="12">
        <f t="shared" ref="Z56:Z80" si="14">IF(T56=0,0,X56/T56)</f>
        <v>-3.1577546605162043E-2</v>
      </c>
    </row>
    <row r="57" spans="1:26" s="24" customFormat="1" hidden="1" outlineLevel="1" x14ac:dyDescent="0.25">
      <c r="A57" s="44"/>
      <c r="B57" s="11" t="str">
        <f>CONCATENATE("          ", "5000", " - ", "PURCHASES @ COST")</f>
        <v xml:space="preserve">          5000 - PURCHASES @ COST</v>
      </c>
      <c r="C57" s="11"/>
      <c r="D57" s="2"/>
      <c r="E57" s="2"/>
      <c r="F57" s="19">
        <f t="shared" si="7"/>
        <v>0</v>
      </c>
      <c r="G57" s="2"/>
      <c r="H57" s="2">
        <v>36217</v>
      </c>
      <c r="I57" s="2"/>
      <c r="J57" s="19">
        <f t="shared" si="8"/>
        <v>0.47618233693151191</v>
      </c>
      <c r="K57" s="2"/>
      <c r="L57" s="2">
        <f t="shared" si="9"/>
        <v>-36217</v>
      </c>
      <c r="M57" s="2"/>
      <c r="N57" s="19">
        <f t="shared" si="10"/>
        <v>-1</v>
      </c>
      <c r="O57" s="11"/>
      <c r="P57" s="2"/>
      <c r="Q57" s="2"/>
      <c r="R57" s="19">
        <f t="shared" si="11"/>
        <v>0</v>
      </c>
      <c r="S57" s="2"/>
      <c r="T57" s="2">
        <v>419696</v>
      </c>
      <c r="U57" s="2"/>
      <c r="V57" s="19">
        <f t="shared" si="12"/>
        <v>0.47422419481681688</v>
      </c>
      <c r="W57" s="2"/>
      <c r="X57" s="2">
        <f t="shared" si="13"/>
        <v>-419696</v>
      </c>
      <c r="Y57" s="2"/>
      <c r="Z57" s="19">
        <f t="shared" si="14"/>
        <v>-1</v>
      </c>
    </row>
    <row r="58" spans="1:26" s="24" customFormat="1" hidden="1" outlineLevel="1" x14ac:dyDescent="0.25">
      <c r="A58" s="44"/>
      <c r="B58" s="11" t="str">
        <f>CONCATENATE("          ", "5014", " - ", "PURCHASES @ COST-REMAINDERS")</f>
        <v xml:space="preserve">          5014 - PURCHASES @ COST-REMAINDERS</v>
      </c>
      <c r="C58" s="11"/>
      <c r="D58" s="2"/>
      <c r="E58" s="2"/>
      <c r="F58" s="19">
        <f t="shared" si="7"/>
        <v>0</v>
      </c>
      <c r="G58" s="2"/>
      <c r="H58" s="2"/>
      <c r="I58" s="2"/>
      <c r="J58" s="19">
        <f t="shared" si="8"/>
        <v>0</v>
      </c>
      <c r="K58" s="2"/>
      <c r="L58" s="2">
        <f t="shared" si="9"/>
        <v>0</v>
      </c>
      <c r="M58" s="2"/>
      <c r="N58" s="19">
        <f t="shared" si="10"/>
        <v>0</v>
      </c>
      <c r="O58" s="11"/>
      <c r="P58" s="2">
        <v>14.46</v>
      </c>
      <c r="Q58" s="2"/>
      <c r="R58" s="19">
        <f t="shared" si="11"/>
        <v>1.7817971309369516E-5</v>
      </c>
      <c r="S58" s="2"/>
      <c r="T58" s="2"/>
      <c r="U58" s="2"/>
      <c r="V58" s="19">
        <f t="shared" si="12"/>
        <v>0</v>
      </c>
      <c r="W58" s="2"/>
      <c r="X58" s="2">
        <f t="shared" si="13"/>
        <v>14.46</v>
      </c>
      <c r="Y58" s="2"/>
      <c r="Z58" s="19">
        <f t="shared" si="14"/>
        <v>0</v>
      </c>
    </row>
    <row r="59" spans="1:26" s="24" customFormat="1" hidden="1" outlineLevel="1" x14ac:dyDescent="0.25">
      <c r="A59" s="44"/>
      <c r="B59" s="11" t="str">
        <f>CONCATENATE("          ", "5017", " - ", "PURCHASES @ COST-DORM/HOUSEWAR")</f>
        <v xml:space="preserve">          5017 - PURCHASES @ COST-DORM/HOUSEWAR</v>
      </c>
      <c r="C59" s="11"/>
      <c r="D59" s="2">
        <v>14.46</v>
      </c>
      <c r="E59" s="2"/>
      <c r="F59" s="19">
        <f t="shared" si="7"/>
        <v>3.5408987271130245E-4</v>
      </c>
      <c r="G59" s="2"/>
      <c r="H59" s="2"/>
      <c r="I59" s="2"/>
      <c r="J59" s="19">
        <f t="shared" si="8"/>
        <v>0</v>
      </c>
      <c r="K59" s="2"/>
      <c r="L59" s="2">
        <f t="shared" si="9"/>
        <v>14.46</v>
      </c>
      <c r="M59" s="2"/>
      <c r="N59" s="19">
        <f t="shared" si="10"/>
        <v>0</v>
      </c>
      <c r="O59" s="11"/>
      <c r="P59" s="2">
        <v>14.46</v>
      </c>
      <c r="Q59" s="2"/>
      <c r="R59" s="19">
        <f t="shared" si="11"/>
        <v>1.7817971309369516E-5</v>
      </c>
      <c r="S59" s="2"/>
      <c r="T59" s="2"/>
      <c r="U59" s="2"/>
      <c r="V59" s="19">
        <f t="shared" si="12"/>
        <v>0</v>
      </c>
      <c r="W59" s="2"/>
      <c r="X59" s="2">
        <f t="shared" si="13"/>
        <v>14.46</v>
      </c>
      <c r="Y59" s="2"/>
      <c r="Z59" s="19">
        <f t="shared" si="14"/>
        <v>0</v>
      </c>
    </row>
    <row r="60" spans="1:26" s="24" customFormat="1" hidden="1" outlineLevel="1" x14ac:dyDescent="0.25">
      <c r="A60" s="44"/>
      <c r="B60" s="11" t="str">
        <f>CONCATENATE("          ", "5025", " - ", "PURCHASES @ COST-TEST FORMS")</f>
        <v xml:space="preserve">          5025 - PURCHASES @ COST-TEST FORMS</v>
      </c>
      <c r="C60" s="11"/>
      <c r="D60" s="2">
        <v>-1</v>
      </c>
      <c r="E60" s="2"/>
      <c r="F60" s="19">
        <f t="shared" si="7"/>
        <v>-2.4487543064405424E-5</v>
      </c>
      <c r="G60" s="2"/>
      <c r="H60" s="2"/>
      <c r="I60" s="2"/>
      <c r="J60" s="19">
        <f t="shared" si="8"/>
        <v>0</v>
      </c>
      <c r="K60" s="2"/>
      <c r="L60" s="2">
        <f t="shared" si="9"/>
        <v>-1</v>
      </c>
      <c r="M60" s="2"/>
      <c r="N60" s="19">
        <f t="shared" si="10"/>
        <v>0</v>
      </c>
      <c r="O60" s="11"/>
      <c r="P60" s="2">
        <v>26394.329999999998</v>
      </c>
      <c r="Q60" s="2"/>
      <c r="R60" s="19">
        <f t="shared" si="11"/>
        <v>3.2523749285617638E-2</v>
      </c>
      <c r="S60" s="2"/>
      <c r="T60" s="2"/>
      <c r="U60" s="2"/>
      <c r="V60" s="19">
        <f t="shared" si="12"/>
        <v>0</v>
      </c>
      <c r="W60" s="2"/>
      <c r="X60" s="2">
        <f t="shared" si="13"/>
        <v>26394.329999999998</v>
      </c>
      <c r="Y60" s="2"/>
      <c r="Z60" s="19">
        <f t="shared" si="14"/>
        <v>0</v>
      </c>
    </row>
    <row r="61" spans="1:26" s="24" customFormat="1" hidden="1" outlineLevel="1" x14ac:dyDescent="0.25">
      <c r="A61" s="44"/>
      <c r="B61" s="11" t="str">
        <f>CONCATENATE("          ", "5026", " - ", "PURCHASES @ COST-WRITING INSTR")</f>
        <v xml:space="preserve">          5026 - PURCHASES @ COST-WRITING INSTR</v>
      </c>
      <c r="C61" s="11"/>
      <c r="D61" s="2">
        <v>3209.26</v>
      </c>
      <c r="E61" s="2"/>
      <c r="F61" s="19">
        <f t="shared" si="7"/>
        <v>7.8586892454873755E-2</v>
      </c>
      <c r="G61" s="2"/>
      <c r="H61" s="2"/>
      <c r="I61" s="2"/>
      <c r="J61" s="19">
        <f t="shared" si="8"/>
        <v>0</v>
      </c>
      <c r="K61" s="2"/>
      <c r="L61" s="2">
        <f t="shared" si="9"/>
        <v>3209.26</v>
      </c>
      <c r="M61" s="2"/>
      <c r="N61" s="19">
        <f t="shared" si="10"/>
        <v>0</v>
      </c>
      <c r="O61" s="11"/>
      <c r="P61" s="2">
        <v>47773.2</v>
      </c>
      <c r="Q61" s="2"/>
      <c r="R61" s="19">
        <f t="shared" si="11"/>
        <v>5.8867324132556825E-2</v>
      </c>
      <c r="S61" s="2"/>
      <c r="T61" s="2"/>
      <c r="U61" s="2"/>
      <c r="V61" s="19">
        <f t="shared" si="12"/>
        <v>0</v>
      </c>
      <c r="W61" s="2"/>
      <c r="X61" s="2">
        <f t="shared" si="13"/>
        <v>47773.2</v>
      </c>
      <c r="Y61" s="2"/>
      <c r="Z61" s="19">
        <f t="shared" si="14"/>
        <v>0</v>
      </c>
    </row>
    <row r="62" spans="1:26" s="24" customFormat="1" hidden="1" outlineLevel="1" x14ac:dyDescent="0.25">
      <c r="A62" s="44"/>
      <c r="B62" s="11" t="str">
        <f>CONCATENATE("          ", "5027", " - ", "PURCHASES @ COST-SCHOOL SUPPLI")</f>
        <v xml:space="preserve">          5027 - PURCHASES @ COST-SCHOOL SUPPLI</v>
      </c>
      <c r="C62" s="11"/>
      <c r="D62" s="2">
        <v>19253.84</v>
      </c>
      <c r="E62" s="2"/>
      <c r="F62" s="19">
        <f t="shared" si="7"/>
        <v>0.47147923615517173</v>
      </c>
      <c r="G62" s="2"/>
      <c r="H62" s="2"/>
      <c r="I62" s="2"/>
      <c r="J62" s="19">
        <f t="shared" si="8"/>
        <v>0</v>
      </c>
      <c r="K62" s="2"/>
      <c r="L62" s="2">
        <f t="shared" si="9"/>
        <v>19253.84</v>
      </c>
      <c r="M62" s="2"/>
      <c r="N62" s="19">
        <f t="shared" si="10"/>
        <v>0</v>
      </c>
      <c r="O62" s="11"/>
      <c r="P62" s="2">
        <v>137279.59</v>
      </c>
      <c r="Q62" s="2"/>
      <c r="R62" s="19">
        <f t="shared" si="11"/>
        <v>0.16915932199045713</v>
      </c>
      <c r="S62" s="2"/>
      <c r="T62" s="2"/>
      <c r="U62" s="2"/>
      <c r="V62" s="19">
        <f t="shared" si="12"/>
        <v>0</v>
      </c>
      <c r="W62" s="2"/>
      <c r="X62" s="2">
        <f t="shared" si="13"/>
        <v>137279.59</v>
      </c>
      <c r="Y62" s="2"/>
      <c r="Z62" s="19">
        <f t="shared" si="14"/>
        <v>0</v>
      </c>
    </row>
    <row r="63" spans="1:26" s="24" customFormat="1" hidden="1" outlineLevel="1" x14ac:dyDescent="0.25">
      <c r="A63" s="44"/>
      <c r="B63" s="11" t="str">
        <f>CONCATENATE("          ", "5028", " - ", "PURCHASES @ COST-ART/TECH")</f>
        <v xml:space="preserve">          5028 - PURCHASES @ COST-ART/TECH</v>
      </c>
      <c r="C63" s="11"/>
      <c r="D63" s="2">
        <v>4417.37</v>
      </c>
      <c r="E63" s="2"/>
      <c r="F63" s="19">
        <f t="shared" si="7"/>
        <v>0.10817053810641258</v>
      </c>
      <c r="G63" s="2"/>
      <c r="H63" s="2"/>
      <c r="I63" s="2"/>
      <c r="J63" s="19">
        <f t="shared" si="8"/>
        <v>0</v>
      </c>
      <c r="K63" s="2"/>
      <c r="L63" s="2">
        <f t="shared" si="9"/>
        <v>4417.37</v>
      </c>
      <c r="M63" s="2"/>
      <c r="N63" s="19">
        <f t="shared" si="10"/>
        <v>0</v>
      </c>
      <c r="O63" s="11"/>
      <c r="P63" s="2">
        <v>151070.15</v>
      </c>
      <c r="Q63" s="2"/>
      <c r="R63" s="19">
        <f t="shared" si="11"/>
        <v>0.18615239269724407</v>
      </c>
      <c r="S63" s="2"/>
      <c r="T63" s="2"/>
      <c r="U63" s="2"/>
      <c r="V63" s="19">
        <f t="shared" si="12"/>
        <v>0</v>
      </c>
      <c r="W63" s="2"/>
      <c r="X63" s="2">
        <f t="shared" si="13"/>
        <v>151070.15</v>
      </c>
      <c r="Y63" s="2"/>
      <c r="Z63" s="19">
        <f t="shared" si="14"/>
        <v>0</v>
      </c>
    </row>
    <row r="64" spans="1:26" s="24" customFormat="1" hidden="1" outlineLevel="1" x14ac:dyDescent="0.25">
      <c r="A64" s="44"/>
      <c r="B64" s="11" t="str">
        <f>CONCATENATE("          ", "5031", " - ", "PURCHASES @ COST-FOOD")</f>
        <v xml:space="preserve">          5031 - PURCHASES @ COST-FOOD</v>
      </c>
      <c r="C64" s="11"/>
      <c r="D64" s="2">
        <v>3113.82</v>
      </c>
      <c r="E64" s="2"/>
      <c r="F64" s="19">
        <f t="shared" si="7"/>
        <v>7.6249801344806897E-2</v>
      </c>
      <c r="G64" s="2"/>
      <c r="H64" s="2"/>
      <c r="I64" s="2"/>
      <c r="J64" s="19">
        <f t="shared" si="8"/>
        <v>0</v>
      </c>
      <c r="K64" s="2"/>
      <c r="L64" s="2">
        <f t="shared" si="9"/>
        <v>3113.82</v>
      </c>
      <c r="M64" s="2"/>
      <c r="N64" s="19">
        <f t="shared" si="10"/>
        <v>0</v>
      </c>
      <c r="O64" s="11"/>
      <c r="P64" s="2">
        <v>33239.879999999997</v>
      </c>
      <c r="Q64" s="2"/>
      <c r="R64" s="19">
        <f t="shared" si="11"/>
        <v>4.0959006097294991E-2</v>
      </c>
      <c r="S64" s="2"/>
      <c r="T64" s="2"/>
      <c r="U64" s="2"/>
      <c r="V64" s="19">
        <f t="shared" si="12"/>
        <v>0</v>
      </c>
      <c r="W64" s="2"/>
      <c r="X64" s="2">
        <f t="shared" si="13"/>
        <v>33239.879999999997</v>
      </c>
      <c r="Y64" s="2"/>
      <c r="Z64" s="19">
        <f t="shared" si="14"/>
        <v>0</v>
      </c>
    </row>
    <row r="65" spans="1:26" s="24" customFormat="1" hidden="1" outlineLevel="1" x14ac:dyDescent="0.25">
      <c r="A65" s="44"/>
      <c r="B65" s="11" t="str">
        <f>CONCATENATE("          ", "5032", " - ", "PURCHASES @ COST-JUICE")</f>
        <v xml:space="preserve">          5032 - PURCHASES @ COST-JUICE</v>
      </c>
      <c r="C65" s="11"/>
      <c r="D65" s="2">
        <v>688.97</v>
      </c>
      <c r="E65" s="2"/>
      <c r="F65" s="19">
        <f t="shared" si="7"/>
        <v>1.6871182545083404E-2</v>
      </c>
      <c r="G65" s="2"/>
      <c r="H65" s="2"/>
      <c r="I65" s="2"/>
      <c r="J65" s="19">
        <f t="shared" si="8"/>
        <v>0</v>
      </c>
      <c r="K65" s="2"/>
      <c r="L65" s="2">
        <f t="shared" si="9"/>
        <v>688.97</v>
      </c>
      <c r="M65" s="2"/>
      <c r="N65" s="19">
        <f t="shared" si="10"/>
        <v>0</v>
      </c>
      <c r="O65" s="11"/>
      <c r="P65" s="2">
        <v>7802.45</v>
      </c>
      <c r="Q65" s="2"/>
      <c r="R65" s="19">
        <f t="shared" si="11"/>
        <v>9.6143727692109392E-3</v>
      </c>
      <c r="S65" s="2"/>
      <c r="T65" s="2"/>
      <c r="U65" s="2"/>
      <c r="V65" s="19">
        <f t="shared" si="12"/>
        <v>0</v>
      </c>
      <c r="W65" s="2"/>
      <c r="X65" s="2">
        <f t="shared" si="13"/>
        <v>7802.45</v>
      </c>
      <c r="Y65" s="2"/>
      <c r="Z65" s="19">
        <f t="shared" si="14"/>
        <v>0</v>
      </c>
    </row>
    <row r="66" spans="1:26" s="24" customFormat="1" hidden="1" outlineLevel="1" x14ac:dyDescent="0.25">
      <c r="A66" s="44"/>
      <c r="B66" s="11" t="str">
        <f>CONCATENATE("          ", "5033", " - ", "PURCHASES @ COST-CANDY")</f>
        <v xml:space="preserve">          5033 - PURCHASES @ COST-CANDY</v>
      </c>
      <c r="C66" s="11"/>
      <c r="D66" s="2">
        <v>1198.55</v>
      </c>
      <c r="E66" s="2"/>
      <c r="F66" s="19">
        <f t="shared" si="7"/>
        <v>2.9349544739843119E-2</v>
      </c>
      <c r="G66" s="2"/>
      <c r="H66" s="2"/>
      <c r="I66" s="2"/>
      <c r="J66" s="19">
        <f t="shared" si="8"/>
        <v>0</v>
      </c>
      <c r="K66" s="2"/>
      <c r="L66" s="2">
        <f t="shared" si="9"/>
        <v>1198.55</v>
      </c>
      <c r="M66" s="2"/>
      <c r="N66" s="19">
        <f t="shared" si="10"/>
        <v>0</v>
      </c>
      <c r="O66" s="11"/>
      <c r="P66" s="2">
        <v>10023.61</v>
      </c>
      <c r="Q66" s="2"/>
      <c r="R66" s="19">
        <f t="shared" si="11"/>
        <v>1.2351341313714341E-2</v>
      </c>
      <c r="S66" s="2"/>
      <c r="T66" s="2"/>
      <c r="U66" s="2"/>
      <c r="V66" s="19">
        <f t="shared" si="12"/>
        <v>0</v>
      </c>
      <c r="W66" s="2"/>
      <c r="X66" s="2">
        <f t="shared" si="13"/>
        <v>10023.61</v>
      </c>
      <c r="Y66" s="2"/>
      <c r="Z66" s="19">
        <f t="shared" si="14"/>
        <v>0</v>
      </c>
    </row>
    <row r="67" spans="1:26" s="24" customFormat="1" hidden="1" outlineLevel="1" x14ac:dyDescent="0.25">
      <c r="A67" s="44"/>
      <c r="B67" s="11" t="str">
        <f>CONCATENATE("          ", "5034", " - ", "PURCHASES @ COST-SODA")</f>
        <v xml:space="preserve">          5034 - PURCHASES @ COST-SODA</v>
      </c>
      <c r="C67" s="11"/>
      <c r="D67" s="2">
        <v>271.79000000000002</v>
      </c>
      <c r="E67" s="2"/>
      <c r="F67" s="19">
        <f t="shared" si="7"/>
        <v>6.6554693294747502E-3</v>
      </c>
      <c r="G67" s="2"/>
      <c r="H67" s="2"/>
      <c r="I67" s="2"/>
      <c r="J67" s="19">
        <f t="shared" si="8"/>
        <v>0</v>
      </c>
      <c r="K67" s="2"/>
      <c r="L67" s="2">
        <f t="shared" si="9"/>
        <v>271.79000000000002</v>
      </c>
      <c r="M67" s="2"/>
      <c r="N67" s="19">
        <f t="shared" si="10"/>
        <v>0</v>
      </c>
      <c r="O67" s="11"/>
      <c r="P67" s="2">
        <v>4033.88</v>
      </c>
      <c r="Q67" s="2"/>
      <c r="R67" s="19">
        <f t="shared" si="11"/>
        <v>4.9706471718837832E-3</v>
      </c>
      <c r="S67" s="2"/>
      <c r="T67" s="2"/>
      <c r="U67" s="2"/>
      <c r="V67" s="19">
        <f t="shared" si="12"/>
        <v>0</v>
      </c>
      <c r="W67" s="2"/>
      <c r="X67" s="2">
        <f t="shared" si="13"/>
        <v>4033.88</v>
      </c>
      <c r="Y67" s="2"/>
      <c r="Z67" s="19">
        <f t="shared" si="14"/>
        <v>0</v>
      </c>
    </row>
    <row r="68" spans="1:26" s="24" customFormat="1" hidden="1" outlineLevel="1" x14ac:dyDescent="0.25">
      <c r="A68" s="44"/>
      <c r="B68" s="11" t="str">
        <f>CONCATENATE("          ", "5035", " - ", "PURCHASES @ COST-HEALTH &amp; BEAU")</f>
        <v xml:space="preserve">          5035 - PURCHASES @ COST-HEALTH &amp; BEAU</v>
      </c>
      <c r="C68" s="11"/>
      <c r="D68" s="2">
        <v>61.98</v>
      </c>
      <c r="E68" s="2"/>
      <c r="F68" s="19">
        <f t="shared" si="7"/>
        <v>1.517737919131848E-3</v>
      </c>
      <c r="G68" s="2"/>
      <c r="H68" s="2"/>
      <c r="I68" s="2"/>
      <c r="J68" s="19">
        <f t="shared" si="8"/>
        <v>0</v>
      </c>
      <c r="K68" s="2"/>
      <c r="L68" s="2">
        <f t="shared" si="9"/>
        <v>61.98</v>
      </c>
      <c r="M68" s="2"/>
      <c r="N68" s="19">
        <f t="shared" si="10"/>
        <v>0</v>
      </c>
      <c r="O68" s="11"/>
      <c r="P68" s="2">
        <v>1117.6500000000001</v>
      </c>
      <c r="Q68" s="2"/>
      <c r="R68" s="19">
        <f t="shared" si="11"/>
        <v>1.3771961019306252E-3</v>
      </c>
      <c r="S68" s="2"/>
      <c r="T68" s="2"/>
      <c r="U68" s="2"/>
      <c r="V68" s="19">
        <f t="shared" si="12"/>
        <v>0</v>
      </c>
      <c r="W68" s="2"/>
      <c r="X68" s="2">
        <f t="shared" si="13"/>
        <v>1117.6500000000001</v>
      </c>
      <c r="Y68" s="2"/>
      <c r="Z68" s="19">
        <f t="shared" si="14"/>
        <v>0</v>
      </c>
    </row>
    <row r="69" spans="1:26" s="24" customFormat="1" hidden="1" outlineLevel="1" x14ac:dyDescent="0.25">
      <c r="A69" s="44"/>
      <c r="B69" s="11" t="str">
        <f>CONCATENATE("          ", "5037", " - ", "PURCHASES @ COST-WATER")</f>
        <v xml:space="preserve">          5037 - PURCHASES @ COST-WATER</v>
      </c>
      <c r="C69" s="11"/>
      <c r="D69" s="2">
        <v>393.84</v>
      </c>
      <c r="E69" s="2"/>
      <c r="F69" s="19">
        <f t="shared" si="7"/>
        <v>9.6441739604854314E-3</v>
      </c>
      <c r="G69" s="2"/>
      <c r="H69" s="2"/>
      <c r="I69" s="2"/>
      <c r="J69" s="19">
        <f t="shared" si="8"/>
        <v>0</v>
      </c>
      <c r="K69" s="2"/>
      <c r="L69" s="2">
        <f t="shared" si="9"/>
        <v>393.84</v>
      </c>
      <c r="M69" s="2"/>
      <c r="N69" s="19">
        <f t="shared" si="10"/>
        <v>0</v>
      </c>
      <c r="O69" s="11"/>
      <c r="P69" s="2">
        <v>5663.81</v>
      </c>
      <c r="Q69" s="2"/>
      <c r="R69" s="19">
        <f t="shared" si="11"/>
        <v>6.9790874192060971E-3</v>
      </c>
      <c r="S69" s="2"/>
      <c r="T69" s="2"/>
      <c r="U69" s="2"/>
      <c r="V69" s="19">
        <f t="shared" si="12"/>
        <v>0</v>
      </c>
      <c r="W69" s="2"/>
      <c r="X69" s="2">
        <f t="shared" si="13"/>
        <v>5663.81</v>
      </c>
      <c r="Y69" s="2"/>
      <c r="Z69" s="19">
        <f t="shared" si="14"/>
        <v>0</v>
      </c>
    </row>
    <row r="70" spans="1:26" s="24" customFormat="1" hidden="1" outlineLevel="1" x14ac:dyDescent="0.25">
      <c r="A70" s="44"/>
      <c r="B70" s="11" t="str">
        <f>CONCATENATE("          ", "5081", " - ", "PURCHASES @ COST-ELECTRONICS")</f>
        <v xml:space="preserve">          5081 - PURCHASES @ COST-ELECTRONICS</v>
      </c>
      <c r="C70" s="11"/>
      <c r="D70" s="2">
        <v>116.82</v>
      </c>
      <c r="E70" s="2"/>
      <c r="F70" s="19">
        <f t="shared" si="7"/>
        <v>2.8606347807838416E-3</v>
      </c>
      <c r="G70" s="2"/>
      <c r="H70" s="2"/>
      <c r="I70" s="2"/>
      <c r="J70" s="19">
        <f t="shared" si="8"/>
        <v>0</v>
      </c>
      <c r="K70" s="2"/>
      <c r="L70" s="2">
        <f t="shared" si="9"/>
        <v>116.82</v>
      </c>
      <c r="M70" s="2"/>
      <c r="N70" s="19">
        <f t="shared" si="10"/>
        <v>0</v>
      </c>
      <c r="O70" s="11"/>
      <c r="P70" s="2">
        <v>2008.03</v>
      </c>
      <c r="Q70" s="2"/>
      <c r="R70" s="19">
        <f t="shared" si="11"/>
        <v>2.4743444625417196E-3</v>
      </c>
      <c r="S70" s="2"/>
      <c r="T70" s="2"/>
      <c r="U70" s="2"/>
      <c r="V70" s="19">
        <f t="shared" si="12"/>
        <v>0</v>
      </c>
      <c r="W70" s="2"/>
      <c r="X70" s="2">
        <f t="shared" si="13"/>
        <v>2008.03</v>
      </c>
      <c r="Y70" s="2"/>
      <c r="Z70" s="19">
        <f t="shared" si="14"/>
        <v>0</v>
      </c>
    </row>
    <row r="71" spans="1:26" s="24" customFormat="1" hidden="1" outlineLevel="1" x14ac:dyDescent="0.25">
      <c r="A71" s="44"/>
      <c r="B71" s="11" t="str">
        <f>CONCATENATE("          ", "5082", " - ", "PURCHASES @ COST-COMPUTER HARD")</f>
        <v xml:space="preserve">          5082 - PURCHASES @ COST-COMPUTER HARD</v>
      </c>
      <c r="C71" s="11"/>
      <c r="D71" s="2"/>
      <c r="E71" s="2"/>
      <c r="F71" s="19">
        <f t="shared" si="7"/>
        <v>0</v>
      </c>
      <c r="G71" s="2"/>
      <c r="H71" s="2"/>
      <c r="I71" s="2"/>
      <c r="J71" s="19">
        <f t="shared" si="8"/>
        <v>0</v>
      </c>
      <c r="K71" s="2"/>
      <c r="L71" s="2">
        <f t="shared" si="9"/>
        <v>0</v>
      </c>
      <c r="M71" s="2"/>
      <c r="N71" s="19">
        <f t="shared" si="10"/>
        <v>0</v>
      </c>
      <c r="O71" s="11"/>
      <c r="P71" s="2">
        <v>349.6</v>
      </c>
      <c r="Q71" s="2"/>
      <c r="R71" s="19">
        <f t="shared" si="11"/>
        <v>4.3078580703703897E-4</v>
      </c>
      <c r="S71" s="2"/>
      <c r="T71" s="2"/>
      <c r="U71" s="2"/>
      <c r="V71" s="19">
        <f t="shared" si="12"/>
        <v>0</v>
      </c>
      <c r="W71" s="2"/>
      <c r="X71" s="2">
        <f t="shared" si="13"/>
        <v>349.6</v>
      </c>
      <c r="Y71" s="2"/>
      <c r="Z71" s="19">
        <f t="shared" si="14"/>
        <v>0</v>
      </c>
    </row>
    <row r="72" spans="1:26" s="24" customFormat="1" hidden="1" outlineLevel="1" x14ac:dyDescent="0.25">
      <c r="A72" s="44"/>
      <c r="B72" s="11" t="str">
        <f>CONCATENATE("          ", "5083", " - ", "PURCHASES @ COST-COMPUTER EQUI")</f>
        <v xml:space="preserve">          5083 - PURCHASES @ COST-COMPUTER EQUI</v>
      </c>
      <c r="C72" s="11"/>
      <c r="D72" s="2"/>
      <c r="E72" s="2"/>
      <c r="F72" s="19">
        <f t="shared" si="7"/>
        <v>0</v>
      </c>
      <c r="G72" s="2"/>
      <c r="H72" s="2"/>
      <c r="I72" s="2"/>
      <c r="J72" s="19">
        <f t="shared" si="8"/>
        <v>0</v>
      </c>
      <c r="K72" s="2"/>
      <c r="L72" s="2">
        <f t="shared" si="9"/>
        <v>0</v>
      </c>
      <c r="M72" s="2"/>
      <c r="N72" s="19">
        <f t="shared" si="10"/>
        <v>0</v>
      </c>
      <c r="O72" s="11"/>
      <c r="P72" s="2">
        <v>304.70999999999998</v>
      </c>
      <c r="Q72" s="2"/>
      <c r="R72" s="19">
        <f t="shared" si="11"/>
        <v>3.7547123358768912E-4</v>
      </c>
      <c r="S72" s="2"/>
      <c r="T72" s="2"/>
      <c r="U72" s="2"/>
      <c r="V72" s="19">
        <f t="shared" si="12"/>
        <v>0</v>
      </c>
      <c r="W72" s="2"/>
      <c r="X72" s="2">
        <f t="shared" si="13"/>
        <v>304.70999999999998</v>
      </c>
      <c r="Y72" s="2"/>
      <c r="Z72" s="19">
        <f t="shared" si="14"/>
        <v>0</v>
      </c>
    </row>
    <row r="73" spans="1:26" s="24" customFormat="1" hidden="1" outlineLevel="1" x14ac:dyDescent="0.25">
      <c r="A73" s="44"/>
      <c r="B73" s="11" t="str">
        <f>CONCATENATE("          ", "5086", " - ", "PURCHASES @ COST-COMPUTER SUPP")</f>
        <v xml:space="preserve">          5086 - PURCHASES @ COST-COMPUTER SUPP</v>
      </c>
      <c r="C73" s="11"/>
      <c r="D73" s="2"/>
      <c r="E73" s="2"/>
      <c r="F73" s="19">
        <f t="shared" si="7"/>
        <v>0</v>
      </c>
      <c r="G73" s="2"/>
      <c r="H73" s="2"/>
      <c r="I73" s="2"/>
      <c r="J73" s="19">
        <f t="shared" si="8"/>
        <v>0</v>
      </c>
      <c r="K73" s="2"/>
      <c r="L73" s="2">
        <f t="shared" si="9"/>
        <v>0</v>
      </c>
      <c r="M73" s="2"/>
      <c r="N73" s="19">
        <f t="shared" si="10"/>
        <v>0</v>
      </c>
      <c r="O73" s="11"/>
      <c r="P73" s="2">
        <v>426.22</v>
      </c>
      <c r="Q73" s="2"/>
      <c r="R73" s="19">
        <f t="shared" si="11"/>
        <v>5.2519887492942432E-4</v>
      </c>
      <c r="S73" s="2"/>
      <c r="T73" s="2"/>
      <c r="U73" s="2"/>
      <c r="V73" s="19">
        <f t="shared" si="12"/>
        <v>0</v>
      </c>
      <c r="W73" s="2"/>
      <c r="X73" s="2">
        <f t="shared" si="13"/>
        <v>426.22</v>
      </c>
      <c r="Y73" s="2"/>
      <c r="Z73" s="19">
        <f t="shared" si="14"/>
        <v>0</v>
      </c>
    </row>
    <row r="74" spans="1:26" s="24" customFormat="1" hidden="1" outlineLevel="1" x14ac:dyDescent="0.25">
      <c r="A74" s="44"/>
      <c r="B74" s="11" t="str">
        <f>CONCATENATE("          ", "5200", " - ", "PURCHASES OFFSET")</f>
        <v xml:space="preserve">          5200 - PURCHASES OFFSET</v>
      </c>
      <c r="C74" s="11"/>
      <c r="D74" s="2">
        <v>-34001</v>
      </c>
      <c r="E74" s="2"/>
      <c r="F74" s="19">
        <f t="shared" si="7"/>
        <v>-0.83260095173284876</v>
      </c>
      <c r="G74" s="2"/>
      <c r="H74" s="2"/>
      <c r="I74" s="2"/>
      <c r="J74" s="19">
        <f t="shared" si="8"/>
        <v>0</v>
      </c>
      <c r="K74" s="2"/>
      <c r="L74" s="2">
        <f t="shared" si="9"/>
        <v>-34001</v>
      </c>
      <c r="M74" s="2"/>
      <c r="N74" s="19">
        <f t="shared" si="10"/>
        <v>0</v>
      </c>
      <c r="O74" s="11"/>
      <c r="P74" s="2">
        <v>-433344</v>
      </c>
      <c r="Q74" s="2"/>
      <c r="R74" s="19">
        <f t="shared" si="11"/>
        <v>-0.53397724475016761</v>
      </c>
      <c r="S74" s="2"/>
      <c r="T74" s="2"/>
      <c r="U74" s="2"/>
      <c r="V74" s="19">
        <f t="shared" si="12"/>
        <v>0</v>
      </c>
      <c r="W74" s="2"/>
      <c r="X74" s="2">
        <f t="shared" si="13"/>
        <v>-433344</v>
      </c>
      <c r="Y74" s="2"/>
      <c r="Z74" s="19">
        <f t="shared" si="14"/>
        <v>0</v>
      </c>
    </row>
    <row r="75" spans="1:26" s="24" customFormat="1" hidden="1" outlineLevel="1" x14ac:dyDescent="0.25">
      <c r="A75" s="44"/>
      <c r="B75" s="11" t="str">
        <f>CONCATENATE("          ", "5300", " - ", "COG$ OFFSET")</f>
        <v xml:space="preserve">          5300 - COG$ OFFSET</v>
      </c>
      <c r="C75" s="11"/>
      <c r="D75" s="2">
        <v>20742</v>
      </c>
      <c r="E75" s="2"/>
      <c r="F75" s="19">
        <f t="shared" si="7"/>
        <v>0.50792061824189727</v>
      </c>
      <c r="G75" s="2"/>
      <c r="H75" s="2"/>
      <c r="I75" s="2"/>
      <c r="J75" s="19">
        <f t="shared" si="8"/>
        <v>0</v>
      </c>
      <c r="K75" s="2"/>
      <c r="L75" s="2">
        <f t="shared" si="9"/>
        <v>20742</v>
      </c>
      <c r="M75" s="2"/>
      <c r="N75" s="19">
        <f t="shared" si="10"/>
        <v>0</v>
      </c>
      <c r="O75" s="11"/>
      <c r="P75" s="2">
        <v>406361</v>
      </c>
      <c r="Q75" s="2"/>
      <c r="R75" s="19">
        <f t="shared" si="11"/>
        <v>0.50072812166298108</v>
      </c>
      <c r="S75" s="2"/>
      <c r="T75" s="2"/>
      <c r="U75" s="2"/>
      <c r="V75" s="19">
        <f t="shared" si="12"/>
        <v>0</v>
      </c>
      <c r="W75" s="2"/>
      <c r="X75" s="2">
        <f t="shared" si="13"/>
        <v>406361</v>
      </c>
      <c r="Y75" s="2"/>
      <c r="Z75" s="19">
        <f t="shared" si="14"/>
        <v>0</v>
      </c>
    </row>
    <row r="76" spans="1:26" s="24" customFormat="1" hidden="1" outlineLevel="1" x14ac:dyDescent="0.25">
      <c r="A76" s="44"/>
      <c r="B76" s="11" t="str">
        <f>CONCATENATE("          ", "5500", " - ", "FREIGHT-IN")</f>
        <v xml:space="preserve">          5500 - FREIGHT-IN</v>
      </c>
      <c r="C76" s="11"/>
      <c r="D76" s="2"/>
      <c r="E76" s="2"/>
      <c r="F76" s="19">
        <f t="shared" si="7"/>
        <v>0</v>
      </c>
      <c r="G76" s="2"/>
      <c r="H76" s="2"/>
      <c r="I76" s="2"/>
      <c r="J76" s="19">
        <f t="shared" si="8"/>
        <v>0</v>
      </c>
      <c r="K76" s="2"/>
      <c r="L76" s="2">
        <f t="shared" si="9"/>
        <v>0</v>
      </c>
      <c r="M76" s="2"/>
      <c r="N76" s="19">
        <f t="shared" si="10"/>
        <v>0</v>
      </c>
      <c r="O76" s="11"/>
      <c r="P76" s="2">
        <v>86</v>
      </c>
      <c r="Q76" s="2"/>
      <c r="R76" s="19">
        <f t="shared" si="11"/>
        <v>1.0597133697135397E-4</v>
      </c>
      <c r="S76" s="2"/>
      <c r="T76" s="2"/>
      <c r="U76" s="2"/>
      <c r="V76" s="19">
        <f t="shared" si="12"/>
        <v>0</v>
      </c>
      <c r="W76" s="2"/>
      <c r="X76" s="2">
        <f t="shared" si="13"/>
        <v>86</v>
      </c>
      <c r="Y76" s="2"/>
      <c r="Z76" s="19">
        <f t="shared" si="14"/>
        <v>0</v>
      </c>
    </row>
    <row r="77" spans="1:26" s="24" customFormat="1" hidden="1" outlineLevel="1" x14ac:dyDescent="0.25">
      <c r="A77" s="44"/>
      <c r="B77" s="11" t="str">
        <f>CONCATENATE("          ", "5525", " - ", "FREIGHT-IN-TEST FORMS")</f>
        <v xml:space="preserve">          5525 - FREIGHT-IN-TEST FORMS</v>
      </c>
      <c r="C77" s="11"/>
      <c r="D77" s="2">
        <v>82.2</v>
      </c>
      <c r="E77" s="2"/>
      <c r="F77" s="19">
        <f t="shared" si="7"/>
        <v>2.012876039894126E-3</v>
      </c>
      <c r="G77" s="2"/>
      <c r="H77" s="2"/>
      <c r="I77" s="2"/>
      <c r="J77" s="19">
        <f t="shared" si="8"/>
        <v>0</v>
      </c>
      <c r="K77" s="2"/>
      <c r="L77" s="2">
        <f t="shared" si="9"/>
        <v>82.2</v>
      </c>
      <c r="M77" s="2"/>
      <c r="N77" s="19">
        <f t="shared" si="10"/>
        <v>0</v>
      </c>
      <c r="O77" s="11"/>
      <c r="P77" s="2">
        <v>1237.22</v>
      </c>
      <c r="Q77" s="2"/>
      <c r="R77" s="19">
        <f t="shared" si="11"/>
        <v>1.5245332270662623E-3</v>
      </c>
      <c r="S77" s="2"/>
      <c r="T77" s="2"/>
      <c r="U77" s="2"/>
      <c r="V77" s="19">
        <f t="shared" si="12"/>
        <v>0</v>
      </c>
      <c r="W77" s="2"/>
      <c r="X77" s="2">
        <f t="shared" si="13"/>
        <v>1237.22</v>
      </c>
      <c r="Y77" s="2"/>
      <c r="Z77" s="19">
        <f t="shared" si="14"/>
        <v>0</v>
      </c>
    </row>
    <row r="78" spans="1:26" s="24" customFormat="1" hidden="1" outlineLevel="1" x14ac:dyDescent="0.25">
      <c r="A78" s="44"/>
      <c r="B78" s="11" t="str">
        <f>CONCATENATE("          ", "5526", " - ", "FREIGHT-IN-WRITING INSTRUMENTS")</f>
        <v xml:space="preserve">          5526 - FREIGHT-IN-WRITING INSTRUMENTS</v>
      </c>
      <c r="C78" s="11"/>
      <c r="D78" s="2"/>
      <c r="E78" s="2"/>
      <c r="F78" s="19">
        <f t="shared" si="7"/>
        <v>0</v>
      </c>
      <c r="G78" s="2"/>
      <c r="H78" s="2"/>
      <c r="I78" s="2"/>
      <c r="J78" s="19">
        <f t="shared" si="8"/>
        <v>0</v>
      </c>
      <c r="K78" s="2"/>
      <c r="L78" s="2">
        <f t="shared" si="9"/>
        <v>0</v>
      </c>
      <c r="M78" s="2"/>
      <c r="N78" s="19">
        <f t="shared" si="10"/>
        <v>0</v>
      </c>
      <c r="O78" s="11"/>
      <c r="P78" s="2">
        <v>260.35000000000002</v>
      </c>
      <c r="Q78" s="2"/>
      <c r="R78" s="19">
        <f t="shared" si="11"/>
        <v>3.2080973930804661E-4</v>
      </c>
      <c r="S78" s="2"/>
      <c r="T78" s="2"/>
      <c r="U78" s="2"/>
      <c r="V78" s="19">
        <f t="shared" si="12"/>
        <v>0</v>
      </c>
      <c r="W78" s="2"/>
      <c r="X78" s="2">
        <f t="shared" si="13"/>
        <v>260.35000000000002</v>
      </c>
      <c r="Y78" s="2"/>
      <c r="Z78" s="19">
        <f t="shared" si="14"/>
        <v>0</v>
      </c>
    </row>
    <row r="79" spans="1:26" s="24" customFormat="1" hidden="1" outlineLevel="1" x14ac:dyDescent="0.25">
      <c r="A79" s="44"/>
      <c r="B79" s="11" t="str">
        <f>CONCATENATE("          ", "5527", " - ", "FREIGHT-IN-SCHOOL SUPPLIES")</f>
        <v xml:space="preserve">          5527 - FREIGHT-IN-SCHOOL SUPPLIES</v>
      </c>
      <c r="C79" s="11"/>
      <c r="D79" s="2">
        <v>407.31</v>
      </c>
      <c r="E79" s="2"/>
      <c r="F79" s="19">
        <f t="shared" si="7"/>
        <v>9.9740211655629726E-3</v>
      </c>
      <c r="G79" s="2"/>
      <c r="H79" s="2"/>
      <c r="I79" s="2"/>
      <c r="J79" s="19">
        <f t="shared" si="8"/>
        <v>0</v>
      </c>
      <c r="K79" s="2"/>
      <c r="L79" s="2">
        <f t="shared" si="9"/>
        <v>407.31</v>
      </c>
      <c r="M79" s="2"/>
      <c r="N79" s="19">
        <f t="shared" si="10"/>
        <v>0</v>
      </c>
      <c r="O79" s="11"/>
      <c r="P79" s="2">
        <v>2058.91</v>
      </c>
      <c r="Q79" s="2"/>
      <c r="R79" s="19">
        <f t="shared" si="11"/>
        <v>2.5370400628336089E-3</v>
      </c>
      <c r="S79" s="2"/>
      <c r="T79" s="2"/>
      <c r="U79" s="2"/>
      <c r="V79" s="19">
        <f t="shared" si="12"/>
        <v>0</v>
      </c>
      <c r="W79" s="2"/>
      <c r="X79" s="2">
        <f t="shared" si="13"/>
        <v>2058.91</v>
      </c>
      <c r="Y79" s="2"/>
      <c r="Z79" s="19">
        <f t="shared" si="14"/>
        <v>0</v>
      </c>
    </row>
    <row r="80" spans="1:26" s="24" customFormat="1" hidden="1" outlineLevel="1" x14ac:dyDescent="0.25">
      <c r="A80" s="44"/>
      <c r="B80" s="11" t="str">
        <f>CONCATENATE("          ", "5528", " - ", "FREIGHT-IN-ART/TECH")</f>
        <v xml:space="preserve">          5528 - FREIGHT-IN-ART/TECH</v>
      </c>
      <c r="C80" s="11"/>
      <c r="D80" s="2">
        <v>771.27</v>
      </c>
      <c r="E80" s="2"/>
      <c r="F80" s="19">
        <f t="shared" si="7"/>
        <v>1.8886507339283969E-2</v>
      </c>
      <c r="G80" s="2"/>
      <c r="H80" s="2"/>
      <c r="I80" s="2"/>
      <c r="J80" s="19">
        <f t="shared" si="8"/>
        <v>0</v>
      </c>
      <c r="K80" s="2"/>
      <c r="L80" s="2">
        <f t="shared" si="9"/>
        <v>771.27</v>
      </c>
      <c r="M80" s="2"/>
      <c r="N80" s="19">
        <f t="shared" si="10"/>
        <v>0</v>
      </c>
      <c r="O80" s="11"/>
      <c r="P80" s="2">
        <v>2267.52</v>
      </c>
      <c r="Q80" s="2"/>
      <c r="R80" s="19">
        <f t="shared" si="11"/>
        <v>2.7940944884800529E-3</v>
      </c>
      <c r="S80" s="2"/>
      <c r="T80" s="2"/>
      <c r="U80" s="2"/>
      <c r="V80" s="19">
        <f t="shared" si="12"/>
        <v>0</v>
      </c>
      <c r="W80" s="2"/>
      <c r="X80" s="2">
        <f t="shared" si="13"/>
        <v>2267.52</v>
      </c>
      <c r="Y80" s="2"/>
      <c r="Z80" s="19">
        <f t="shared" si="14"/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8" t="s">
        <v>6</v>
      </c>
      <c r="C82" s="28"/>
      <c r="D82" s="20">
        <f>D12-D56</f>
        <v>20095.609999999993</v>
      </c>
      <c r="E82" s="14"/>
      <c r="F82" s="22">
        <f>IF(D$12=0,0,D82/D$12)</f>
        <v>0.49209211528049612</v>
      </c>
      <c r="G82" s="14"/>
      <c r="H82" s="20">
        <f>H12-H56</f>
        <v>39840</v>
      </c>
      <c r="I82" s="14"/>
      <c r="J82" s="22">
        <f>IF(H$12=0,0,H82/H$12)</f>
        <v>0.52381766306848809</v>
      </c>
      <c r="K82" s="16"/>
      <c r="L82" s="20">
        <f>+D82-H82</f>
        <v>-19744.390000000007</v>
      </c>
      <c r="M82" s="16"/>
      <c r="N82" s="22">
        <f>IF(H82=0,0,L82/H82)</f>
        <v>-0.49559211847389573</v>
      </c>
      <c r="O82" s="29"/>
      <c r="P82" s="20">
        <f>P12-P56</f>
        <v>405097.17000000016</v>
      </c>
      <c r="Q82" s="14"/>
      <c r="R82" s="22">
        <f>IF(P$12=0,0,P82/P$12)</f>
        <v>0.49917079893269628</v>
      </c>
      <c r="S82" s="14"/>
      <c r="T82" s="20">
        <f>T12-T56</f>
        <v>465320</v>
      </c>
      <c r="U82" s="14"/>
      <c r="V82" s="22">
        <f>IF(T$12=0,0,T82/T$12)</f>
        <v>0.52577580518318312</v>
      </c>
      <c r="W82" s="16"/>
      <c r="X82" s="20">
        <f>+P82-T82</f>
        <v>-60222.829999999842</v>
      </c>
      <c r="Y82" s="16"/>
      <c r="Z82" s="22">
        <f>IF(T82=0,0,X82/T82)</f>
        <v>-0.12942239748989909</v>
      </c>
    </row>
    <row r="83" spans="1:26" x14ac:dyDescent="0.25">
      <c r="A83" s="9"/>
      <c r="B83" s="10"/>
      <c r="C83" s="9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9" t="s">
        <v>9</v>
      </c>
      <c r="C84" s="10"/>
      <c r="D84" s="21">
        <f>SUM(OSRRefD22x_0)</f>
        <v>18708.22</v>
      </c>
      <c r="E84" s="21"/>
      <c r="F84" s="30">
        <f t="shared" ref="F84:F94" si="15">IF(D$12=0,0,D84/D$12)</f>
        <v>0.45811834290837089</v>
      </c>
      <c r="G84" s="21"/>
      <c r="H84" s="21">
        <f>SUM(OSRRefH22x_0)</f>
        <v>23316.333607976609</v>
      </c>
      <c r="I84" s="21"/>
      <c r="J84" s="30">
        <f t="shared" ref="J84:J94" si="16">IF(H$12=0,0,H84/H$12)</f>
        <v>0.30656394030761941</v>
      </c>
      <c r="K84" s="4"/>
      <c r="L84" s="21">
        <f t="shared" ref="L84:L94" si="17">+D84-H84</f>
        <v>-4608.1136079766075</v>
      </c>
      <c r="M84" s="4"/>
      <c r="N84" s="30">
        <f t="shared" ref="N84:N94" si="18">IF(H84=0,0,L84/H84)</f>
        <v>-0.19763457177504759</v>
      </c>
      <c r="O84" s="10"/>
      <c r="P84" s="21">
        <f>SUM(OSRRefP22x_0)</f>
        <v>200687.33999999991</v>
      </c>
      <c r="Q84" s="21"/>
      <c r="R84" s="30">
        <f t="shared" ref="R84:R94" si="19">IF(P$12=0,0,P84/P$12)</f>
        <v>0.24729192712819389</v>
      </c>
      <c r="S84" s="21"/>
      <c r="T84" s="21">
        <f>SUM(OSRRefT22x_0)</f>
        <v>200039.83929692995</v>
      </c>
      <c r="U84" s="21"/>
      <c r="V84" s="30">
        <f t="shared" ref="V84:V94" si="20">IF(T$12=0,0,T84/T$12)</f>
        <v>0.22602963030829945</v>
      </c>
      <c r="W84" s="4"/>
      <c r="X84" s="21">
        <f t="shared" ref="X84:X94" si="21">+P84-T84</f>
        <v>647.50070306996349</v>
      </c>
      <c r="Y84" s="4"/>
      <c r="Z84" s="30">
        <f t="shared" ref="Z84:Z94" si="22">IF(T84=0,0,X84/T84)</f>
        <v>3.2368587444666121E-3</v>
      </c>
    </row>
    <row r="85" spans="1:26" s="27" customFormat="1" outlineLevel="1" collapsed="1" x14ac:dyDescent="0.25">
      <c r="A85" s="26"/>
      <c r="B85" s="13" t="str">
        <f>CONCATENATE("     ","*Benefits                                         ")</f>
        <v xml:space="preserve">     *Benefits                                         </v>
      </c>
      <c r="C85" s="13"/>
      <c r="D85" s="1">
        <f>SUM(OSRRefD22_0x_0)</f>
        <v>-3687.74</v>
      </c>
      <c r="E85" s="1"/>
      <c r="F85" s="5">
        <f t="shared" si="15"/>
        <v>-9.0303692060330454E-2</v>
      </c>
      <c r="G85" s="1"/>
      <c r="H85" s="1">
        <f>SUM(OSRRefH22_0x_0)</f>
        <v>3569.5312061304608</v>
      </c>
      <c r="I85" s="1"/>
      <c r="J85" s="5">
        <f t="shared" si="16"/>
        <v>4.6932316632663146E-2</v>
      </c>
      <c r="K85" s="1"/>
      <c r="L85" s="1">
        <f t="shared" si="17"/>
        <v>-7257.271206130461</v>
      </c>
      <c r="M85" s="1"/>
      <c r="N85" s="5">
        <f t="shared" si="18"/>
        <v>-2.0331160555947858</v>
      </c>
      <c r="O85" s="13"/>
      <c r="P85" s="1">
        <f>SUM(OSRRefP22_0x_0)</f>
        <v>27501.099999999995</v>
      </c>
      <c r="Q85" s="1"/>
      <c r="R85" s="5">
        <f t="shared" si="19"/>
        <v>3.3887538781196533E-2</v>
      </c>
      <c r="S85" s="1"/>
      <c r="T85" s="1">
        <f>SUM(OSRRefT22_0x_0)</f>
        <v>31995.962226929998</v>
      </c>
      <c r="U85" s="1"/>
      <c r="V85" s="5">
        <f t="shared" si="20"/>
        <v>3.6152976021823331E-2</v>
      </c>
      <c r="W85" s="1"/>
      <c r="X85" s="1">
        <f t="shared" si="21"/>
        <v>-4494.8622269300031</v>
      </c>
      <c r="Y85" s="1"/>
      <c r="Z85" s="5">
        <f t="shared" si="22"/>
        <v>-0.14048217068923835</v>
      </c>
    </row>
    <row r="86" spans="1:26" s="24" customFormat="1" hidden="1" outlineLevel="2" x14ac:dyDescent="0.25">
      <c r="A86" s="25"/>
      <c r="B86" s="11" t="str">
        <f>CONCATENATE("          ", "6111", " - ", "F.I.C.A.")</f>
        <v xml:space="preserve">          6111 - F.I.C.A.</v>
      </c>
      <c r="C86" s="11"/>
      <c r="D86" s="6">
        <v>800.97</v>
      </c>
      <c r="E86" s="2"/>
      <c r="F86" s="7">
        <f t="shared" si="15"/>
        <v>1.9613787368296814E-2</v>
      </c>
      <c r="G86" s="2"/>
      <c r="H86" s="6">
        <v>898.88570053661499</v>
      </c>
      <c r="I86" s="2"/>
      <c r="J86" s="7">
        <f t="shared" si="16"/>
        <v>1.1818579493493235E-2</v>
      </c>
      <c r="K86" s="2"/>
      <c r="L86" s="6">
        <f t="shared" si="17"/>
        <v>-97.915700536614963</v>
      </c>
      <c r="M86" s="2"/>
      <c r="N86" s="7">
        <f t="shared" si="18"/>
        <v>-0.1089300903086582</v>
      </c>
      <c r="O86" s="11"/>
      <c r="P86" s="6">
        <v>5315.23</v>
      </c>
      <c r="Q86" s="2"/>
      <c r="R86" s="7">
        <f t="shared" si="19"/>
        <v>6.549558481514531E-3</v>
      </c>
      <c r="S86" s="2"/>
      <c r="T86" s="6">
        <v>7991.9330793299969</v>
      </c>
      <c r="U86" s="2"/>
      <c r="V86" s="7">
        <f t="shared" si="20"/>
        <v>9.0302695988886041E-3</v>
      </c>
      <c r="W86" s="2"/>
      <c r="X86" s="6">
        <f t="shared" si="21"/>
        <v>-2676.7030793299973</v>
      </c>
      <c r="Y86" s="2"/>
      <c r="Z86" s="7">
        <f t="shared" si="22"/>
        <v>-0.33492561220925521</v>
      </c>
    </row>
    <row r="87" spans="1:26" s="24" customFormat="1" hidden="1" outlineLevel="2" x14ac:dyDescent="0.25">
      <c r="A87" s="25"/>
      <c r="B87" s="11" t="str">
        <f>CONCATENATE("          ", "6112", " - ", "COMPENSATION INSURANCE")</f>
        <v xml:space="preserve">          6112 - COMPENSATION INSURANCE</v>
      </c>
      <c r="C87" s="11"/>
      <c r="D87" s="6">
        <v>443.93</v>
      </c>
      <c r="E87" s="2"/>
      <c r="F87" s="7">
        <f t="shared" si="15"/>
        <v>1.0870754992581499E-2</v>
      </c>
      <c r="G87" s="2"/>
      <c r="H87" s="6">
        <v>314.623636907692</v>
      </c>
      <c r="I87" s="2"/>
      <c r="J87" s="7">
        <f t="shared" si="16"/>
        <v>4.1366821845154559E-3</v>
      </c>
      <c r="K87" s="2"/>
      <c r="L87" s="6">
        <f t="shared" si="17"/>
        <v>129.306363092308</v>
      </c>
      <c r="M87" s="2"/>
      <c r="N87" s="7">
        <f t="shared" si="18"/>
        <v>0.41098743998768733</v>
      </c>
      <c r="O87" s="11"/>
      <c r="P87" s="6">
        <v>2558.39</v>
      </c>
      <c r="Q87" s="2"/>
      <c r="R87" s="7">
        <f t="shared" si="19"/>
        <v>3.1525117301644447E-3</v>
      </c>
      <c r="S87" s="2"/>
      <c r="T87" s="6">
        <v>2642.796278999997</v>
      </c>
      <c r="U87" s="2"/>
      <c r="V87" s="7">
        <f t="shared" si="20"/>
        <v>2.9861564977356307E-3</v>
      </c>
      <c r="W87" s="2"/>
      <c r="X87" s="6">
        <f t="shared" si="21"/>
        <v>-84.406278999997085</v>
      </c>
      <c r="Y87" s="2"/>
      <c r="Z87" s="7">
        <f t="shared" si="22"/>
        <v>-3.1938246496977601E-2</v>
      </c>
    </row>
    <row r="88" spans="1:26" s="24" customFormat="1" hidden="1" outlineLevel="2" x14ac:dyDescent="0.25">
      <c r="A88" s="25"/>
      <c r="B88" s="11" t="str">
        <f>CONCATENATE("          ", "6113", " - ", "GROUP INSURANCE")</f>
        <v xml:space="preserve">          6113 - GROUP INSURANCE</v>
      </c>
      <c r="C88" s="11"/>
      <c r="D88" s="6">
        <v>2240.4499999999998</v>
      </c>
      <c r="E88" s="2"/>
      <c r="F88" s="7">
        <f t="shared" si="15"/>
        <v>5.486311585864713E-2</v>
      </c>
      <c r="G88" s="2"/>
      <c r="H88" s="6">
        <v>1288.05</v>
      </c>
      <c r="I88" s="2"/>
      <c r="J88" s="7">
        <f t="shared" si="16"/>
        <v>1.6935324822172842E-2</v>
      </c>
      <c r="K88" s="2"/>
      <c r="L88" s="6">
        <f t="shared" si="17"/>
        <v>952.39999999999986</v>
      </c>
      <c r="M88" s="2"/>
      <c r="N88" s="7">
        <f t="shared" si="18"/>
        <v>0.7394122898955785</v>
      </c>
      <c r="O88" s="11"/>
      <c r="P88" s="6">
        <v>16801.59</v>
      </c>
      <c r="Q88" s="2"/>
      <c r="R88" s="7">
        <f t="shared" si="19"/>
        <v>2.0703336692378269E-2</v>
      </c>
      <c r="S88" s="2"/>
      <c r="T88" s="6">
        <v>11592.45</v>
      </c>
      <c r="U88" s="2"/>
      <c r="V88" s="7">
        <f t="shared" si="20"/>
        <v>1.3098576748894936E-2</v>
      </c>
      <c r="W88" s="2"/>
      <c r="X88" s="6">
        <f t="shared" si="21"/>
        <v>5209.1399999999994</v>
      </c>
      <c r="Y88" s="2"/>
      <c r="Z88" s="7">
        <f t="shared" si="22"/>
        <v>0.44935626204986856</v>
      </c>
    </row>
    <row r="89" spans="1:26" s="24" customFormat="1" hidden="1" outlineLevel="2" x14ac:dyDescent="0.25">
      <c r="A89" s="25"/>
      <c r="B89" s="11" t="str">
        <f>CONCATENATE("          ", "6114", " - ", "STATE UNEMPLOYMENT INSURANCE")</f>
        <v xml:space="preserve">          6114 - STATE UNEMPLOYMENT INSURANCE</v>
      </c>
      <c r="C89" s="11"/>
      <c r="D89" s="6">
        <v>60.75</v>
      </c>
      <c r="E89" s="2"/>
      <c r="F89" s="7">
        <f t="shared" si="15"/>
        <v>1.4876182411626296E-3</v>
      </c>
      <c r="G89" s="2"/>
      <c r="H89" s="6">
        <v>43.053760840000002</v>
      </c>
      <c r="I89" s="2"/>
      <c r="J89" s="7">
        <f t="shared" si="16"/>
        <v>5.6607229893369446E-4</v>
      </c>
      <c r="K89" s="2"/>
      <c r="L89" s="6">
        <f t="shared" si="17"/>
        <v>17.696239159999998</v>
      </c>
      <c r="M89" s="2"/>
      <c r="N89" s="7">
        <f t="shared" si="18"/>
        <v>0.41102655876600991</v>
      </c>
      <c r="O89" s="11"/>
      <c r="P89" s="6">
        <v>392.07</v>
      </c>
      <c r="Q89" s="2"/>
      <c r="R89" s="7">
        <f t="shared" si="19"/>
        <v>4.8311839635300873E-4</v>
      </c>
      <c r="S89" s="2"/>
      <c r="T89" s="6">
        <v>361.64580660000001</v>
      </c>
      <c r="U89" s="2"/>
      <c r="V89" s="7">
        <f t="shared" si="20"/>
        <v>4.0863194179540258E-4</v>
      </c>
      <c r="W89" s="2"/>
      <c r="X89" s="6">
        <f t="shared" si="21"/>
        <v>30.424193399999979</v>
      </c>
      <c r="Y89" s="2"/>
      <c r="Z89" s="7">
        <f t="shared" si="22"/>
        <v>8.4127045979136145E-2</v>
      </c>
    </row>
    <row r="90" spans="1:26" s="24" customFormat="1" hidden="1" outlineLevel="2" x14ac:dyDescent="0.25">
      <c r="A90" s="25"/>
      <c r="B90" s="11" t="str">
        <f>CONCATENATE("          ", "6115", " - ", "P.E.R.S.")</f>
        <v xml:space="preserve">          6115 - P.E.R.S.</v>
      </c>
      <c r="C90" s="11"/>
      <c r="D90" s="6">
        <v>513.71</v>
      </c>
      <c r="E90" s="2"/>
      <c r="F90" s="7">
        <f t="shared" si="15"/>
        <v>1.2579495747615712E-2</v>
      </c>
      <c r="G90" s="2"/>
      <c r="H90" s="6">
        <v>451.12567507692296</v>
      </c>
      <c r="I90" s="2"/>
      <c r="J90" s="7">
        <f t="shared" si="16"/>
        <v>5.9314155840609409E-3</v>
      </c>
      <c r="K90" s="2"/>
      <c r="L90" s="6">
        <f t="shared" si="17"/>
        <v>62.584324923077077</v>
      </c>
      <c r="M90" s="2"/>
      <c r="N90" s="7">
        <f t="shared" si="18"/>
        <v>0.13872924637332071</v>
      </c>
      <c r="O90" s="11"/>
      <c r="P90" s="6">
        <v>3776.84</v>
      </c>
      <c r="Q90" s="2"/>
      <c r="R90" s="7">
        <f t="shared" si="19"/>
        <v>4.6539160968242848E-3</v>
      </c>
      <c r="S90" s="2"/>
      <c r="T90" s="6">
        <v>4398.475332</v>
      </c>
      <c r="U90" s="2"/>
      <c r="V90" s="7">
        <f t="shared" si="20"/>
        <v>4.9699387717284209E-3</v>
      </c>
      <c r="W90" s="2"/>
      <c r="X90" s="6">
        <f t="shared" si="21"/>
        <v>-621.63533199999983</v>
      </c>
      <c r="Y90" s="2"/>
      <c r="Z90" s="7">
        <f t="shared" si="22"/>
        <v>-0.1413297302084312</v>
      </c>
    </row>
    <row r="91" spans="1:26" s="24" customFormat="1" hidden="1" outlineLevel="2" x14ac:dyDescent="0.25">
      <c r="A91" s="25"/>
      <c r="B91" s="11" t="str">
        <f>CONCATENATE("          ", "6116", " - ", "EDUCATIONAL BENEFITS")</f>
        <v xml:space="preserve">          6116 - EDUCATIONAL BENEFITS</v>
      </c>
      <c r="C91" s="11"/>
      <c r="D91" s="6"/>
      <c r="E91" s="2"/>
      <c r="F91" s="7">
        <f t="shared" si="15"/>
        <v>0</v>
      </c>
      <c r="G91" s="2"/>
      <c r="H91" s="6">
        <v>0</v>
      </c>
      <c r="I91" s="2"/>
      <c r="J91" s="7">
        <f t="shared" si="16"/>
        <v>0</v>
      </c>
      <c r="K91" s="2"/>
      <c r="L91" s="6">
        <f t="shared" si="17"/>
        <v>0</v>
      </c>
      <c r="M91" s="2"/>
      <c r="N91" s="7">
        <f t="shared" si="18"/>
        <v>0</v>
      </c>
      <c r="O91" s="11"/>
      <c r="P91" s="6"/>
      <c r="Q91" s="2"/>
      <c r="R91" s="7">
        <f t="shared" si="19"/>
        <v>0</v>
      </c>
      <c r="S91" s="2"/>
      <c r="T91" s="6">
        <v>0</v>
      </c>
      <c r="U91" s="2"/>
      <c r="V91" s="7">
        <f t="shared" si="20"/>
        <v>0</v>
      </c>
      <c r="W91" s="2"/>
      <c r="X91" s="6">
        <f t="shared" si="21"/>
        <v>0</v>
      </c>
      <c r="Y91" s="2"/>
      <c r="Z91" s="7">
        <f t="shared" si="22"/>
        <v>0</v>
      </c>
    </row>
    <row r="92" spans="1:26" s="24" customFormat="1" hidden="1" outlineLevel="2" x14ac:dyDescent="0.25">
      <c r="A92" s="25"/>
      <c r="B92" s="11" t="str">
        <f>CONCATENATE("          ", "6118", " - ", "VACATION")</f>
        <v xml:space="preserve">          6118 - VACATION</v>
      </c>
      <c r="C92" s="11"/>
      <c r="D92" s="6">
        <v>449.78</v>
      </c>
      <c r="E92" s="2"/>
      <c r="F92" s="7">
        <f t="shared" si="15"/>
        <v>1.1014007119508271E-2</v>
      </c>
      <c r="G92" s="2"/>
      <c r="H92" s="6">
        <v>202.954369230769</v>
      </c>
      <c r="I92" s="2"/>
      <c r="J92" s="7">
        <f t="shared" si="16"/>
        <v>2.6684508885542291E-3</v>
      </c>
      <c r="K92" s="2"/>
      <c r="L92" s="6">
        <f t="shared" si="17"/>
        <v>246.82563076923097</v>
      </c>
      <c r="M92" s="2"/>
      <c r="N92" s="7">
        <f t="shared" si="18"/>
        <v>1.2161631784757401</v>
      </c>
      <c r="O92" s="11"/>
      <c r="P92" s="6">
        <v>3260.6</v>
      </c>
      <c r="Q92" s="2"/>
      <c r="R92" s="7">
        <f t="shared" si="19"/>
        <v>4.01779234103252E-3</v>
      </c>
      <c r="S92" s="2"/>
      <c r="T92" s="6">
        <v>1978.8051</v>
      </c>
      <c r="U92" s="2"/>
      <c r="V92" s="7">
        <f t="shared" si="20"/>
        <v>2.235897543095266E-3</v>
      </c>
      <c r="W92" s="2"/>
      <c r="X92" s="6">
        <f t="shared" si="21"/>
        <v>1281.7948999999999</v>
      </c>
      <c r="Y92" s="2"/>
      <c r="Z92" s="7">
        <f t="shared" si="22"/>
        <v>0.64776207621458015</v>
      </c>
    </row>
    <row r="93" spans="1:26" s="24" customFormat="1" hidden="1" outlineLevel="2" x14ac:dyDescent="0.25">
      <c r="A93" s="25"/>
      <c r="B93" s="11" t="str">
        <f>CONCATENATE("          ", "6119", " - ", "SICK LEAVE")</f>
        <v xml:space="preserve">          6119 - SICK LEAVE</v>
      </c>
      <c r="C93" s="11"/>
      <c r="D93" s="6">
        <v>-8278.49</v>
      </c>
      <c r="E93" s="2"/>
      <c r="F93" s="7">
        <f t="shared" si="15"/>
        <v>-0.20271988038324965</v>
      </c>
      <c r="G93" s="2"/>
      <c r="H93" s="6">
        <v>370.83806353846199</v>
      </c>
      <c r="I93" s="2"/>
      <c r="J93" s="7">
        <f t="shared" si="16"/>
        <v>4.8757913609327481E-3</v>
      </c>
      <c r="K93" s="2"/>
      <c r="L93" s="6">
        <f t="shared" si="17"/>
        <v>-8649.3280635384617</v>
      </c>
      <c r="M93" s="2"/>
      <c r="N93" s="7">
        <f t="shared" si="18"/>
        <v>-23.32373322470816</v>
      </c>
      <c r="O93" s="11"/>
      <c r="P93" s="6">
        <v>-6269.72</v>
      </c>
      <c r="Q93" s="2"/>
      <c r="R93" s="7">
        <f t="shared" si="19"/>
        <v>-7.725704777163226E-3</v>
      </c>
      <c r="S93" s="2"/>
      <c r="T93" s="6">
        <v>3029.856630000003</v>
      </c>
      <c r="U93" s="2"/>
      <c r="V93" s="7">
        <f t="shared" si="20"/>
        <v>3.4235049196850711E-3</v>
      </c>
      <c r="W93" s="2"/>
      <c r="X93" s="6">
        <f t="shared" si="21"/>
        <v>-9299.5766300000032</v>
      </c>
      <c r="Y93" s="2"/>
      <c r="Z93" s="7">
        <f t="shared" si="22"/>
        <v>-3.0693124347603189</v>
      </c>
    </row>
    <row r="94" spans="1:26" s="24" customFormat="1" hidden="1" outlineLevel="2" x14ac:dyDescent="0.25">
      <c r="A94" s="25"/>
      <c r="B94" s="11" t="str">
        <f>CONCATENATE("          ", "6156", " - ", "EMPLOYEE MEALS")</f>
        <v xml:space="preserve">          6156 - EMPLOYEE MEALS</v>
      </c>
      <c r="C94" s="11"/>
      <c r="D94" s="6">
        <v>81.16</v>
      </c>
      <c r="E94" s="2"/>
      <c r="F94" s="7">
        <f t="shared" si="15"/>
        <v>1.9874089951071442E-3</v>
      </c>
      <c r="G94" s="2"/>
      <c r="H94" s="6"/>
      <c r="I94" s="2"/>
      <c r="J94" s="7">
        <f t="shared" si="16"/>
        <v>0</v>
      </c>
      <c r="K94" s="2"/>
      <c r="L94" s="6">
        <f t="shared" si="17"/>
        <v>81.16</v>
      </c>
      <c r="M94" s="2"/>
      <c r="N94" s="7">
        <f t="shared" si="18"/>
        <v>0</v>
      </c>
      <c r="O94" s="11"/>
      <c r="P94" s="6">
        <v>1666.1</v>
      </c>
      <c r="Q94" s="2"/>
      <c r="R94" s="7">
        <f t="shared" si="19"/>
        <v>2.0530098200927075E-3</v>
      </c>
      <c r="S94" s="2"/>
      <c r="T94" s="6"/>
      <c r="U94" s="2"/>
      <c r="V94" s="7">
        <f t="shared" si="20"/>
        <v>0</v>
      </c>
      <c r="W94" s="2"/>
      <c r="X94" s="6">
        <f t="shared" si="21"/>
        <v>1666.1</v>
      </c>
      <c r="Y94" s="2"/>
      <c r="Z94" s="7">
        <f t="shared" si="22"/>
        <v>0</v>
      </c>
    </row>
    <row r="95" spans="1:26" s="27" customFormat="1" outlineLevel="1" collapsed="1" x14ac:dyDescent="0.25">
      <c r="A95" s="26"/>
      <c r="B95" s="13" t="str">
        <f>CONCATENATE("     ","*Payroll                                          ")</f>
        <v xml:space="preserve">     *Payroll                                          </v>
      </c>
      <c r="C95" s="13"/>
      <c r="D95" s="1">
        <f>SUM(OSRRefD22_1x_0)</f>
        <v>20284.150000000001</v>
      </c>
      <c r="E95" s="1"/>
      <c r="F95" s="5">
        <f t="shared" ref="F95:F105" si="23">IF(D$12=0,0,D95/D$12)</f>
        <v>0.49670899664985929</v>
      </c>
      <c r="G95" s="1"/>
      <c r="H95" s="1">
        <f>SUM(OSRRefH22_1x_0)</f>
        <v>16181.802401846149</v>
      </c>
      <c r="I95" s="1"/>
      <c r="J95" s="5">
        <f t="shared" ref="J95:J105" si="24">IF(H$12=0,0,H95/H$12)</f>
        <v>0.21275888349325045</v>
      </c>
      <c r="K95" s="1"/>
      <c r="L95" s="1">
        <f t="shared" ref="L95:L105" si="25">+D95-H95</f>
        <v>4102.3475981538522</v>
      </c>
      <c r="M95" s="1"/>
      <c r="N95" s="5">
        <f t="shared" ref="N95:N105" si="26">IF(H95=0,0,L95/H95)</f>
        <v>0.25351611002775709</v>
      </c>
      <c r="O95" s="13"/>
      <c r="P95" s="1">
        <f>SUM(OSRRefP22_1x_0)</f>
        <v>145745.27000000002</v>
      </c>
      <c r="Q95" s="1"/>
      <c r="R95" s="5">
        <f t="shared" ref="R95:R105" si="27">IF(P$12=0,0,P95/P$12)</f>
        <v>0.17959094324594149</v>
      </c>
      <c r="S95" s="1"/>
      <c r="T95" s="1">
        <f>SUM(OSRRefT22_1x_0)</f>
        <v>135958.87706999996</v>
      </c>
      <c r="U95" s="1"/>
      <c r="V95" s="5">
        <f t="shared" ref="V95:V105" si="28">IF(T$12=0,0,T95/T$12)</f>
        <v>0.15362307243032888</v>
      </c>
      <c r="W95" s="1"/>
      <c r="X95" s="1">
        <f t="shared" ref="X95:X105" si="29">+P95-T95</f>
        <v>9786.39293000006</v>
      </c>
      <c r="Y95" s="1"/>
      <c r="Z95" s="5">
        <f t="shared" ref="Z95:Z105" si="30">IF(T95=0,0,X95/T95)</f>
        <v>7.1980536621830335E-2</v>
      </c>
    </row>
    <row r="96" spans="1:26" s="24" customFormat="1" hidden="1" outlineLevel="2" x14ac:dyDescent="0.25">
      <c r="A96" s="25"/>
      <c r="B96" s="11" t="str">
        <f>CONCATENATE("          ", "6001", " - ", "ADMINISTRATIVE SALARIES")</f>
        <v xml:space="preserve">          6001 - ADMINISTRATIVE SALARIES</v>
      </c>
      <c r="C96" s="11"/>
      <c r="D96" s="6"/>
      <c r="E96" s="2"/>
      <c r="F96" s="7">
        <f t="shared" si="23"/>
        <v>0</v>
      </c>
      <c r="G96" s="2"/>
      <c r="H96" s="6">
        <v>5063.3075938461498</v>
      </c>
      <c r="I96" s="2"/>
      <c r="J96" s="7">
        <f t="shared" si="24"/>
        <v>6.6572538935879014E-2</v>
      </c>
      <c r="K96" s="2"/>
      <c r="L96" s="6">
        <f t="shared" si="25"/>
        <v>-5063.3075938461498</v>
      </c>
      <c r="M96" s="2"/>
      <c r="N96" s="7">
        <f t="shared" si="26"/>
        <v>-1</v>
      </c>
      <c r="O96" s="11"/>
      <c r="P96" s="6"/>
      <c r="Q96" s="2"/>
      <c r="R96" s="7">
        <f t="shared" si="27"/>
        <v>0</v>
      </c>
      <c r="S96" s="2"/>
      <c r="T96" s="6">
        <v>49367.249039999973</v>
      </c>
      <c r="U96" s="2"/>
      <c r="V96" s="7">
        <f t="shared" si="28"/>
        <v>5.5781193831523919E-2</v>
      </c>
      <c r="W96" s="2"/>
      <c r="X96" s="6">
        <f t="shared" si="29"/>
        <v>-49367.249039999973</v>
      </c>
      <c r="Y96" s="2"/>
      <c r="Z96" s="7">
        <f t="shared" si="30"/>
        <v>-1</v>
      </c>
    </row>
    <row r="97" spans="1:26" s="24" customFormat="1" hidden="1" outlineLevel="2" x14ac:dyDescent="0.25">
      <c r="A97" s="25"/>
      <c r="B97" s="11" t="str">
        <f>CONCATENATE("          ", "6002", " - ", "STAFF SALARIES")</f>
        <v xml:space="preserve">          6002 - STAFF SALARIES</v>
      </c>
      <c r="C97" s="11"/>
      <c r="D97" s="6">
        <v>5973.01</v>
      </c>
      <c r="E97" s="2"/>
      <c r="F97" s="7">
        <f t="shared" si="23"/>
        <v>0.14626433959912424</v>
      </c>
      <c r="G97" s="2"/>
      <c r="H97" s="6">
        <v>0</v>
      </c>
      <c r="I97" s="2"/>
      <c r="J97" s="7">
        <f t="shared" si="24"/>
        <v>0</v>
      </c>
      <c r="K97" s="2"/>
      <c r="L97" s="6">
        <f t="shared" si="25"/>
        <v>5973.01</v>
      </c>
      <c r="M97" s="2"/>
      <c r="N97" s="7">
        <f t="shared" si="26"/>
        <v>0</v>
      </c>
      <c r="O97" s="11"/>
      <c r="P97" s="6">
        <v>48463.82</v>
      </c>
      <c r="Q97" s="2"/>
      <c r="R97" s="7">
        <f t="shared" si="27"/>
        <v>5.971832325743074E-2</v>
      </c>
      <c r="S97" s="2"/>
      <c r="T97" s="6">
        <v>0</v>
      </c>
      <c r="U97" s="2"/>
      <c r="V97" s="7">
        <f t="shared" si="28"/>
        <v>0</v>
      </c>
      <c r="W97" s="2"/>
      <c r="X97" s="6">
        <f t="shared" si="29"/>
        <v>48463.82</v>
      </c>
      <c r="Y97" s="2"/>
      <c r="Z97" s="7">
        <f t="shared" si="30"/>
        <v>0</v>
      </c>
    </row>
    <row r="98" spans="1:26" s="24" customFormat="1" hidden="1" outlineLevel="2" x14ac:dyDescent="0.25">
      <c r="A98" s="25"/>
      <c r="B98" s="11" t="str">
        <f>CONCATENATE("          ", "6003", " - ", "STAFF HOURLY-9 MONTH")</f>
        <v xml:space="preserve">          6003 - STAFF HOURLY-9 MONTH</v>
      </c>
      <c r="C98" s="11"/>
      <c r="D98" s="6"/>
      <c r="E98" s="2"/>
      <c r="F98" s="7">
        <f t="shared" si="23"/>
        <v>0</v>
      </c>
      <c r="G98" s="2"/>
      <c r="H98" s="6">
        <v>0</v>
      </c>
      <c r="I98" s="2"/>
      <c r="J98" s="7">
        <f t="shared" si="24"/>
        <v>0</v>
      </c>
      <c r="K98" s="2"/>
      <c r="L98" s="6">
        <f t="shared" si="25"/>
        <v>0</v>
      </c>
      <c r="M98" s="2"/>
      <c r="N98" s="7">
        <f t="shared" si="26"/>
        <v>0</v>
      </c>
      <c r="O98" s="11"/>
      <c r="P98" s="6"/>
      <c r="Q98" s="2"/>
      <c r="R98" s="7">
        <f t="shared" si="27"/>
        <v>0</v>
      </c>
      <c r="S98" s="2"/>
      <c r="T98" s="6">
        <v>0</v>
      </c>
      <c r="U98" s="2"/>
      <c r="V98" s="7">
        <f t="shared" si="28"/>
        <v>0</v>
      </c>
      <c r="W98" s="2"/>
      <c r="X98" s="6">
        <f t="shared" si="29"/>
        <v>0</v>
      </c>
      <c r="Y98" s="2"/>
      <c r="Z98" s="7">
        <f t="shared" si="30"/>
        <v>0</v>
      </c>
    </row>
    <row r="99" spans="1:26" s="24" customFormat="1" hidden="1" outlineLevel="2" x14ac:dyDescent="0.25">
      <c r="A99" s="25"/>
      <c r="B99" s="11" t="str">
        <f>CONCATENATE("          ", "6004", " - ", "STAFF HOURLY")</f>
        <v xml:space="preserve">          6004 - STAFF HOURLY</v>
      </c>
      <c r="C99" s="11"/>
      <c r="D99" s="6"/>
      <c r="E99" s="2"/>
      <c r="F99" s="7">
        <f t="shared" si="23"/>
        <v>0</v>
      </c>
      <c r="G99" s="2"/>
      <c r="H99" s="6">
        <v>0</v>
      </c>
      <c r="I99" s="2"/>
      <c r="J99" s="7">
        <f t="shared" si="24"/>
        <v>0</v>
      </c>
      <c r="K99" s="2"/>
      <c r="L99" s="6">
        <f t="shared" si="25"/>
        <v>0</v>
      </c>
      <c r="M99" s="2"/>
      <c r="N99" s="7">
        <f t="shared" si="26"/>
        <v>0</v>
      </c>
      <c r="O99" s="11"/>
      <c r="P99" s="6">
        <v>-48</v>
      </c>
      <c r="Q99" s="2"/>
      <c r="R99" s="7">
        <f t="shared" si="27"/>
        <v>-5.9146792728197564E-5</v>
      </c>
      <c r="S99" s="2"/>
      <c r="T99" s="6">
        <v>0</v>
      </c>
      <c r="U99" s="2"/>
      <c r="V99" s="7">
        <f t="shared" si="28"/>
        <v>0</v>
      </c>
      <c r="W99" s="2"/>
      <c r="X99" s="6">
        <f t="shared" si="29"/>
        <v>-48</v>
      </c>
      <c r="Y99" s="2"/>
      <c r="Z99" s="7">
        <f t="shared" si="30"/>
        <v>0</v>
      </c>
    </row>
    <row r="100" spans="1:26" s="24" customFormat="1" hidden="1" outlineLevel="2" x14ac:dyDescent="0.25">
      <c r="A100" s="25"/>
      <c r="B100" s="11" t="str">
        <f>CONCATENATE("          ", "6005", " - ", "TEMPORARY WAGES-HOURLY")</f>
        <v xml:space="preserve">          6005 - TEMPORARY WAGES-HOURLY</v>
      </c>
      <c r="C100" s="11"/>
      <c r="D100" s="6">
        <v>1816.14</v>
      </c>
      <c r="E100" s="2"/>
      <c r="F100" s="7">
        <f t="shared" si="23"/>
        <v>4.4472806460989271E-2</v>
      </c>
      <c r="G100" s="2"/>
      <c r="H100" s="6">
        <v>0</v>
      </c>
      <c r="I100" s="2"/>
      <c r="J100" s="7">
        <f t="shared" si="24"/>
        <v>0</v>
      </c>
      <c r="K100" s="2"/>
      <c r="L100" s="6">
        <f t="shared" si="25"/>
        <v>1816.14</v>
      </c>
      <c r="M100" s="2"/>
      <c r="N100" s="7">
        <f t="shared" si="26"/>
        <v>0</v>
      </c>
      <c r="O100" s="11"/>
      <c r="P100" s="6">
        <v>7121.65</v>
      </c>
      <c r="Q100" s="2"/>
      <c r="R100" s="7">
        <f t="shared" si="27"/>
        <v>8.7754740923493366E-3</v>
      </c>
      <c r="S100" s="2"/>
      <c r="T100" s="6">
        <v>0</v>
      </c>
      <c r="U100" s="2"/>
      <c r="V100" s="7">
        <f t="shared" si="28"/>
        <v>0</v>
      </c>
      <c r="W100" s="2"/>
      <c r="X100" s="6">
        <f t="shared" si="29"/>
        <v>7121.65</v>
      </c>
      <c r="Y100" s="2"/>
      <c r="Z100" s="7">
        <f t="shared" si="30"/>
        <v>0</v>
      </c>
    </row>
    <row r="101" spans="1:26" s="24" customFormat="1" hidden="1" outlineLevel="2" x14ac:dyDescent="0.25">
      <c r="A101" s="25"/>
      <c r="B101" s="11" t="str">
        <f>CONCATENATE("          ", "6006", " - ", "TEMPORARY PART TIME")</f>
        <v xml:space="preserve">          6006 - TEMPORARY PART TIME</v>
      </c>
      <c r="C101" s="11"/>
      <c r="D101" s="6"/>
      <c r="E101" s="2"/>
      <c r="F101" s="7">
        <f t="shared" si="23"/>
        <v>0</v>
      </c>
      <c r="G101" s="2"/>
      <c r="H101" s="6">
        <v>0</v>
      </c>
      <c r="I101" s="2"/>
      <c r="J101" s="7">
        <f t="shared" si="24"/>
        <v>0</v>
      </c>
      <c r="K101" s="2"/>
      <c r="L101" s="6">
        <f t="shared" si="25"/>
        <v>0</v>
      </c>
      <c r="M101" s="2"/>
      <c r="N101" s="7">
        <f t="shared" si="26"/>
        <v>0</v>
      </c>
      <c r="O101" s="11"/>
      <c r="P101" s="6">
        <v>25.5</v>
      </c>
      <c r="Q101" s="2"/>
      <c r="R101" s="7">
        <f t="shared" si="27"/>
        <v>3.1421733636854957E-5</v>
      </c>
      <c r="S101" s="2"/>
      <c r="T101" s="6">
        <v>0</v>
      </c>
      <c r="U101" s="2"/>
      <c r="V101" s="7">
        <f t="shared" si="28"/>
        <v>0</v>
      </c>
      <c r="W101" s="2"/>
      <c r="X101" s="6">
        <f t="shared" si="29"/>
        <v>25.5</v>
      </c>
      <c r="Y101" s="2"/>
      <c r="Z101" s="7">
        <f t="shared" si="30"/>
        <v>0</v>
      </c>
    </row>
    <row r="102" spans="1:26" s="24" customFormat="1" hidden="1" outlineLevel="2" x14ac:dyDescent="0.25">
      <c r="A102" s="25"/>
      <c r="B102" s="11" t="str">
        <f>CONCATENATE("          ", "6007", " - ", "STUDENT HOURLY")</f>
        <v xml:space="preserve">          6007 - STUDENT HOURLY</v>
      </c>
      <c r="C102" s="11"/>
      <c r="D102" s="6">
        <v>12495</v>
      </c>
      <c r="E102" s="2"/>
      <c r="F102" s="7">
        <f t="shared" si="23"/>
        <v>0.30597185058974574</v>
      </c>
      <c r="G102" s="2"/>
      <c r="H102" s="6">
        <v>6304.8898079999999</v>
      </c>
      <c r="I102" s="2"/>
      <c r="J102" s="7">
        <f t="shared" si="24"/>
        <v>8.2896903743245196E-2</v>
      </c>
      <c r="K102" s="2"/>
      <c r="L102" s="6">
        <f t="shared" si="25"/>
        <v>6190.1101920000001</v>
      </c>
      <c r="M102" s="2"/>
      <c r="N102" s="7">
        <f t="shared" si="26"/>
        <v>0.98179514321497563</v>
      </c>
      <c r="O102" s="11"/>
      <c r="P102" s="6">
        <v>90182.3</v>
      </c>
      <c r="Q102" s="2"/>
      <c r="R102" s="7">
        <f t="shared" si="27"/>
        <v>0.11112487095525274</v>
      </c>
      <c r="S102" s="2"/>
      <c r="T102" s="6">
        <v>51977.013030000002</v>
      </c>
      <c r="U102" s="2"/>
      <c r="V102" s="7">
        <f t="shared" si="28"/>
        <v>5.8730026383703803E-2</v>
      </c>
      <c r="W102" s="2"/>
      <c r="X102" s="6">
        <f t="shared" si="29"/>
        <v>38205.286970000001</v>
      </c>
      <c r="Y102" s="2"/>
      <c r="Z102" s="7">
        <f t="shared" si="30"/>
        <v>0.73504198765613449</v>
      </c>
    </row>
    <row r="103" spans="1:26" s="24" customFormat="1" hidden="1" outlineLevel="2" x14ac:dyDescent="0.25">
      <c r="A103" s="25"/>
      <c r="B103" s="11" t="str">
        <f>CONCATENATE("          ", "6008", " - ", "STUDENT HOURLY-FICA EXEMPT")</f>
        <v xml:space="preserve">          6008 - STUDENT HOURLY-FICA EXEMPT</v>
      </c>
      <c r="C103" s="11"/>
      <c r="D103" s="6"/>
      <c r="E103" s="2"/>
      <c r="F103" s="7">
        <f t="shared" si="23"/>
        <v>0</v>
      </c>
      <c r="G103" s="2"/>
      <c r="H103" s="6">
        <v>4813.6049999999996</v>
      </c>
      <c r="I103" s="2"/>
      <c r="J103" s="7">
        <f t="shared" si="24"/>
        <v>6.3289440814126241E-2</v>
      </c>
      <c r="K103" s="2"/>
      <c r="L103" s="6">
        <f t="shared" si="25"/>
        <v>-4813.6049999999996</v>
      </c>
      <c r="M103" s="2"/>
      <c r="N103" s="7">
        <f t="shared" si="26"/>
        <v>-1</v>
      </c>
      <c r="O103" s="11"/>
      <c r="P103" s="6"/>
      <c r="Q103" s="2"/>
      <c r="R103" s="7">
        <f t="shared" si="27"/>
        <v>0</v>
      </c>
      <c r="S103" s="2"/>
      <c r="T103" s="6">
        <v>34614.614999999998</v>
      </c>
      <c r="U103" s="2"/>
      <c r="V103" s="7">
        <f t="shared" si="28"/>
        <v>3.9111852215101196E-2</v>
      </c>
      <c r="W103" s="2"/>
      <c r="X103" s="6">
        <f t="shared" si="29"/>
        <v>-34614.614999999998</v>
      </c>
      <c r="Y103" s="2"/>
      <c r="Z103" s="7">
        <f t="shared" si="30"/>
        <v>-1</v>
      </c>
    </row>
    <row r="104" spans="1:26" s="24" customFormat="1" hidden="1" outlineLevel="2" x14ac:dyDescent="0.25">
      <c r="A104" s="25"/>
      <c r="B104" s="11" t="str">
        <f>CONCATENATE("          ", "6009", " - ", "TEMPORARY-SEASONAL")</f>
        <v xml:space="preserve">          6009 - TEMPORARY-SEASONAL</v>
      </c>
      <c r="C104" s="11"/>
      <c r="D104" s="6"/>
      <c r="E104" s="2"/>
      <c r="F104" s="7">
        <f t="shared" si="23"/>
        <v>0</v>
      </c>
      <c r="G104" s="2"/>
      <c r="H104" s="6">
        <v>0</v>
      </c>
      <c r="I104" s="2"/>
      <c r="J104" s="7">
        <f t="shared" si="24"/>
        <v>0</v>
      </c>
      <c r="K104" s="2"/>
      <c r="L104" s="6">
        <f t="shared" si="25"/>
        <v>0</v>
      </c>
      <c r="M104" s="2"/>
      <c r="N104" s="7">
        <f t="shared" si="26"/>
        <v>0</v>
      </c>
      <c r="O104" s="11"/>
      <c r="P104" s="6"/>
      <c r="Q104" s="2"/>
      <c r="R104" s="7">
        <f t="shared" si="27"/>
        <v>0</v>
      </c>
      <c r="S104" s="2"/>
      <c r="T104" s="6">
        <v>0</v>
      </c>
      <c r="U104" s="2"/>
      <c r="V104" s="7">
        <f t="shared" si="28"/>
        <v>0</v>
      </c>
      <c r="W104" s="2"/>
      <c r="X104" s="6">
        <f t="shared" si="29"/>
        <v>0</v>
      </c>
      <c r="Y104" s="2"/>
      <c r="Z104" s="7">
        <f t="shared" si="30"/>
        <v>0</v>
      </c>
    </row>
    <row r="105" spans="1:26" s="24" customFormat="1" hidden="1" outlineLevel="2" x14ac:dyDescent="0.25">
      <c r="A105" s="25"/>
      <c r="B105" s="11" t="str">
        <f>CONCATENATE("          ", "6010", " - ", "GRATUITY")</f>
        <v xml:space="preserve">          6010 - GRATUITY</v>
      </c>
      <c r="C105" s="11"/>
      <c r="D105" s="6"/>
      <c r="E105" s="2"/>
      <c r="F105" s="7">
        <f t="shared" si="23"/>
        <v>0</v>
      </c>
      <c r="G105" s="2"/>
      <c r="H105" s="6">
        <v>0</v>
      </c>
      <c r="I105" s="2"/>
      <c r="J105" s="7">
        <f t="shared" si="24"/>
        <v>0</v>
      </c>
      <c r="K105" s="2"/>
      <c r="L105" s="6">
        <f t="shared" si="25"/>
        <v>0</v>
      </c>
      <c r="M105" s="2"/>
      <c r="N105" s="7">
        <f t="shared" si="26"/>
        <v>0</v>
      </c>
      <c r="O105" s="11"/>
      <c r="P105" s="6"/>
      <c r="Q105" s="2"/>
      <c r="R105" s="7">
        <f t="shared" si="27"/>
        <v>0</v>
      </c>
      <c r="S105" s="2"/>
      <c r="T105" s="6">
        <v>0</v>
      </c>
      <c r="U105" s="2"/>
      <c r="V105" s="7">
        <f t="shared" si="28"/>
        <v>0</v>
      </c>
      <c r="W105" s="2"/>
      <c r="X105" s="6">
        <f t="shared" si="29"/>
        <v>0</v>
      </c>
      <c r="Y105" s="2"/>
      <c r="Z105" s="7">
        <f t="shared" si="30"/>
        <v>0</v>
      </c>
    </row>
    <row r="106" spans="1:26" s="27" customFormat="1" outlineLevel="1" collapsed="1" x14ac:dyDescent="0.25">
      <c r="A106" s="26"/>
      <c r="B106" s="13" t="str">
        <f>CONCATENATE("     ","Advertising/Promo                                 ")</f>
        <v xml:space="preserve">     Advertising/Promo                                 </v>
      </c>
      <c r="C106" s="13"/>
      <c r="D106" s="1">
        <f>SUM(OSRRefD22_2x_0)</f>
        <v>0</v>
      </c>
      <c r="E106" s="1"/>
      <c r="F106" s="5">
        <f t="shared" ref="F106:F112" si="31">IF(D$12=0,0,D106/D$12)</f>
        <v>0</v>
      </c>
      <c r="G106" s="1"/>
      <c r="H106" s="1">
        <f>SUM(OSRRefH22_2x_0)</f>
        <v>120</v>
      </c>
      <c r="I106" s="1"/>
      <c r="J106" s="5">
        <f t="shared" ref="J106:J112" si="32">IF(H$12=0,0,H106/H$12)</f>
        <v>1.5777640453870125E-3</v>
      </c>
      <c r="K106" s="1"/>
      <c r="L106" s="1">
        <f t="shared" ref="L106:L112" si="33">+D106-H106</f>
        <v>-120</v>
      </c>
      <c r="M106" s="1"/>
      <c r="N106" s="5">
        <f t="shared" ref="N106:N112" si="34">IF(H106=0,0,L106/H106)</f>
        <v>-1</v>
      </c>
      <c r="O106" s="13"/>
      <c r="P106" s="1">
        <f>SUM(OSRRefP22_2x_0)</f>
        <v>2145.38</v>
      </c>
      <c r="Q106" s="1"/>
      <c r="R106" s="5">
        <f t="shared" ref="R106:R112" si="35">IF(P$12=0,0,P106/P$12)</f>
        <v>2.6435905454837605E-3</v>
      </c>
      <c r="S106" s="1"/>
      <c r="T106" s="1">
        <f>SUM(OSRRefT22_2x_0)</f>
        <v>1080</v>
      </c>
      <c r="U106" s="1"/>
      <c r="V106" s="5">
        <f t="shared" ref="V106:V112" si="36">IF(T$12=0,0,T106/T$12)</f>
        <v>1.2203169208240302E-3</v>
      </c>
      <c r="W106" s="1"/>
      <c r="X106" s="1">
        <f t="shared" ref="X106:X112" si="37">+P106-T106</f>
        <v>1065.3800000000001</v>
      </c>
      <c r="Y106" s="1"/>
      <c r="Z106" s="5">
        <f t="shared" ref="Z106:Z112" si="38">IF(T106=0,0,X106/T106)</f>
        <v>0.9864629629629631</v>
      </c>
    </row>
    <row r="107" spans="1:26" s="24" customFormat="1" hidden="1" outlineLevel="2" x14ac:dyDescent="0.25">
      <c r="A107" s="25"/>
      <c r="B107" s="11" t="str">
        <f>CONCATENATE("          ", "6362", " - ", "ADVERTISING EXPENSE")</f>
        <v xml:space="preserve">          6362 - ADVERTISING EXPENSE</v>
      </c>
      <c r="C107" s="11"/>
      <c r="D107" s="6"/>
      <c r="E107" s="2"/>
      <c r="F107" s="7">
        <f t="shared" si="31"/>
        <v>0</v>
      </c>
      <c r="G107" s="2"/>
      <c r="H107" s="6">
        <v>120</v>
      </c>
      <c r="I107" s="2"/>
      <c r="J107" s="7">
        <f t="shared" si="32"/>
        <v>1.5777640453870125E-3</v>
      </c>
      <c r="K107" s="2"/>
      <c r="L107" s="6">
        <f t="shared" si="33"/>
        <v>-120</v>
      </c>
      <c r="M107" s="2"/>
      <c r="N107" s="7">
        <f t="shared" si="34"/>
        <v>-1</v>
      </c>
      <c r="O107" s="11"/>
      <c r="P107" s="6">
        <v>2145.38</v>
      </c>
      <c r="Q107" s="2"/>
      <c r="R107" s="7">
        <f t="shared" si="35"/>
        <v>2.6435905454837605E-3</v>
      </c>
      <c r="S107" s="2"/>
      <c r="T107" s="6">
        <v>1080</v>
      </c>
      <c r="U107" s="2"/>
      <c r="V107" s="7">
        <f t="shared" si="36"/>
        <v>1.2203169208240302E-3</v>
      </c>
      <c r="W107" s="2"/>
      <c r="X107" s="6">
        <f t="shared" si="37"/>
        <v>1065.3800000000001</v>
      </c>
      <c r="Y107" s="2"/>
      <c r="Z107" s="7">
        <f t="shared" si="38"/>
        <v>0.9864629629629631</v>
      </c>
    </row>
    <row r="108" spans="1:26" s="27" customFormat="1" outlineLevel="1" collapsed="1" x14ac:dyDescent="0.25">
      <c r="A108" s="26"/>
      <c r="B108" s="13" t="str">
        <f>CONCATENATE("     ","Bad Debts/Over/Short                              ")</f>
        <v xml:space="preserve">     Bad Debts/Over/Short                              </v>
      </c>
      <c r="C108" s="13"/>
      <c r="D108" s="1">
        <f>SUM(OSRRefD22_3x_0)</f>
        <v>-0.35</v>
      </c>
      <c r="E108" s="1"/>
      <c r="F108" s="5">
        <f t="shared" si="31"/>
        <v>-8.5706400725418972E-6</v>
      </c>
      <c r="G108" s="1"/>
      <c r="H108" s="1">
        <f>SUM(OSRRefH22_3x_0)</f>
        <v>0</v>
      </c>
      <c r="I108" s="1"/>
      <c r="J108" s="5">
        <f t="shared" si="32"/>
        <v>0</v>
      </c>
      <c r="K108" s="1"/>
      <c r="L108" s="1">
        <f t="shared" si="33"/>
        <v>-0.35</v>
      </c>
      <c r="M108" s="1"/>
      <c r="N108" s="5">
        <f t="shared" si="34"/>
        <v>0</v>
      </c>
      <c r="O108" s="13"/>
      <c r="P108" s="1">
        <f>SUM(OSRRefP22_3x_0)</f>
        <v>-55.84</v>
      </c>
      <c r="Q108" s="1"/>
      <c r="R108" s="5">
        <f t="shared" si="35"/>
        <v>-6.880743554046984E-5</v>
      </c>
      <c r="S108" s="1"/>
      <c r="T108" s="1">
        <f>SUM(OSRRefT22_3x_0)</f>
        <v>0</v>
      </c>
      <c r="U108" s="1"/>
      <c r="V108" s="5">
        <f t="shared" si="36"/>
        <v>0</v>
      </c>
      <c r="W108" s="1"/>
      <c r="X108" s="1">
        <f t="shared" si="37"/>
        <v>-55.84</v>
      </c>
      <c r="Y108" s="1"/>
      <c r="Z108" s="5">
        <f t="shared" si="38"/>
        <v>0</v>
      </c>
    </row>
    <row r="109" spans="1:26" s="24" customFormat="1" hidden="1" outlineLevel="2" x14ac:dyDescent="0.25">
      <c r="A109" s="25"/>
      <c r="B109" s="11" t="str">
        <f>CONCATENATE("          ", "6272", " - ", "CASH (OVER/SHORT)")</f>
        <v xml:space="preserve">          6272 - CASH (OVER/SHORT)</v>
      </c>
      <c r="C109" s="11"/>
      <c r="D109" s="6">
        <v>-0.35</v>
      </c>
      <c r="E109" s="2"/>
      <c r="F109" s="7">
        <f t="shared" si="31"/>
        <v>-8.5706400725418972E-6</v>
      </c>
      <c r="G109" s="2"/>
      <c r="H109" s="6"/>
      <c r="I109" s="2"/>
      <c r="J109" s="7">
        <f t="shared" si="32"/>
        <v>0</v>
      </c>
      <c r="K109" s="2"/>
      <c r="L109" s="6">
        <f t="shared" si="33"/>
        <v>-0.35</v>
      </c>
      <c r="M109" s="2"/>
      <c r="N109" s="7">
        <f t="shared" si="34"/>
        <v>0</v>
      </c>
      <c r="O109" s="11"/>
      <c r="P109" s="6">
        <v>-55.84</v>
      </c>
      <c r="Q109" s="2"/>
      <c r="R109" s="7">
        <f t="shared" si="35"/>
        <v>-6.880743554046984E-5</v>
      </c>
      <c r="S109" s="2"/>
      <c r="T109" s="6"/>
      <c r="U109" s="2"/>
      <c r="V109" s="7">
        <f t="shared" si="36"/>
        <v>0</v>
      </c>
      <c r="W109" s="2"/>
      <c r="X109" s="6">
        <f t="shared" si="37"/>
        <v>-55.84</v>
      </c>
      <c r="Y109" s="2"/>
      <c r="Z109" s="7">
        <f t="shared" si="38"/>
        <v>0</v>
      </c>
    </row>
    <row r="110" spans="1:26" s="27" customFormat="1" outlineLevel="1" collapsed="1" x14ac:dyDescent="0.25">
      <c r="A110" s="26"/>
      <c r="B110" s="13" t="str">
        <f>CONCATENATE("     ","Discounts and Markdowns                           ")</f>
        <v xml:space="preserve">     Discounts and Markdowns                           </v>
      </c>
      <c r="C110" s="13"/>
      <c r="D110" s="1">
        <f>SUM(OSRRefD22_4x_0)</f>
        <v>1617.94</v>
      </c>
      <c r="E110" s="1"/>
      <c r="F110" s="5">
        <f t="shared" si="31"/>
        <v>3.9619375425624111E-2</v>
      </c>
      <c r="G110" s="1"/>
      <c r="H110" s="1">
        <f>SUM(OSRRefH22_4x_0)</f>
        <v>2500</v>
      </c>
      <c r="I110" s="1"/>
      <c r="J110" s="5">
        <f t="shared" si="32"/>
        <v>3.2870084278896095E-2</v>
      </c>
      <c r="K110" s="1"/>
      <c r="L110" s="1">
        <f t="shared" si="33"/>
        <v>-882.06</v>
      </c>
      <c r="M110" s="1"/>
      <c r="N110" s="5">
        <f t="shared" si="34"/>
        <v>-0.35282399999999997</v>
      </c>
      <c r="O110" s="13"/>
      <c r="P110" s="1">
        <f>SUM(OSRRefP22_4x_0)</f>
        <v>18717.649999999998</v>
      </c>
      <c r="Q110" s="1"/>
      <c r="R110" s="5">
        <f t="shared" si="35"/>
        <v>2.3064353435603063E-2</v>
      </c>
      <c r="S110" s="1"/>
      <c r="T110" s="1">
        <f>SUM(OSRRefT22_4x_0)</f>
        <v>22500</v>
      </c>
      <c r="U110" s="1"/>
      <c r="V110" s="5">
        <f t="shared" si="36"/>
        <v>2.5423269183833964E-2</v>
      </c>
      <c r="W110" s="1"/>
      <c r="X110" s="1">
        <f t="shared" si="37"/>
        <v>-3782.3500000000022</v>
      </c>
      <c r="Y110" s="1"/>
      <c r="Z110" s="5">
        <f t="shared" si="38"/>
        <v>-0.16810444444444453</v>
      </c>
    </row>
    <row r="111" spans="1:26" s="24" customFormat="1" hidden="1" outlineLevel="2" x14ac:dyDescent="0.25">
      <c r="A111" s="25"/>
      <c r="B111" s="11" t="str">
        <f>CONCATENATE("          ", "6382", " - ", "DISCOUNTS/MARK DOWNS")</f>
        <v xml:space="preserve">          6382 - DISCOUNTS/MARK DOWNS</v>
      </c>
      <c r="C111" s="11"/>
      <c r="D111" s="6">
        <v>1617.94</v>
      </c>
      <c r="E111" s="2"/>
      <c r="F111" s="7">
        <f t="shared" si="31"/>
        <v>3.9619375425624111E-2</v>
      </c>
      <c r="G111" s="2"/>
      <c r="H111" s="6">
        <v>2500</v>
      </c>
      <c r="I111" s="2"/>
      <c r="J111" s="7">
        <f t="shared" si="32"/>
        <v>3.2870084278896095E-2</v>
      </c>
      <c r="K111" s="2"/>
      <c r="L111" s="6">
        <f t="shared" si="33"/>
        <v>-882.06</v>
      </c>
      <c r="M111" s="2"/>
      <c r="N111" s="7">
        <f t="shared" si="34"/>
        <v>-0.35282399999999997</v>
      </c>
      <c r="O111" s="11"/>
      <c r="P111" s="6">
        <v>18717.649999999998</v>
      </c>
      <c r="Q111" s="2"/>
      <c r="R111" s="7">
        <f t="shared" si="35"/>
        <v>2.3064353435603063E-2</v>
      </c>
      <c r="S111" s="2"/>
      <c r="T111" s="6">
        <v>22500</v>
      </c>
      <c r="U111" s="2"/>
      <c r="V111" s="7">
        <f t="shared" si="36"/>
        <v>2.5423269183833964E-2</v>
      </c>
      <c r="W111" s="2"/>
      <c r="X111" s="6">
        <f t="shared" si="37"/>
        <v>-3782.3500000000022</v>
      </c>
      <c r="Y111" s="2"/>
      <c r="Z111" s="7">
        <f t="shared" si="38"/>
        <v>-0.16810444444444453</v>
      </c>
    </row>
    <row r="112" spans="1:26" s="24" customFormat="1" hidden="1" outlineLevel="2" x14ac:dyDescent="0.25">
      <c r="A112" s="25"/>
      <c r="B112" s="11" t="str">
        <f>CONCATENATE("          ", "9175", " - ", "EARNED DISCOUNTS")</f>
        <v xml:space="preserve">          9175 - EARNED DISCOUNTS</v>
      </c>
      <c r="C112" s="11"/>
      <c r="D112" s="6"/>
      <c r="E112" s="2"/>
      <c r="F112" s="7">
        <f t="shared" si="31"/>
        <v>0</v>
      </c>
      <c r="G112" s="2"/>
      <c r="H112" s="6"/>
      <c r="I112" s="2"/>
      <c r="J112" s="7">
        <f t="shared" si="32"/>
        <v>0</v>
      </c>
      <c r="K112" s="2"/>
      <c r="L112" s="6">
        <f t="shared" si="33"/>
        <v>0</v>
      </c>
      <c r="M112" s="2"/>
      <c r="N112" s="7">
        <f t="shared" si="34"/>
        <v>0</v>
      </c>
      <c r="O112" s="11"/>
      <c r="P112" s="6">
        <v>0</v>
      </c>
      <c r="Q112" s="2"/>
      <c r="R112" s="7">
        <f t="shared" si="35"/>
        <v>0</v>
      </c>
      <c r="S112" s="2"/>
      <c r="T112" s="6"/>
      <c r="U112" s="2"/>
      <c r="V112" s="7">
        <f t="shared" si="36"/>
        <v>0</v>
      </c>
      <c r="W112" s="2"/>
      <c r="X112" s="6">
        <f t="shared" si="37"/>
        <v>0</v>
      </c>
      <c r="Y112" s="2"/>
      <c r="Z112" s="7">
        <f t="shared" si="38"/>
        <v>0</v>
      </c>
    </row>
    <row r="113" spans="1:26" s="27" customFormat="1" outlineLevel="1" collapsed="1" x14ac:dyDescent="0.25">
      <c r="A113" s="26"/>
      <c r="B113" s="13" t="str">
        <f>CONCATENATE("     ","Employees' Appreciation                           ")</f>
        <v xml:space="preserve">     Employees' Appreciation                           </v>
      </c>
      <c r="C113" s="13"/>
      <c r="D113" s="1">
        <f>SUM(OSRRefD22_5x_0)</f>
        <v>0</v>
      </c>
      <c r="E113" s="1"/>
      <c r="F113" s="5">
        <f t="shared" ref="F113:F123" si="39">IF(D$12=0,0,D113/D$12)</f>
        <v>0</v>
      </c>
      <c r="G113" s="1"/>
      <c r="H113" s="1">
        <f>SUM(OSRRefH22_5x_0)</f>
        <v>50</v>
      </c>
      <c r="I113" s="1"/>
      <c r="J113" s="5">
        <f t="shared" ref="J113:J123" si="40">IF(H$12=0,0,H113/H$12)</f>
        <v>6.5740168557792186E-4</v>
      </c>
      <c r="K113" s="1"/>
      <c r="L113" s="1">
        <f t="shared" ref="L113:L123" si="41">+D113-H113</f>
        <v>-50</v>
      </c>
      <c r="M113" s="1"/>
      <c r="N113" s="5">
        <f t="shared" ref="N113:N123" si="42">IF(H113=0,0,L113/H113)</f>
        <v>-1</v>
      </c>
      <c r="O113" s="13"/>
      <c r="P113" s="1">
        <f>SUM(OSRRefP22_5x_0)</f>
        <v>0</v>
      </c>
      <c r="Q113" s="1"/>
      <c r="R113" s="5">
        <f t="shared" ref="R113:R123" si="43">IF(P$12=0,0,P113/P$12)</f>
        <v>0</v>
      </c>
      <c r="S113" s="1"/>
      <c r="T113" s="1">
        <f>SUM(OSRRefT22_5x_0)</f>
        <v>450</v>
      </c>
      <c r="U113" s="1"/>
      <c r="V113" s="5">
        <f t="shared" ref="V113:V123" si="44">IF(T$12=0,0,T113/T$12)</f>
        <v>5.0846538367667934E-4</v>
      </c>
      <c r="W113" s="1"/>
      <c r="X113" s="1">
        <f t="shared" ref="X113:X123" si="45">+P113-T113</f>
        <v>-450</v>
      </c>
      <c r="Y113" s="1"/>
      <c r="Z113" s="5">
        <f t="shared" ref="Z113:Z123" si="46">IF(T113=0,0,X113/T113)</f>
        <v>-1</v>
      </c>
    </row>
    <row r="114" spans="1:26" s="24" customFormat="1" hidden="1" outlineLevel="2" x14ac:dyDescent="0.25">
      <c r="A114" s="25"/>
      <c r="B114" s="11" t="str">
        <f>CONCATENATE("          ", "6277", " - ", "EMPLOYEE APPRECIATION")</f>
        <v xml:space="preserve">          6277 - EMPLOYEE APPRECIATION</v>
      </c>
      <c r="C114" s="11"/>
      <c r="D114" s="6"/>
      <c r="E114" s="2"/>
      <c r="F114" s="7">
        <f t="shared" si="39"/>
        <v>0</v>
      </c>
      <c r="G114" s="2"/>
      <c r="H114" s="6">
        <v>50</v>
      </c>
      <c r="I114" s="2"/>
      <c r="J114" s="7">
        <f t="shared" si="40"/>
        <v>6.5740168557792186E-4</v>
      </c>
      <c r="K114" s="2"/>
      <c r="L114" s="6">
        <f t="shared" si="41"/>
        <v>-50</v>
      </c>
      <c r="M114" s="2"/>
      <c r="N114" s="7">
        <f t="shared" si="42"/>
        <v>-1</v>
      </c>
      <c r="O114" s="11"/>
      <c r="P114" s="6"/>
      <c r="Q114" s="2"/>
      <c r="R114" s="7">
        <f t="shared" si="43"/>
        <v>0</v>
      </c>
      <c r="S114" s="2"/>
      <c r="T114" s="6">
        <v>450</v>
      </c>
      <c r="U114" s="2"/>
      <c r="V114" s="7">
        <f t="shared" si="44"/>
        <v>5.0846538367667934E-4</v>
      </c>
      <c r="W114" s="2"/>
      <c r="X114" s="6">
        <f t="shared" si="45"/>
        <v>-450</v>
      </c>
      <c r="Y114" s="2"/>
      <c r="Z114" s="7">
        <f t="shared" si="46"/>
        <v>-1</v>
      </c>
    </row>
    <row r="115" spans="1:26" s="27" customFormat="1" outlineLevel="1" collapsed="1" x14ac:dyDescent="0.25">
      <c r="A115" s="26"/>
      <c r="B115" s="13" t="str">
        <f>CONCATENATE("     ","Freight out/Postage                               ")</f>
        <v xml:space="preserve">     Freight out/Postage                               </v>
      </c>
      <c r="C115" s="13"/>
      <c r="D115" s="1">
        <f>SUM(OSRRefD22_6x_0)</f>
        <v>0</v>
      </c>
      <c r="E115" s="1"/>
      <c r="F115" s="5">
        <f t="shared" si="39"/>
        <v>0</v>
      </c>
      <c r="G115" s="1"/>
      <c r="H115" s="1">
        <f>SUM(OSRRefH22_6x_0)</f>
        <v>0</v>
      </c>
      <c r="I115" s="1"/>
      <c r="J115" s="5">
        <f t="shared" si="40"/>
        <v>0</v>
      </c>
      <c r="K115" s="1"/>
      <c r="L115" s="1">
        <f t="shared" si="41"/>
        <v>0</v>
      </c>
      <c r="M115" s="1"/>
      <c r="N115" s="5">
        <f t="shared" si="42"/>
        <v>0</v>
      </c>
      <c r="O115" s="13"/>
      <c r="P115" s="1">
        <f>SUM(OSRRefP22_6x_0)</f>
        <v>15.81</v>
      </c>
      <c r="Q115" s="1"/>
      <c r="R115" s="5">
        <f t="shared" si="43"/>
        <v>1.9481474854850074E-5</v>
      </c>
      <c r="S115" s="1"/>
      <c r="T115" s="1">
        <f>SUM(OSRRefT22_6x_0)</f>
        <v>0</v>
      </c>
      <c r="U115" s="1"/>
      <c r="V115" s="5">
        <f t="shared" si="44"/>
        <v>0</v>
      </c>
      <c r="W115" s="1"/>
      <c r="X115" s="1">
        <f t="shared" si="45"/>
        <v>15.81</v>
      </c>
      <c r="Y115" s="1"/>
      <c r="Z115" s="5">
        <f t="shared" si="46"/>
        <v>0</v>
      </c>
    </row>
    <row r="116" spans="1:26" s="24" customFormat="1" hidden="1" outlineLevel="2" x14ac:dyDescent="0.25">
      <c r="A116" s="25"/>
      <c r="B116" s="11" t="str">
        <f>CONCATENATE("          ", "6305", " - ", "FREIGHT OUT")</f>
        <v xml:space="preserve">          6305 - FREIGHT OUT</v>
      </c>
      <c r="C116" s="11"/>
      <c r="D116" s="6"/>
      <c r="E116" s="2"/>
      <c r="F116" s="7">
        <f t="shared" si="39"/>
        <v>0</v>
      </c>
      <c r="G116" s="2"/>
      <c r="H116" s="6"/>
      <c r="I116" s="2"/>
      <c r="J116" s="7">
        <f t="shared" si="40"/>
        <v>0</v>
      </c>
      <c r="K116" s="2"/>
      <c r="L116" s="6">
        <f t="shared" si="41"/>
        <v>0</v>
      </c>
      <c r="M116" s="2"/>
      <c r="N116" s="7">
        <f t="shared" si="42"/>
        <v>0</v>
      </c>
      <c r="O116" s="11"/>
      <c r="P116" s="6">
        <v>15.81</v>
      </c>
      <c r="Q116" s="2"/>
      <c r="R116" s="7">
        <f t="shared" si="43"/>
        <v>1.9481474854850074E-5</v>
      </c>
      <c r="S116" s="2"/>
      <c r="T116" s="6"/>
      <c r="U116" s="2"/>
      <c r="V116" s="7">
        <f t="shared" si="44"/>
        <v>0</v>
      </c>
      <c r="W116" s="2"/>
      <c r="X116" s="6">
        <f t="shared" si="45"/>
        <v>15.81</v>
      </c>
      <c r="Y116" s="2"/>
      <c r="Z116" s="7">
        <f t="shared" si="46"/>
        <v>0</v>
      </c>
    </row>
    <row r="117" spans="1:26" s="27" customFormat="1" outlineLevel="1" collapsed="1" x14ac:dyDescent="0.25">
      <c r="A117" s="26"/>
      <c r="B117" s="13" t="str">
        <f>CONCATENATE("     ","General                                           ")</f>
        <v xml:space="preserve">     General                                           </v>
      </c>
      <c r="C117" s="13"/>
      <c r="D117" s="1">
        <f>SUM(OSRRefD22_7x_0)</f>
        <v>0</v>
      </c>
      <c r="E117" s="1"/>
      <c r="F117" s="5">
        <f t="shared" si="39"/>
        <v>0</v>
      </c>
      <c r="G117" s="1"/>
      <c r="H117" s="1">
        <f>SUM(OSRRefH22_7x_0)</f>
        <v>80</v>
      </c>
      <c r="I117" s="1"/>
      <c r="J117" s="5">
        <f t="shared" si="40"/>
        <v>1.051842696924675E-3</v>
      </c>
      <c r="K117" s="1"/>
      <c r="L117" s="1">
        <f t="shared" si="41"/>
        <v>-80</v>
      </c>
      <c r="M117" s="1"/>
      <c r="N117" s="5">
        <f t="shared" si="42"/>
        <v>-1</v>
      </c>
      <c r="O117" s="13"/>
      <c r="P117" s="1">
        <f>SUM(OSRRefP22_7x_0)</f>
        <v>954.05</v>
      </c>
      <c r="Q117" s="1"/>
      <c r="R117" s="5">
        <f t="shared" si="43"/>
        <v>1.1756041167153518E-3</v>
      </c>
      <c r="S117" s="1"/>
      <c r="T117" s="1">
        <f>SUM(OSRRefT22_7x_0)</f>
        <v>720</v>
      </c>
      <c r="U117" s="1"/>
      <c r="V117" s="5">
        <f t="shared" si="44"/>
        <v>8.135446138826869E-4</v>
      </c>
      <c r="W117" s="1"/>
      <c r="X117" s="1">
        <f t="shared" si="45"/>
        <v>234.04999999999995</v>
      </c>
      <c r="Y117" s="1"/>
      <c r="Z117" s="5">
        <f t="shared" si="46"/>
        <v>0.32506944444444436</v>
      </c>
    </row>
    <row r="118" spans="1:26" s="24" customFormat="1" hidden="1" outlineLevel="2" x14ac:dyDescent="0.25">
      <c r="A118" s="25"/>
      <c r="B118" s="11" t="str">
        <f>CONCATENATE("          ", "6279", " - ", "GENERAL EXPENSE")</f>
        <v xml:space="preserve">          6279 - GENERAL EXPENSE</v>
      </c>
      <c r="C118" s="11"/>
      <c r="D118" s="6"/>
      <c r="E118" s="2"/>
      <c r="F118" s="7">
        <f t="shared" si="39"/>
        <v>0</v>
      </c>
      <c r="G118" s="2"/>
      <c r="H118" s="6">
        <v>80</v>
      </c>
      <c r="I118" s="2"/>
      <c r="J118" s="7">
        <f t="shared" si="40"/>
        <v>1.051842696924675E-3</v>
      </c>
      <c r="K118" s="2"/>
      <c r="L118" s="6">
        <f t="shared" si="41"/>
        <v>-80</v>
      </c>
      <c r="M118" s="2"/>
      <c r="N118" s="7">
        <f t="shared" si="42"/>
        <v>-1</v>
      </c>
      <c r="O118" s="11"/>
      <c r="P118" s="6">
        <v>954.05</v>
      </c>
      <c r="Q118" s="2"/>
      <c r="R118" s="7">
        <f t="shared" si="43"/>
        <v>1.1756041167153518E-3</v>
      </c>
      <c r="S118" s="2"/>
      <c r="T118" s="6">
        <v>720</v>
      </c>
      <c r="U118" s="2"/>
      <c r="V118" s="7">
        <f t="shared" si="44"/>
        <v>8.135446138826869E-4</v>
      </c>
      <c r="W118" s="2"/>
      <c r="X118" s="6">
        <f t="shared" si="45"/>
        <v>234.04999999999995</v>
      </c>
      <c r="Y118" s="2"/>
      <c r="Z118" s="7">
        <f t="shared" si="46"/>
        <v>0.32506944444444436</v>
      </c>
    </row>
    <row r="119" spans="1:26" s="27" customFormat="1" outlineLevel="1" collapsed="1" x14ac:dyDescent="0.25">
      <c r="A119" s="26"/>
      <c r="B119" s="13" t="str">
        <f>CONCATENATE("     ","Professional Services                             ")</f>
        <v xml:space="preserve">     Professional Services                             </v>
      </c>
      <c r="C119" s="13"/>
      <c r="D119" s="1">
        <f>SUM(OSRRefD22_8x_0)</f>
        <v>0</v>
      </c>
      <c r="E119" s="1"/>
      <c r="F119" s="5">
        <f t="shared" si="39"/>
        <v>0</v>
      </c>
      <c r="G119" s="1"/>
      <c r="H119" s="1">
        <f>SUM(OSRRefH22_8x_0)</f>
        <v>115</v>
      </c>
      <c r="I119" s="1"/>
      <c r="J119" s="5">
        <f t="shared" si="40"/>
        <v>1.5120238768292203E-3</v>
      </c>
      <c r="K119" s="1"/>
      <c r="L119" s="1">
        <f t="shared" si="41"/>
        <v>-115</v>
      </c>
      <c r="M119" s="1"/>
      <c r="N119" s="5">
        <f t="shared" si="42"/>
        <v>-1</v>
      </c>
      <c r="O119" s="13"/>
      <c r="P119" s="1">
        <f>SUM(OSRRefP22_8x_0)</f>
        <v>791.15</v>
      </c>
      <c r="Q119" s="1"/>
      <c r="R119" s="5">
        <f t="shared" si="43"/>
        <v>9.7487468889403126E-4</v>
      </c>
      <c r="S119" s="1"/>
      <c r="T119" s="1">
        <f>SUM(OSRRefT22_8x_0)</f>
        <v>1035</v>
      </c>
      <c r="U119" s="1"/>
      <c r="V119" s="5">
        <f t="shared" si="44"/>
        <v>1.1694703824563623E-3</v>
      </c>
      <c r="W119" s="1"/>
      <c r="X119" s="1">
        <f t="shared" si="45"/>
        <v>-243.85000000000002</v>
      </c>
      <c r="Y119" s="1"/>
      <c r="Z119" s="5">
        <f t="shared" si="46"/>
        <v>-0.23560386473429953</v>
      </c>
    </row>
    <row r="120" spans="1:26" s="24" customFormat="1" hidden="1" outlineLevel="2" x14ac:dyDescent="0.25">
      <c r="A120" s="25"/>
      <c r="B120" s="11" t="str">
        <f>CONCATENATE("          ", "6336", " - ", "PROFESSIONAL SERVICES")</f>
        <v xml:space="preserve">          6336 - PROFESSIONAL SERVICES</v>
      </c>
      <c r="C120" s="11"/>
      <c r="D120" s="6"/>
      <c r="E120" s="2"/>
      <c r="F120" s="7">
        <f t="shared" si="39"/>
        <v>0</v>
      </c>
      <c r="G120" s="2"/>
      <c r="H120" s="6">
        <v>115</v>
      </c>
      <c r="I120" s="2"/>
      <c r="J120" s="7">
        <f t="shared" si="40"/>
        <v>1.5120238768292203E-3</v>
      </c>
      <c r="K120" s="2"/>
      <c r="L120" s="6">
        <f t="shared" si="41"/>
        <v>-115</v>
      </c>
      <c r="M120" s="2"/>
      <c r="N120" s="7">
        <f t="shared" si="42"/>
        <v>-1</v>
      </c>
      <c r="O120" s="11"/>
      <c r="P120" s="6">
        <v>791.15</v>
      </c>
      <c r="Q120" s="2"/>
      <c r="R120" s="7">
        <f t="shared" si="43"/>
        <v>9.7487468889403126E-4</v>
      </c>
      <c r="S120" s="2"/>
      <c r="T120" s="6">
        <v>1035</v>
      </c>
      <c r="U120" s="2"/>
      <c r="V120" s="7">
        <f t="shared" si="44"/>
        <v>1.1694703824563623E-3</v>
      </c>
      <c r="W120" s="2"/>
      <c r="X120" s="6">
        <f t="shared" si="45"/>
        <v>-243.85000000000002</v>
      </c>
      <c r="Y120" s="2"/>
      <c r="Z120" s="7">
        <f t="shared" si="46"/>
        <v>-0.23560386473429953</v>
      </c>
    </row>
    <row r="121" spans="1:26" s="27" customFormat="1" outlineLevel="1" collapsed="1" x14ac:dyDescent="0.25">
      <c r="A121" s="26"/>
      <c r="B121" s="13" t="str">
        <f>CONCATENATE("     ","Repair and Maintenance                            ")</f>
        <v xml:space="preserve">     Repair and Maintenance                            </v>
      </c>
      <c r="C121" s="13"/>
      <c r="D121" s="1">
        <f>SUM(OSRRefD22_9x_0)</f>
        <v>61.11</v>
      </c>
      <c r="E121" s="1"/>
      <c r="F121" s="5">
        <f t="shared" si="39"/>
        <v>1.4964337566658154E-3</v>
      </c>
      <c r="G121" s="1"/>
      <c r="H121" s="1">
        <f>SUM(OSRRefH22_9x_0)</f>
        <v>125</v>
      </c>
      <c r="I121" s="1"/>
      <c r="J121" s="5">
        <f t="shared" si="40"/>
        <v>1.6435042139448046E-3</v>
      </c>
      <c r="K121" s="1"/>
      <c r="L121" s="1">
        <f t="shared" si="41"/>
        <v>-63.89</v>
      </c>
      <c r="M121" s="1"/>
      <c r="N121" s="5">
        <f t="shared" si="42"/>
        <v>-0.51112000000000002</v>
      </c>
      <c r="O121" s="13"/>
      <c r="P121" s="1">
        <f>SUM(OSRRefP22_9x_0)</f>
        <v>190.64000000000001</v>
      </c>
      <c r="Q121" s="1"/>
      <c r="R121" s="5">
        <f t="shared" si="43"/>
        <v>2.3491134511882466E-4</v>
      </c>
      <c r="S121" s="1"/>
      <c r="T121" s="1">
        <f>SUM(OSRRefT22_9x_0)</f>
        <v>1125</v>
      </c>
      <c r="U121" s="1"/>
      <c r="V121" s="5">
        <f t="shared" si="44"/>
        <v>1.2711634591916982E-3</v>
      </c>
      <c r="W121" s="1"/>
      <c r="X121" s="1">
        <f t="shared" si="45"/>
        <v>-934.36</v>
      </c>
      <c r="Y121" s="1"/>
      <c r="Z121" s="5">
        <f t="shared" si="46"/>
        <v>-0.83054222222222218</v>
      </c>
    </row>
    <row r="122" spans="1:26" s="24" customFormat="1" hidden="1" outlineLevel="2" x14ac:dyDescent="0.25">
      <c r="A122" s="25"/>
      <c r="B122" s="11" t="str">
        <f>CONCATENATE("          ", "6373", " - ", "MAINTENANCE CONTRACTS")</f>
        <v xml:space="preserve">          6373 - MAINTENANCE CONTRACTS</v>
      </c>
      <c r="C122" s="11"/>
      <c r="D122" s="6">
        <v>61.11</v>
      </c>
      <c r="E122" s="2"/>
      <c r="F122" s="7">
        <f t="shared" si="39"/>
        <v>1.4964337566658154E-3</v>
      </c>
      <c r="G122" s="2"/>
      <c r="H122" s="6"/>
      <c r="I122" s="2"/>
      <c r="J122" s="7">
        <f t="shared" si="40"/>
        <v>0</v>
      </c>
      <c r="K122" s="2"/>
      <c r="L122" s="6">
        <f t="shared" si="41"/>
        <v>61.11</v>
      </c>
      <c r="M122" s="2"/>
      <c r="N122" s="7">
        <f t="shared" si="42"/>
        <v>0</v>
      </c>
      <c r="O122" s="11"/>
      <c r="P122" s="6">
        <v>180.84</v>
      </c>
      <c r="Q122" s="2"/>
      <c r="R122" s="7">
        <f t="shared" si="43"/>
        <v>2.2283554160348431E-4</v>
      </c>
      <c r="S122" s="2"/>
      <c r="T122" s="6"/>
      <c r="U122" s="2"/>
      <c r="V122" s="7">
        <f t="shared" si="44"/>
        <v>0</v>
      </c>
      <c r="W122" s="2"/>
      <c r="X122" s="6">
        <f t="shared" si="45"/>
        <v>180.84</v>
      </c>
      <c r="Y122" s="2"/>
      <c r="Z122" s="7">
        <f t="shared" si="46"/>
        <v>0</v>
      </c>
    </row>
    <row r="123" spans="1:26" s="24" customFormat="1" hidden="1" outlineLevel="2" x14ac:dyDescent="0.25">
      <c r="A123" s="25"/>
      <c r="B123" s="11" t="str">
        <f>CONCATENATE("          ", "6375", " - ", "OUTSIDE REPAIRS &amp; MAINTENANCE")</f>
        <v xml:space="preserve">          6375 - OUTSIDE REPAIRS &amp; MAINTENANCE</v>
      </c>
      <c r="C123" s="11"/>
      <c r="D123" s="6"/>
      <c r="E123" s="2"/>
      <c r="F123" s="7">
        <f t="shared" si="39"/>
        <v>0</v>
      </c>
      <c r="G123" s="2"/>
      <c r="H123" s="6">
        <v>125</v>
      </c>
      <c r="I123" s="2"/>
      <c r="J123" s="7">
        <f t="shared" si="40"/>
        <v>1.6435042139448046E-3</v>
      </c>
      <c r="K123" s="2"/>
      <c r="L123" s="6">
        <f t="shared" si="41"/>
        <v>-125</v>
      </c>
      <c r="M123" s="2"/>
      <c r="N123" s="7">
        <f t="shared" si="42"/>
        <v>-1</v>
      </c>
      <c r="O123" s="11"/>
      <c r="P123" s="6">
        <v>9.8000000000000007</v>
      </c>
      <c r="Q123" s="2"/>
      <c r="R123" s="7">
        <f t="shared" si="43"/>
        <v>1.2075803515340336E-5</v>
      </c>
      <c r="S123" s="2"/>
      <c r="T123" s="6">
        <v>1125</v>
      </c>
      <c r="U123" s="2"/>
      <c r="V123" s="7">
        <f t="shared" si="44"/>
        <v>1.2711634591916982E-3</v>
      </c>
      <c r="W123" s="2"/>
      <c r="X123" s="6">
        <f t="shared" si="45"/>
        <v>-1115.2</v>
      </c>
      <c r="Y123" s="2"/>
      <c r="Z123" s="7">
        <f t="shared" si="46"/>
        <v>-0.99128888888888889</v>
      </c>
    </row>
    <row r="124" spans="1:26" s="27" customFormat="1" outlineLevel="1" collapsed="1" x14ac:dyDescent="0.25">
      <c r="A124" s="26"/>
      <c r="B124" s="13" t="str">
        <f>CONCATENATE("     ","Services                                          ")</f>
        <v xml:space="preserve">     Services                                          </v>
      </c>
      <c r="C124" s="13"/>
      <c r="D124" s="1">
        <f>SUM(OSRRefD22_10x_0)</f>
        <v>0</v>
      </c>
      <c r="E124" s="1"/>
      <c r="F124" s="5">
        <f t="shared" ref="F124:F126" si="47">IF(D$12=0,0,D124/D$12)</f>
        <v>0</v>
      </c>
      <c r="G124" s="1"/>
      <c r="H124" s="1">
        <f>SUM(OSRRefH22_10x_0)</f>
        <v>100</v>
      </c>
      <c r="I124" s="1"/>
      <c r="J124" s="5">
        <f t="shared" ref="J124:J126" si="48">IF(H$12=0,0,H124/H$12)</f>
        <v>1.3148033711558437E-3</v>
      </c>
      <c r="K124" s="1"/>
      <c r="L124" s="1">
        <f t="shared" ref="L124:L126" si="49">+D124-H124</f>
        <v>-100</v>
      </c>
      <c r="M124" s="1"/>
      <c r="N124" s="5">
        <f t="shared" ref="N124:N126" si="50">IF(H124=0,0,L124/H124)</f>
        <v>-1</v>
      </c>
      <c r="O124" s="13"/>
      <c r="P124" s="1">
        <f>SUM(OSRRefP22_10x_0)</f>
        <v>1818.61</v>
      </c>
      <c r="Q124" s="1"/>
      <c r="R124" s="5">
        <f t="shared" ref="R124:R126" si="51">IF(P$12=0,0,P124/P$12)</f>
        <v>2.24093643173807E-3</v>
      </c>
      <c r="S124" s="1"/>
      <c r="T124" s="1">
        <f>SUM(OSRRefT22_10x_0)</f>
        <v>900</v>
      </c>
      <c r="U124" s="1"/>
      <c r="V124" s="5">
        <f t="shared" ref="V124:V126" si="52">IF(T$12=0,0,T124/T$12)</f>
        <v>1.0169307673533587E-3</v>
      </c>
      <c r="W124" s="1"/>
      <c r="X124" s="1">
        <f t="shared" ref="X124:X126" si="53">+P124-T124</f>
        <v>918.6099999999999</v>
      </c>
      <c r="Y124" s="1"/>
      <c r="Z124" s="5">
        <f t="shared" ref="Z124:Z126" si="54">IF(T124=0,0,X124/T124)</f>
        <v>1.0206777777777776</v>
      </c>
    </row>
    <row r="125" spans="1:26" s="24" customFormat="1" hidden="1" outlineLevel="2" x14ac:dyDescent="0.25">
      <c r="A125" s="25"/>
      <c r="B125" s="11" t="str">
        <f>CONCATENATE("          ", "6282", " - ", "JANITORIAL/EXTERMINATOR EXPENS")</f>
        <v xml:space="preserve">          6282 - JANITORIAL/EXTERMINATOR EXPENS</v>
      </c>
      <c r="C125" s="11"/>
      <c r="D125" s="6"/>
      <c r="E125" s="2"/>
      <c r="F125" s="7">
        <f t="shared" si="47"/>
        <v>0</v>
      </c>
      <c r="G125" s="2"/>
      <c r="H125" s="6">
        <v>50</v>
      </c>
      <c r="I125" s="2"/>
      <c r="J125" s="7">
        <f t="shared" si="48"/>
        <v>6.5740168557792186E-4</v>
      </c>
      <c r="K125" s="2"/>
      <c r="L125" s="6">
        <f t="shared" si="49"/>
        <v>-50</v>
      </c>
      <c r="M125" s="2"/>
      <c r="N125" s="7">
        <f t="shared" si="50"/>
        <v>-1</v>
      </c>
      <c r="O125" s="11"/>
      <c r="P125" s="6">
        <v>373.02</v>
      </c>
      <c r="Q125" s="2"/>
      <c r="R125" s="7">
        <f t="shared" si="51"/>
        <v>4.5964451298900527E-4</v>
      </c>
      <c r="S125" s="2"/>
      <c r="T125" s="6">
        <v>450</v>
      </c>
      <c r="U125" s="2"/>
      <c r="V125" s="7">
        <f t="shared" si="52"/>
        <v>5.0846538367667934E-4</v>
      </c>
      <c r="W125" s="2"/>
      <c r="X125" s="6">
        <f t="shared" si="53"/>
        <v>-76.980000000000018</v>
      </c>
      <c r="Y125" s="2"/>
      <c r="Z125" s="7">
        <f t="shared" si="54"/>
        <v>-0.1710666666666667</v>
      </c>
    </row>
    <row r="126" spans="1:26" s="24" customFormat="1" hidden="1" outlineLevel="2" x14ac:dyDescent="0.25">
      <c r="A126" s="25"/>
      <c r="B126" s="11" t="str">
        <f>CONCATENATE("          ", "6285", " - ", "JANITORIAL SERVICES")</f>
        <v xml:space="preserve">          6285 - JANITORIAL SERVICES</v>
      </c>
      <c r="C126" s="11"/>
      <c r="D126" s="6"/>
      <c r="E126" s="2"/>
      <c r="F126" s="7">
        <f t="shared" si="47"/>
        <v>0</v>
      </c>
      <c r="G126" s="2"/>
      <c r="H126" s="6">
        <v>50</v>
      </c>
      <c r="I126" s="2"/>
      <c r="J126" s="7">
        <f t="shared" si="48"/>
        <v>6.5740168557792186E-4</v>
      </c>
      <c r="K126" s="2"/>
      <c r="L126" s="6">
        <f t="shared" si="49"/>
        <v>-50</v>
      </c>
      <c r="M126" s="2"/>
      <c r="N126" s="7">
        <f t="shared" si="50"/>
        <v>-1</v>
      </c>
      <c r="O126" s="11"/>
      <c r="P126" s="6">
        <v>1445.59</v>
      </c>
      <c r="Q126" s="2"/>
      <c r="R126" s="7">
        <f t="shared" si="51"/>
        <v>1.7812919187490648E-3</v>
      </c>
      <c r="S126" s="2"/>
      <c r="T126" s="6">
        <v>450</v>
      </c>
      <c r="U126" s="2"/>
      <c r="V126" s="7">
        <f t="shared" si="52"/>
        <v>5.0846538367667934E-4</v>
      </c>
      <c r="W126" s="2"/>
      <c r="X126" s="6">
        <f t="shared" si="53"/>
        <v>995.58999999999992</v>
      </c>
      <c r="Y126" s="2"/>
      <c r="Z126" s="7">
        <f t="shared" si="54"/>
        <v>2.2124222222222221</v>
      </c>
    </row>
    <row r="127" spans="1:26" s="27" customFormat="1" outlineLevel="1" collapsed="1" x14ac:dyDescent="0.25">
      <c r="A127" s="26"/>
      <c r="B127" s="13" t="str">
        <f>CONCATENATE("     ","Subscriptions &amp; Dues                              ")</f>
        <v xml:space="preserve">     Subscriptions &amp; Dues                              </v>
      </c>
      <c r="C127" s="13"/>
      <c r="D127" s="1">
        <f>SUM(OSRRefD22_11x_0)</f>
        <v>0</v>
      </c>
      <c r="E127" s="1"/>
      <c r="F127" s="5">
        <f t="shared" ref="F127:F132" si="55">IF(D$12=0,0,D127/D$12)</f>
        <v>0</v>
      </c>
      <c r="G127" s="1"/>
      <c r="H127" s="1">
        <f>SUM(OSRRefH22_11x_0)</f>
        <v>0</v>
      </c>
      <c r="I127" s="1"/>
      <c r="J127" s="5">
        <f t="shared" ref="J127:J132" si="56">IF(H$12=0,0,H127/H$12)</f>
        <v>0</v>
      </c>
      <c r="K127" s="1"/>
      <c r="L127" s="1">
        <f t="shared" ref="L127:L132" si="57">+D127-H127</f>
        <v>0</v>
      </c>
      <c r="M127" s="1"/>
      <c r="N127" s="5">
        <f t="shared" ref="N127:N132" si="58">IF(H127=0,0,L127/H127)</f>
        <v>0</v>
      </c>
      <c r="O127" s="13"/>
      <c r="P127" s="1">
        <f>SUM(OSRRefP22_11x_0)</f>
        <v>120</v>
      </c>
      <c r="Q127" s="1"/>
      <c r="R127" s="5">
        <f t="shared" ref="R127:R132" si="59">IF(P$12=0,0,P127/P$12)</f>
        <v>1.4786698182049391E-4</v>
      </c>
      <c r="S127" s="1"/>
      <c r="T127" s="1">
        <f>SUM(OSRRefT22_11x_0)</f>
        <v>0</v>
      </c>
      <c r="U127" s="1"/>
      <c r="V127" s="5">
        <f t="shared" ref="V127:V132" si="60">IF(T$12=0,0,T127/T$12)</f>
        <v>0</v>
      </c>
      <c r="W127" s="1"/>
      <c r="X127" s="1">
        <f t="shared" ref="X127:X132" si="61">+P127-T127</f>
        <v>120</v>
      </c>
      <c r="Y127" s="1"/>
      <c r="Z127" s="5">
        <f t="shared" ref="Z127:Z132" si="62">IF(T127=0,0,X127/T127)</f>
        <v>0</v>
      </c>
    </row>
    <row r="128" spans="1:26" s="24" customFormat="1" hidden="1" outlineLevel="2" x14ac:dyDescent="0.25">
      <c r="A128" s="25"/>
      <c r="B128" s="11" t="str">
        <f>CONCATENATE("          ", "6258", " - ", "MEMBERSHIP DUES")</f>
        <v xml:space="preserve">          6258 - MEMBERSHIP DUES</v>
      </c>
      <c r="C128" s="11"/>
      <c r="D128" s="6"/>
      <c r="E128" s="2"/>
      <c r="F128" s="7">
        <f t="shared" si="55"/>
        <v>0</v>
      </c>
      <c r="G128" s="2"/>
      <c r="H128" s="6"/>
      <c r="I128" s="2"/>
      <c r="J128" s="7">
        <f t="shared" si="56"/>
        <v>0</v>
      </c>
      <c r="K128" s="2"/>
      <c r="L128" s="6">
        <f t="shared" si="57"/>
        <v>0</v>
      </c>
      <c r="M128" s="2"/>
      <c r="N128" s="7">
        <f t="shared" si="58"/>
        <v>0</v>
      </c>
      <c r="O128" s="11"/>
      <c r="P128" s="6">
        <v>120</v>
      </c>
      <c r="Q128" s="2"/>
      <c r="R128" s="7">
        <f t="shared" si="59"/>
        <v>1.4786698182049391E-4</v>
      </c>
      <c r="S128" s="2"/>
      <c r="T128" s="6"/>
      <c r="U128" s="2"/>
      <c r="V128" s="7">
        <f t="shared" si="60"/>
        <v>0</v>
      </c>
      <c r="W128" s="2"/>
      <c r="X128" s="6">
        <f t="shared" si="61"/>
        <v>120</v>
      </c>
      <c r="Y128" s="2"/>
      <c r="Z128" s="7">
        <f t="shared" si="62"/>
        <v>0</v>
      </c>
    </row>
    <row r="129" spans="1:26" s="27" customFormat="1" outlineLevel="1" collapsed="1" x14ac:dyDescent="0.25">
      <c r="A129" s="26"/>
      <c r="B129" s="13" t="str">
        <f>CONCATENATE("     ","Supplies                                          ")</f>
        <v xml:space="preserve">     Supplies                                          </v>
      </c>
      <c r="C129" s="13"/>
      <c r="D129" s="1">
        <f>SUM(OSRRefD22_12x_0)</f>
        <v>329.96000000000004</v>
      </c>
      <c r="E129" s="1"/>
      <c r="F129" s="5">
        <f t="shared" si="55"/>
        <v>8.0799097095312147E-3</v>
      </c>
      <c r="G129" s="1"/>
      <c r="H129" s="1">
        <f>SUM(OSRRefH22_12x_0)</f>
        <v>225</v>
      </c>
      <c r="I129" s="1"/>
      <c r="J129" s="5">
        <f t="shared" si="56"/>
        <v>2.9583075851006484E-3</v>
      </c>
      <c r="K129" s="1"/>
      <c r="L129" s="1">
        <f t="shared" si="57"/>
        <v>104.96000000000004</v>
      </c>
      <c r="M129" s="1"/>
      <c r="N129" s="5">
        <f t="shared" si="58"/>
        <v>0.46648888888888906</v>
      </c>
      <c r="O129" s="13"/>
      <c r="P129" s="1">
        <f>SUM(OSRRefP22_12x_0)</f>
        <v>1864.36</v>
      </c>
      <c r="Q129" s="1"/>
      <c r="R129" s="5">
        <f t="shared" si="59"/>
        <v>2.2973107185571334E-3</v>
      </c>
      <c r="S129" s="1"/>
      <c r="T129" s="1">
        <f>SUM(OSRRefT22_12x_0)</f>
        <v>2025</v>
      </c>
      <c r="U129" s="1"/>
      <c r="V129" s="5">
        <f t="shared" si="60"/>
        <v>2.2880942265450567E-3</v>
      </c>
      <c r="W129" s="1"/>
      <c r="X129" s="1">
        <f t="shared" si="61"/>
        <v>-160.6400000000001</v>
      </c>
      <c r="Y129" s="1"/>
      <c r="Z129" s="5">
        <f t="shared" si="62"/>
        <v>-7.9328395061728438E-2</v>
      </c>
    </row>
    <row r="130" spans="1:26" s="24" customFormat="1" hidden="1" outlineLevel="2" x14ac:dyDescent="0.25">
      <c r="A130" s="25"/>
      <c r="B130" s="11" t="str">
        <f>CONCATENATE("          ", "6241", " - ", "OFFICE EXPENSE")</f>
        <v xml:space="preserve">          6241 - OFFICE EXPENSE</v>
      </c>
      <c r="C130" s="11"/>
      <c r="D130" s="6">
        <v>160.41</v>
      </c>
      <c r="E130" s="2"/>
      <c r="F130" s="7">
        <f t="shared" si="55"/>
        <v>3.9280467829612741E-3</v>
      </c>
      <c r="G130" s="2"/>
      <c r="H130" s="6">
        <v>225</v>
      </c>
      <c r="I130" s="2"/>
      <c r="J130" s="7">
        <f t="shared" si="56"/>
        <v>2.9583075851006484E-3</v>
      </c>
      <c r="K130" s="2"/>
      <c r="L130" s="6">
        <f t="shared" si="57"/>
        <v>-64.59</v>
      </c>
      <c r="M130" s="2"/>
      <c r="N130" s="7">
        <f t="shared" si="58"/>
        <v>-0.28706666666666669</v>
      </c>
      <c r="O130" s="11"/>
      <c r="P130" s="6">
        <v>1673.46</v>
      </c>
      <c r="Q130" s="2"/>
      <c r="R130" s="7">
        <f t="shared" si="59"/>
        <v>2.0620789949776976E-3</v>
      </c>
      <c r="S130" s="2"/>
      <c r="T130" s="6">
        <v>2025</v>
      </c>
      <c r="U130" s="2"/>
      <c r="V130" s="7">
        <f t="shared" si="60"/>
        <v>2.2880942265450567E-3</v>
      </c>
      <c r="W130" s="2"/>
      <c r="X130" s="6">
        <f t="shared" si="61"/>
        <v>-351.53999999999996</v>
      </c>
      <c r="Y130" s="2"/>
      <c r="Z130" s="7">
        <f t="shared" si="62"/>
        <v>-0.17359999999999998</v>
      </c>
    </row>
    <row r="131" spans="1:26" s="24" customFormat="1" hidden="1" outlineLevel="2" x14ac:dyDescent="0.25">
      <c r="A131" s="25"/>
      <c r="B131" s="11" t="str">
        <f>CONCATENATE("          ", "6245", " - ", "PRINTING")</f>
        <v xml:space="preserve">          6245 - PRINTING</v>
      </c>
      <c r="C131" s="11"/>
      <c r="D131" s="6"/>
      <c r="E131" s="2"/>
      <c r="F131" s="7">
        <f t="shared" si="55"/>
        <v>0</v>
      </c>
      <c r="G131" s="2"/>
      <c r="H131" s="6"/>
      <c r="I131" s="2"/>
      <c r="J131" s="7">
        <f t="shared" si="56"/>
        <v>0</v>
      </c>
      <c r="K131" s="2"/>
      <c r="L131" s="6">
        <f t="shared" si="57"/>
        <v>0</v>
      </c>
      <c r="M131" s="2"/>
      <c r="N131" s="7">
        <f t="shared" si="58"/>
        <v>0</v>
      </c>
      <c r="O131" s="11"/>
      <c r="P131" s="6">
        <v>22.05</v>
      </c>
      <c r="Q131" s="2"/>
      <c r="R131" s="7">
        <f t="shared" si="59"/>
        <v>2.7170557909515755E-5</v>
      </c>
      <c r="S131" s="2"/>
      <c r="T131" s="6"/>
      <c r="U131" s="2"/>
      <c r="V131" s="7">
        <f t="shared" si="60"/>
        <v>0</v>
      </c>
      <c r="W131" s="2"/>
      <c r="X131" s="6">
        <f t="shared" si="61"/>
        <v>22.05</v>
      </c>
      <c r="Y131" s="2"/>
      <c r="Z131" s="7">
        <f t="shared" si="62"/>
        <v>0</v>
      </c>
    </row>
    <row r="132" spans="1:26" s="24" customFormat="1" hidden="1" outlineLevel="2" x14ac:dyDescent="0.25">
      <c r="A132" s="25"/>
      <c r="B132" s="11" t="str">
        <f>CONCATENATE("          ", "6247", " - ", "STORE SUPPLIES")</f>
        <v xml:space="preserve">          6247 - STORE SUPPLIES</v>
      </c>
      <c r="C132" s="11"/>
      <c r="D132" s="6">
        <v>169.55</v>
      </c>
      <c r="E132" s="2"/>
      <c r="F132" s="7">
        <f t="shared" si="55"/>
        <v>4.1518629265699398E-3</v>
      </c>
      <c r="G132" s="2"/>
      <c r="H132" s="6"/>
      <c r="I132" s="2"/>
      <c r="J132" s="7">
        <f t="shared" si="56"/>
        <v>0</v>
      </c>
      <c r="K132" s="2"/>
      <c r="L132" s="6">
        <f t="shared" si="57"/>
        <v>169.55</v>
      </c>
      <c r="M132" s="2"/>
      <c r="N132" s="7">
        <f t="shared" si="58"/>
        <v>0</v>
      </c>
      <c r="O132" s="11"/>
      <c r="P132" s="6">
        <v>168.85</v>
      </c>
      <c r="Q132" s="2"/>
      <c r="R132" s="7">
        <f t="shared" si="59"/>
        <v>2.0806116566991997E-4</v>
      </c>
      <c r="S132" s="2"/>
      <c r="T132" s="6"/>
      <c r="U132" s="2"/>
      <c r="V132" s="7">
        <f t="shared" si="60"/>
        <v>0</v>
      </c>
      <c r="W132" s="2"/>
      <c r="X132" s="6">
        <f t="shared" si="61"/>
        <v>168.85</v>
      </c>
      <c r="Y132" s="2"/>
      <c r="Z132" s="7">
        <f t="shared" si="62"/>
        <v>0</v>
      </c>
    </row>
    <row r="133" spans="1:26" s="27" customFormat="1" outlineLevel="1" collapsed="1" x14ac:dyDescent="0.25">
      <c r="A133" s="26"/>
      <c r="B133" s="13" t="str">
        <f>CONCATENATE("     ","Telephone/Data Lines                              ")</f>
        <v xml:space="preserve">     Telephone/Data Lines                              </v>
      </c>
      <c r="C133" s="13"/>
      <c r="D133" s="1">
        <f>SUM(OSRRefD22_13x_0)</f>
        <v>103.15</v>
      </c>
      <c r="E133" s="1"/>
      <c r="F133" s="5">
        <f t="shared" ref="F133:F138" si="63">IF(D$12=0,0,D133/D$12)</f>
        <v>2.5258900670934196E-3</v>
      </c>
      <c r="G133" s="1"/>
      <c r="H133" s="1">
        <f>SUM(OSRRefH22_13x_0)</f>
        <v>75</v>
      </c>
      <c r="I133" s="1"/>
      <c r="J133" s="5">
        <f t="shared" ref="J133:J138" si="64">IF(H$12=0,0,H133/H$12)</f>
        <v>9.8610252836688278E-4</v>
      </c>
      <c r="K133" s="1"/>
      <c r="L133" s="1">
        <f t="shared" ref="L133:L138" si="65">+D133-H133</f>
        <v>28.150000000000006</v>
      </c>
      <c r="M133" s="1"/>
      <c r="N133" s="5">
        <f t="shared" ref="N133:N138" si="66">IF(H133=0,0,L133/H133)</f>
        <v>0.37533333333333341</v>
      </c>
      <c r="O133" s="13"/>
      <c r="P133" s="1">
        <f>SUM(OSRRefP22_13x_0)</f>
        <v>887.37</v>
      </c>
      <c r="Q133" s="1"/>
      <c r="R133" s="5">
        <f t="shared" ref="R133:R138" si="67">IF(P$12=0,0,P133/P$12)</f>
        <v>1.0934393638170974E-3</v>
      </c>
      <c r="S133" s="1"/>
      <c r="T133" s="1">
        <f>SUM(OSRRefT22_13x_0)</f>
        <v>675</v>
      </c>
      <c r="U133" s="1"/>
      <c r="V133" s="5">
        <f t="shared" ref="V133:V138" si="68">IF(T$12=0,0,T133/T$12)</f>
        <v>7.6269807551501896E-4</v>
      </c>
      <c r="W133" s="1"/>
      <c r="X133" s="1">
        <f t="shared" ref="X133:X138" si="69">+P133-T133</f>
        <v>212.37</v>
      </c>
      <c r="Y133" s="1"/>
      <c r="Z133" s="5">
        <f t="shared" ref="Z133:Z138" si="70">IF(T133=0,0,X133/T133)</f>
        <v>0.31462222222222225</v>
      </c>
    </row>
    <row r="134" spans="1:26" s="24" customFormat="1" hidden="1" outlineLevel="2" x14ac:dyDescent="0.25">
      <c r="A134" s="25"/>
      <c r="B134" s="11" t="str">
        <f>CONCATENATE("          ", "6309", " - ", "TELEPHONE")</f>
        <v xml:space="preserve">          6309 - TELEPHONE</v>
      </c>
      <c r="C134" s="11"/>
      <c r="D134" s="6">
        <v>103.15</v>
      </c>
      <c r="E134" s="2"/>
      <c r="F134" s="7">
        <f t="shared" si="63"/>
        <v>2.5258900670934196E-3</v>
      </c>
      <c r="G134" s="2"/>
      <c r="H134" s="6">
        <v>75</v>
      </c>
      <c r="I134" s="2"/>
      <c r="J134" s="7">
        <f t="shared" si="64"/>
        <v>9.8610252836688278E-4</v>
      </c>
      <c r="K134" s="2"/>
      <c r="L134" s="6">
        <f t="shared" si="65"/>
        <v>28.150000000000006</v>
      </c>
      <c r="M134" s="2"/>
      <c r="N134" s="7">
        <f t="shared" si="66"/>
        <v>0.37533333333333341</v>
      </c>
      <c r="O134" s="11"/>
      <c r="P134" s="6">
        <v>887.37</v>
      </c>
      <c r="Q134" s="2"/>
      <c r="R134" s="7">
        <f t="shared" si="67"/>
        <v>1.0934393638170974E-3</v>
      </c>
      <c r="S134" s="2"/>
      <c r="T134" s="6">
        <v>675</v>
      </c>
      <c r="U134" s="2"/>
      <c r="V134" s="7">
        <f t="shared" si="68"/>
        <v>7.6269807551501896E-4</v>
      </c>
      <c r="W134" s="2"/>
      <c r="X134" s="6">
        <f t="shared" si="69"/>
        <v>212.37</v>
      </c>
      <c r="Y134" s="2"/>
      <c r="Z134" s="7">
        <f t="shared" si="70"/>
        <v>0.31462222222222225</v>
      </c>
    </row>
    <row r="135" spans="1:26" s="27" customFormat="1" outlineLevel="1" collapsed="1" x14ac:dyDescent="0.25">
      <c r="A135" s="26"/>
      <c r="B135" s="13" t="str">
        <f>CONCATENATE("     ","Training                                          ")</f>
        <v xml:space="preserve">     Training                                          </v>
      </c>
      <c r="C135" s="13"/>
      <c r="D135" s="1">
        <f>SUM(OSRRefD22_14x_0)</f>
        <v>0</v>
      </c>
      <c r="E135" s="1"/>
      <c r="F135" s="5">
        <f t="shared" si="63"/>
        <v>0</v>
      </c>
      <c r="G135" s="1"/>
      <c r="H135" s="1">
        <f>SUM(OSRRefH22_14x_0)</f>
        <v>175</v>
      </c>
      <c r="I135" s="1"/>
      <c r="J135" s="5">
        <f t="shared" si="64"/>
        <v>2.3009058995227265E-3</v>
      </c>
      <c r="K135" s="1"/>
      <c r="L135" s="1">
        <f t="shared" si="65"/>
        <v>-175</v>
      </c>
      <c r="M135" s="1"/>
      <c r="N135" s="5">
        <f t="shared" si="66"/>
        <v>-1</v>
      </c>
      <c r="O135" s="13"/>
      <c r="P135" s="1">
        <f>SUM(OSRRefP22_14x_0)</f>
        <v>314.8</v>
      </c>
      <c r="Q135" s="1"/>
      <c r="R135" s="5">
        <f t="shared" si="67"/>
        <v>3.8790438230909568E-4</v>
      </c>
      <c r="S135" s="1"/>
      <c r="T135" s="1">
        <f>SUM(OSRRefT22_14x_0)</f>
        <v>1575</v>
      </c>
      <c r="U135" s="1"/>
      <c r="V135" s="5">
        <f t="shared" si="68"/>
        <v>1.7796288428683774E-3</v>
      </c>
      <c r="W135" s="1"/>
      <c r="X135" s="1">
        <f t="shared" si="69"/>
        <v>-1260.2</v>
      </c>
      <c r="Y135" s="1"/>
      <c r="Z135" s="5">
        <f t="shared" si="70"/>
        <v>-0.80012698412698413</v>
      </c>
    </row>
    <row r="136" spans="1:26" s="24" customFormat="1" hidden="1" outlineLevel="2" x14ac:dyDescent="0.25">
      <c r="A136" s="25"/>
      <c r="B136" s="11" t="str">
        <f>CONCATENATE("          ", "6376", " - ", "TRAINING")</f>
        <v xml:space="preserve">          6376 - TRAINING</v>
      </c>
      <c r="C136" s="11"/>
      <c r="D136" s="6"/>
      <c r="E136" s="2"/>
      <c r="F136" s="7">
        <f t="shared" si="63"/>
        <v>0</v>
      </c>
      <c r="G136" s="2"/>
      <c r="H136" s="6">
        <v>175</v>
      </c>
      <c r="I136" s="2"/>
      <c r="J136" s="7">
        <f t="shared" si="64"/>
        <v>2.3009058995227265E-3</v>
      </c>
      <c r="K136" s="2"/>
      <c r="L136" s="6">
        <f t="shared" si="65"/>
        <v>-175</v>
      </c>
      <c r="M136" s="2"/>
      <c r="N136" s="7">
        <f t="shared" si="66"/>
        <v>-1</v>
      </c>
      <c r="O136" s="11"/>
      <c r="P136" s="6">
        <v>314.8</v>
      </c>
      <c r="Q136" s="2"/>
      <c r="R136" s="7">
        <f t="shared" si="67"/>
        <v>3.8790438230909568E-4</v>
      </c>
      <c r="S136" s="2"/>
      <c r="T136" s="6">
        <v>1575</v>
      </c>
      <c r="U136" s="2"/>
      <c r="V136" s="7">
        <f t="shared" si="68"/>
        <v>1.7796288428683774E-3</v>
      </c>
      <c r="W136" s="2"/>
      <c r="X136" s="6">
        <f t="shared" si="69"/>
        <v>-1260.2</v>
      </c>
      <c r="Y136" s="2"/>
      <c r="Z136" s="7">
        <f t="shared" si="70"/>
        <v>-0.80012698412698413</v>
      </c>
    </row>
    <row r="137" spans="1:26" s="27" customFormat="1" outlineLevel="1" collapsed="1" x14ac:dyDescent="0.25">
      <c r="A137" s="26"/>
      <c r="B137" s="13" t="str">
        <f>CONCATENATE("     ","Travel                                            ")</f>
        <v xml:space="preserve">     Travel                                            </v>
      </c>
      <c r="C137" s="13"/>
      <c r="D137" s="1">
        <f>SUM(OSRRefD22_15x_0)</f>
        <v>0</v>
      </c>
      <c r="E137" s="1"/>
      <c r="F137" s="5">
        <f t="shared" si="63"/>
        <v>0</v>
      </c>
      <c r="G137" s="1"/>
      <c r="H137" s="1">
        <f>SUM(OSRRefH22_15x_0)</f>
        <v>0</v>
      </c>
      <c r="I137" s="1"/>
      <c r="J137" s="5">
        <f t="shared" si="64"/>
        <v>0</v>
      </c>
      <c r="K137" s="1"/>
      <c r="L137" s="1">
        <f t="shared" si="65"/>
        <v>0</v>
      </c>
      <c r="M137" s="1"/>
      <c r="N137" s="5">
        <f t="shared" si="66"/>
        <v>0</v>
      </c>
      <c r="O137" s="13"/>
      <c r="P137" s="1">
        <f>SUM(OSRRefP22_15x_0)</f>
        <v>-323.01</v>
      </c>
      <c r="Q137" s="1"/>
      <c r="R137" s="5">
        <f t="shared" si="67"/>
        <v>-3.9802094831531447E-4</v>
      </c>
      <c r="S137" s="1"/>
      <c r="T137" s="1">
        <f>SUM(OSRRefT22_15x_0)</f>
        <v>0</v>
      </c>
      <c r="U137" s="1"/>
      <c r="V137" s="5">
        <f t="shared" si="68"/>
        <v>0</v>
      </c>
      <c r="W137" s="1"/>
      <c r="X137" s="1">
        <f t="shared" si="69"/>
        <v>-323.01</v>
      </c>
      <c r="Y137" s="1"/>
      <c r="Z137" s="5">
        <f t="shared" si="70"/>
        <v>0</v>
      </c>
    </row>
    <row r="138" spans="1:26" s="24" customFormat="1" hidden="1" outlineLevel="2" x14ac:dyDescent="0.25">
      <c r="A138" s="25"/>
      <c r="B138" s="11" t="str">
        <f>CONCATENATE("          ", "6292", " - ", "TRAVEL/CONFERENCE")</f>
        <v xml:space="preserve">          6292 - TRAVEL/CONFERENCE</v>
      </c>
      <c r="C138" s="11"/>
      <c r="D138" s="6"/>
      <c r="E138" s="2"/>
      <c r="F138" s="7">
        <f t="shared" si="63"/>
        <v>0</v>
      </c>
      <c r="G138" s="2"/>
      <c r="H138" s="6"/>
      <c r="I138" s="2"/>
      <c r="J138" s="7">
        <f t="shared" si="64"/>
        <v>0</v>
      </c>
      <c r="K138" s="2"/>
      <c r="L138" s="6">
        <f t="shared" si="65"/>
        <v>0</v>
      </c>
      <c r="M138" s="2"/>
      <c r="N138" s="7">
        <f t="shared" si="66"/>
        <v>0</v>
      </c>
      <c r="O138" s="11"/>
      <c r="P138" s="6">
        <v>-323.01</v>
      </c>
      <c r="Q138" s="2"/>
      <c r="R138" s="7">
        <f t="shared" si="67"/>
        <v>-3.9802094831531447E-4</v>
      </c>
      <c r="S138" s="2"/>
      <c r="T138" s="6"/>
      <c r="U138" s="2"/>
      <c r="V138" s="7">
        <f t="shared" si="68"/>
        <v>0</v>
      </c>
      <c r="W138" s="2"/>
      <c r="X138" s="6">
        <f t="shared" si="69"/>
        <v>-323.01</v>
      </c>
      <c r="Y138" s="2"/>
      <c r="Z138" s="7">
        <f t="shared" si="70"/>
        <v>0</v>
      </c>
    </row>
    <row r="139" spans="1:26" s="56" customFormat="1" x14ac:dyDescent="0.25">
      <c r="A139" s="36"/>
      <c r="B139" s="36"/>
      <c r="C139" s="36"/>
      <c r="D139" s="1"/>
      <c r="E139" s="1"/>
      <c r="F139" s="5"/>
      <c r="G139" s="1"/>
      <c r="H139" s="1"/>
      <c r="I139" s="1"/>
      <c r="J139" s="5"/>
      <c r="K139" s="1"/>
      <c r="L139" s="1"/>
      <c r="M139" s="1"/>
      <c r="N139" s="5"/>
      <c r="O139" s="36"/>
      <c r="P139" s="1"/>
      <c r="Q139" s="1"/>
      <c r="R139" s="5"/>
      <c r="S139" s="1"/>
      <c r="T139" s="1"/>
      <c r="U139" s="1"/>
      <c r="V139" s="5"/>
      <c r="W139" s="1"/>
      <c r="X139" s="1"/>
      <c r="Y139" s="1"/>
      <c r="Z139" s="5"/>
    </row>
    <row r="140" spans="1:26" s="23" customFormat="1" collapsed="1" x14ac:dyDescent="0.25">
      <c r="A140" s="10"/>
      <c r="B140" s="29" t="s">
        <v>0</v>
      </c>
      <c r="C140" s="10"/>
      <c r="D140" s="4">
        <f>SUM(OSRRefD25x_0)</f>
        <v>0</v>
      </c>
      <c r="E140" s="4"/>
      <c r="F140" s="12">
        <f t="shared" ref="F140:F141" si="71">IF(D$12=0,0,D140/D$12)</f>
        <v>0</v>
      </c>
      <c r="G140" s="4"/>
      <c r="H140" s="4">
        <f>SUM(OSRRefH25x_0)</f>
        <v>0</v>
      </c>
      <c r="I140" s="4"/>
      <c r="J140" s="12">
        <f t="shared" ref="J140:J141" si="72">IF(H$12=0,0,H140/H$12)</f>
        <v>0</v>
      </c>
      <c r="K140" s="4"/>
      <c r="L140" s="4">
        <f t="shared" ref="L140:L141" si="73">+D140-H140</f>
        <v>0</v>
      </c>
      <c r="M140" s="4"/>
      <c r="N140" s="12">
        <f t="shared" ref="N140:N141" si="74">IF(H140=0,0,L140/H140)</f>
        <v>0</v>
      </c>
      <c r="O140" s="10"/>
      <c r="P140" s="4">
        <f>SUM(OSRRefP25x_0)</f>
        <v>68.760000000000005</v>
      </c>
      <c r="Q140" s="4"/>
      <c r="R140" s="12">
        <f t="shared" ref="R140:R141" si="75">IF(P$12=0,0,P140/P$12)</f>
        <v>8.4727780583143022E-5</v>
      </c>
      <c r="S140" s="4"/>
      <c r="T140" s="4">
        <f>SUM(OSRRefT25x_0)</f>
        <v>0</v>
      </c>
      <c r="U140" s="4"/>
      <c r="V140" s="12">
        <f t="shared" ref="V140:V141" si="76">IF(T$12=0,0,T140/T$12)</f>
        <v>0</v>
      </c>
      <c r="W140" s="4"/>
      <c r="X140" s="4">
        <f t="shared" ref="X140:X141" si="77">+P140-T140</f>
        <v>68.760000000000005</v>
      </c>
      <c r="Y140" s="4"/>
      <c r="Z140" s="12">
        <f t="shared" ref="Z140:Z141" si="78">IF(T140=0,0,X140/T140)</f>
        <v>0</v>
      </c>
    </row>
    <row r="141" spans="1:26" s="24" customFormat="1" hidden="1" outlineLevel="1" x14ac:dyDescent="0.25">
      <c r="A141" s="44"/>
      <c r="B141" s="11" t="str">
        <f>CONCATENATE("          ", "9150", " - ", "MISC. INCOME")</f>
        <v xml:space="preserve">          9150 - MISC. INCOME</v>
      </c>
      <c r="C141" s="11"/>
      <c r="D141" s="2">
        <f>0</f>
        <v>0</v>
      </c>
      <c r="E141" s="2"/>
      <c r="F141" s="19">
        <f t="shared" si="71"/>
        <v>0</v>
      </c>
      <c r="G141" s="2"/>
      <c r="H141" s="2"/>
      <c r="I141" s="2"/>
      <c r="J141" s="19">
        <f t="shared" si="72"/>
        <v>0</v>
      </c>
      <c r="K141" s="2"/>
      <c r="L141" s="2">
        <f t="shared" si="73"/>
        <v>0</v>
      </c>
      <c r="M141" s="2"/>
      <c r="N141" s="19">
        <f t="shared" si="74"/>
        <v>0</v>
      </c>
      <c r="O141" s="11"/>
      <c r="P141" s="2">
        <f>--68.76</f>
        <v>68.760000000000005</v>
      </c>
      <c r="Q141" s="2"/>
      <c r="R141" s="19">
        <f t="shared" si="75"/>
        <v>8.4727780583143022E-5</v>
      </c>
      <c r="S141" s="2"/>
      <c r="T141" s="2"/>
      <c r="U141" s="2"/>
      <c r="V141" s="19">
        <f t="shared" si="76"/>
        <v>0</v>
      </c>
      <c r="W141" s="2"/>
      <c r="X141" s="2">
        <f t="shared" si="77"/>
        <v>68.760000000000005</v>
      </c>
      <c r="Y141" s="2"/>
      <c r="Z141" s="19">
        <f t="shared" si="78"/>
        <v>0</v>
      </c>
    </row>
    <row r="142" spans="1:26" x14ac:dyDescent="0.25">
      <c r="A142" s="9"/>
      <c r="B142" s="10"/>
      <c r="C142" s="10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O142" s="10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3" customFormat="1" x14ac:dyDescent="0.25">
      <c r="A143" s="10"/>
      <c r="B143" s="28" t="s">
        <v>3</v>
      </c>
      <c r="C143" s="28"/>
      <c r="D143" s="20">
        <f>+D82-D84+D140</f>
        <v>1387.3899999999921</v>
      </c>
      <c r="E143" s="14"/>
      <c r="F143" s="22">
        <f>IF(D$12=0,0,D143/D$12)</f>
        <v>3.3973772372125247E-2</v>
      </c>
      <c r="G143" s="14"/>
      <c r="H143" s="20">
        <f>+H82-H84+H140</f>
        <v>16523.666392023391</v>
      </c>
      <c r="I143" s="14"/>
      <c r="J143" s="22">
        <f>IF(H$12=0,0,H143/H$12)</f>
        <v>0.21725372276086871</v>
      </c>
      <c r="K143" s="16"/>
      <c r="L143" s="20">
        <f>+D143-H143</f>
        <v>-15136.276392023399</v>
      </c>
      <c r="M143" s="16"/>
      <c r="N143" s="22">
        <f>IF(H143=0,0,L143/H143)</f>
        <v>-0.91603618911903606</v>
      </c>
      <c r="O143" s="29"/>
      <c r="P143" s="20">
        <f>+P82-P84+P140</f>
        <v>204478.59000000026</v>
      </c>
      <c r="Q143" s="14"/>
      <c r="R143" s="22">
        <f>IF(P$12=0,0,P143/P$12)</f>
        <v>0.25196359958508552</v>
      </c>
      <c r="S143" s="14"/>
      <c r="T143" s="20">
        <f>+T82-T84+T140</f>
        <v>265280.16070307005</v>
      </c>
      <c r="U143" s="14"/>
      <c r="V143" s="22">
        <f>IF(T$12=0,0,T143/T$12)</f>
        <v>0.2997461748748837</v>
      </c>
      <c r="W143" s="16"/>
      <c r="X143" s="20">
        <f>+P143-T143</f>
        <v>-60801.570703069796</v>
      </c>
      <c r="Y143" s="16"/>
      <c r="Z143" s="22">
        <f>IF(T143=0,0,X143/T143)</f>
        <v>-0.2291975794267006</v>
      </c>
    </row>
    <row r="144" spans="1:26" x14ac:dyDescent="0.25">
      <c r="A144" s="9"/>
      <c r="B144" s="10"/>
      <c r="C144" s="9"/>
      <c r="D144" s="3"/>
      <c r="E144" s="3"/>
      <c r="F144" s="8"/>
      <c r="G144" s="3"/>
      <c r="H144" s="3"/>
      <c r="I144" s="3"/>
      <c r="J144" s="8"/>
      <c r="K144" s="3"/>
      <c r="L144" s="3"/>
      <c r="M144" s="3"/>
      <c r="N144" s="8"/>
      <c r="P144" s="3"/>
      <c r="Q144" s="3"/>
      <c r="R144" s="8"/>
      <c r="S144" s="3"/>
      <c r="T144" s="3"/>
      <c r="U144" s="3"/>
      <c r="V144" s="8"/>
      <c r="W144" s="3"/>
      <c r="X144" s="3"/>
      <c r="Y144" s="3"/>
      <c r="Z144" s="8"/>
    </row>
    <row r="145" spans="1:26" s="23" customFormat="1" x14ac:dyDescent="0.25">
      <c r="A145" s="52"/>
      <c r="B145" s="10" t="s">
        <v>14</v>
      </c>
      <c r="C145" s="10"/>
      <c r="D145" s="4">
        <v>8408.61</v>
      </c>
      <c r="E145" s="4"/>
      <c r="F145" s="12">
        <f>IF(D$12=0,0,D145/D$12)</f>
        <v>0.20590619948679009</v>
      </c>
      <c r="G145" s="4"/>
      <c r="H145" s="4">
        <v>6172</v>
      </c>
      <c r="I145" s="4"/>
      <c r="J145" s="12">
        <f>IF(H$12=0,0,H145/H$12)</f>
        <v>8.1149664067738672E-2</v>
      </c>
      <c r="K145" s="4"/>
      <c r="L145" s="4">
        <f>+D145-H145</f>
        <v>2236.6100000000006</v>
      </c>
      <c r="M145" s="4"/>
      <c r="N145" s="12">
        <f>IF(H145=0,0,L145/H145)</f>
        <v>0.36238010369410251</v>
      </c>
      <c r="O145" s="10"/>
      <c r="P145" s="4">
        <v>86958.5</v>
      </c>
      <c r="Q145" s="4"/>
      <c r="R145" s="12">
        <f>IF(P$12=0,0,P145/P$12)</f>
        <v>0.10715242448864516</v>
      </c>
      <c r="S145" s="4"/>
      <c r="T145" s="4">
        <v>103448</v>
      </c>
      <c r="U145" s="4"/>
      <c r="V145" s="12">
        <f>IF(T$12=0,0,T145/T$12)</f>
        <v>0.11688828224574471</v>
      </c>
      <c r="W145" s="4"/>
      <c r="X145" s="4">
        <f>+P145-T145</f>
        <v>-16489.5</v>
      </c>
      <c r="Y145" s="4"/>
      <c r="Z145" s="12">
        <f>IF(T145=0,0,X145/T145)</f>
        <v>-0.15939892506380016</v>
      </c>
    </row>
    <row r="146" spans="1:26" x14ac:dyDescent="0.25">
      <c r="A146" s="9"/>
      <c r="B146" s="10"/>
      <c r="C146" s="10"/>
      <c r="D146" s="3"/>
      <c r="E146" s="3"/>
      <c r="F146" s="8"/>
      <c r="G146" s="3"/>
      <c r="H146" s="3"/>
      <c r="I146" s="3"/>
      <c r="J146" s="8"/>
      <c r="K146" s="3"/>
      <c r="L146" s="3"/>
      <c r="M146" s="3"/>
      <c r="N146" s="8"/>
      <c r="O146" s="10"/>
      <c r="P146" s="3"/>
      <c r="Q146" s="3"/>
      <c r="R146" s="8"/>
      <c r="S146" s="3"/>
      <c r="T146" s="3"/>
      <c r="U146" s="3"/>
      <c r="V146" s="8"/>
      <c r="W146" s="3"/>
      <c r="X146" s="3"/>
      <c r="Y146" s="3"/>
      <c r="Z146" s="8"/>
    </row>
    <row r="147" spans="1:26" s="23" customFormat="1" ht="15.75" thickBot="1" x14ac:dyDescent="0.3">
      <c r="A147" s="10"/>
      <c r="B147" s="28" t="s">
        <v>4</v>
      </c>
      <c r="C147" s="28"/>
      <c r="D147" s="31">
        <f>+D143-D145</f>
        <v>-7021.2200000000084</v>
      </c>
      <c r="E147" s="14"/>
      <c r="F147" s="34">
        <f>IF(D$12=0,0,D147/D$12)</f>
        <v>-0.17193242711466486</v>
      </c>
      <c r="G147" s="14"/>
      <c r="H147" s="31">
        <f>+H143-H145</f>
        <v>10351.666392023391</v>
      </c>
      <c r="I147" s="14"/>
      <c r="J147" s="34">
        <f>IF(H$12=0,0,H147/H$12)</f>
        <v>0.13610405869313003</v>
      </c>
      <c r="K147" s="16"/>
      <c r="L147" s="31">
        <f>D147-H147</f>
        <v>-17372.8863920234</v>
      </c>
      <c r="M147" s="16"/>
      <c r="N147" s="34">
        <f>IF(H147=0,0,L147/H147)</f>
        <v>-1.6782695398115128</v>
      </c>
      <c r="O147" s="29"/>
      <c r="P147" s="31">
        <f>+P143-P145</f>
        <v>117520.09000000026</v>
      </c>
      <c r="Q147" s="14"/>
      <c r="R147" s="34">
        <f>IF(P$12=0,0,P147/P$12)</f>
        <v>0.14481117509644037</v>
      </c>
      <c r="S147" s="14"/>
      <c r="T147" s="31">
        <f>+T143-T145</f>
        <v>161832.16070307005</v>
      </c>
      <c r="U147" s="14"/>
      <c r="V147" s="34">
        <f>IF(T$12=0,0,T147/T$12)</f>
        <v>0.18285789262913896</v>
      </c>
      <c r="W147" s="16"/>
      <c r="X147" s="31">
        <f>P147-T147</f>
        <v>-44312.070703069796</v>
      </c>
      <c r="Y147" s="16"/>
      <c r="Z147" s="34">
        <f>IF(T147=0,0,X147/T147)</f>
        <v>-0.27381498529438575</v>
      </c>
    </row>
    <row r="148" spans="1:26" ht="15.75" thickTop="1" x14ac:dyDescent="0.25">
      <c r="A148" s="9"/>
      <c r="B148" s="9"/>
      <c r="C148" s="9"/>
      <c r="D148" s="3"/>
      <c r="E148" s="3"/>
      <c r="F148" s="8"/>
      <c r="G148" s="3"/>
      <c r="H148" s="3"/>
      <c r="I148" s="3"/>
      <c r="J148" s="8"/>
      <c r="K148" s="3"/>
      <c r="L148" s="3"/>
      <c r="M148" s="3"/>
      <c r="N148" s="8"/>
      <c r="P148" s="3"/>
      <c r="Q148" s="3"/>
      <c r="R148" s="8"/>
      <c r="S148" s="3"/>
      <c r="T148" s="3"/>
      <c r="U148" s="3"/>
      <c r="V148" s="8"/>
      <c r="W148" s="3"/>
      <c r="X148" s="3"/>
      <c r="Y148" s="3"/>
      <c r="Z148" s="8"/>
    </row>
    <row r="149" spans="1:26" x14ac:dyDescent="0.25">
      <c r="A149" s="9"/>
      <c r="B149" s="9"/>
      <c r="C149" s="9"/>
      <c r="D149" s="3"/>
      <c r="E149" s="3"/>
      <c r="F149" s="8"/>
      <c r="G149" s="3"/>
      <c r="H149" s="3"/>
      <c r="I149" s="3"/>
      <c r="J149" s="8"/>
      <c r="K149" s="3"/>
      <c r="L149" s="3"/>
      <c r="M149" s="3"/>
      <c r="N149" s="8"/>
      <c r="P149" s="3"/>
      <c r="Q149" s="3"/>
      <c r="R149" s="8"/>
      <c r="S149" s="3"/>
      <c r="T149" s="3"/>
      <c r="U149" s="3"/>
      <c r="V149" s="8"/>
      <c r="W149" s="3"/>
      <c r="X149" s="3"/>
      <c r="Y149" s="3"/>
      <c r="Z149" s="8"/>
    </row>
    <row r="150" spans="1:26" s="23" customFormat="1" ht="15.75" thickBot="1" x14ac:dyDescent="0.3">
      <c r="A150" s="10"/>
      <c r="B150" s="28" t="s">
        <v>5</v>
      </c>
      <c r="C150" s="28"/>
      <c r="D150" s="32">
        <f>SUM(D147:D149)</f>
        <v>-7021.2200000000084</v>
      </c>
      <c r="E150" s="14"/>
      <c r="F150" s="35">
        <f>IF(D$12=0,0,D150/D$12)</f>
        <v>-0.17193242711466486</v>
      </c>
      <c r="G150" s="14"/>
      <c r="H150" s="32">
        <f>SUM(H147:H149)</f>
        <v>10351.666392023391</v>
      </c>
      <c r="I150" s="14"/>
      <c r="J150" s="35">
        <f>IF(H$12=0,0,H150/H$12)</f>
        <v>0.13610405869313003</v>
      </c>
      <c r="K150" s="16"/>
      <c r="L150" s="32">
        <f>+D150-H150</f>
        <v>-17372.8863920234</v>
      </c>
      <c r="M150" s="16"/>
      <c r="N150" s="35">
        <f>IF(H150=0,0,L150/H150)</f>
        <v>-1.6782695398115128</v>
      </c>
      <c r="O150" s="29"/>
      <c r="P150" s="32">
        <f>SUM(P147:P149)</f>
        <v>117520.09000000026</v>
      </c>
      <c r="Q150" s="14"/>
      <c r="R150" s="35">
        <f>IF(P$12=0,0,P150/P$12)</f>
        <v>0.14481117509644037</v>
      </c>
      <c r="S150" s="14"/>
      <c r="T150" s="32">
        <f>SUM(T147:T149)</f>
        <v>161832.16070307005</v>
      </c>
      <c r="U150" s="14"/>
      <c r="V150" s="35">
        <f>IF(T$12=0,0,T150/T$12)</f>
        <v>0.18285789262913896</v>
      </c>
      <c r="W150" s="16"/>
      <c r="X150" s="32">
        <f>+P150-T150</f>
        <v>-44312.070703069796</v>
      </c>
      <c r="Y150" s="16"/>
      <c r="Z150" s="35">
        <f>IF(T150=0,0,X150/T150)</f>
        <v>-0.27381498529438575</v>
      </c>
    </row>
    <row r="151" spans="1:26" ht="15.75" thickTop="1" x14ac:dyDescent="0.25">
      <c r="A151" s="9"/>
      <c r="C151" s="9"/>
      <c r="D151" s="18"/>
      <c r="E151" s="18"/>
      <c r="G151" s="18"/>
      <c r="H151" s="18"/>
      <c r="I151" s="18"/>
      <c r="J151" s="42"/>
      <c r="K151" s="18"/>
      <c r="L151" s="18"/>
      <c r="M151" s="18"/>
      <c r="P151" s="18"/>
      <c r="Q151" s="18"/>
      <c r="R151" s="42"/>
      <c r="S151" s="18"/>
      <c r="T151" s="18"/>
      <c r="U151" s="18"/>
      <c r="V151" s="42"/>
      <c r="W151" s="18"/>
      <c r="X151" s="18"/>
    </row>
    <row r="152" spans="1:26" x14ac:dyDescent="0.25">
      <c r="A152" s="9"/>
      <c r="B152" s="57">
        <v>43934.465953784726</v>
      </c>
      <c r="D152" s="18"/>
      <c r="E152" s="18"/>
      <c r="G152" s="18"/>
      <c r="H152" s="18"/>
      <c r="I152" s="18"/>
      <c r="J152" s="42"/>
      <c r="K152" s="18"/>
      <c r="L152" s="18"/>
      <c r="M152" s="18"/>
      <c r="P152" s="18"/>
      <c r="Q152" s="18"/>
      <c r="R152" s="42"/>
      <c r="S152" s="18"/>
      <c r="T152" s="18"/>
      <c r="U152" s="18"/>
      <c r="V152" s="42"/>
      <c r="W152" s="18"/>
      <c r="X152" s="18"/>
    </row>
    <row r="153" spans="1:26" x14ac:dyDescent="0.25">
      <c r="A153" s="9"/>
      <c r="B153" s="62" t="s">
        <v>314</v>
      </c>
      <c r="D153" s="18"/>
      <c r="E153" s="18"/>
      <c r="G153" s="18"/>
      <c r="H153" s="18"/>
      <c r="I153" s="18"/>
      <c r="J153" s="42"/>
      <c r="K153" s="18"/>
      <c r="L153" s="18"/>
      <c r="M153" s="18"/>
      <c r="P153" s="18"/>
      <c r="Q153" s="18"/>
      <c r="R153" s="42"/>
      <c r="S153" s="18"/>
      <c r="T153" s="18"/>
      <c r="U153" s="18"/>
      <c r="V153" s="42"/>
      <c r="W153" s="18"/>
      <c r="X153" s="18"/>
    </row>
    <row r="154" spans="1:26" x14ac:dyDescent="0.25">
      <c r="A154" s="9"/>
      <c r="B154" s="60"/>
      <c r="D154" s="18"/>
      <c r="E154" s="18"/>
      <c r="G154" s="18"/>
      <c r="H154" s="18"/>
      <c r="I154" s="18"/>
      <c r="J154" s="42"/>
      <c r="K154" s="18"/>
      <c r="L154" s="18"/>
      <c r="M154" s="18"/>
      <c r="P154" s="18"/>
      <c r="Q154" s="18"/>
      <c r="R154" s="42"/>
      <c r="S154" s="18"/>
      <c r="T154" s="18"/>
      <c r="U154" s="18"/>
      <c r="V154" s="42"/>
      <c r="W154" s="18"/>
      <c r="X154" s="18"/>
    </row>
    <row r="155" spans="1:26" x14ac:dyDescent="0.25">
      <c r="D155" s="18"/>
      <c r="E155" s="18"/>
      <c r="G155" s="18"/>
      <c r="H155" s="18"/>
      <c r="I155" s="18"/>
      <c r="J155" s="42"/>
      <c r="K155" s="18"/>
      <c r="L155" s="18"/>
      <c r="M155" s="18"/>
      <c r="P155" s="18"/>
      <c r="Q155" s="18"/>
      <c r="R155" s="42"/>
      <c r="S155" s="18"/>
      <c r="T155" s="18"/>
      <c r="U155" s="18"/>
      <c r="V155" s="42"/>
      <c r="W155" s="18"/>
      <c r="X155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","307", " - ", "Art Store")</f>
        <v>Department 307 - Art Store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26245.64</v>
      </c>
      <c r="E12" s="4"/>
      <c r="F12" s="12"/>
      <c r="G12" s="4"/>
      <c r="H12" s="4">
        <f>SUM(OSRRefH13x_0)</f>
        <v>47513</v>
      </c>
      <c r="I12" s="4"/>
      <c r="J12" s="12"/>
      <c r="K12" s="4"/>
      <c r="L12" s="4">
        <f t="shared" ref="L12:L50" si="0">+D12-H12</f>
        <v>-21267.360000000001</v>
      </c>
      <c r="M12" s="4"/>
      <c r="N12" s="12">
        <f t="shared" ref="N12:N50" si="1">IF(H12=0,0,L12/H12)</f>
        <v>-0.44761139056679228</v>
      </c>
      <c r="O12" s="10"/>
      <c r="P12" s="4">
        <f>SUM(OSRRefP13x_0)</f>
        <v>410549.44000000024</v>
      </c>
      <c r="Q12" s="4"/>
      <c r="R12" s="12"/>
      <c r="S12" s="4"/>
      <c r="T12" s="4">
        <f>SUM(OSRRefT13x_0)</f>
        <v>444043</v>
      </c>
      <c r="U12" s="4"/>
      <c r="V12" s="12"/>
      <c r="W12" s="4"/>
      <c r="X12" s="4">
        <f t="shared" ref="X12:X50" si="2">+P12-T12</f>
        <v>-33493.559999999765</v>
      </c>
      <c r="Y12" s="4"/>
      <c r="Z12" s="12">
        <f t="shared" ref="Z12:Z50" si="3">IF(T12=0,0,X12/T12)</f>
        <v>-7.5428640919910375E-2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33503</v>
      </c>
      <c r="I13" s="2"/>
      <c r="J13" s="19"/>
      <c r="K13" s="2"/>
      <c r="L13" s="2">
        <f t="shared" si="0"/>
        <v>-33503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337994</v>
      </c>
      <c r="U13" s="2"/>
      <c r="V13" s="19"/>
      <c r="W13" s="2"/>
      <c r="X13" s="2">
        <f t="shared" si="2"/>
        <v>-337994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--10.98</f>
        <v>10.98</v>
      </c>
      <c r="E14" s="2"/>
      <c r="F14" s="19"/>
      <c r="G14" s="2"/>
      <c r="H14" s="2"/>
      <c r="I14" s="2"/>
      <c r="J14" s="19"/>
      <c r="K14" s="2"/>
      <c r="L14" s="2">
        <f t="shared" si="0"/>
        <v>10.98</v>
      </c>
      <c r="M14" s="2"/>
      <c r="N14" s="19">
        <f t="shared" si="1"/>
        <v>0</v>
      </c>
      <c r="O14" s="11"/>
      <c r="P14" s="2">
        <f>--71.37</f>
        <v>71.37</v>
      </c>
      <c r="Q14" s="2"/>
      <c r="R14" s="19"/>
      <c r="S14" s="2"/>
      <c r="T14" s="2"/>
      <c r="U14" s="2"/>
      <c r="V14" s="19"/>
      <c r="W14" s="2"/>
      <c r="X14" s="2">
        <f t="shared" si="2"/>
        <v>71.37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>--223.26</f>
        <v>223.26</v>
      </c>
      <c r="E15" s="2"/>
      <c r="F15" s="19"/>
      <c r="G15" s="2"/>
      <c r="H15" s="2"/>
      <c r="I15" s="2"/>
      <c r="J15" s="19"/>
      <c r="K15" s="2"/>
      <c r="L15" s="2">
        <f t="shared" si="0"/>
        <v>223.26</v>
      </c>
      <c r="M15" s="2"/>
      <c r="N15" s="19">
        <f t="shared" si="1"/>
        <v>0</v>
      </c>
      <c r="O15" s="11"/>
      <c r="P15" s="2">
        <f>--2262.94</f>
        <v>2262.94</v>
      </c>
      <c r="Q15" s="2"/>
      <c r="R15" s="19"/>
      <c r="S15" s="2"/>
      <c r="T15" s="2"/>
      <c r="U15" s="2"/>
      <c r="V15" s="19"/>
      <c r="W15" s="2"/>
      <c r="X15" s="2">
        <f t="shared" si="2"/>
        <v>2262.94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>--386.98</f>
        <v>386.98</v>
      </c>
      <c r="E16" s="2"/>
      <c r="F16" s="19"/>
      <c r="G16" s="2"/>
      <c r="H16" s="2"/>
      <c r="I16" s="2"/>
      <c r="J16" s="19"/>
      <c r="K16" s="2"/>
      <c r="L16" s="2">
        <f t="shared" si="0"/>
        <v>386.98</v>
      </c>
      <c r="M16" s="2"/>
      <c r="N16" s="19">
        <f t="shared" si="1"/>
        <v>0</v>
      </c>
      <c r="O16" s="11"/>
      <c r="P16" s="2">
        <f>--6663.38</f>
        <v>6663.38</v>
      </c>
      <c r="Q16" s="2"/>
      <c r="R16" s="19"/>
      <c r="S16" s="2"/>
      <c r="T16" s="2"/>
      <c r="U16" s="2"/>
      <c r="V16" s="19"/>
      <c r="W16" s="2"/>
      <c r="X16" s="2">
        <f t="shared" si="2"/>
        <v>6663.38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>--235.76</f>
        <v>235.76</v>
      </c>
      <c r="E17" s="2"/>
      <c r="F17" s="19"/>
      <c r="G17" s="2"/>
      <c r="H17" s="2"/>
      <c r="I17" s="2"/>
      <c r="J17" s="19"/>
      <c r="K17" s="2"/>
      <c r="L17" s="2">
        <f t="shared" si="0"/>
        <v>235.76</v>
      </c>
      <c r="M17" s="2"/>
      <c r="N17" s="19">
        <f t="shared" si="1"/>
        <v>0</v>
      </c>
      <c r="O17" s="11"/>
      <c r="P17" s="2">
        <f>--9231.13</f>
        <v>9231.1299999999992</v>
      </c>
      <c r="Q17" s="2"/>
      <c r="R17" s="19"/>
      <c r="S17" s="2"/>
      <c r="T17" s="2"/>
      <c r="U17" s="2"/>
      <c r="V17" s="19"/>
      <c r="W17" s="2"/>
      <c r="X17" s="2">
        <f t="shared" si="2"/>
        <v>9231.1299999999992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>--16789.31</f>
        <v>16789.310000000001</v>
      </c>
      <c r="E18" s="2"/>
      <c r="F18" s="19"/>
      <c r="G18" s="2"/>
      <c r="H18" s="2"/>
      <c r="I18" s="2"/>
      <c r="J18" s="19"/>
      <c r="K18" s="2"/>
      <c r="L18" s="2">
        <f t="shared" si="0"/>
        <v>16789.310000000001</v>
      </c>
      <c r="M18" s="2"/>
      <c r="N18" s="19">
        <f t="shared" si="1"/>
        <v>0</v>
      </c>
      <c r="O18" s="11"/>
      <c r="P18" s="2">
        <f>--280493.72</f>
        <v>280493.71999999997</v>
      </c>
      <c r="Q18" s="2"/>
      <c r="R18" s="19"/>
      <c r="S18" s="2"/>
      <c r="T18" s="2"/>
      <c r="U18" s="2"/>
      <c r="V18" s="19"/>
      <c r="W18" s="2"/>
      <c r="X18" s="2">
        <f t="shared" si="2"/>
        <v>280493.71999999997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"4031", " - ", "TAXABLE SALES-FOOD")</f>
        <v xml:space="preserve">          4031 - TAXABLE SALES-FOOD</v>
      </c>
      <c r="C19" s="11"/>
      <c r="D19" s="2">
        <f>--44.3</f>
        <v>44.3</v>
      </c>
      <c r="E19" s="2"/>
      <c r="F19" s="19"/>
      <c r="G19" s="2"/>
      <c r="H19" s="2"/>
      <c r="I19" s="2"/>
      <c r="J19" s="19"/>
      <c r="K19" s="2"/>
      <c r="L19" s="2">
        <f t="shared" si="0"/>
        <v>44.3</v>
      </c>
      <c r="M19" s="2"/>
      <c r="N19" s="19">
        <f t="shared" si="1"/>
        <v>0</v>
      </c>
      <c r="O19" s="11"/>
      <c r="P19" s="2">
        <f>--486.34</f>
        <v>486.34</v>
      </c>
      <c r="Q19" s="2"/>
      <c r="R19" s="19"/>
      <c r="S19" s="2"/>
      <c r="T19" s="2"/>
      <c r="U19" s="2"/>
      <c r="V19" s="19"/>
      <c r="W19" s="2"/>
      <c r="X19" s="2">
        <f t="shared" si="2"/>
        <v>486.34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"4032", " - ", "TAXABLE SALES-JUICE")</f>
        <v xml:space="preserve">          4032 - TAXABLE SALES-JUICE</v>
      </c>
      <c r="C20" s="11"/>
      <c r="D20" s="2">
        <f>--240.81</f>
        <v>240.81</v>
      </c>
      <c r="E20" s="2"/>
      <c r="F20" s="19"/>
      <c r="G20" s="2"/>
      <c r="H20" s="2"/>
      <c r="I20" s="2"/>
      <c r="J20" s="19"/>
      <c r="K20" s="2"/>
      <c r="L20" s="2">
        <f t="shared" si="0"/>
        <v>240.81</v>
      </c>
      <c r="M20" s="2"/>
      <c r="N20" s="19">
        <f t="shared" si="1"/>
        <v>0</v>
      </c>
      <c r="O20" s="11"/>
      <c r="P20" s="2">
        <f>--1905.06</f>
        <v>1905.06</v>
      </c>
      <c r="Q20" s="2"/>
      <c r="R20" s="19"/>
      <c r="S20" s="2"/>
      <c r="T20" s="2"/>
      <c r="U20" s="2"/>
      <c r="V20" s="19"/>
      <c r="W20" s="2"/>
      <c r="X20" s="2">
        <f t="shared" si="2"/>
        <v>1905.06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"4033", " - ", "TAXABLE SALES-CANDY")</f>
        <v xml:space="preserve">          4033 - TAXABLE SALES-CANDY</v>
      </c>
      <c r="C21" s="11"/>
      <c r="D21" s="2">
        <f>--25.55</f>
        <v>25.55</v>
      </c>
      <c r="E21" s="2"/>
      <c r="F21" s="19"/>
      <c r="G21" s="2"/>
      <c r="H21" s="2"/>
      <c r="I21" s="2"/>
      <c r="J21" s="19"/>
      <c r="K21" s="2"/>
      <c r="L21" s="2">
        <f t="shared" si="0"/>
        <v>25.55</v>
      </c>
      <c r="M21" s="2"/>
      <c r="N21" s="19">
        <f t="shared" si="1"/>
        <v>0</v>
      </c>
      <c r="O21" s="11"/>
      <c r="P21" s="2">
        <f>--205.53</f>
        <v>205.53</v>
      </c>
      <c r="Q21" s="2"/>
      <c r="R21" s="19"/>
      <c r="S21" s="2"/>
      <c r="T21" s="2"/>
      <c r="U21" s="2"/>
      <c r="V21" s="19"/>
      <c r="W21" s="2"/>
      <c r="X21" s="2">
        <f t="shared" si="2"/>
        <v>205.53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"4034", " - ", "TAXABLE SALES-SODA")</f>
        <v xml:space="preserve">          4034 - TAXABLE SALES-SODA</v>
      </c>
      <c r="C22" s="11"/>
      <c r="D22" s="2">
        <f>--600.08</f>
        <v>600.08000000000004</v>
      </c>
      <c r="E22" s="2"/>
      <c r="F22" s="19"/>
      <c r="G22" s="2"/>
      <c r="H22" s="2"/>
      <c r="I22" s="2"/>
      <c r="J22" s="19"/>
      <c r="K22" s="2"/>
      <c r="L22" s="2">
        <f t="shared" si="0"/>
        <v>600.08000000000004</v>
      </c>
      <c r="M22" s="2"/>
      <c r="N22" s="19">
        <f t="shared" si="1"/>
        <v>0</v>
      </c>
      <c r="O22" s="11"/>
      <c r="P22" s="2">
        <f>--7803.51</f>
        <v>7803.51</v>
      </c>
      <c r="Q22" s="2"/>
      <c r="R22" s="19"/>
      <c r="S22" s="2"/>
      <c r="T22" s="2"/>
      <c r="U22" s="2"/>
      <c r="V22" s="19"/>
      <c r="W22" s="2"/>
      <c r="X22" s="2">
        <f t="shared" si="2"/>
        <v>7803.51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"4035", " - ", "TAXABLE SALES-HEALTH &amp; BEAUTY")</f>
        <v xml:space="preserve">          4035 - TAXABLE SALES-HEALTH &amp; BEAUTY</v>
      </c>
      <c r="C23" s="11"/>
      <c r="D23" s="2">
        <f>--97.37</f>
        <v>97.37</v>
      </c>
      <c r="E23" s="2"/>
      <c r="F23" s="19"/>
      <c r="G23" s="2"/>
      <c r="H23" s="2"/>
      <c r="I23" s="2"/>
      <c r="J23" s="19"/>
      <c r="K23" s="2"/>
      <c r="L23" s="2">
        <f t="shared" si="0"/>
        <v>97.37</v>
      </c>
      <c r="M23" s="2"/>
      <c r="N23" s="19">
        <f t="shared" si="1"/>
        <v>0</v>
      </c>
      <c r="O23" s="11"/>
      <c r="P23" s="2">
        <f>--1961.69</f>
        <v>1961.69</v>
      </c>
      <c r="Q23" s="2"/>
      <c r="R23" s="19"/>
      <c r="S23" s="2"/>
      <c r="T23" s="2"/>
      <c r="U23" s="2"/>
      <c r="V23" s="19"/>
      <c r="W23" s="2"/>
      <c r="X23" s="2">
        <f t="shared" si="2"/>
        <v>1961.69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"4037", " - ", "TAXABLE SALES-WATER")</f>
        <v xml:space="preserve">          4037 - TAXABLE SALES-WATER</v>
      </c>
      <c r="C24" s="11"/>
      <c r="D24" s="2">
        <f>--24.8</f>
        <v>24.8</v>
      </c>
      <c r="E24" s="2"/>
      <c r="F24" s="19"/>
      <c r="G24" s="2"/>
      <c r="H24" s="2"/>
      <c r="I24" s="2"/>
      <c r="J24" s="19"/>
      <c r="K24" s="2"/>
      <c r="L24" s="2">
        <f t="shared" si="0"/>
        <v>24.8</v>
      </c>
      <c r="M24" s="2"/>
      <c r="N24" s="19">
        <f t="shared" si="1"/>
        <v>0</v>
      </c>
      <c r="O24" s="11"/>
      <c r="P24" s="2">
        <f>--513.51</f>
        <v>513.51</v>
      </c>
      <c r="Q24" s="2"/>
      <c r="R24" s="19"/>
      <c r="S24" s="2"/>
      <c r="T24" s="2"/>
      <c r="U24" s="2"/>
      <c r="V24" s="19"/>
      <c r="W24" s="2"/>
      <c r="X24" s="2">
        <f t="shared" si="2"/>
        <v>513.51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"4041", " - ", "TAXABLE SALES-LOGO GIFTS")</f>
        <v xml:space="preserve">          4041 - TAXABLE SALES-LOGO GIFTS</v>
      </c>
      <c r="C25" s="11"/>
      <c r="D25" s="2">
        <f>--130.53</f>
        <v>130.53</v>
      </c>
      <c r="E25" s="2"/>
      <c r="F25" s="19"/>
      <c r="G25" s="2"/>
      <c r="H25" s="2"/>
      <c r="I25" s="2"/>
      <c r="J25" s="19"/>
      <c r="K25" s="2"/>
      <c r="L25" s="2">
        <f t="shared" si="0"/>
        <v>130.53</v>
      </c>
      <c r="M25" s="2"/>
      <c r="N25" s="19">
        <f t="shared" si="1"/>
        <v>0</v>
      </c>
      <c r="O25" s="11"/>
      <c r="P25" s="2">
        <f>--494.2</f>
        <v>494.2</v>
      </c>
      <c r="Q25" s="2"/>
      <c r="R25" s="19"/>
      <c r="S25" s="2"/>
      <c r="T25" s="2"/>
      <c r="U25" s="2"/>
      <c r="V25" s="19"/>
      <c r="W25" s="2"/>
      <c r="X25" s="2">
        <f t="shared" si="2"/>
        <v>494.2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"4042", " - ", "TAXABLE SALES-EVERYDAY GIFTS")</f>
        <v xml:space="preserve">          4042 - TAXABLE SALES-EVERYDAY GIFTS</v>
      </c>
      <c r="C26" s="11"/>
      <c r="D26" s="2">
        <f>--155.99</f>
        <v>155.99</v>
      </c>
      <c r="E26" s="2"/>
      <c r="F26" s="19"/>
      <c r="G26" s="2"/>
      <c r="H26" s="2"/>
      <c r="I26" s="2"/>
      <c r="J26" s="19"/>
      <c r="K26" s="2"/>
      <c r="L26" s="2">
        <f t="shared" si="0"/>
        <v>155.99</v>
      </c>
      <c r="M26" s="2"/>
      <c r="N26" s="19">
        <f t="shared" si="1"/>
        <v>0</v>
      </c>
      <c r="O26" s="11"/>
      <c r="P26" s="2">
        <f>--583.7</f>
        <v>583.70000000000005</v>
      </c>
      <c r="Q26" s="2"/>
      <c r="R26" s="19"/>
      <c r="S26" s="2"/>
      <c r="T26" s="2"/>
      <c r="U26" s="2"/>
      <c r="V26" s="19"/>
      <c r="W26" s="2"/>
      <c r="X26" s="2">
        <f t="shared" si="2"/>
        <v>583.70000000000005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"4044", " - ", "TAXABLE SALES-ACCESSORIES")</f>
        <v xml:space="preserve">          4044 - TAXABLE SALES-ACCESSORIES</v>
      </c>
      <c r="C27" s="11"/>
      <c r="D27" s="2">
        <f>--19.95</f>
        <v>19.95</v>
      </c>
      <c r="E27" s="2"/>
      <c r="F27" s="19"/>
      <c r="G27" s="2"/>
      <c r="H27" s="2"/>
      <c r="I27" s="2"/>
      <c r="J27" s="19"/>
      <c r="K27" s="2"/>
      <c r="L27" s="2">
        <f t="shared" si="0"/>
        <v>19.95</v>
      </c>
      <c r="M27" s="2"/>
      <c r="N27" s="19">
        <f t="shared" si="1"/>
        <v>0</v>
      </c>
      <c r="O27" s="11"/>
      <c r="P27" s="2">
        <f>--179.5</f>
        <v>179.5</v>
      </c>
      <c r="Q27" s="2"/>
      <c r="R27" s="19"/>
      <c r="S27" s="2"/>
      <c r="T27" s="2"/>
      <c r="U27" s="2"/>
      <c r="V27" s="19"/>
      <c r="W27" s="2"/>
      <c r="X27" s="2">
        <f t="shared" si="2"/>
        <v>179.5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"4081", " - ", "TAXABLE SALES-ELECTRONICS")</f>
        <v xml:space="preserve">          4081 - TAXABLE SALES-ELECTRONICS</v>
      </c>
      <c r="C28" s="11"/>
      <c r="D28" s="2">
        <f>--64.95</f>
        <v>64.95</v>
      </c>
      <c r="E28" s="2"/>
      <c r="F28" s="19"/>
      <c r="G28" s="2"/>
      <c r="H28" s="2"/>
      <c r="I28" s="2"/>
      <c r="J28" s="19"/>
      <c r="K28" s="2"/>
      <c r="L28" s="2">
        <f t="shared" si="0"/>
        <v>64.95</v>
      </c>
      <c r="M28" s="2"/>
      <c r="N28" s="19">
        <f t="shared" si="1"/>
        <v>0</v>
      </c>
      <c r="O28" s="11"/>
      <c r="P28" s="2">
        <f>--3174.93</f>
        <v>3174.93</v>
      </c>
      <c r="Q28" s="2"/>
      <c r="R28" s="19"/>
      <c r="S28" s="2"/>
      <c r="T28" s="2"/>
      <c r="U28" s="2"/>
      <c r="V28" s="19"/>
      <c r="W28" s="2"/>
      <c r="X28" s="2">
        <f t="shared" si="2"/>
        <v>3174.93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"4082", " - ", "TAXABLE SALES-COMPUTER HARDWAR")</f>
        <v xml:space="preserve">          4082 - TAXABLE SALES-COMPUTER HARDWAR</v>
      </c>
      <c r="C29" s="11"/>
      <c r="D29" s="2">
        <f>--67.96</f>
        <v>67.959999999999994</v>
      </c>
      <c r="E29" s="2"/>
      <c r="F29" s="19"/>
      <c r="G29" s="2"/>
      <c r="H29" s="2"/>
      <c r="I29" s="2"/>
      <c r="J29" s="19"/>
      <c r="K29" s="2"/>
      <c r="L29" s="2">
        <f t="shared" si="0"/>
        <v>67.959999999999994</v>
      </c>
      <c r="M29" s="2"/>
      <c r="N29" s="19">
        <f t="shared" si="1"/>
        <v>0</v>
      </c>
      <c r="O29" s="11"/>
      <c r="P29" s="2">
        <f>--363.94</f>
        <v>363.94</v>
      </c>
      <c r="Q29" s="2"/>
      <c r="R29" s="19"/>
      <c r="S29" s="2"/>
      <c r="T29" s="2"/>
      <c r="U29" s="2"/>
      <c r="V29" s="19"/>
      <c r="W29" s="2"/>
      <c r="X29" s="2">
        <f t="shared" si="2"/>
        <v>363.94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"4083", " - ", "TAXABLE SALES-COMPUTER EQUIPME")</f>
        <v xml:space="preserve">          4083 - TAXABLE SALES-COMPUTER EQUIPME</v>
      </c>
      <c r="C30" s="11"/>
      <c r="D30" s="2">
        <f>--29.97</f>
        <v>29.97</v>
      </c>
      <c r="E30" s="2"/>
      <c r="F30" s="19"/>
      <c r="G30" s="2"/>
      <c r="H30" s="2"/>
      <c r="I30" s="2"/>
      <c r="J30" s="19"/>
      <c r="K30" s="2"/>
      <c r="L30" s="2">
        <f t="shared" si="0"/>
        <v>29.97</v>
      </c>
      <c r="M30" s="2"/>
      <c r="N30" s="19">
        <f t="shared" si="1"/>
        <v>0</v>
      </c>
      <c r="O30" s="11"/>
      <c r="P30" s="2">
        <f>--914.33</f>
        <v>914.33</v>
      </c>
      <c r="Q30" s="2"/>
      <c r="R30" s="19"/>
      <c r="S30" s="2"/>
      <c r="T30" s="2"/>
      <c r="U30" s="2"/>
      <c r="V30" s="19"/>
      <c r="W30" s="2"/>
      <c r="X30" s="2">
        <f t="shared" si="2"/>
        <v>914.33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"4086", " - ", "TAXABLE SALES-COMPUTER SUPPLIE")</f>
        <v xml:space="preserve">          4086 - TAXABLE SALES-COMPUTER SUPPLIE</v>
      </c>
      <c r="C31" s="11"/>
      <c r="D31" s="2">
        <f>--9</f>
        <v>9</v>
      </c>
      <c r="E31" s="2"/>
      <c r="F31" s="19"/>
      <c r="G31" s="2"/>
      <c r="H31" s="2"/>
      <c r="I31" s="2"/>
      <c r="J31" s="19"/>
      <c r="K31" s="2"/>
      <c r="L31" s="2">
        <f t="shared" si="0"/>
        <v>9</v>
      </c>
      <c r="M31" s="2"/>
      <c r="N31" s="19">
        <f t="shared" si="1"/>
        <v>0</v>
      </c>
      <c r="O31" s="11"/>
      <c r="P31" s="2">
        <f>--813.74</f>
        <v>813.74</v>
      </c>
      <c r="Q31" s="2"/>
      <c r="R31" s="19"/>
      <c r="S31" s="2"/>
      <c r="T31" s="2"/>
      <c r="U31" s="2"/>
      <c r="V31" s="19"/>
      <c r="W31" s="2"/>
      <c r="X31" s="2">
        <f t="shared" si="2"/>
        <v>813.74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"4100", " - ", "NON-TAXABLE SALES")</f>
        <v xml:space="preserve">          4100 - NON-TAXABLE SALES</v>
      </c>
      <c r="C32" s="11"/>
      <c r="D32" s="2">
        <f t="shared" ref="D32:D35" si="4">0</f>
        <v>0</v>
      </c>
      <c r="E32" s="2"/>
      <c r="F32" s="19"/>
      <c r="G32" s="2"/>
      <c r="H32" s="2">
        <v>14010</v>
      </c>
      <c r="I32" s="2"/>
      <c r="J32" s="19"/>
      <c r="K32" s="2"/>
      <c r="L32" s="2">
        <f t="shared" si="0"/>
        <v>-14010</v>
      </c>
      <c r="M32" s="2"/>
      <c r="N32" s="19">
        <f t="shared" si="1"/>
        <v>-1</v>
      </c>
      <c r="O32" s="11"/>
      <c r="P32" s="2">
        <f>0</f>
        <v>0</v>
      </c>
      <c r="Q32" s="2"/>
      <c r="R32" s="19"/>
      <c r="S32" s="2"/>
      <c r="T32" s="2">
        <v>106049</v>
      </c>
      <c r="U32" s="2"/>
      <c r="V32" s="19"/>
      <c r="W32" s="2"/>
      <c r="X32" s="2">
        <f t="shared" si="2"/>
        <v>-106049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"4126", " - ", "NON-TAXABLE SALES-WRITING INST")</f>
        <v xml:space="preserve">          4126 - NON-TAXABLE SALES-WRITING INST</v>
      </c>
      <c r="C33" s="11"/>
      <c r="D33" s="2">
        <f t="shared" si="4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--2.49</f>
        <v>2.4900000000000002</v>
      </c>
      <c r="Q33" s="2"/>
      <c r="R33" s="19"/>
      <c r="S33" s="2"/>
      <c r="T33" s="2"/>
      <c r="U33" s="2"/>
      <c r="V33" s="19"/>
      <c r="W33" s="2"/>
      <c r="X33" s="2">
        <f t="shared" si="2"/>
        <v>2.4900000000000002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"4127", " - ", "NON-TAXABLE SALES-SCHOOL SUPPL")</f>
        <v xml:space="preserve">          4127 - NON-TAXABLE SALES-SCHOOL SUPPL</v>
      </c>
      <c r="C34" s="11"/>
      <c r="D34" s="2">
        <f t="shared" si="4"/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--16.45</f>
        <v>16.45</v>
      </c>
      <c r="Q34" s="2"/>
      <c r="R34" s="19"/>
      <c r="S34" s="2"/>
      <c r="T34" s="2"/>
      <c r="U34" s="2"/>
      <c r="V34" s="19"/>
      <c r="W34" s="2"/>
      <c r="X34" s="2">
        <f t="shared" si="2"/>
        <v>16.45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"4128", " - ", "NON-TAXABLE SALES-ART/TECH")</f>
        <v xml:space="preserve">          4128 - NON-TAXABLE SALES-ART/TECH</v>
      </c>
      <c r="C35" s="11"/>
      <c r="D35" s="2">
        <f t="shared" si="4"/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--242.09</f>
        <v>242.09</v>
      </c>
      <c r="Q35" s="2"/>
      <c r="R35" s="19"/>
      <c r="S35" s="2"/>
      <c r="T35" s="2"/>
      <c r="U35" s="2"/>
      <c r="V35" s="19"/>
      <c r="W35" s="2"/>
      <c r="X35" s="2">
        <f t="shared" si="2"/>
        <v>242.09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"4131", " - ", "NON-TAXABLE SALES-FOOD")</f>
        <v xml:space="preserve">          4131 - NON-TAXABLE SALES-FOOD</v>
      </c>
      <c r="C36" s="11"/>
      <c r="D36" s="2">
        <f>--4347.45</f>
        <v>4347.45</v>
      </c>
      <c r="E36" s="2"/>
      <c r="F36" s="19"/>
      <c r="G36" s="2"/>
      <c r="H36" s="2"/>
      <c r="I36" s="2"/>
      <c r="J36" s="19"/>
      <c r="K36" s="2"/>
      <c r="L36" s="2">
        <f t="shared" si="0"/>
        <v>4347.45</v>
      </c>
      <c r="M36" s="2"/>
      <c r="N36" s="19">
        <f t="shared" si="1"/>
        <v>0</v>
      </c>
      <c r="O36" s="11"/>
      <c r="P36" s="2">
        <f>--56310.14</f>
        <v>56310.14</v>
      </c>
      <c r="Q36" s="2"/>
      <c r="R36" s="19"/>
      <c r="S36" s="2"/>
      <c r="T36" s="2"/>
      <c r="U36" s="2"/>
      <c r="V36" s="19"/>
      <c r="W36" s="2"/>
      <c r="X36" s="2">
        <f t="shared" si="2"/>
        <v>56310.14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"4132", " - ", "NON-TAXABLE SALES-JUICE")</f>
        <v xml:space="preserve">          4132 - NON-TAXABLE SALES-JUICE</v>
      </c>
      <c r="C37" s="11"/>
      <c r="D37" s="2">
        <f>--1150.46</f>
        <v>1150.46</v>
      </c>
      <c r="E37" s="2"/>
      <c r="F37" s="19"/>
      <c r="G37" s="2"/>
      <c r="H37" s="2"/>
      <c r="I37" s="2"/>
      <c r="J37" s="19"/>
      <c r="K37" s="2"/>
      <c r="L37" s="2">
        <f t="shared" si="0"/>
        <v>1150.46</v>
      </c>
      <c r="M37" s="2"/>
      <c r="N37" s="19">
        <f t="shared" si="1"/>
        <v>0</v>
      </c>
      <c r="O37" s="11"/>
      <c r="P37" s="2">
        <f>--16199.63</f>
        <v>16199.63</v>
      </c>
      <c r="Q37" s="2"/>
      <c r="R37" s="19"/>
      <c r="S37" s="2"/>
      <c r="T37" s="2"/>
      <c r="U37" s="2"/>
      <c r="V37" s="19"/>
      <c r="W37" s="2"/>
      <c r="X37" s="2">
        <f t="shared" si="2"/>
        <v>16199.63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"4133", " - ", "NON-TAXABLE SALES-CANDY")</f>
        <v xml:space="preserve">          4133 - NON-TAXABLE SALES-CANDY</v>
      </c>
      <c r="C38" s="11"/>
      <c r="D38" s="2">
        <f>--1120.6</f>
        <v>1120.5999999999999</v>
      </c>
      <c r="E38" s="2"/>
      <c r="F38" s="19"/>
      <c r="G38" s="2"/>
      <c r="H38" s="2"/>
      <c r="I38" s="2"/>
      <c r="J38" s="19"/>
      <c r="K38" s="2"/>
      <c r="L38" s="2">
        <f t="shared" si="0"/>
        <v>1120.5999999999999</v>
      </c>
      <c r="M38" s="2"/>
      <c r="N38" s="19">
        <f t="shared" si="1"/>
        <v>0</v>
      </c>
      <c r="O38" s="11"/>
      <c r="P38" s="2">
        <f>--15823.84</f>
        <v>15823.84</v>
      </c>
      <c r="Q38" s="2"/>
      <c r="R38" s="19"/>
      <c r="S38" s="2"/>
      <c r="T38" s="2"/>
      <c r="U38" s="2"/>
      <c r="V38" s="19"/>
      <c r="W38" s="2"/>
      <c r="X38" s="2">
        <f t="shared" si="2"/>
        <v>15823.84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"4134", " - ", "NON-TAXABLE SALES-SODA")</f>
        <v xml:space="preserve">          4134 - NON-TAXABLE SALES-SODA</v>
      </c>
      <c r="C39" s="11"/>
      <c r="D39" s="2">
        <f t="shared" ref="D39:D40" si="5">0</f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--1.89</f>
        <v>1.89</v>
      </c>
      <c r="Q39" s="2"/>
      <c r="R39" s="19"/>
      <c r="S39" s="2"/>
      <c r="T39" s="2"/>
      <c r="U39" s="2"/>
      <c r="V39" s="19"/>
      <c r="W39" s="2"/>
      <c r="X39" s="2">
        <f t="shared" si="2"/>
        <v>1.89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"4135", " - ", "NON-TAXABLE SALES")</f>
        <v xml:space="preserve">          4135 - NON-TAXABLE SALES</v>
      </c>
      <c r="C40" s="11"/>
      <c r="D40" s="2">
        <f t="shared" si="5"/>
        <v>0</v>
      </c>
      <c r="E40" s="2"/>
      <c r="F40" s="19"/>
      <c r="G40" s="2"/>
      <c r="H40" s="2"/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--111.24</f>
        <v>111.24</v>
      </c>
      <c r="Q40" s="2"/>
      <c r="R40" s="19"/>
      <c r="S40" s="2"/>
      <c r="T40" s="2"/>
      <c r="U40" s="2"/>
      <c r="V40" s="19"/>
      <c r="W40" s="2"/>
      <c r="X40" s="2">
        <f t="shared" si="2"/>
        <v>111.24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"4137", " - ", "NON-TAXABLE SALES-WATER")</f>
        <v xml:space="preserve">          4137 - NON-TAXABLE SALES-WATER</v>
      </c>
      <c r="C41" s="11"/>
      <c r="D41" s="2">
        <f>--623</f>
        <v>623</v>
      </c>
      <c r="E41" s="2"/>
      <c r="F41" s="19"/>
      <c r="G41" s="2"/>
      <c r="H41" s="2"/>
      <c r="I41" s="2"/>
      <c r="J41" s="19"/>
      <c r="K41" s="2"/>
      <c r="L41" s="2">
        <f t="shared" si="0"/>
        <v>623</v>
      </c>
      <c r="M41" s="2"/>
      <c r="N41" s="19">
        <f t="shared" si="1"/>
        <v>0</v>
      </c>
      <c r="O41" s="11"/>
      <c r="P41" s="2">
        <f>--8396.06</f>
        <v>8396.06</v>
      </c>
      <c r="Q41" s="2"/>
      <c r="R41" s="19"/>
      <c r="S41" s="2"/>
      <c r="T41" s="2"/>
      <c r="U41" s="2"/>
      <c r="V41" s="19"/>
      <c r="W41" s="2"/>
      <c r="X41" s="2">
        <f t="shared" si="2"/>
        <v>8396.06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"4186", " - ", "NON-TAXABLE SALES-COMPUTER SUP")</f>
        <v xml:space="preserve">          4186 - NON-TAXABLE SALES-COMPUTER SUP</v>
      </c>
      <c r="C42" s="11"/>
      <c r="D42" s="2">
        <f t="shared" ref="D42:D43" si="6">0</f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-30.97</f>
        <v>-30.97</v>
      </c>
      <c r="Q42" s="2"/>
      <c r="R42" s="19"/>
      <c r="S42" s="2"/>
      <c r="T42" s="2"/>
      <c r="U42" s="2"/>
      <c r="V42" s="19"/>
      <c r="W42" s="2"/>
      <c r="X42" s="2">
        <f t="shared" si="2"/>
        <v>-30.97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"4225", " - ", "SALES RETURN TAXABLE-TEST FORM")</f>
        <v xml:space="preserve">          4225 - SALES RETURN TAXABLE-TEST FORM</v>
      </c>
      <c r="C43" s="11"/>
      <c r="D43" s="2">
        <f t="shared" si="6"/>
        <v>0</v>
      </c>
      <c r="E43" s="2"/>
      <c r="F43" s="19"/>
      <c r="G43" s="2"/>
      <c r="H43" s="2"/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-35.13</f>
        <v>-35.130000000000003</v>
      </c>
      <c r="Q43" s="2"/>
      <c r="R43" s="19"/>
      <c r="S43" s="2"/>
      <c r="T43" s="2"/>
      <c r="U43" s="2"/>
      <c r="V43" s="19"/>
      <c r="W43" s="2"/>
      <c r="X43" s="2">
        <f t="shared" si="2"/>
        <v>-35.130000000000003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"4226", " - ", "SALES RETURN TAXABLE-WRITING I")</f>
        <v xml:space="preserve">          4226 - SALES RETURN TAXABLE-WRITING I</v>
      </c>
      <c r="C44" s="11"/>
      <c r="D44" s="2">
        <f>-2.29</f>
        <v>-2.29</v>
      </c>
      <c r="E44" s="2"/>
      <c r="F44" s="19"/>
      <c r="G44" s="2"/>
      <c r="H44" s="2"/>
      <c r="I44" s="2"/>
      <c r="J44" s="19"/>
      <c r="K44" s="2"/>
      <c r="L44" s="2">
        <f t="shared" si="0"/>
        <v>-2.29</v>
      </c>
      <c r="M44" s="2"/>
      <c r="N44" s="19">
        <f t="shared" si="1"/>
        <v>0</v>
      </c>
      <c r="O44" s="11"/>
      <c r="P44" s="2">
        <f>-11.05</f>
        <v>-11.05</v>
      </c>
      <c r="Q44" s="2"/>
      <c r="R44" s="19"/>
      <c r="S44" s="2"/>
      <c r="T44" s="2"/>
      <c r="U44" s="2"/>
      <c r="V44" s="19"/>
      <c r="W44" s="2"/>
      <c r="X44" s="2">
        <f t="shared" si="2"/>
        <v>-11.05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"4227", " - ", "SALES RETURN TAXABLE-SCHOOL SU")</f>
        <v xml:space="preserve">          4227 - SALES RETURN TAXABLE-SCHOOL SU</v>
      </c>
      <c r="C45" s="11"/>
      <c r="D45" s="2">
        <f>0</f>
        <v>0</v>
      </c>
      <c r="E45" s="2"/>
      <c r="F45" s="19"/>
      <c r="G45" s="2"/>
      <c r="H45" s="2"/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-42.06</f>
        <v>-42.06</v>
      </c>
      <c r="Q45" s="2"/>
      <c r="R45" s="19"/>
      <c r="S45" s="2"/>
      <c r="T45" s="2"/>
      <c r="U45" s="2"/>
      <c r="V45" s="19"/>
      <c r="W45" s="2"/>
      <c r="X45" s="2">
        <f t="shared" si="2"/>
        <v>-42.06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"4228", " - ", "SALES RETURN TAXABLE-ART/TECH")</f>
        <v xml:space="preserve">          4228 - SALES RETURN TAXABLE-ART/TECH</v>
      </c>
      <c r="C46" s="11"/>
      <c r="D46" s="2">
        <f>-139.18</f>
        <v>-139.18</v>
      </c>
      <c r="E46" s="2"/>
      <c r="F46" s="19"/>
      <c r="G46" s="2"/>
      <c r="H46" s="2"/>
      <c r="I46" s="2"/>
      <c r="J46" s="19"/>
      <c r="K46" s="2"/>
      <c r="L46" s="2">
        <f t="shared" si="0"/>
        <v>-139.18</v>
      </c>
      <c r="M46" s="2"/>
      <c r="N46" s="19">
        <f t="shared" si="1"/>
        <v>0</v>
      </c>
      <c r="O46" s="11"/>
      <c r="P46" s="2">
        <f>-4479.12</f>
        <v>-4479.12</v>
      </c>
      <c r="Q46" s="2"/>
      <c r="R46" s="19"/>
      <c r="S46" s="2"/>
      <c r="T46" s="2"/>
      <c r="U46" s="2"/>
      <c r="V46" s="19"/>
      <c r="W46" s="2"/>
      <c r="X46" s="2">
        <f t="shared" si="2"/>
        <v>-4479.12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"4233", " - ", "SALES RETURN TAXABLE-CANDY")</f>
        <v xml:space="preserve">          4233 - SALES RETURN TAXABLE-CANDY</v>
      </c>
      <c r="C47" s="11"/>
      <c r="D47" s="2">
        <f>-6.96</f>
        <v>-6.96</v>
      </c>
      <c r="E47" s="2"/>
      <c r="F47" s="19"/>
      <c r="G47" s="2"/>
      <c r="H47" s="2"/>
      <c r="I47" s="2"/>
      <c r="J47" s="19"/>
      <c r="K47" s="2"/>
      <c r="L47" s="2">
        <f t="shared" si="0"/>
        <v>-6.96</v>
      </c>
      <c r="M47" s="2"/>
      <c r="N47" s="19">
        <f t="shared" si="1"/>
        <v>0</v>
      </c>
      <c r="O47" s="11"/>
      <c r="P47" s="2">
        <f>-8.25</f>
        <v>-8.25</v>
      </c>
      <c r="Q47" s="2"/>
      <c r="R47" s="19"/>
      <c r="S47" s="2"/>
      <c r="T47" s="2"/>
      <c r="U47" s="2"/>
      <c r="V47" s="19"/>
      <c r="W47" s="2"/>
      <c r="X47" s="2">
        <f t="shared" si="2"/>
        <v>-8.25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"4281", " - ", "SALES RETURN TAXABLE-ELECTRONI")</f>
        <v xml:space="preserve">          4281 - SALES RETURN TAXABLE-ELECTRONI</v>
      </c>
      <c r="C48" s="11"/>
      <c r="D48" s="2">
        <f>0</f>
        <v>0</v>
      </c>
      <c r="E48" s="2"/>
      <c r="F48" s="19"/>
      <c r="G48" s="2"/>
      <c r="H48" s="2"/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>-54.97</f>
        <v>-54.97</v>
      </c>
      <c r="Q48" s="2"/>
      <c r="R48" s="19"/>
      <c r="S48" s="2"/>
      <c r="T48" s="2"/>
      <c r="U48" s="2"/>
      <c r="V48" s="19"/>
      <c r="W48" s="2"/>
      <c r="X48" s="2">
        <f t="shared" si="2"/>
        <v>-54.97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"4331", " - ", "SALES RETURN NON TAXABLE-FOOD")</f>
        <v xml:space="preserve">          4331 - SALES RETURN NON TAXABLE-FOOD</v>
      </c>
      <c r="C49" s="11"/>
      <c r="D49" s="2">
        <f>-4.99</f>
        <v>-4.99</v>
      </c>
      <c r="E49" s="2"/>
      <c r="F49" s="19"/>
      <c r="G49" s="2"/>
      <c r="H49" s="2"/>
      <c r="I49" s="2"/>
      <c r="J49" s="19"/>
      <c r="K49" s="2"/>
      <c r="L49" s="2">
        <f t="shared" si="0"/>
        <v>-4.99</v>
      </c>
      <c r="M49" s="2"/>
      <c r="N49" s="19">
        <f t="shared" si="1"/>
        <v>0</v>
      </c>
      <c r="O49" s="11"/>
      <c r="P49" s="2">
        <f>-12.57</f>
        <v>-12.57</v>
      </c>
      <c r="Q49" s="2"/>
      <c r="R49" s="19"/>
      <c r="S49" s="2"/>
      <c r="T49" s="2"/>
      <c r="U49" s="2"/>
      <c r="V49" s="19"/>
      <c r="W49" s="2"/>
      <c r="X49" s="2">
        <f t="shared" si="2"/>
        <v>-12.57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"4332", " - ", "SALES RETURN NON TAXABLE-JUICE")</f>
        <v xml:space="preserve">          4332 - SALES RETURN NON TAXABLE-JUICE</v>
      </c>
      <c r="C50" s="11"/>
      <c r="D50" s="2">
        <f>0</f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-2.79</f>
        <v>-2.79</v>
      </c>
      <c r="Q50" s="2"/>
      <c r="R50" s="19"/>
      <c r="S50" s="2"/>
      <c r="T50" s="2"/>
      <c r="U50" s="2"/>
      <c r="V50" s="19"/>
      <c r="W50" s="2"/>
      <c r="X50" s="2">
        <f t="shared" si="2"/>
        <v>-2.79</v>
      </c>
      <c r="Y50" s="2"/>
      <c r="Z50" s="19">
        <f t="shared" si="3"/>
        <v>0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collapsed="1" x14ac:dyDescent="0.25">
      <c r="A52" s="10"/>
      <c r="B52" s="29" t="s">
        <v>8</v>
      </c>
      <c r="C52" s="10"/>
      <c r="D52" s="4">
        <f>SUM(OSRRefD16x_0)</f>
        <v>13768.570000000002</v>
      </c>
      <c r="E52" s="4"/>
      <c r="F52" s="12">
        <f t="shared" ref="F52:F73" si="7">IF(D$12=0,0,D52/D$12)</f>
        <v>0.52460408662162561</v>
      </c>
      <c r="G52" s="4"/>
      <c r="H52" s="4">
        <f>SUM(OSRRefH16x_0)</f>
        <v>21609</v>
      </c>
      <c r="I52" s="4"/>
      <c r="J52" s="12">
        <f t="shared" ref="J52:J73" si="8">IF(H$12=0,0,H52/H$12)</f>
        <v>0.45480184370593313</v>
      </c>
      <c r="K52" s="4"/>
      <c r="L52" s="4">
        <f t="shared" ref="L52:L73" si="9">+D52-H52</f>
        <v>-7840.4299999999985</v>
      </c>
      <c r="M52" s="4"/>
      <c r="N52" s="12">
        <f t="shared" ref="N52:N73" si="10">IF(H52=0,0,L52/H52)</f>
        <v>-0.3628316904993289</v>
      </c>
      <c r="O52" s="10"/>
      <c r="P52" s="4">
        <f>SUM(OSRRefP16x_0)</f>
        <v>215793.81000000003</v>
      </c>
      <c r="Q52" s="4"/>
      <c r="R52" s="12">
        <f t="shared" ref="R52:R73" si="11">IF(P$12=0,0,P52/P$12)</f>
        <v>0.5256219811187659</v>
      </c>
      <c r="S52" s="4"/>
      <c r="T52" s="4">
        <f>SUM(OSRRefT16x_0)</f>
        <v>194752</v>
      </c>
      <c r="U52" s="4"/>
      <c r="V52" s="12">
        <f t="shared" ref="V52:V73" si="12">IF(T$12=0,0,T52/T$12)</f>
        <v>0.43858815475077861</v>
      </c>
      <c r="W52" s="4"/>
      <c r="X52" s="4">
        <f t="shared" ref="X52:X73" si="13">+P52-T52</f>
        <v>21041.810000000027</v>
      </c>
      <c r="Y52" s="4"/>
      <c r="Z52" s="12">
        <f t="shared" ref="Z52:Z73" si="14">IF(T52=0,0,X52/T52)</f>
        <v>0.10804412791652988</v>
      </c>
    </row>
    <row r="53" spans="1:26" s="24" customFormat="1" hidden="1" outlineLevel="1" x14ac:dyDescent="0.25">
      <c r="A53" s="44"/>
      <c r="B53" s="11" t="str">
        <f>CONCATENATE("          ", "5000", " - ", "PURCHASES @ COST")</f>
        <v xml:space="preserve">          5000 - PURCHASES @ COST</v>
      </c>
      <c r="C53" s="11"/>
      <c r="D53" s="2"/>
      <c r="E53" s="2"/>
      <c r="F53" s="19">
        <f t="shared" si="7"/>
        <v>0</v>
      </c>
      <c r="G53" s="2"/>
      <c r="H53" s="2">
        <v>21609</v>
      </c>
      <c r="I53" s="2"/>
      <c r="J53" s="19">
        <f t="shared" si="8"/>
        <v>0.45480184370593313</v>
      </c>
      <c r="K53" s="2"/>
      <c r="L53" s="2">
        <f t="shared" si="9"/>
        <v>-21609</v>
      </c>
      <c r="M53" s="2"/>
      <c r="N53" s="19">
        <f t="shared" si="10"/>
        <v>-1</v>
      </c>
      <c r="O53" s="11"/>
      <c r="P53" s="2"/>
      <c r="Q53" s="2"/>
      <c r="R53" s="19">
        <f t="shared" si="11"/>
        <v>0</v>
      </c>
      <c r="S53" s="2"/>
      <c r="T53" s="2">
        <v>194752</v>
      </c>
      <c r="U53" s="2"/>
      <c r="V53" s="19">
        <f t="shared" si="12"/>
        <v>0.43858815475077861</v>
      </c>
      <c r="W53" s="2"/>
      <c r="X53" s="2">
        <f t="shared" si="13"/>
        <v>-194752</v>
      </c>
      <c r="Y53" s="2"/>
      <c r="Z53" s="19">
        <f t="shared" si="14"/>
        <v>-1</v>
      </c>
    </row>
    <row r="54" spans="1:26" s="24" customFormat="1" hidden="1" outlineLevel="1" x14ac:dyDescent="0.25">
      <c r="A54" s="44"/>
      <c r="B54" s="11" t="str">
        <f>CONCATENATE("          ", "5014", " - ", "PURCHASES @ COST-REMAINDERS")</f>
        <v xml:space="preserve">          5014 - PURCHASES @ COST-REMAINDERS</v>
      </c>
      <c r="C54" s="11"/>
      <c r="D54" s="2"/>
      <c r="E54" s="2"/>
      <c r="F54" s="19">
        <f t="shared" si="7"/>
        <v>0</v>
      </c>
      <c r="G54" s="2"/>
      <c r="H54" s="2"/>
      <c r="I54" s="2"/>
      <c r="J54" s="19">
        <f t="shared" si="8"/>
        <v>0</v>
      </c>
      <c r="K54" s="2"/>
      <c r="L54" s="2">
        <f t="shared" si="9"/>
        <v>0</v>
      </c>
      <c r="M54" s="2"/>
      <c r="N54" s="19">
        <f t="shared" si="10"/>
        <v>0</v>
      </c>
      <c r="O54" s="11"/>
      <c r="P54" s="2">
        <v>14.46</v>
      </c>
      <c r="Q54" s="2"/>
      <c r="R54" s="19">
        <f t="shared" si="11"/>
        <v>3.522109298212657E-5</v>
      </c>
      <c r="S54" s="2"/>
      <c r="T54" s="2"/>
      <c r="U54" s="2"/>
      <c r="V54" s="19">
        <f t="shared" si="12"/>
        <v>0</v>
      </c>
      <c r="W54" s="2"/>
      <c r="X54" s="2">
        <f t="shared" si="13"/>
        <v>14.46</v>
      </c>
      <c r="Y54" s="2"/>
      <c r="Z54" s="19">
        <f t="shared" si="14"/>
        <v>0</v>
      </c>
    </row>
    <row r="55" spans="1:26" s="24" customFormat="1" hidden="1" outlineLevel="1" x14ac:dyDescent="0.25">
      <c r="A55" s="44"/>
      <c r="B55" s="11" t="str">
        <f>CONCATENATE("          ", "5025", " - ", "PURCHASES @ COST-TEST FORMS")</f>
        <v xml:space="preserve">          5025 - PURCHASES @ COST-TEST FORMS</v>
      </c>
      <c r="C55" s="11"/>
      <c r="D55" s="2"/>
      <c r="E55" s="2"/>
      <c r="F55" s="19">
        <f t="shared" si="7"/>
        <v>0</v>
      </c>
      <c r="G55" s="2"/>
      <c r="H55" s="2"/>
      <c r="I55" s="2"/>
      <c r="J55" s="19">
        <f t="shared" si="8"/>
        <v>0</v>
      </c>
      <c r="K55" s="2"/>
      <c r="L55" s="2">
        <f t="shared" si="9"/>
        <v>0</v>
      </c>
      <c r="M55" s="2"/>
      <c r="N55" s="19">
        <f t="shared" si="10"/>
        <v>0</v>
      </c>
      <c r="O55" s="11"/>
      <c r="P55" s="2">
        <v>688.18</v>
      </c>
      <c r="Q55" s="2"/>
      <c r="R55" s="19">
        <f t="shared" si="11"/>
        <v>1.6762414777620927E-3</v>
      </c>
      <c r="S55" s="2"/>
      <c r="T55" s="2"/>
      <c r="U55" s="2"/>
      <c r="V55" s="19">
        <f t="shared" si="12"/>
        <v>0</v>
      </c>
      <c r="W55" s="2"/>
      <c r="X55" s="2">
        <f t="shared" si="13"/>
        <v>688.18</v>
      </c>
      <c r="Y55" s="2"/>
      <c r="Z55" s="19">
        <f t="shared" si="14"/>
        <v>0</v>
      </c>
    </row>
    <row r="56" spans="1:26" s="24" customFormat="1" hidden="1" outlineLevel="1" x14ac:dyDescent="0.25">
      <c r="A56" s="44"/>
      <c r="B56" s="11" t="str">
        <f>CONCATENATE("          ", "5026", " - ", "PURCHASES @ COST-WRITING INSTR")</f>
        <v xml:space="preserve">          5026 - PURCHASES @ COST-WRITING INSTR</v>
      </c>
      <c r="C56" s="11"/>
      <c r="D56" s="2">
        <v>154.5</v>
      </c>
      <c r="E56" s="2"/>
      <c r="F56" s="19">
        <f t="shared" si="7"/>
        <v>5.8866920372298032E-3</v>
      </c>
      <c r="G56" s="2"/>
      <c r="H56" s="2"/>
      <c r="I56" s="2"/>
      <c r="J56" s="19">
        <f t="shared" si="8"/>
        <v>0</v>
      </c>
      <c r="K56" s="2"/>
      <c r="L56" s="2">
        <f t="shared" si="9"/>
        <v>154.5</v>
      </c>
      <c r="M56" s="2"/>
      <c r="N56" s="19">
        <f t="shared" si="10"/>
        <v>0</v>
      </c>
      <c r="O56" s="11"/>
      <c r="P56" s="2">
        <v>4412.7</v>
      </c>
      <c r="Q56" s="2"/>
      <c r="R56" s="19">
        <f t="shared" si="11"/>
        <v>1.0748279184109951E-2</v>
      </c>
      <c r="S56" s="2"/>
      <c r="T56" s="2"/>
      <c r="U56" s="2"/>
      <c r="V56" s="19">
        <f t="shared" si="12"/>
        <v>0</v>
      </c>
      <c r="W56" s="2"/>
      <c r="X56" s="2">
        <f t="shared" si="13"/>
        <v>4412.7</v>
      </c>
      <c r="Y56" s="2"/>
      <c r="Z56" s="19">
        <f t="shared" si="14"/>
        <v>0</v>
      </c>
    </row>
    <row r="57" spans="1:26" s="24" customFormat="1" hidden="1" outlineLevel="1" x14ac:dyDescent="0.25">
      <c r="A57" s="44"/>
      <c r="B57" s="11" t="str">
        <f>CONCATENATE("          ", "5027", " - ", "PURCHASES @ COST-SCHOOL SUPPLI")</f>
        <v xml:space="preserve">          5027 - PURCHASES @ COST-SCHOOL SUPPLI</v>
      </c>
      <c r="C57" s="11"/>
      <c r="D57" s="2">
        <v>20.88</v>
      </c>
      <c r="E57" s="2"/>
      <c r="F57" s="19">
        <f t="shared" si="7"/>
        <v>7.9556071027416366E-4</v>
      </c>
      <c r="G57" s="2"/>
      <c r="H57" s="2"/>
      <c r="I57" s="2"/>
      <c r="J57" s="19">
        <f t="shared" si="8"/>
        <v>0</v>
      </c>
      <c r="K57" s="2"/>
      <c r="L57" s="2">
        <f t="shared" si="9"/>
        <v>20.88</v>
      </c>
      <c r="M57" s="2"/>
      <c r="N57" s="19">
        <f t="shared" si="10"/>
        <v>0</v>
      </c>
      <c r="O57" s="11"/>
      <c r="P57" s="2">
        <v>3868.15</v>
      </c>
      <c r="Q57" s="2"/>
      <c r="R57" s="19">
        <f t="shared" si="11"/>
        <v>9.4218859487422459E-3</v>
      </c>
      <c r="S57" s="2"/>
      <c r="T57" s="2"/>
      <c r="U57" s="2"/>
      <c r="V57" s="19">
        <f t="shared" si="12"/>
        <v>0</v>
      </c>
      <c r="W57" s="2"/>
      <c r="X57" s="2">
        <f t="shared" si="13"/>
        <v>3868.15</v>
      </c>
      <c r="Y57" s="2"/>
      <c r="Z57" s="19">
        <f t="shared" si="14"/>
        <v>0</v>
      </c>
    </row>
    <row r="58" spans="1:26" s="24" customFormat="1" hidden="1" outlineLevel="1" x14ac:dyDescent="0.25">
      <c r="A58" s="44"/>
      <c r="B58" s="11" t="str">
        <f>CONCATENATE("          ", "5028", " - ", "PURCHASES @ COST-ART/TECH")</f>
        <v xml:space="preserve">          5028 - PURCHASES @ COST-ART/TECH</v>
      </c>
      <c r="C58" s="11"/>
      <c r="D58" s="2">
        <v>3496.62</v>
      </c>
      <c r="E58" s="2"/>
      <c r="F58" s="19">
        <f t="shared" si="7"/>
        <v>0.13322669974898688</v>
      </c>
      <c r="G58" s="2"/>
      <c r="H58" s="2"/>
      <c r="I58" s="2"/>
      <c r="J58" s="19">
        <f t="shared" si="8"/>
        <v>0</v>
      </c>
      <c r="K58" s="2"/>
      <c r="L58" s="2">
        <f t="shared" si="9"/>
        <v>3496.62</v>
      </c>
      <c r="M58" s="2"/>
      <c r="N58" s="19">
        <f t="shared" si="10"/>
        <v>0</v>
      </c>
      <c r="O58" s="11"/>
      <c r="P58" s="2">
        <v>144338.17000000001</v>
      </c>
      <c r="Q58" s="2"/>
      <c r="R58" s="19">
        <f t="shared" si="11"/>
        <v>0.35157317471922489</v>
      </c>
      <c r="S58" s="2"/>
      <c r="T58" s="2"/>
      <c r="U58" s="2"/>
      <c r="V58" s="19">
        <f t="shared" si="12"/>
        <v>0</v>
      </c>
      <c r="W58" s="2"/>
      <c r="X58" s="2">
        <f t="shared" si="13"/>
        <v>144338.17000000001</v>
      </c>
      <c r="Y58" s="2"/>
      <c r="Z58" s="19">
        <f t="shared" si="14"/>
        <v>0</v>
      </c>
    </row>
    <row r="59" spans="1:26" s="24" customFormat="1" hidden="1" outlineLevel="1" x14ac:dyDescent="0.25">
      <c r="A59" s="44"/>
      <c r="B59" s="11" t="str">
        <f>CONCATENATE("          ", "5031", " - ", "PURCHASES @ COST-FOOD")</f>
        <v xml:space="preserve">          5031 - PURCHASES @ COST-FOOD</v>
      </c>
      <c r="C59" s="11"/>
      <c r="D59" s="2">
        <v>2823.03</v>
      </c>
      <c r="E59" s="2"/>
      <c r="F59" s="19">
        <f t="shared" si="7"/>
        <v>0.10756186551366247</v>
      </c>
      <c r="G59" s="2"/>
      <c r="H59" s="2"/>
      <c r="I59" s="2"/>
      <c r="J59" s="19">
        <f t="shared" si="8"/>
        <v>0</v>
      </c>
      <c r="K59" s="2"/>
      <c r="L59" s="2">
        <f t="shared" si="9"/>
        <v>2823.03</v>
      </c>
      <c r="M59" s="2"/>
      <c r="N59" s="19">
        <f t="shared" si="10"/>
        <v>0</v>
      </c>
      <c r="O59" s="11"/>
      <c r="P59" s="2">
        <v>32459.350000000002</v>
      </c>
      <c r="Q59" s="2"/>
      <c r="R59" s="19">
        <f t="shared" si="11"/>
        <v>7.9063193948090596E-2</v>
      </c>
      <c r="S59" s="2"/>
      <c r="T59" s="2"/>
      <c r="U59" s="2"/>
      <c r="V59" s="19">
        <f t="shared" si="12"/>
        <v>0</v>
      </c>
      <c r="W59" s="2"/>
      <c r="X59" s="2">
        <f t="shared" si="13"/>
        <v>32459.350000000002</v>
      </c>
      <c r="Y59" s="2"/>
      <c r="Z59" s="19">
        <f t="shared" si="14"/>
        <v>0</v>
      </c>
    </row>
    <row r="60" spans="1:26" s="24" customFormat="1" hidden="1" outlineLevel="1" x14ac:dyDescent="0.25">
      <c r="A60" s="44"/>
      <c r="B60" s="11" t="str">
        <f>CONCATENATE("          ", "5032", " - ", "PURCHASES @ COST-JUICE")</f>
        <v xml:space="preserve">          5032 - PURCHASES @ COST-JUICE</v>
      </c>
      <c r="C60" s="11"/>
      <c r="D60" s="2">
        <v>688.97</v>
      </c>
      <c r="E60" s="2"/>
      <c r="F60" s="19">
        <f t="shared" si="7"/>
        <v>2.6250836329386521E-2</v>
      </c>
      <c r="G60" s="2"/>
      <c r="H60" s="2"/>
      <c r="I60" s="2"/>
      <c r="J60" s="19">
        <f t="shared" si="8"/>
        <v>0</v>
      </c>
      <c r="K60" s="2"/>
      <c r="L60" s="2">
        <f t="shared" si="9"/>
        <v>688.97</v>
      </c>
      <c r="M60" s="2"/>
      <c r="N60" s="19">
        <f t="shared" si="10"/>
        <v>0</v>
      </c>
      <c r="O60" s="11"/>
      <c r="P60" s="2">
        <v>7802.45</v>
      </c>
      <c r="Q60" s="2"/>
      <c r="R60" s="19">
        <f t="shared" si="11"/>
        <v>1.9004897436956669E-2</v>
      </c>
      <c r="S60" s="2"/>
      <c r="T60" s="2"/>
      <c r="U60" s="2"/>
      <c r="V60" s="19">
        <f t="shared" si="12"/>
        <v>0</v>
      </c>
      <c r="W60" s="2"/>
      <c r="X60" s="2">
        <f t="shared" si="13"/>
        <v>7802.45</v>
      </c>
      <c r="Y60" s="2"/>
      <c r="Z60" s="19">
        <f t="shared" si="14"/>
        <v>0</v>
      </c>
    </row>
    <row r="61" spans="1:26" s="24" customFormat="1" hidden="1" outlineLevel="1" x14ac:dyDescent="0.25">
      <c r="A61" s="44"/>
      <c r="B61" s="11" t="str">
        <f>CONCATENATE("          ", "5033", " - ", "PURCHASES @ COST-CANDY")</f>
        <v xml:space="preserve">          5033 - PURCHASES @ COST-CANDY</v>
      </c>
      <c r="C61" s="11"/>
      <c r="D61" s="2">
        <v>719.19</v>
      </c>
      <c r="E61" s="2"/>
      <c r="F61" s="19">
        <f t="shared" si="7"/>
        <v>2.7402265671555355E-2</v>
      </c>
      <c r="G61" s="2"/>
      <c r="H61" s="2"/>
      <c r="I61" s="2"/>
      <c r="J61" s="19">
        <f t="shared" si="8"/>
        <v>0</v>
      </c>
      <c r="K61" s="2"/>
      <c r="L61" s="2">
        <f t="shared" si="9"/>
        <v>719.19</v>
      </c>
      <c r="M61" s="2"/>
      <c r="N61" s="19">
        <f t="shared" si="10"/>
        <v>0</v>
      </c>
      <c r="O61" s="11"/>
      <c r="P61" s="2">
        <v>8904.5300000000007</v>
      </c>
      <c r="Q61" s="2"/>
      <c r="R61" s="19">
        <f t="shared" si="11"/>
        <v>2.1689300075528044E-2</v>
      </c>
      <c r="S61" s="2"/>
      <c r="T61" s="2"/>
      <c r="U61" s="2"/>
      <c r="V61" s="19">
        <f t="shared" si="12"/>
        <v>0</v>
      </c>
      <c r="W61" s="2"/>
      <c r="X61" s="2">
        <f t="shared" si="13"/>
        <v>8904.5300000000007</v>
      </c>
      <c r="Y61" s="2"/>
      <c r="Z61" s="19">
        <f t="shared" si="14"/>
        <v>0</v>
      </c>
    </row>
    <row r="62" spans="1:26" s="24" customFormat="1" hidden="1" outlineLevel="1" x14ac:dyDescent="0.25">
      <c r="A62" s="44"/>
      <c r="B62" s="11" t="str">
        <f>CONCATENATE("          ", "5034", " - ", "PURCHASES @ COST-SODA")</f>
        <v xml:space="preserve">          5034 - PURCHASES @ COST-SODA</v>
      </c>
      <c r="C62" s="11"/>
      <c r="D62" s="2">
        <v>271.79000000000002</v>
      </c>
      <c r="E62" s="2"/>
      <c r="F62" s="19">
        <f t="shared" si="7"/>
        <v>1.0355624781868532E-2</v>
      </c>
      <c r="G62" s="2"/>
      <c r="H62" s="2"/>
      <c r="I62" s="2"/>
      <c r="J62" s="19">
        <f t="shared" si="8"/>
        <v>0</v>
      </c>
      <c r="K62" s="2"/>
      <c r="L62" s="2">
        <f t="shared" si="9"/>
        <v>271.79000000000002</v>
      </c>
      <c r="M62" s="2"/>
      <c r="N62" s="19">
        <f t="shared" si="10"/>
        <v>0</v>
      </c>
      <c r="O62" s="11"/>
      <c r="P62" s="2">
        <v>4033.88</v>
      </c>
      <c r="Q62" s="2"/>
      <c r="R62" s="19">
        <f t="shared" si="11"/>
        <v>9.8255644923057207E-3</v>
      </c>
      <c r="S62" s="2"/>
      <c r="T62" s="2"/>
      <c r="U62" s="2"/>
      <c r="V62" s="19">
        <f t="shared" si="12"/>
        <v>0</v>
      </c>
      <c r="W62" s="2"/>
      <c r="X62" s="2">
        <f t="shared" si="13"/>
        <v>4033.88</v>
      </c>
      <c r="Y62" s="2"/>
      <c r="Z62" s="19">
        <f t="shared" si="14"/>
        <v>0</v>
      </c>
    </row>
    <row r="63" spans="1:26" s="24" customFormat="1" hidden="1" outlineLevel="1" x14ac:dyDescent="0.25">
      <c r="A63" s="44"/>
      <c r="B63" s="11" t="str">
        <f>CONCATENATE("          ", "5035", " - ", "PURCHASES @ COST-HEALTH &amp; BEAU")</f>
        <v xml:space="preserve">          5035 - PURCHASES @ COST-HEALTH &amp; BEAU</v>
      </c>
      <c r="C63" s="11"/>
      <c r="D63" s="2">
        <v>61.98</v>
      </c>
      <c r="E63" s="2"/>
      <c r="F63" s="19">
        <f t="shared" si="7"/>
        <v>2.361535096877043E-3</v>
      </c>
      <c r="G63" s="2"/>
      <c r="H63" s="2"/>
      <c r="I63" s="2"/>
      <c r="J63" s="19">
        <f t="shared" si="8"/>
        <v>0</v>
      </c>
      <c r="K63" s="2"/>
      <c r="L63" s="2">
        <f t="shared" si="9"/>
        <v>61.98</v>
      </c>
      <c r="M63" s="2"/>
      <c r="N63" s="19">
        <f t="shared" si="10"/>
        <v>0</v>
      </c>
      <c r="O63" s="11"/>
      <c r="P63" s="2">
        <v>1081.4000000000001</v>
      </c>
      <c r="Q63" s="2"/>
      <c r="R63" s="19">
        <f t="shared" si="11"/>
        <v>2.6340311169344172E-3</v>
      </c>
      <c r="S63" s="2"/>
      <c r="T63" s="2"/>
      <c r="U63" s="2"/>
      <c r="V63" s="19">
        <f t="shared" si="12"/>
        <v>0</v>
      </c>
      <c r="W63" s="2"/>
      <c r="X63" s="2">
        <f t="shared" si="13"/>
        <v>1081.4000000000001</v>
      </c>
      <c r="Y63" s="2"/>
      <c r="Z63" s="19">
        <f t="shared" si="14"/>
        <v>0</v>
      </c>
    </row>
    <row r="64" spans="1:26" s="24" customFormat="1" hidden="1" outlineLevel="1" x14ac:dyDescent="0.25">
      <c r="A64" s="44"/>
      <c r="B64" s="11" t="str">
        <f>CONCATENATE("          ", "5037", " - ", "PURCHASES @ COST-WATER")</f>
        <v xml:space="preserve">          5037 - PURCHASES @ COST-WATER</v>
      </c>
      <c r="C64" s="11"/>
      <c r="D64" s="2">
        <v>393.84</v>
      </c>
      <c r="E64" s="2"/>
      <c r="F64" s="19">
        <f t="shared" si="7"/>
        <v>1.5005920983447154E-2</v>
      </c>
      <c r="G64" s="2"/>
      <c r="H64" s="2"/>
      <c r="I64" s="2"/>
      <c r="J64" s="19">
        <f t="shared" si="8"/>
        <v>0</v>
      </c>
      <c r="K64" s="2"/>
      <c r="L64" s="2">
        <f t="shared" si="9"/>
        <v>393.84</v>
      </c>
      <c r="M64" s="2"/>
      <c r="N64" s="19">
        <f t="shared" si="10"/>
        <v>0</v>
      </c>
      <c r="O64" s="11"/>
      <c r="P64" s="2">
        <v>5663.81</v>
      </c>
      <c r="Q64" s="2"/>
      <c r="R64" s="19">
        <f t="shared" si="11"/>
        <v>1.3795683170338746E-2</v>
      </c>
      <c r="S64" s="2"/>
      <c r="T64" s="2"/>
      <c r="U64" s="2"/>
      <c r="V64" s="19">
        <f t="shared" si="12"/>
        <v>0</v>
      </c>
      <c r="W64" s="2"/>
      <c r="X64" s="2">
        <f t="shared" si="13"/>
        <v>5663.81</v>
      </c>
      <c r="Y64" s="2"/>
      <c r="Z64" s="19">
        <f t="shared" si="14"/>
        <v>0</v>
      </c>
    </row>
    <row r="65" spans="1:26" s="24" customFormat="1" hidden="1" outlineLevel="1" x14ac:dyDescent="0.25">
      <c r="A65" s="44"/>
      <c r="B65" s="11" t="str">
        <f>CONCATENATE("          ", "5081", " - ", "PURCHASES @ COST-ELECTRONICS")</f>
        <v xml:space="preserve">          5081 - PURCHASES @ COST-ELECTRONICS</v>
      </c>
      <c r="C65" s="11"/>
      <c r="D65" s="2">
        <v>116.82</v>
      </c>
      <c r="E65" s="2"/>
      <c r="F65" s="19">
        <f t="shared" si="7"/>
        <v>4.4510250083442428E-3</v>
      </c>
      <c r="G65" s="2"/>
      <c r="H65" s="2"/>
      <c r="I65" s="2"/>
      <c r="J65" s="19">
        <f t="shared" si="8"/>
        <v>0</v>
      </c>
      <c r="K65" s="2"/>
      <c r="L65" s="2">
        <f t="shared" si="9"/>
        <v>116.82</v>
      </c>
      <c r="M65" s="2"/>
      <c r="N65" s="19">
        <f t="shared" si="10"/>
        <v>0</v>
      </c>
      <c r="O65" s="11"/>
      <c r="P65" s="2">
        <v>2008.03</v>
      </c>
      <c r="Q65" s="2"/>
      <c r="R65" s="19">
        <f t="shared" si="11"/>
        <v>4.8910796224688529E-3</v>
      </c>
      <c r="S65" s="2"/>
      <c r="T65" s="2"/>
      <c r="U65" s="2"/>
      <c r="V65" s="19">
        <f t="shared" si="12"/>
        <v>0</v>
      </c>
      <c r="W65" s="2"/>
      <c r="X65" s="2">
        <f t="shared" si="13"/>
        <v>2008.03</v>
      </c>
      <c r="Y65" s="2"/>
      <c r="Z65" s="19">
        <f t="shared" si="14"/>
        <v>0</v>
      </c>
    </row>
    <row r="66" spans="1:26" s="24" customFormat="1" hidden="1" outlineLevel="1" x14ac:dyDescent="0.25">
      <c r="A66" s="44"/>
      <c r="B66" s="11" t="str">
        <f>CONCATENATE("          ", "5082", " - ", "PURCHASES @ COST-COMPUTER HARD")</f>
        <v xml:space="preserve">          5082 - PURCHASES @ COST-COMPUTER HARD</v>
      </c>
      <c r="C66" s="11"/>
      <c r="D66" s="2"/>
      <c r="E66" s="2"/>
      <c r="F66" s="19">
        <f t="shared" si="7"/>
        <v>0</v>
      </c>
      <c r="G66" s="2"/>
      <c r="H66" s="2"/>
      <c r="I66" s="2"/>
      <c r="J66" s="19">
        <f t="shared" si="8"/>
        <v>0</v>
      </c>
      <c r="K66" s="2"/>
      <c r="L66" s="2">
        <f t="shared" si="9"/>
        <v>0</v>
      </c>
      <c r="M66" s="2"/>
      <c r="N66" s="19">
        <f t="shared" si="10"/>
        <v>0</v>
      </c>
      <c r="O66" s="11"/>
      <c r="P66" s="2">
        <v>349.6</v>
      </c>
      <c r="Q66" s="2"/>
      <c r="R66" s="19">
        <f t="shared" si="11"/>
        <v>8.5154177776980975E-4</v>
      </c>
      <c r="S66" s="2"/>
      <c r="T66" s="2"/>
      <c r="U66" s="2"/>
      <c r="V66" s="19">
        <f t="shared" si="12"/>
        <v>0</v>
      </c>
      <c r="W66" s="2"/>
      <c r="X66" s="2">
        <f t="shared" si="13"/>
        <v>349.6</v>
      </c>
      <c r="Y66" s="2"/>
      <c r="Z66" s="19">
        <f t="shared" si="14"/>
        <v>0</v>
      </c>
    </row>
    <row r="67" spans="1:26" s="24" customFormat="1" hidden="1" outlineLevel="1" x14ac:dyDescent="0.25">
      <c r="A67" s="44"/>
      <c r="B67" s="11" t="str">
        <f>CONCATENATE("          ", "5083", " - ", "PURCHASES @ COST-COMPUTER EQUI")</f>
        <v xml:space="preserve">          5083 - PURCHASES @ COST-COMPUTER EQUI</v>
      </c>
      <c r="C67" s="11"/>
      <c r="D67" s="2"/>
      <c r="E67" s="2"/>
      <c r="F67" s="19">
        <f t="shared" si="7"/>
        <v>0</v>
      </c>
      <c r="G67" s="2"/>
      <c r="H67" s="2"/>
      <c r="I67" s="2"/>
      <c r="J67" s="19">
        <f t="shared" si="8"/>
        <v>0</v>
      </c>
      <c r="K67" s="2"/>
      <c r="L67" s="2">
        <f t="shared" si="9"/>
        <v>0</v>
      </c>
      <c r="M67" s="2"/>
      <c r="N67" s="19">
        <f t="shared" si="10"/>
        <v>0</v>
      </c>
      <c r="O67" s="11"/>
      <c r="P67" s="2">
        <v>304.70999999999998</v>
      </c>
      <c r="Q67" s="2"/>
      <c r="R67" s="19">
        <f t="shared" si="11"/>
        <v>7.4220050087024799E-4</v>
      </c>
      <c r="S67" s="2"/>
      <c r="T67" s="2"/>
      <c r="U67" s="2"/>
      <c r="V67" s="19">
        <f t="shared" si="12"/>
        <v>0</v>
      </c>
      <c r="W67" s="2"/>
      <c r="X67" s="2">
        <f t="shared" si="13"/>
        <v>304.70999999999998</v>
      </c>
      <c r="Y67" s="2"/>
      <c r="Z67" s="19">
        <f t="shared" si="14"/>
        <v>0</v>
      </c>
    </row>
    <row r="68" spans="1:26" s="24" customFormat="1" hidden="1" outlineLevel="1" x14ac:dyDescent="0.25">
      <c r="A68" s="44"/>
      <c r="B68" s="11" t="str">
        <f>CONCATENATE("          ", "5086", " - ", "PURCHASES @ COST-COMPUTER SUPP")</f>
        <v xml:space="preserve">          5086 - PURCHASES @ COST-COMPUTER SUPP</v>
      </c>
      <c r="C68" s="11"/>
      <c r="D68" s="2"/>
      <c r="E68" s="2"/>
      <c r="F68" s="19">
        <f t="shared" si="7"/>
        <v>0</v>
      </c>
      <c r="G68" s="2"/>
      <c r="H68" s="2"/>
      <c r="I68" s="2"/>
      <c r="J68" s="19">
        <f t="shared" si="8"/>
        <v>0</v>
      </c>
      <c r="K68" s="2"/>
      <c r="L68" s="2">
        <f t="shared" si="9"/>
        <v>0</v>
      </c>
      <c r="M68" s="2"/>
      <c r="N68" s="19">
        <f t="shared" si="10"/>
        <v>0</v>
      </c>
      <c r="O68" s="11"/>
      <c r="P68" s="2">
        <v>426.22</v>
      </c>
      <c r="Q68" s="2"/>
      <c r="R68" s="19">
        <f t="shared" si="11"/>
        <v>1.0381697268908704E-3</v>
      </c>
      <c r="S68" s="2"/>
      <c r="T68" s="2"/>
      <c r="U68" s="2"/>
      <c r="V68" s="19">
        <f t="shared" si="12"/>
        <v>0</v>
      </c>
      <c r="W68" s="2"/>
      <c r="X68" s="2">
        <f t="shared" si="13"/>
        <v>426.22</v>
      </c>
      <c r="Y68" s="2"/>
      <c r="Z68" s="19">
        <f t="shared" si="14"/>
        <v>0</v>
      </c>
    </row>
    <row r="69" spans="1:26" s="24" customFormat="1" hidden="1" outlineLevel="1" x14ac:dyDescent="0.25">
      <c r="A69" s="44"/>
      <c r="B69" s="11" t="str">
        <f>CONCATENATE("          ", "5200", " - ", "PURCHASES OFFSET")</f>
        <v xml:space="preserve">          5200 - PURCHASES OFFSET</v>
      </c>
      <c r="C69" s="11"/>
      <c r="D69" s="2">
        <v>-9486</v>
      </c>
      <c r="E69" s="2"/>
      <c r="F69" s="19">
        <f t="shared" si="7"/>
        <v>-0.36143146061593467</v>
      </c>
      <c r="G69" s="2"/>
      <c r="H69" s="2"/>
      <c r="I69" s="2"/>
      <c r="J69" s="19">
        <f t="shared" si="8"/>
        <v>0</v>
      </c>
      <c r="K69" s="2"/>
      <c r="L69" s="2">
        <f t="shared" si="9"/>
        <v>-9486</v>
      </c>
      <c r="M69" s="2"/>
      <c r="N69" s="19">
        <f t="shared" si="10"/>
        <v>0</v>
      </c>
      <c r="O69" s="11"/>
      <c r="P69" s="2">
        <v>-219000</v>
      </c>
      <c r="Q69" s="2"/>
      <c r="R69" s="19">
        <f t="shared" si="11"/>
        <v>-0.53343149122307865</v>
      </c>
      <c r="S69" s="2"/>
      <c r="T69" s="2"/>
      <c r="U69" s="2"/>
      <c r="V69" s="19">
        <f t="shared" si="12"/>
        <v>0</v>
      </c>
      <c r="W69" s="2"/>
      <c r="X69" s="2">
        <f t="shared" si="13"/>
        <v>-219000</v>
      </c>
      <c r="Y69" s="2"/>
      <c r="Z69" s="19">
        <f t="shared" si="14"/>
        <v>0</v>
      </c>
    </row>
    <row r="70" spans="1:26" s="24" customFormat="1" hidden="1" outlineLevel="1" x14ac:dyDescent="0.25">
      <c r="A70" s="44"/>
      <c r="B70" s="11" t="str">
        <f>CONCATENATE("          ", "5300", " - ", "COG$ OFFSET")</f>
        <v xml:space="preserve">          5300 - COG$ OFFSET</v>
      </c>
      <c r="C70" s="11"/>
      <c r="D70" s="2">
        <v>13770</v>
      </c>
      <c r="E70" s="2"/>
      <c r="F70" s="19">
        <f t="shared" si="7"/>
        <v>0.52465857186184073</v>
      </c>
      <c r="G70" s="2"/>
      <c r="H70" s="2"/>
      <c r="I70" s="2"/>
      <c r="J70" s="19">
        <f t="shared" si="8"/>
        <v>0</v>
      </c>
      <c r="K70" s="2"/>
      <c r="L70" s="2">
        <f t="shared" si="9"/>
        <v>13770</v>
      </c>
      <c r="M70" s="2"/>
      <c r="N70" s="19">
        <f t="shared" si="10"/>
        <v>0</v>
      </c>
      <c r="O70" s="11"/>
      <c r="P70" s="2">
        <v>215717</v>
      </c>
      <c r="Q70" s="2"/>
      <c r="R70" s="19">
        <f t="shared" si="11"/>
        <v>0.5254348903752003</v>
      </c>
      <c r="S70" s="2"/>
      <c r="T70" s="2"/>
      <c r="U70" s="2"/>
      <c r="V70" s="19">
        <f t="shared" si="12"/>
        <v>0</v>
      </c>
      <c r="W70" s="2"/>
      <c r="X70" s="2">
        <f t="shared" si="13"/>
        <v>215717</v>
      </c>
      <c r="Y70" s="2"/>
      <c r="Z70" s="19">
        <f t="shared" si="14"/>
        <v>0</v>
      </c>
    </row>
    <row r="71" spans="1:26" s="24" customFormat="1" hidden="1" outlineLevel="1" x14ac:dyDescent="0.25">
      <c r="A71" s="44"/>
      <c r="B71" s="11" t="str">
        <f>CONCATENATE("          ", "5500", " - ", "FREIGHT-IN")</f>
        <v xml:space="preserve">          5500 - FREIGHT-IN</v>
      </c>
      <c r="C71" s="11"/>
      <c r="D71" s="2"/>
      <c r="E71" s="2"/>
      <c r="F71" s="19">
        <f t="shared" si="7"/>
        <v>0</v>
      </c>
      <c r="G71" s="2"/>
      <c r="H71" s="2"/>
      <c r="I71" s="2"/>
      <c r="J71" s="19">
        <f t="shared" si="8"/>
        <v>0</v>
      </c>
      <c r="K71" s="2"/>
      <c r="L71" s="2">
        <f t="shared" si="9"/>
        <v>0</v>
      </c>
      <c r="M71" s="2"/>
      <c r="N71" s="19">
        <f t="shared" si="10"/>
        <v>0</v>
      </c>
      <c r="O71" s="11"/>
      <c r="P71" s="2">
        <v>80</v>
      </c>
      <c r="Q71" s="2"/>
      <c r="R71" s="19">
        <f t="shared" si="11"/>
        <v>1.9486081871162691E-4</v>
      </c>
      <c r="S71" s="2"/>
      <c r="T71" s="2"/>
      <c r="U71" s="2"/>
      <c r="V71" s="19">
        <f t="shared" si="12"/>
        <v>0</v>
      </c>
      <c r="W71" s="2"/>
      <c r="X71" s="2">
        <f t="shared" si="13"/>
        <v>80</v>
      </c>
      <c r="Y71" s="2"/>
      <c r="Z71" s="19">
        <f t="shared" si="14"/>
        <v>0</v>
      </c>
    </row>
    <row r="72" spans="1:26" s="24" customFormat="1" hidden="1" outlineLevel="1" x14ac:dyDescent="0.25">
      <c r="A72" s="44"/>
      <c r="B72" s="11" t="str">
        <f>CONCATENATE("          ", "5527", " - ", "FREIGHT-IN-SCHOOL SUPPLIES")</f>
        <v xml:space="preserve">          5527 - FREIGHT-IN-SCHOOL SUPPLIES</v>
      </c>
      <c r="C72" s="11"/>
      <c r="D72" s="2"/>
      <c r="E72" s="2"/>
      <c r="F72" s="19">
        <f t="shared" si="7"/>
        <v>0</v>
      </c>
      <c r="G72" s="2"/>
      <c r="H72" s="2"/>
      <c r="I72" s="2"/>
      <c r="J72" s="19">
        <f t="shared" si="8"/>
        <v>0</v>
      </c>
      <c r="K72" s="2"/>
      <c r="L72" s="2">
        <f t="shared" si="9"/>
        <v>0</v>
      </c>
      <c r="M72" s="2"/>
      <c r="N72" s="19">
        <f t="shared" si="10"/>
        <v>0</v>
      </c>
      <c r="O72" s="11"/>
      <c r="P72" s="2">
        <v>464.88</v>
      </c>
      <c r="Q72" s="2"/>
      <c r="R72" s="19">
        <f t="shared" si="11"/>
        <v>1.132336217533264E-3</v>
      </c>
      <c r="S72" s="2"/>
      <c r="T72" s="2"/>
      <c r="U72" s="2"/>
      <c r="V72" s="19">
        <f t="shared" si="12"/>
        <v>0</v>
      </c>
      <c r="W72" s="2"/>
      <c r="X72" s="2">
        <f t="shared" si="13"/>
        <v>464.88</v>
      </c>
      <c r="Y72" s="2"/>
      <c r="Z72" s="19">
        <f t="shared" si="14"/>
        <v>0</v>
      </c>
    </row>
    <row r="73" spans="1:26" s="24" customFormat="1" hidden="1" outlineLevel="1" x14ac:dyDescent="0.25">
      <c r="A73" s="44"/>
      <c r="B73" s="11" t="str">
        <f>CONCATENATE("          ", "5528", " - ", "FREIGHT-IN-ART/TECH")</f>
        <v xml:space="preserve">          5528 - FREIGHT-IN-ART/TECH</v>
      </c>
      <c r="C73" s="11"/>
      <c r="D73" s="2">
        <v>736.95</v>
      </c>
      <c r="E73" s="2"/>
      <c r="F73" s="19">
        <f t="shared" si="7"/>
        <v>2.8078949494087402E-2</v>
      </c>
      <c r="G73" s="2"/>
      <c r="H73" s="2"/>
      <c r="I73" s="2"/>
      <c r="J73" s="19">
        <f t="shared" si="8"/>
        <v>0</v>
      </c>
      <c r="K73" s="2"/>
      <c r="L73" s="2">
        <f t="shared" si="9"/>
        <v>736.95</v>
      </c>
      <c r="M73" s="2"/>
      <c r="N73" s="19">
        <f t="shared" si="10"/>
        <v>0</v>
      </c>
      <c r="O73" s="11"/>
      <c r="P73" s="2">
        <v>2176.29</v>
      </c>
      <c r="Q73" s="2"/>
      <c r="R73" s="19">
        <f t="shared" si="11"/>
        <v>5.300920639424082E-3</v>
      </c>
      <c r="S73" s="2"/>
      <c r="T73" s="2"/>
      <c r="U73" s="2"/>
      <c r="V73" s="19">
        <f t="shared" si="12"/>
        <v>0</v>
      </c>
      <c r="W73" s="2"/>
      <c r="X73" s="2">
        <f t="shared" si="13"/>
        <v>2176.29</v>
      </c>
      <c r="Y73" s="2"/>
      <c r="Z73" s="19">
        <f t="shared" si="14"/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8" t="s">
        <v>6</v>
      </c>
      <c r="C75" s="28"/>
      <c r="D75" s="20">
        <f>D12-D52</f>
        <v>12477.069999999998</v>
      </c>
      <c r="E75" s="14"/>
      <c r="F75" s="22">
        <f>IF(D$12=0,0,D75/D$12)</f>
        <v>0.47539591337837439</v>
      </c>
      <c r="G75" s="14"/>
      <c r="H75" s="20">
        <f>H12-H52</f>
        <v>25904</v>
      </c>
      <c r="I75" s="14"/>
      <c r="J75" s="22">
        <f>IF(H$12=0,0,H75/H$12)</f>
        <v>0.54519815629406687</v>
      </c>
      <c r="K75" s="16"/>
      <c r="L75" s="20">
        <f>+D75-H75</f>
        <v>-13426.930000000002</v>
      </c>
      <c r="M75" s="16"/>
      <c r="N75" s="22">
        <f>IF(H75=0,0,L75/H75)</f>
        <v>-0.51833423409512047</v>
      </c>
      <c r="O75" s="29"/>
      <c r="P75" s="20">
        <f>P12-P52</f>
        <v>194755.63000000021</v>
      </c>
      <c r="Q75" s="14"/>
      <c r="R75" s="22">
        <f>IF(P$12=0,0,P75/P$12)</f>
        <v>0.4743780188812341</v>
      </c>
      <c r="S75" s="14"/>
      <c r="T75" s="20">
        <f>T12-T52</f>
        <v>249291</v>
      </c>
      <c r="U75" s="14"/>
      <c r="V75" s="22">
        <f>IF(T$12=0,0,T75/T$12)</f>
        <v>0.56141184524922139</v>
      </c>
      <c r="W75" s="16"/>
      <c r="X75" s="20">
        <f>+P75-T75</f>
        <v>-54535.369999999792</v>
      </c>
      <c r="Y75" s="16"/>
      <c r="Z75" s="22">
        <f>IF(T75=0,0,X75/T75)</f>
        <v>-0.21876188871639887</v>
      </c>
    </row>
    <row r="76" spans="1:26" x14ac:dyDescent="0.25">
      <c r="A76" s="9"/>
      <c r="B76" s="10"/>
      <c r="C76" s="9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9" t="s">
        <v>9</v>
      </c>
      <c r="C77" s="10"/>
      <c r="D77" s="21">
        <f>SUM(OSRRefD22x_0)</f>
        <v>11423.439999999999</v>
      </c>
      <c r="E77" s="21"/>
      <c r="F77" s="30">
        <f t="shared" ref="F77:F87" si="15">IF(D$12=0,0,D77/D$12)</f>
        <v>0.43525095977846223</v>
      </c>
      <c r="G77" s="21"/>
      <c r="H77" s="21">
        <f>SUM(OSRRefH22x_0)</f>
        <v>13430.893484431999</v>
      </c>
      <c r="I77" s="21"/>
      <c r="J77" s="30">
        <f t="shared" ref="J77:J87" si="16">IF(H$12=0,0,H77/H$12)</f>
        <v>0.28267828771982401</v>
      </c>
      <c r="K77" s="4"/>
      <c r="L77" s="21">
        <f t="shared" ref="L77:L87" si="17">+D77-H77</f>
        <v>-2007.4534844320006</v>
      </c>
      <c r="M77" s="4"/>
      <c r="N77" s="30">
        <f t="shared" ref="N77:N87" si="18">IF(H77=0,0,L77/H77)</f>
        <v>-0.1494653715152218</v>
      </c>
      <c r="O77" s="10"/>
      <c r="P77" s="21">
        <f>SUM(OSRRefP22x_0)</f>
        <v>108059.73999999999</v>
      </c>
      <c r="Q77" s="21"/>
      <c r="R77" s="30">
        <f t="shared" ref="R77:R87" si="19">IF(P$12=0,0,P77/P$12)</f>
        <v>0.26320761757706923</v>
      </c>
      <c r="S77" s="21"/>
      <c r="T77" s="21">
        <f>SUM(OSRRefT22x_0)</f>
        <v>108956.95911986999</v>
      </c>
      <c r="U77" s="21"/>
      <c r="V77" s="30">
        <f t="shared" ref="V77:V87" si="20">IF(T$12=0,0,T77/T$12)</f>
        <v>0.24537479280130525</v>
      </c>
      <c r="W77" s="4"/>
      <c r="X77" s="21">
        <f t="shared" ref="X77:X87" si="21">+P77-T77</f>
        <v>-897.21911987000203</v>
      </c>
      <c r="Y77" s="4"/>
      <c r="Z77" s="30">
        <f t="shared" ref="Z77:Z87" si="22">IF(T77=0,0,X77/T77)</f>
        <v>-8.2346196802621681E-3</v>
      </c>
    </row>
    <row r="78" spans="1:26" s="27" customFormat="1" outlineLevel="1" collapsed="1" x14ac:dyDescent="0.25">
      <c r="A78" s="26"/>
      <c r="B78" s="13" t="str">
        <f>CONCATENATE("     ","*Benefits                                         ")</f>
        <v xml:space="preserve">     *Benefits                                         </v>
      </c>
      <c r="C78" s="13"/>
      <c r="D78" s="1">
        <f>SUM(OSRRefD22_0x_0)</f>
        <v>1904.8100000000002</v>
      </c>
      <c r="E78" s="1"/>
      <c r="F78" s="5">
        <f t="shared" si="15"/>
        <v>7.2576245044891269E-2</v>
      </c>
      <c r="G78" s="1"/>
      <c r="H78" s="1">
        <f>SUM(OSRRefH22_0x_0)</f>
        <v>2024.6036764319997</v>
      </c>
      <c r="I78" s="1"/>
      <c r="J78" s="5">
        <f t="shared" si="16"/>
        <v>4.2611573178540606E-2</v>
      </c>
      <c r="K78" s="1"/>
      <c r="L78" s="1">
        <f t="shared" si="17"/>
        <v>-119.79367643199953</v>
      </c>
      <c r="M78" s="1"/>
      <c r="N78" s="5">
        <f t="shared" si="18"/>
        <v>-5.9168951349092856E-2</v>
      </c>
      <c r="O78" s="13"/>
      <c r="P78" s="1">
        <f>SUM(OSRRefP22_0x_0)</f>
        <v>17660.419999999998</v>
      </c>
      <c r="Q78" s="1"/>
      <c r="R78" s="5">
        <f t="shared" si="19"/>
        <v>4.3016548749889874E-2</v>
      </c>
      <c r="S78" s="1"/>
      <c r="T78" s="1">
        <f>SUM(OSRRefT22_0x_0)</f>
        <v>16915.711089870001</v>
      </c>
      <c r="U78" s="1"/>
      <c r="V78" s="5">
        <f t="shared" si="20"/>
        <v>3.8094759043313373E-2</v>
      </c>
      <c r="W78" s="1"/>
      <c r="X78" s="1">
        <f t="shared" si="21"/>
        <v>744.70891012999709</v>
      </c>
      <c r="Y78" s="1"/>
      <c r="Z78" s="5">
        <f t="shared" si="22"/>
        <v>4.4024688419747673E-2</v>
      </c>
    </row>
    <row r="79" spans="1:26" s="24" customFormat="1" hidden="1" outlineLevel="2" x14ac:dyDescent="0.25">
      <c r="A79" s="25"/>
      <c r="B79" s="11" t="str">
        <f>CONCATENATE("          ", "6111", " - ", "F.I.C.A.")</f>
        <v xml:space="preserve">          6111 - F.I.C.A.</v>
      </c>
      <c r="C79" s="11"/>
      <c r="D79" s="6">
        <v>223.88</v>
      </c>
      <c r="E79" s="2"/>
      <c r="F79" s="7">
        <f t="shared" si="15"/>
        <v>8.5301787268285325E-3</v>
      </c>
      <c r="G79" s="2"/>
      <c r="H79" s="6">
        <v>724.45489819199997</v>
      </c>
      <c r="I79" s="2"/>
      <c r="J79" s="7">
        <f t="shared" si="16"/>
        <v>1.5247509064719129E-2</v>
      </c>
      <c r="K79" s="2"/>
      <c r="L79" s="6">
        <f t="shared" si="17"/>
        <v>-500.57489819199998</v>
      </c>
      <c r="M79" s="2"/>
      <c r="N79" s="7">
        <f t="shared" si="18"/>
        <v>-0.69096764952693335</v>
      </c>
      <c r="O79" s="11"/>
      <c r="P79" s="6">
        <v>2534.9299999999998</v>
      </c>
      <c r="Q79" s="2"/>
      <c r="R79" s="7">
        <f t="shared" si="19"/>
        <v>6.1744816897083051E-3</v>
      </c>
      <c r="S79" s="2"/>
      <c r="T79" s="6">
        <v>5546.7871814700002</v>
      </c>
      <c r="U79" s="2"/>
      <c r="V79" s="7">
        <f t="shared" si="20"/>
        <v>1.249155415459764E-2</v>
      </c>
      <c r="W79" s="2"/>
      <c r="X79" s="6">
        <f t="shared" si="21"/>
        <v>-3011.8571814700003</v>
      </c>
      <c r="Y79" s="2"/>
      <c r="Z79" s="7">
        <f t="shared" si="22"/>
        <v>-0.54299129981615823</v>
      </c>
    </row>
    <row r="80" spans="1:26" s="24" customFormat="1" hidden="1" outlineLevel="2" x14ac:dyDescent="0.25">
      <c r="A80" s="25"/>
      <c r="B80" s="11" t="str">
        <f>CONCATENATE("          ", "6112", " - ", "COMPENSATION INSURANCE")</f>
        <v xml:space="preserve">          6112 - COMPENSATION INSURANCE</v>
      </c>
      <c r="C80" s="11"/>
      <c r="D80" s="6">
        <v>221.98</v>
      </c>
      <c r="E80" s="2"/>
      <c r="F80" s="7">
        <f t="shared" si="15"/>
        <v>8.4577857503189101E-3</v>
      </c>
      <c r="G80" s="2"/>
      <c r="H80" s="6">
        <v>179.8594416</v>
      </c>
      <c r="I80" s="2"/>
      <c r="J80" s="7">
        <f t="shared" si="16"/>
        <v>3.7854785342958767E-3</v>
      </c>
      <c r="K80" s="2"/>
      <c r="L80" s="6">
        <f t="shared" si="17"/>
        <v>42.120558399999993</v>
      </c>
      <c r="M80" s="2"/>
      <c r="N80" s="7">
        <f t="shared" si="18"/>
        <v>0.23418597336510352</v>
      </c>
      <c r="O80" s="11"/>
      <c r="P80" s="6">
        <v>1326.62</v>
      </c>
      <c r="Q80" s="2"/>
      <c r="R80" s="7">
        <f t="shared" si="19"/>
        <v>3.2313282414902309E-3</v>
      </c>
      <c r="S80" s="2"/>
      <c r="T80" s="6">
        <v>1409.497881</v>
      </c>
      <c r="U80" s="2"/>
      <c r="V80" s="7">
        <f t="shared" si="20"/>
        <v>3.1742373621473597E-3</v>
      </c>
      <c r="W80" s="2"/>
      <c r="X80" s="6">
        <f t="shared" si="21"/>
        <v>-82.877881000000116</v>
      </c>
      <c r="Y80" s="2"/>
      <c r="Z80" s="7">
        <f t="shared" si="22"/>
        <v>-5.8799578287553396E-2</v>
      </c>
    </row>
    <row r="81" spans="1:26" s="24" customFormat="1" hidden="1" outlineLevel="2" x14ac:dyDescent="0.25">
      <c r="A81" s="25"/>
      <c r="B81" s="11" t="str">
        <f>CONCATENATE("          ", "6113", " - ", "GROUP INSURANCE")</f>
        <v xml:space="preserve">          6113 - GROUP INSURANCE</v>
      </c>
      <c r="C81" s="11"/>
      <c r="D81" s="6">
        <v>1024.02</v>
      </c>
      <c r="E81" s="2"/>
      <c r="F81" s="7">
        <f t="shared" si="15"/>
        <v>3.901676621335963E-2</v>
      </c>
      <c r="G81" s="2"/>
      <c r="H81" s="6">
        <v>497.25</v>
      </c>
      <c r="I81" s="2"/>
      <c r="J81" s="7">
        <f t="shared" si="16"/>
        <v>1.0465556794982426E-2</v>
      </c>
      <c r="K81" s="2"/>
      <c r="L81" s="6">
        <f t="shared" si="17"/>
        <v>526.77</v>
      </c>
      <c r="M81" s="2"/>
      <c r="N81" s="7">
        <f t="shared" si="18"/>
        <v>1.059366515837104</v>
      </c>
      <c r="O81" s="11"/>
      <c r="P81" s="6">
        <v>8133.54</v>
      </c>
      <c r="Q81" s="2"/>
      <c r="R81" s="7">
        <f t="shared" si="19"/>
        <v>1.9811353292797075E-2</v>
      </c>
      <c r="S81" s="2"/>
      <c r="T81" s="6">
        <v>4475.25</v>
      </c>
      <c r="U81" s="2"/>
      <c r="V81" s="7">
        <f t="shared" si="20"/>
        <v>1.0078415829097633E-2</v>
      </c>
      <c r="W81" s="2"/>
      <c r="X81" s="6">
        <f t="shared" si="21"/>
        <v>3658.29</v>
      </c>
      <c r="Y81" s="2"/>
      <c r="Z81" s="7">
        <f t="shared" si="22"/>
        <v>0.81744930450812803</v>
      </c>
    </row>
    <row r="82" spans="1:26" s="24" customFormat="1" hidden="1" outlineLevel="2" x14ac:dyDescent="0.25">
      <c r="A82" s="25"/>
      <c r="B82" s="11" t="str">
        <f>CONCATENATE("          ", "6114", " - ", "STATE UNEMPLOYMENT INSURANCE")</f>
        <v xml:space="preserve">          6114 - STATE UNEMPLOYMENT INSURANCE</v>
      </c>
      <c r="C82" s="11"/>
      <c r="D82" s="6">
        <v>30.38</v>
      </c>
      <c r="E82" s="2"/>
      <c r="F82" s="7">
        <f t="shared" si="15"/>
        <v>1.1575255928222745E-3</v>
      </c>
      <c r="G82" s="2"/>
      <c r="H82" s="6">
        <v>24.61234464</v>
      </c>
      <c r="I82" s="2"/>
      <c r="J82" s="7">
        <f t="shared" si="16"/>
        <v>5.180128520615411E-4</v>
      </c>
      <c r="K82" s="2"/>
      <c r="L82" s="6">
        <f t="shared" si="17"/>
        <v>5.7676553599999991</v>
      </c>
      <c r="M82" s="2"/>
      <c r="N82" s="7">
        <f t="shared" si="18"/>
        <v>0.23433993974821893</v>
      </c>
      <c r="O82" s="11"/>
      <c r="P82" s="6">
        <v>203.94</v>
      </c>
      <c r="Q82" s="2"/>
      <c r="R82" s="7">
        <f t="shared" si="19"/>
        <v>4.9674894210061495E-4</v>
      </c>
      <c r="S82" s="2"/>
      <c r="T82" s="6">
        <v>192.87865740000001</v>
      </c>
      <c r="U82" s="2"/>
      <c r="V82" s="7">
        <f t="shared" si="20"/>
        <v>4.3436932324121763E-4</v>
      </c>
      <c r="W82" s="2"/>
      <c r="X82" s="6">
        <f t="shared" si="21"/>
        <v>11.061342599999989</v>
      </c>
      <c r="Y82" s="2"/>
      <c r="Z82" s="7">
        <f t="shared" si="22"/>
        <v>5.7348712133870279E-2</v>
      </c>
    </row>
    <row r="83" spans="1:26" s="24" customFormat="1" hidden="1" outlineLevel="2" x14ac:dyDescent="0.25">
      <c r="A83" s="25"/>
      <c r="B83" s="11" t="str">
        <f>CONCATENATE("          ", "6115", " - ", "P.E.R.S.")</f>
        <v xml:space="preserve">          6115 - P.E.R.S.</v>
      </c>
      <c r="C83" s="11"/>
      <c r="D83" s="6">
        <v>155.82</v>
      </c>
      <c r="E83" s="2"/>
      <c r="F83" s="7">
        <f t="shared" si="15"/>
        <v>5.9369861051206977E-3</v>
      </c>
      <c r="G83" s="2"/>
      <c r="H83" s="6">
        <v>255.1104</v>
      </c>
      <c r="I83" s="2"/>
      <c r="J83" s="7">
        <f t="shared" si="16"/>
        <v>5.3692757771557258E-3</v>
      </c>
      <c r="K83" s="2"/>
      <c r="L83" s="6">
        <f t="shared" si="17"/>
        <v>-99.290400000000005</v>
      </c>
      <c r="M83" s="2"/>
      <c r="N83" s="7">
        <f t="shared" si="18"/>
        <v>-0.38920561451042374</v>
      </c>
      <c r="O83" s="11"/>
      <c r="P83" s="6">
        <v>1788.49</v>
      </c>
      <c r="Q83" s="2"/>
      <c r="R83" s="7">
        <f t="shared" si="19"/>
        <v>4.3563328207194708E-3</v>
      </c>
      <c r="S83" s="2"/>
      <c r="T83" s="6">
        <v>2487.3263999999999</v>
      </c>
      <c r="U83" s="2"/>
      <c r="V83" s="7">
        <f t="shared" si="20"/>
        <v>5.6015439946131345E-3</v>
      </c>
      <c r="W83" s="2"/>
      <c r="X83" s="6">
        <f t="shared" si="21"/>
        <v>-698.83639999999991</v>
      </c>
      <c r="Y83" s="2"/>
      <c r="Z83" s="7">
        <f t="shared" si="22"/>
        <v>-0.28095886410404358</v>
      </c>
    </row>
    <row r="84" spans="1:26" s="24" customFormat="1" hidden="1" outlineLevel="2" x14ac:dyDescent="0.25">
      <c r="A84" s="25"/>
      <c r="B84" s="11" t="str">
        <f>CONCATENATE("          ", "6116", " - ", "EDUCATIONAL BENEFITS")</f>
        <v xml:space="preserve">          6116 - EDUCATIONAL BENEFITS</v>
      </c>
      <c r="C84" s="11"/>
      <c r="D84" s="6"/>
      <c r="E84" s="2"/>
      <c r="F84" s="7">
        <f t="shared" si="15"/>
        <v>0</v>
      </c>
      <c r="G84" s="2"/>
      <c r="H84" s="6">
        <v>0</v>
      </c>
      <c r="I84" s="2"/>
      <c r="J84" s="7">
        <f t="shared" si="16"/>
        <v>0</v>
      </c>
      <c r="K84" s="2"/>
      <c r="L84" s="6">
        <f t="shared" si="17"/>
        <v>0</v>
      </c>
      <c r="M84" s="2"/>
      <c r="N84" s="7">
        <f t="shared" si="18"/>
        <v>0</v>
      </c>
      <c r="O84" s="11"/>
      <c r="P84" s="6"/>
      <c r="Q84" s="2"/>
      <c r="R84" s="7">
        <f t="shared" si="19"/>
        <v>0</v>
      </c>
      <c r="S84" s="2"/>
      <c r="T84" s="6">
        <v>0</v>
      </c>
      <c r="U84" s="2"/>
      <c r="V84" s="7">
        <f t="shared" si="20"/>
        <v>0</v>
      </c>
      <c r="W84" s="2"/>
      <c r="X84" s="6">
        <f t="shared" si="21"/>
        <v>0</v>
      </c>
      <c r="Y84" s="2"/>
      <c r="Z84" s="7">
        <f t="shared" si="22"/>
        <v>0</v>
      </c>
    </row>
    <row r="85" spans="1:26" s="24" customFormat="1" hidden="1" outlineLevel="2" x14ac:dyDescent="0.25">
      <c r="A85" s="25"/>
      <c r="B85" s="11" t="str">
        <f>CONCATENATE("          ", "6118", " - ", "VACATION")</f>
        <v xml:space="preserve">          6118 - VACATION</v>
      </c>
      <c r="C85" s="11"/>
      <c r="D85" s="6">
        <v>145.84</v>
      </c>
      <c r="E85" s="2"/>
      <c r="F85" s="7">
        <f t="shared" si="15"/>
        <v>5.5567324706122618E-3</v>
      </c>
      <c r="G85" s="2"/>
      <c r="H85" s="6">
        <v>88.992000000000004</v>
      </c>
      <c r="I85" s="2"/>
      <c r="J85" s="7">
        <f t="shared" si="16"/>
        <v>1.8730031780775788E-3</v>
      </c>
      <c r="K85" s="2"/>
      <c r="L85" s="6">
        <f t="shared" si="17"/>
        <v>56.847999999999999</v>
      </c>
      <c r="M85" s="2"/>
      <c r="N85" s="7">
        <f t="shared" si="18"/>
        <v>0.63879899316792521</v>
      </c>
      <c r="O85" s="11"/>
      <c r="P85" s="6">
        <v>1686.84</v>
      </c>
      <c r="Q85" s="2"/>
      <c r="R85" s="7">
        <f t="shared" si="19"/>
        <v>4.1087377929440094E-3</v>
      </c>
      <c r="S85" s="2"/>
      <c r="T85" s="6">
        <v>867.67200000000003</v>
      </c>
      <c r="U85" s="2"/>
      <c r="V85" s="7">
        <f t="shared" si="20"/>
        <v>1.954026974865047E-3</v>
      </c>
      <c r="W85" s="2"/>
      <c r="X85" s="6">
        <f t="shared" si="21"/>
        <v>819.16799999999989</v>
      </c>
      <c r="Y85" s="2"/>
      <c r="Z85" s="7">
        <f t="shared" si="22"/>
        <v>0.94409869167150706</v>
      </c>
    </row>
    <row r="86" spans="1:26" s="24" customFormat="1" hidden="1" outlineLevel="2" x14ac:dyDescent="0.25">
      <c r="A86" s="25"/>
      <c r="B86" s="11" t="str">
        <f>CONCATENATE("          ", "6119", " - ", "SICK LEAVE")</f>
        <v xml:space="preserve">          6119 - SICK LEAVE</v>
      </c>
      <c r="C86" s="11"/>
      <c r="D86" s="6">
        <v>102.89</v>
      </c>
      <c r="E86" s="2"/>
      <c r="F86" s="7">
        <f t="shared" si="15"/>
        <v>3.9202701858289607E-3</v>
      </c>
      <c r="G86" s="2"/>
      <c r="H86" s="6">
        <v>254.324592</v>
      </c>
      <c r="I86" s="2"/>
      <c r="J86" s="7">
        <f t="shared" si="16"/>
        <v>5.352736977248332E-3</v>
      </c>
      <c r="K86" s="2"/>
      <c r="L86" s="6">
        <f t="shared" si="17"/>
        <v>-151.43459200000001</v>
      </c>
      <c r="M86" s="2"/>
      <c r="N86" s="7">
        <f t="shared" si="18"/>
        <v>-0.59543825789367633</v>
      </c>
      <c r="O86" s="11"/>
      <c r="P86" s="6">
        <v>684.81</v>
      </c>
      <c r="Q86" s="2"/>
      <c r="R86" s="7">
        <f t="shared" si="19"/>
        <v>1.6680329657738652E-3</v>
      </c>
      <c r="S86" s="2"/>
      <c r="T86" s="6">
        <v>1936.2989699999998</v>
      </c>
      <c r="U86" s="2"/>
      <c r="V86" s="7">
        <f t="shared" si="20"/>
        <v>4.3606114047513413E-3</v>
      </c>
      <c r="W86" s="2"/>
      <c r="X86" s="6">
        <f t="shared" si="21"/>
        <v>-1251.4889699999999</v>
      </c>
      <c r="Y86" s="2"/>
      <c r="Z86" s="7">
        <f t="shared" si="22"/>
        <v>-0.6463304424522831</v>
      </c>
    </row>
    <row r="87" spans="1:26" s="24" customFormat="1" hidden="1" outlineLevel="2" x14ac:dyDescent="0.25">
      <c r="A87" s="25"/>
      <c r="B87" s="11" t="str">
        <f>CONCATENATE("          ", "6156", " - ", "EMPLOYEE MEALS")</f>
        <v xml:space="preserve">          6156 - EMPLOYEE MEALS</v>
      </c>
      <c r="C87" s="11"/>
      <c r="D87" s="6"/>
      <c r="E87" s="2"/>
      <c r="F87" s="7">
        <f t="shared" si="15"/>
        <v>0</v>
      </c>
      <c r="G87" s="2"/>
      <c r="H87" s="6"/>
      <c r="I87" s="2"/>
      <c r="J87" s="7">
        <f t="shared" si="16"/>
        <v>0</v>
      </c>
      <c r="K87" s="2"/>
      <c r="L87" s="6">
        <f t="shared" si="17"/>
        <v>0</v>
      </c>
      <c r="M87" s="2"/>
      <c r="N87" s="7">
        <f t="shared" si="18"/>
        <v>0</v>
      </c>
      <c r="O87" s="11"/>
      <c r="P87" s="6">
        <v>1301.25</v>
      </c>
      <c r="Q87" s="2"/>
      <c r="R87" s="7">
        <f t="shared" si="19"/>
        <v>3.1695330043563065E-3</v>
      </c>
      <c r="S87" s="2"/>
      <c r="T87" s="6"/>
      <c r="U87" s="2"/>
      <c r="V87" s="7">
        <f t="shared" si="20"/>
        <v>0</v>
      </c>
      <c r="W87" s="2"/>
      <c r="X87" s="6">
        <f t="shared" si="21"/>
        <v>1301.25</v>
      </c>
      <c r="Y87" s="2"/>
      <c r="Z87" s="7">
        <f t="shared" si="22"/>
        <v>0</v>
      </c>
    </row>
    <row r="88" spans="1:26" s="27" customFormat="1" outlineLevel="1" collapsed="1" x14ac:dyDescent="0.25">
      <c r="A88" s="26"/>
      <c r="B88" s="13" t="str">
        <f>CONCATENATE("     ","*Payroll                                          ")</f>
        <v xml:space="preserve">     *Payroll                                          </v>
      </c>
      <c r="C88" s="13"/>
      <c r="D88" s="1">
        <f>SUM(OSRRefD22_1x_0)</f>
        <v>8406.94</v>
      </c>
      <c r="E88" s="1"/>
      <c r="F88" s="5">
        <f t="shared" ref="F88:F98" si="23">IF(D$12=0,0,D88/D$12)</f>
        <v>0.3203175841777911</v>
      </c>
      <c r="G88" s="1"/>
      <c r="H88" s="1">
        <f>SUM(OSRRefH22_1x_0)</f>
        <v>9271.2898079999995</v>
      </c>
      <c r="I88" s="1"/>
      <c r="J88" s="5">
        <f t="shared" ref="J88:J98" si="24">IF(H$12=0,0,H88/H$12)</f>
        <v>0.19513164413949866</v>
      </c>
      <c r="K88" s="1"/>
      <c r="L88" s="1">
        <f t="shared" ref="L88:L98" si="25">+D88-H88</f>
        <v>-864.34980799999903</v>
      </c>
      <c r="M88" s="1"/>
      <c r="N88" s="5">
        <f t="shared" ref="N88:N98" si="26">IF(H88=0,0,L88/H88)</f>
        <v>-9.3228647351112887E-2</v>
      </c>
      <c r="O88" s="13"/>
      <c r="P88" s="1">
        <f>SUM(OSRRefP22_1x_0)</f>
        <v>74046.41</v>
      </c>
      <c r="Q88" s="1"/>
      <c r="R88" s="5">
        <f t="shared" ref="R88:R98" si="27">IF(P$12=0,0,P88/P$12)</f>
        <v>0.18035930094070998</v>
      </c>
      <c r="S88" s="1"/>
      <c r="T88" s="1">
        <f>SUM(OSRRefT22_1x_0)</f>
        <v>72826.248030000002</v>
      </c>
      <c r="U88" s="1"/>
      <c r="V88" s="5">
        <f t="shared" ref="V88:V98" si="28">IF(T$12=0,0,T88/T$12)</f>
        <v>0.16400719756870394</v>
      </c>
      <c r="W88" s="1"/>
      <c r="X88" s="1">
        <f t="shared" ref="X88:X98" si="29">+P88-T88</f>
        <v>1220.161970000001</v>
      </c>
      <c r="Y88" s="1"/>
      <c r="Z88" s="5">
        <f t="shared" ref="Z88:Z98" si="30">IF(T88=0,0,X88/T88)</f>
        <v>1.6754425814952983E-2</v>
      </c>
    </row>
    <row r="89" spans="1:26" s="24" customFormat="1" hidden="1" outlineLevel="2" x14ac:dyDescent="0.25">
      <c r="A89" s="25"/>
      <c r="B89" s="11" t="str">
        <f>CONCATENATE("          ", "6001", " - ", "ADMINISTRATIVE SALARIES")</f>
        <v xml:space="preserve">          6001 - ADMINISTRATIVE SALARIES</v>
      </c>
      <c r="C89" s="11"/>
      <c r="D89" s="6"/>
      <c r="E89" s="2"/>
      <c r="F89" s="7">
        <f t="shared" si="23"/>
        <v>0</v>
      </c>
      <c r="G89" s="2"/>
      <c r="H89" s="6">
        <v>2966.4</v>
      </c>
      <c r="I89" s="2"/>
      <c r="J89" s="7">
        <f t="shared" si="24"/>
        <v>6.2433439269252627E-2</v>
      </c>
      <c r="K89" s="2"/>
      <c r="L89" s="6">
        <f t="shared" si="25"/>
        <v>-2966.4</v>
      </c>
      <c r="M89" s="2"/>
      <c r="N89" s="7">
        <f t="shared" si="26"/>
        <v>-1</v>
      </c>
      <c r="O89" s="11"/>
      <c r="P89" s="6"/>
      <c r="Q89" s="2"/>
      <c r="R89" s="7">
        <f t="shared" si="27"/>
        <v>0</v>
      </c>
      <c r="S89" s="2"/>
      <c r="T89" s="6">
        <v>28922.400000000001</v>
      </c>
      <c r="U89" s="2"/>
      <c r="V89" s="7">
        <f t="shared" si="28"/>
        <v>6.5134232495501571E-2</v>
      </c>
      <c r="W89" s="2"/>
      <c r="X89" s="6">
        <f t="shared" si="29"/>
        <v>-28922.400000000001</v>
      </c>
      <c r="Y89" s="2"/>
      <c r="Z89" s="7">
        <f t="shared" si="30"/>
        <v>-1</v>
      </c>
    </row>
    <row r="90" spans="1:26" s="24" customFormat="1" hidden="1" outlineLevel="2" x14ac:dyDescent="0.25">
      <c r="A90" s="25"/>
      <c r="B90" s="11" t="str">
        <f>CONCATENATE("          ", "6002", " - ", "STAFF SALARIES")</f>
        <v xml:space="preserve">          6002 - STAFF SALARIES</v>
      </c>
      <c r="C90" s="11"/>
      <c r="D90" s="6">
        <v>334.31</v>
      </c>
      <c r="E90" s="2"/>
      <c r="F90" s="7">
        <f t="shared" si="23"/>
        <v>1.273773472470094E-2</v>
      </c>
      <c r="G90" s="2"/>
      <c r="H90" s="6">
        <v>0</v>
      </c>
      <c r="I90" s="2"/>
      <c r="J90" s="7">
        <f t="shared" si="24"/>
        <v>0</v>
      </c>
      <c r="K90" s="2"/>
      <c r="L90" s="6">
        <f t="shared" si="25"/>
        <v>334.31</v>
      </c>
      <c r="M90" s="2"/>
      <c r="N90" s="7">
        <f t="shared" si="26"/>
        <v>0</v>
      </c>
      <c r="O90" s="11"/>
      <c r="P90" s="6">
        <v>20966.809999999998</v>
      </c>
      <c r="Q90" s="2"/>
      <c r="R90" s="7">
        <f t="shared" si="27"/>
        <v>5.1070122029639078E-2</v>
      </c>
      <c r="S90" s="2"/>
      <c r="T90" s="6">
        <v>0</v>
      </c>
      <c r="U90" s="2"/>
      <c r="V90" s="7">
        <f t="shared" si="28"/>
        <v>0</v>
      </c>
      <c r="W90" s="2"/>
      <c r="X90" s="6">
        <f t="shared" si="29"/>
        <v>20966.809999999998</v>
      </c>
      <c r="Y90" s="2"/>
      <c r="Z90" s="7">
        <f t="shared" si="30"/>
        <v>0</v>
      </c>
    </row>
    <row r="91" spans="1:26" s="24" customFormat="1" hidden="1" outlineLevel="2" x14ac:dyDescent="0.25">
      <c r="A91" s="25"/>
      <c r="B91" s="11" t="str">
        <f>CONCATENATE("          ", "6003", " - ", "STAFF HOURLY-9 MONTH")</f>
        <v xml:space="preserve">          6003 - STAFF HOURLY-9 MONTH</v>
      </c>
      <c r="C91" s="11"/>
      <c r="D91" s="6"/>
      <c r="E91" s="2"/>
      <c r="F91" s="7">
        <f t="shared" si="23"/>
        <v>0</v>
      </c>
      <c r="G91" s="2"/>
      <c r="H91" s="6">
        <v>0</v>
      </c>
      <c r="I91" s="2"/>
      <c r="J91" s="7">
        <f t="shared" si="24"/>
        <v>0</v>
      </c>
      <c r="K91" s="2"/>
      <c r="L91" s="6">
        <f t="shared" si="25"/>
        <v>0</v>
      </c>
      <c r="M91" s="2"/>
      <c r="N91" s="7">
        <f t="shared" si="26"/>
        <v>0</v>
      </c>
      <c r="O91" s="11"/>
      <c r="P91" s="6"/>
      <c r="Q91" s="2"/>
      <c r="R91" s="7">
        <f t="shared" si="27"/>
        <v>0</v>
      </c>
      <c r="S91" s="2"/>
      <c r="T91" s="6">
        <v>0</v>
      </c>
      <c r="U91" s="2"/>
      <c r="V91" s="7">
        <f t="shared" si="28"/>
        <v>0</v>
      </c>
      <c r="W91" s="2"/>
      <c r="X91" s="6">
        <f t="shared" si="29"/>
        <v>0</v>
      </c>
      <c r="Y91" s="2"/>
      <c r="Z91" s="7">
        <f t="shared" si="30"/>
        <v>0</v>
      </c>
    </row>
    <row r="92" spans="1:26" s="24" customFormat="1" hidden="1" outlineLevel="2" x14ac:dyDescent="0.25">
      <c r="A92" s="25"/>
      <c r="B92" s="11" t="str">
        <f>CONCATENATE("          ", "6004", " - ", "STAFF HOURLY")</f>
        <v xml:space="preserve">          6004 - STAFF HOURLY</v>
      </c>
      <c r="C92" s="11"/>
      <c r="D92" s="6"/>
      <c r="E92" s="2"/>
      <c r="F92" s="7">
        <f t="shared" si="23"/>
        <v>0</v>
      </c>
      <c r="G92" s="2"/>
      <c r="H92" s="6">
        <v>0</v>
      </c>
      <c r="I92" s="2"/>
      <c r="J92" s="7">
        <f t="shared" si="24"/>
        <v>0</v>
      </c>
      <c r="K92" s="2"/>
      <c r="L92" s="6">
        <f t="shared" si="25"/>
        <v>0</v>
      </c>
      <c r="M92" s="2"/>
      <c r="N92" s="7">
        <f t="shared" si="26"/>
        <v>0</v>
      </c>
      <c r="O92" s="11"/>
      <c r="P92" s="6"/>
      <c r="Q92" s="2"/>
      <c r="R92" s="7">
        <f t="shared" si="27"/>
        <v>0</v>
      </c>
      <c r="S92" s="2"/>
      <c r="T92" s="6">
        <v>0</v>
      </c>
      <c r="U92" s="2"/>
      <c r="V92" s="7">
        <f t="shared" si="28"/>
        <v>0</v>
      </c>
      <c r="W92" s="2"/>
      <c r="X92" s="6">
        <f t="shared" si="29"/>
        <v>0</v>
      </c>
      <c r="Y92" s="2"/>
      <c r="Z92" s="7">
        <f t="shared" si="30"/>
        <v>0</v>
      </c>
    </row>
    <row r="93" spans="1:26" s="24" customFormat="1" hidden="1" outlineLevel="2" x14ac:dyDescent="0.25">
      <c r="A93" s="25"/>
      <c r="B93" s="11" t="str">
        <f>CONCATENATE("          ", "6005", " - ", "TEMPORARY WAGES-HOURLY")</f>
        <v xml:space="preserve">          6005 - TEMPORARY WAGES-HOURLY</v>
      </c>
      <c r="C93" s="11"/>
      <c r="D93" s="6">
        <v>1816.14</v>
      </c>
      <c r="E93" s="2"/>
      <c r="F93" s="7">
        <f t="shared" si="23"/>
        <v>6.9197779135886955E-2</v>
      </c>
      <c r="G93" s="2"/>
      <c r="H93" s="6">
        <v>0</v>
      </c>
      <c r="I93" s="2"/>
      <c r="J93" s="7">
        <f t="shared" si="24"/>
        <v>0</v>
      </c>
      <c r="K93" s="2"/>
      <c r="L93" s="6">
        <f t="shared" si="25"/>
        <v>1816.14</v>
      </c>
      <c r="M93" s="2"/>
      <c r="N93" s="7">
        <f t="shared" si="26"/>
        <v>0</v>
      </c>
      <c r="O93" s="11"/>
      <c r="P93" s="6">
        <v>7121.65</v>
      </c>
      <c r="Q93" s="2"/>
      <c r="R93" s="7">
        <f t="shared" si="27"/>
        <v>1.7346631869720724E-2</v>
      </c>
      <c r="S93" s="2"/>
      <c r="T93" s="6">
        <v>0</v>
      </c>
      <c r="U93" s="2"/>
      <c r="V93" s="7">
        <f t="shared" si="28"/>
        <v>0</v>
      </c>
      <c r="W93" s="2"/>
      <c r="X93" s="6">
        <f t="shared" si="29"/>
        <v>7121.65</v>
      </c>
      <c r="Y93" s="2"/>
      <c r="Z93" s="7">
        <f t="shared" si="30"/>
        <v>0</v>
      </c>
    </row>
    <row r="94" spans="1:26" s="24" customFormat="1" hidden="1" outlineLevel="2" x14ac:dyDescent="0.25">
      <c r="A94" s="25"/>
      <c r="B94" s="11" t="str">
        <f>CONCATENATE("          ", "6006", " - ", "TEMPORARY PART TIME")</f>
        <v xml:space="preserve">          6006 - TEMPORARY PART TIME</v>
      </c>
      <c r="C94" s="11"/>
      <c r="D94" s="6"/>
      <c r="E94" s="2"/>
      <c r="F94" s="7">
        <f t="shared" si="23"/>
        <v>0</v>
      </c>
      <c r="G94" s="2"/>
      <c r="H94" s="6">
        <v>0</v>
      </c>
      <c r="I94" s="2"/>
      <c r="J94" s="7">
        <f t="shared" si="24"/>
        <v>0</v>
      </c>
      <c r="K94" s="2"/>
      <c r="L94" s="6">
        <f t="shared" si="25"/>
        <v>0</v>
      </c>
      <c r="M94" s="2"/>
      <c r="N94" s="7">
        <f t="shared" si="26"/>
        <v>0</v>
      </c>
      <c r="O94" s="11"/>
      <c r="P94" s="6">
        <v>25.5</v>
      </c>
      <c r="Q94" s="2"/>
      <c r="R94" s="7">
        <f t="shared" si="27"/>
        <v>6.2111885964331076E-5</v>
      </c>
      <c r="S94" s="2"/>
      <c r="T94" s="6">
        <v>0</v>
      </c>
      <c r="U94" s="2"/>
      <c r="V94" s="7">
        <f t="shared" si="28"/>
        <v>0</v>
      </c>
      <c r="W94" s="2"/>
      <c r="X94" s="6">
        <f t="shared" si="29"/>
        <v>25.5</v>
      </c>
      <c r="Y94" s="2"/>
      <c r="Z94" s="7">
        <f t="shared" si="30"/>
        <v>0</v>
      </c>
    </row>
    <row r="95" spans="1:26" s="24" customFormat="1" hidden="1" outlineLevel="2" x14ac:dyDescent="0.25">
      <c r="A95" s="25"/>
      <c r="B95" s="11" t="str">
        <f>CONCATENATE("          ", "6007", " - ", "STUDENT HOURLY")</f>
        <v xml:space="preserve">          6007 - STUDENT HOURLY</v>
      </c>
      <c r="C95" s="11"/>
      <c r="D95" s="6">
        <v>6256.49</v>
      </c>
      <c r="E95" s="2"/>
      <c r="F95" s="7">
        <f t="shared" si="23"/>
        <v>0.23838207031720315</v>
      </c>
      <c r="G95" s="2"/>
      <c r="H95" s="6">
        <v>6304.8898079999999</v>
      </c>
      <c r="I95" s="2"/>
      <c r="J95" s="7">
        <f t="shared" si="24"/>
        <v>0.13269820487024603</v>
      </c>
      <c r="K95" s="2"/>
      <c r="L95" s="6">
        <f t="shared" si="25"/>
        <v>-48.399808000000121</v>
      </c>
      <c r="M95" s="2"/>
      <c r="N95" s="7">
        <f t="shared" si="26"/>
        <v>-7.6765509745448232E-3</v>
      </c>
      <c r="O95" s="11"/>
      <c r="P95" s="6">
        <v>45932.45</v>
      </c>
      <c r="Q95" s="2"/>
      <c r="R95" s="7">
        <f t="shared" si="27"/>
        <v>0.11188043515538584</v>
      </c>
      <c r="S95" s="2"/>
      <c r="T95" s="6">
        <v>42249.513029999995</v>
      </c>
      <c r="U95" s="2"/>
      <c r="V95" s="7">
        <f t="shared" si="28"/>
        <v>9.5147346157917131E-2</v>
      </c>
      <c r="W95" s="2"/>
      <c r="X95" s="6">
        <f t="shared" si="29"/>
        <v>3682.9369700000025</v>
      </c>
      <c r="Y95" s="2"/>
      <c r="Z95" s="7">
        <f t="shared" si="30"/>
        <v>8.7171110525815276E-2</v>
      </c>
    </row>
    <row r="96" spans="1:26" s="24" customFormat="1" hidden="1" outlineLevel="2" x14ac:dyDescent="0.25">
      <c r="A96" s="25"/>
      <c r="B96" s="11" t="str">
        <f>CONCATENATE("          ", "6008", " - ", "STUDENT HOURLY-FICA EXEMPT")</f>
        <v xml:space="preserve">          6008 - STUDENT HOURLY-FICA EXEMPT</v>
      </c>
      <c r="C96" s="11"/>
      <c r="D96" s="6"/>
      <c r="E96" s="2"/>
      <c r="F96" s="7">
        <f t="shared" si="23"/>
        <v>0</v>
      </c>
      <c r="G96" s="2"/>
      <c r="H96" s="6">
        <v>0</v>
      </c>
      <c r="I96" s="2"/>
      <c r="J96" s="7">
        <f t="shared" si="24"/>
        <v>0</v>
      </c>
      <c r="K96" s="2"/>
      <c r="L96" s="6">
        <f t="shared" si="25"/>
        <v>0</v>
      </c>
      <c r="M96" s="2"/>
      <c r="N96" s="7">
        <f t="shared" si="26"/>
        <v>0</v>
      </c>
      <c r="O96" s="11"/>
      <c r="P96" s="6"/>
      <c r="Q96" s="2"/>
      <c r="R96" s="7">
        <f t="shared" si="27"/>
        <v>0</v>
      </c>
      <c r="S96" s="2"/>
      <c r="T96" s="6">
        <v>1654.335</v>
      </c>
      <c r="U96" s="2"/>
      <c r="V96" s="7">
        <f t="shared" si="28"/>
        <v>3.7256189152852313E-3</v>
      </c>
      <c r="W96" s="2"/>
      <c r="X96" s="6">
        <f t="shared" si="29"/>
        <v>-1654.335</v>
      </c>
      <c r="Y96" s="2"/>
      <c r="Z96" s="7">
        <f t="shared" si="30"/>
        <v>-1</v>
      </c>
    </row>
    <row r="97" spans="1:26" s="24" customFormat="1" hidden="1" outlineLevel="2" x14ac:dyDescent="0.25">
      <c r="A97" s="25"/>
      <c r="B97" s="11" t="str">
        <f>CONCATENATE("          ", "6009", " - ", "TEMPORARY-SEASONAL")</f>
        <v xml:space="preserve">          6009 - TEMPORARY-SEASONAL</v>
      </c>
      <c r="C97" s="11"/>
      <c r="D97" s="6"/>
      <c r="E97" s="2"/>
      <c r="F97" s="7">
        <f t="shared" si="23"/>
        <v>0</v>
      </c>
      <c r="G97" s="2"/>
      <c r="H97" s="6">
        <v>0</v>
      </c>
      <c r="I97" s="2"/>
      <c r="J97" s="7">
        <f t="shared" si="24"/>
        <v>0</v>
      </c>
      <c r="K97" s="2"/>
      <c r="L97" s="6">
        <f t="shared" si="25"/>
        <v>0</v>
      </c>
      <c r="M97" s="2"/>
      <c r="N97" s="7">
        <f t="shared" si="26"/>
        <v>0</v>
      </c>
      <c r="O97" s="11"/>
      <c r="P97" s="6"/>
      <c r="Q97" s="2"/>
      <c r="R97" s="7">
        <f t="shared" si="27"/>
        <v>0</v>
      </c>
      <c r="S97" s="2"/>
      <c r="T97" s="6">
        <v>0</v>
      </c>
      <c r="U97" s="2"/>
      <c r="V97" s="7">
        <f t="shared" si="28"/>
        <v>0</v>
      </c>
      <c r="W97" s="2"/>
      <c r="X97" s="6">
        <f t="shared" si="29"/>
        <v>0</v>
      </c>
      <c r="Y97" s="2"/>
      <c r="Z97" s="7">
        <f t="shared" si="30"/>
        <v>0</v>
      </c>
    </row>
    <row r="98" spans="1:26" s="24" customFormat="1" hidden="1" outlineLevel="2" x14ac:dyDescent="0.25">
      <c r="A98" s="25"/>
      <c r="B98" s="11" t="str">
        <f>CONCATENATE("          ", "6010", " - ", "GRATUITY")</f>
        <v xml:space="preserve">          6010 - GRATUITY</v>
      </c>
      <c r="C98" s="11"/>
      <c r="D98" s="6"/>
      <c r="E98" s="2"/>
      <c r="F98" s="7">
        <f t="shared" si="23"/>
        <v>0</v>
      </c>
      <c r="G98" s="2"/>
      <c r="H98" s="6">
        <v>0</v>
      </c>
      <c r="I98" s="2"/>
      <c r="J98" s="7">
        <f t="shared" si="24"/>
        <v>0</v>
      </c>
      <c r="K98" s="2"/>
      <c r="L98" s="6">
        <f t="shared" si="25"/>
        <v>0</v>
      </c>
      <c r="M98" s="2"/>
      <c r="N98" s="7">
        <f t="shared" si="26"/>
        <v>0</v>
      </c>
      <c r="O98" s="11"/>
      <c r="P98" s="6"/>
      <c r="Q98" s="2"/>
      <c r="R98" s="7">
        <f t="shared" si="27"/>
        <v>0</v>
      </c>
      <c r="S98" s="2"/>
      <c r="T98" s="6">
        <v>0</v>
      </c>
      <c r="U98" s="2"/>
      <c r="V98" s="7">
        <f t="shared" si="28"/>
        <v>0</v>
      </c>
      <c r="W98" s="2"/>
      <c r="X98" s="6">
        <f t="shared" si="29"/>
        <v>0</v>
      </c>
      <c r="Y98" s="2"/>
      <c r="Z98" s="7">
        <f t="shared" si="30"/>
        <v>0</v>
      </c>
    </row>
    <row r="99" spans="1:26" s="27" customFormat="1" outlineLevel="1" collapsed="1" x14ac:dyDescent="0.25">
      <c r="A99" s="26"/>
      <c r="B99" s="13" t="str">
        <f>CONCATENATE("     ","Advertising/Promo                                 ")</f>
        <v xml:space="preserve">     Advertising/Promo                                 </v>
      </c>
      <c r="C99" s="13"/>
      <c r="D99" s="1">
        <f>SUM(OSRRefD22_2x_0)</f>
        <v>0</v>
      </c>
      <c r="E99" s="1"/>
      <c r="F99" s="5">
        <f t="shared" ref="F99:F105" si="31">IF(D$12=0,0,D99/D$12)</f>
        <v>0</v>
      </c>
      <c r="G99" s="1"/>
      <c r="H99" s="1">
        <f>SUM(OSRRefH22_2x_0)</f>
        <v>40</v>
      </c>
      <c r="I99" s="1"/>
      <c r="J99" s="5">
        <f t="shared" ref="J99:J105" si="32">IF(H$12=0,0,H99/H$12)</f>
        <v>8.4187485530275922E-4</v>
      </c>
      <c r="K99" s="1"/>
      <c r="L99" s="1">
        <f t="shared" ref="L99:L105" si="33">+D99-H99</f>
        <v>-40</v>
      </c>
      <c r="M99" s="1"/>
      <c r="N99" s="5">
        <f t="shared" ref="N99:N105" si="34">IF(H99=0,0,L99/H99)</f>
        <v>-1</v>
      </c>
      <c r="O99" s="13"/>
      <c r="P99" s="1">
        <f>SUM(OSRRefP22_2x_0)</f>
        <v>963.62</v>
      </c>
      <c r="Q99" s="1"/>
      <c r="R99" s="5">
        <f t="shared" ref="R99:R105" si="35">IF(P$12=0,0,P99/P$12)</f>
        <v>2.3471472765862244E-3</v>
      </c>
      <c r="S99" s="1"/>
      <c r="T99" s="1">
        <f>SUM(OSRRefT22_2x_0)</f>
        <v>360</v>
      </c>
      <c r="U99" s="1"/>
      <c r="V99" s="5">
        <f t="shared" ref="V99:V105" si="36">IF(T$12=0,0,T99/T$12)</f>
        <v>8.1073229394450534E-4</v>
      </c>
      <c r="W99" s="1"/>
      <c r="X99" s="1">
        <f t="shared" ref="X99:X105" si="37">+P99-T99</f>
        <v>603.62</v>
      </c>
      <c r="Y99" s="1"/>
      <c r="Z99" s="5">
        <f t="shared" ref="Z99:Z105" si="38">IF(T99=0,0,X99/T99)</f>
        <v>1.6767222222222222</v>
      </c>
    </row>
    <row r="100" spans="1:26" s="24" customFormat="1" hidden="1" outlineLevel="2" x14ac:dyDescent="0.25">
      <c r="A100" s="25"/>
      <c r="B100" s="11" t="str">
        <f>CONCATENATE("          ", "6362", " - ", "ADVERTISING EXPENSE")</f>
        <v xml:space="preserve">          6362 - ADVERTISING EXPENSE</v>
      </c>
      <c r="C100" s="11"/>
      <c r="D100" s="6"/>
      <c r="E100" s="2"/>
      <c r="F100" s="7">
        <f t="shared" si="31"/>
        <v>0</v>
      </c>
      <c r="G100" s="2"/>
      <c r="H100" s="6">
        <v>40</v>
      </c>
      <c r="I100" s="2"/>
      <c r="J100" s="7">
        <f t="shared" si="32"/>
        <v>8.4187485530275922E-4</v>
      </c>
      <c r="K100" s="2"/>
      <c r="L100" s="6">
        <f t="shared" si="33"/>
        <v>-40</v>
      </c>
      <c r="M100" s="2"/>
      <c r="N100" s="7">
        <f t="shared" si="34"/>
        <v>-1</v>
      </c>
      <c r="O100" s="11"/>
      <c r="P100" s="6">
        <v>963.62</v>
      </c>
      <c r="Q100" s="2"/>
      <c r="R100" s="7">
        <f t="shared" si="35"/>
        <v>2.3471472765862244E-3</v>
      </c>
      <c r="S100" s="2"/>
      <c r="T100" s="6">
        <v>360</v>
      </c>
      <c r="U100" s="2"/>
      <c r="V100" s="7">
        <f t="shared" si="36"/>
        <v>8.1073229394450534E-4</v>
      </c>
      <c r="W100" s="2"/>
      <c r="X100" s="6">
        <f t="shared" si="37"/>
        <v>603.62</v>
      </c>
      <c r="Y100" s="2"/>
      <c r="Z100" s="7">
        <f t="shared" si="38"/>
        <v>1.6767222222222222</v>
      </c>
    </row>
    <row r="101" spans="1:26" s="27" customFormat="1" outlineLevel="1" collapsed="1" x14ac:dyDescent="0.25">
      <c r="A101" s="26"/>
      <c r="B101" s="13" t="str">
        <f>CONCATENATE("     ","Bad Debts/Over/Short                              ")</f>
        <v xml:space="preserve">     Bad Debts/Over/Short                              </v>
      </c>
      <c r="C101" s="13"/>
      <c r="D101" s="1">
        <f>SUM(OSRRefD22_3x_0)</f>
        <v>-0.35</v>
      </c>
      <c r="E101" s="1"/>
      <c r="F101" s="5">
        <f t="shared" si="31"/>
        <v>-1.3335548304404083E-5</v>
      </c>
      <c r="G101" s="1"/>
      <c r="H101" s="1">
        <f>SUM(OSRRefH22_3x_0)</f>
        <v>0</v>
      </c>
      <c r="I101" s="1"/>
      <c r="J101" s="5">
        <f t="shared" si="32"/>
        <v>0</v>
      </c>
      <c r="K101" s="1"/>
      <c r="L101" s="1">
        <f t="shared" si="33"/>
        <v>-0.35</v>
      </c>
      <c r="M101" s="1"/>
      <c r="N101" s="5">
        <f t="shared" si="34"/>
        <v>0</v>
      </c>
      <c r="O101" s="13"/>
      <c r="P101" s="1">
        <f>SUM(OSRRefP22_3x_0)</f>
        <v>-55.84</v>
      </c>
      <c r="Q101" s="1"/>
      <c r="R101" s="5">
        <f t="shared" si="35"/>
        <v>-1.360128514607156E-4</v>
      </c>
      <c r="S101" s="1"/>
      <c r="T101" s="1">
        <f>SUM(OSRRefT22_3x_0)</f>
        <v>0</v>
      </c>
      <c r="U101" s="1"/>
      <c r="V101" s="5">
        <f t="shared" si="36"/>
        <v>0</v>
      </c>
      <c r="W101" s="1"/>
      <c r="X101" s="1">
        <f t="shared" si="37"/>
        <v>-55.84</v>
      </c>
      <c r="Y101" s="1"/>
      <c r="Z101" s="5">
        <f t="shared" si="38"/>
        <v>0</v>
      </c>
    </row>
    <row r="102" spans="1:26" s="24" customFormat="1" hidden="1" outlineLevel="2" x14ac:dyDescent="0.25">
      <c r="A102" s="25"/>
      <c r="B102" s="11" t="str">
        <f>CONCATENATE("          ", "6272", " - ", "CASH (OVER/SHORT)")</f>
        <v xml:space="preserve">          6272 - CASH (OVER/SHORT)</v>
      </c>
      <c r="C102" s="11"/>
      <c r="D102" s="6">
        <v>-0.35</v>
      </c>
      <c r="E102" s="2"/>
      <c r="F102" s="7">
        <f t="shared" si="31"/>
        <v>-1.3335548304404083E-5</v>
      </c>
      <c r="G102" s="2"/>
      <c r="H102" s="6"/>
      <c r="I102" s="2"/>
      <c r="J102" s="7">
        <f t="shared" si="32"/>
        <v>0</v>
      </c>
      <c r="K102" s="2"/>
      <c r="L102" s="6">
        <f t="shared" si="33"/>
        <v>-0.35</v>
      </c>
      <c r="M102" s="2"/>
      <c r="N102" s="7">
        <f t="shared" si="34"/>
        <v>0</v>
      </c>
      <c r="O102" s="11"/>
      <c r="P102" s="6">
        <v>-55.84</v>
      </c>
      <c r="Q102" s="2"/>
      <c r="R102" s="7">
        <f t="shared" si="35"/>
        <v>-1.360128514607156E-4</v>
      </c>
      <c r="S102" s="2"/>
      <c r="T102" s="6"/>
      <c r="U102" s="2"/>
      <c r="V102" s="7">
        <f t="shared" si="36"/>
        <v>0</v>
      </c>
      <c r="W102" s="2"/>
      <c r="X102" s="6">
        <f t="shared" si="37"/>
        <v>-55.84</v>
      </c>
      <c r="Y102" s="2"/>
      <c r="Z102" s="7">
        <f t="shared" si="38"/>
        <v>0</v>
      </c>
    </row>
    <row r="103" spans="1:26" s="27" customFormat="1" outlineLevel="1" collapsed="1" x14ac:dyDescent="0.25">
      <c r="A103" s="26"/>
      <c r="B103" s="13" t="str">
        <f>CONCATENATE("     ","Discounts and Markdowns                           ")</f>
        <v xml:space="preserve">     Discounts and Markdowns                           </v>
      </c>
      <c r="C103" s="13"/>
      <c r="D103" s="1">
        <f>SUM(OSRRefD22_4x_0)</f>
        <v>617.82000000000005</v>
      </c>
      <c r="E103" s="1"/>
      <c r="F103" s="5">
        <f t="shared" si="31"/>
        <v>2.3539909866934092E-2</v>
      </c>
      <c r="G103" s="1"/>
      <c r="H103" s="1">
        <f>SUM(OSRRefH22_4x_0)</f>
        <v>1250</v>
      </c>
      <c r="I103" s="1"/>
      <c r="J103" s="5">
        <f t="shared" si="32"/>
        <v>2.6308589228211228E-2</v>
      </c>
      <c r="K103" s="1"/>
      <c r="L103" s="1">
        <f t="shared" si="33"/>
        <v>-632.17999999999995</v>
      </c>
      <c r="M103" s="1"/>
      <c r="N103" s="5">
        <f t="shared" si="34"/>
        <v>-0.50574399999999997</v>
      </c>
      <c r="O103" s="13"/>
      <c r="P103" s="1">
        <f>SUM(OSRRefP22_4x_0)</f>
        <v>8936.44</v>
      </c>
      <c r="Q103" s="1"/>
      <c r="R103" s="5">
        <f t="shared" si="35"/>
        <v>2.1767025184591643E-2</v>
      </c>
      <c r="S103" s="1"/>
      <c r="T103" s="1">
        <f>SUM(OSRRefT22_4x_0)</f>
        <v>11250</v>
      </c>
      <c r="U103" s="1"/>
      <c r="V103" s="5">
        <f t="shared" si="36"/>
        <v>2.5335384185765794E-2</v>
      </c>
      <c r="W103" s="1"/>
      <c r="X103" s="1">
        <f t="shared" si="37"/>
        <v>-2313.5599999999995</v>
      </c>
      <c r="Y103" s="1"/>
      <c r="Z103" s="5">
        <f t="shared" si="38"/>
        <v>-0.20564977777777774</v>
      </c>
    </row>
    <row r="104" spans="1:26" s="24" customFormat="1" hidden="1" outlineLevel="2" x14ac:dyDescent="0.25">
      <c r="A104" s="25"/>
      <c r="B104" s="11" t="str">
        <f>CONCATENATE("          ", "6382", " - ", "DISCOUNTS/MARK DOWNS")</f>
        <v xml:space="preserve">          6382 - DISCOUNTS/MARK DOWNS</v>
      </c>
      <c r="C104" s="11"/>
      <c r="D104" s="6">
        <v>617.82000000000005</v>
      </c>
      <c r="E104" s="2"/>
      <c r="F104" s="7">
        <f t="shared" si="31"/>
        <v>2.3539909866934092E-2</v>
      </c>
      <c r="G104" s="2"/>
      <c r="H104" s="6">
        <v>1250</v>
      </c>
      <c r="I104" s="2"/>
      <c r="J104" s="7">
        <f t="shared" si="32"/>
        <v>2.6308589228211228E-2</v>
      </c>
      <c r="K104" s="2"/>
      <c r="L104" s="6">
        <f t="shared" si="33"/>
        <v>-632.17999999999995</v>
      </c>
      <c r="M104" s="2"/>
      <c r="N104" s="7">
        <f t="shared" si="34"/>
        <v>-0.50574399999999997</v>
      </c>
      <c r="O104" s="11"/>
      <c r="P104" s="6">
        <v>8936.44</v>
      </c>
      <c r="Q104" s="2"/>
      <c r="R104" s="7">
        <f t="shared" si="35"/>
        <v>2.1767025184591643E-2</v>
      </c>
      <c r="S104" s="2"/>
      <c r="T104" s="6">
        <v>11250</v>
      </c>
      <c r="U104" s="2"/>
      <c r="V104" s="7">
        <f t="shared" si="36"/>
        <v>2.5335384185765794E-2</v>
      </c>
      <c r="W104" s="2"/>
      <c r="X104" s="6">
        <f t="shared" si="37"/>
        <v>-2313.5599999999995</v>
      </c>
      <c r="Y104" s="2"/>
      <c r="Z104" s="7">
        <f t="shared" si="38"/>
        <v>-0.20564977777777774</v>
      </c>
    </row>
    <row r="105" spans="1:26" s="24" customFormat="1" hidden="1" outlineLevel="2" x14ac:dyDescent="0.25">
      <c r="A105" s="25"/>
      <c r="B105" s="11" t="str">
        <f>CONCATENATE("          ", "9175", " - ", "EARNED DISCOUNTS")</f>
        <v xml:space="preserve">          9175 - EARNED DISCOUNTS</v>
      </c>
      <c r="C105" s="11"/>
      <c r="D105" s="6"/>
      <c r="E105" s="2"/>
      <c r="F105" s="7">
        <f t="shared" si="31"/>
        <v>0</v>
      </c>
      <c r="G105" s="2"/>
      <c r="H105" s="6"/>
      <c r="I105" s="2"/>
      <c r="J105" s="7">
        <f t="shared" si="32"/>
        <v>0</v>
      </c>
      <c r="K105" s="2"/>
      <c r="L105" s="6">
        <f t="shared" si="33"/>
        <v>0</v>
      </c>
      <c r="M105" s="2"/>
      <c r="N105" s="7">
        <f t="shared" si="34"/>
        <v>0</v>
      </c>
      <c r="O105" s="11"/>
      <c r="P105" s="6">
        <v>0</v>
      </c>
      <c r="Q105" s="2"/>
      <c r="R105" s="7">
        <f t="shared" si="35"/>
        <v>0</v>
      </c>
      <c r="S105" s="2"/>
      <c r="T105" s="6"/>
      <c r="U105" s="2"/>
      <c r="V105" s="7">
        <f t="shared" si="36"/>
        <v>0</v>
      </c>
      <c r="W105" s="2"/>
      <c r="X105" s="6">
        <f t="shared" si="37"/>
        <v>0</v>
      </c>
      <c r="Y105" s="2"/>
      <c r="Z105" s="7">
        <f t="shared" si="38"/>
        <v>0</v>
      </c>
    </row>
    <row r="106" spans="1:26" s="27" customFormat="1" outlineLevel="1" collapsed="1" x14ac:dyDescent="0.25">
      <c r="A106" s="26"/>
      <c r="B106" s="13" t="str">
        <f>CONCATENATE("     ","Employees' Appreciation                           ")</f>
        <v xml:space="preserve">     Employees' Appreciation                           </v>
      </c>
      <c r="C106" s="13"/>
      <c r="D106" s="1">
        <f>SUM(OSRRefD22_5x_0)</f>
        <v>0</v>
      </c>
      <c r="E106" s="1"/>
      <c r="F106" s="5">
        <f t="shared" ref="F106:F114" si="39">IF(D$12=0,0,D106/D$12)</f>
        <v>0</v>
      </c>
      <c r="G106" s="1"/>
      <c r="H106" s="1">
        <f>SUM(OSRRefH22_5x_0)</f>
        <v>25</v>
      </c>
      <c r="I106" s="1"/>
      <c r="J106" s="5">
        <f t="shared" ref="J106:J114" si="40">IF(H$12=0,0,H106/H$12)</f>
        <v>5.2617178456422454E-4</v>
      </c>
      <c r="K106" s="1"/>
      <c r="L106" s="1">
        <f t="shared" ref="L106:L114" si="41">+D106-H106</f>
        <v>-25</v>
      </c>
      <c r="M106" s="1"/>
      <c r="N106" s="5">
        <f t="shared" ref="N106:N114" si="42">IF(H106=0,0,L106/H106)</f>
        <v>-1</v>
      </c>
      <c r="O106" s="13"/>
      <c r="P106" s="1">
        <f>SUM(OSRRefP22_5x_0)</f>
        <v>0</v>
      </c>
      <c r="Q106" s="1"/>
      <c r="R106" s="5">
        <f t="shared" ref="R106:R114" si="43">IF(P$12=0,0,P106/P$12)</f>
        <v>0</v>
      </c>
      <c r="S106" s="1"/>
      <c r="T106" s="1">
        <f>SUM(OSRRefT22_5x_0)</f>
        <v>225</v>
      </c>
      <c r="U106" s="1"/>
      <c r="V106" s="5">
        <f t="shared" ref="V106:V114" si="44">IF(T$12=0,0,T106/T$12)</f>
        <v>5.0670768371531582E-4</v>
      </c>
      <c r="W106" s="1"/>
      <c r="X106" s="1">
        <f t="shared" ref="X106:X114" si="45">+P106-T106</f>
        <v>-225</v>
      </c>
      <c r="Y106" s="1"/>
      <c r="Z106" s="5">
        <f t="shared" ref="Z106:Z114" si="46">IF(T106=0,0,X106/T106)</f>
        <v>-1</v>
      </c>
    </row>
    <row r="107" spans="1:26" s="24" customFormat="1" hidden="1" outlineLevel="2" x14ac:dyDescent="0.25">
      <c r="A107" s="25"/>
      <c r="B107" s="11" t="str">
        <f>CONCATENATE("          ", "6277", " - ", "EMPLOYEE APPRECIATION")</f>
        <v xml:space="preserve">          6277 - EMPLOYEE APPRECIATION</v>
      </c>
      <c r="C107" s="11"/>
      <c r="D107" s="6"/>
      <c r="E107" s="2"/>
      <c r="F107" s="7">
        <f t="shared" si="39"/>
        <v>0</v>
      </c>
      <c r="G107" s="2"/>
      <c r="H107" s="6">
        <v>25</v>
      </c>
      <c r="I107" s="2"/>
      <c r="J107" s="7">
        <f t="shared" si="40"/>
        <v>5.2617178456422454E-4</v>
      </c>
      <c r="K107" s="2"/>
      <c r="L107" s="6">
        <f t="shared" si="41"/>
        <v>-25</v>
      </c>
      <c r="M107" s="2"/>
      <c r="N107" s="7">
        <f t="shared" si="42"/>
        <v>-1</v>
      </c>
      <c r="O107" s="11"/>
      <c r="P107" s="6"/>
      <c r="Q107" s="2"/>
      <c r="R107" s="7">
        <f t="shared" si="43"/>
        <v>0</v>
      </c>
      <c r="S107" s="2"/>
      <c r="T107" s="6">
        <v>225</v>
      </c>
      <c r="U107" s="2"/>
      <c r="V107" s="7">
        <f t="shared" si="44"/>
        <v>5.0670768371531582E-4</v>
      </c>
      <c r="W107" s="2"/>
      <c r="X107" s="6">
        <f t="shared" si="45"/>
        <v>-225</v>
      </c>
      <c r="Y107" s="2"/>
      <c r="Z107" s="7">
        <f t="shared" si="46"/>
        <v>-1</v>
      </c>
    </row>
    <row r="108" spans="1:26" s="27" customFormat="1" outlineLevel="1" collapsed="1" x14ac:dyDescent="0.25">
      <c r="A108" s="26"/>
      <c r="B108" s="13" t="str">
        <f>CONCATENATE("     ","General                                           ")</f>
        <v xml:space="preserve">     General                                           </v>
      </c>
      <c r="C108" s="13"/>
      <c r="D108" s="1">
        <f>SUM(OSRRefD22_6x_0)</f>
        <v>0</v>
      </c>
      <c r="E108" s="1"/>
      <c r="F108" s="5">
        <f t="shared" si="39"/>
        <v>0</v>
      </c>
      <c r="G108" s="1"/>
      <c r="H108" s="1">
        <f>SUM(OSRRefH22_6x_0)</f>
        <v>80</v>
      </c>
      <c r="I108" s="1"/>
      <c r="J108" s="5">
        <f t="shared" si="40"/>
        <v>1.6837497106055184E-3</v>
      </c>
      <c r="K108" s="1"/>
      <c r="L108" s="1">
        <f t="shared" si="41"/>
        <v>-80</v>
      </c>
      <c r="M108" s="1"/>
      <c r="N108" s="5">
        <f t="shared" si="42"/>
        <v>-1</v>
      </c>
      <c r="O108" s="13"/>
      <c r="P108" s="1">
        <f>SUM(OSRRefP22_6x_0)</f>
        <v>954.05</v>
      </c>
      <c r="Q108" s="1"/>
      <c r="R108" s="5">
        <f t="shared" si="43"/>
        <v>2.3238370511478455E-3</v>
      </c>
      <c r="S108" s="1"/>
      <c r="T108" s="1">
        <f>SUM(OSRRefT22_6x_0)</f>
        <v>720</v>
      </c>
      <c r="U108" s="1"/>
      <c r="V108" s="5">
        <f t="shared" si="44"/>
        <v>1.6214645878890107E-3</v>
      </c>
      <c r="W108" s="1"/>
      <c r="X108" s="1">
        <f t="shared" si="45"/>
        <v>234.04999999999995</v>
      </c>
      <c r="Y108" s="1"/>
      <c r="Z108" s="5">
        <f t="shared" si="46"/>
        <v>0.32506944444444436</v>
      </c>
    </row>
    <row r="109" spans="1:26" s="24" customFormat="1" hidden="1" outlineLevel="2" x14ac:dyDescent="0.25">
      <c r="A109" s="25"/>
      <c r="B109" s="11" t="str">
        <f>CONCATENATE("          ", "6279", " - ", "GENERAL EXPENSE")</f>
        <v xml:space="preserve">          6279 - GENERAL EXPENSE</v>
      </c>
      <c r="C109" s="11"/>
      <c r="D109" s="6"/>
      <c r="E109" s="2"/>
      <c r="F109" s="7">
        <f t="shared" si="39"/>
        <v>0</v>
      </c>
      <c r="G109" s="2"/>
      <c r="H109" s="6">
        <v>80</v>
      </c>
      <c r="I109" s="2"/>
      <c r="J109" s="7">
        <f t="shared" si="40"/>
        <v>1.6837497106055184E-3</v>
      </c>
      <c r="K109" s="2"/>
      <c r="L109" s="6">
        <f t="shared" si="41"/>
        <v>-80</v>
      </c>
      <c r="M109" s="2"/>
      <c r="N109" s="7">
        <f t="shared" si="42"/>
        <v>-1</v>
      </c>
      <c r="O109" s="11"/>
      <c r="P109" s="6">
        <v>954.05</v>
      </c>
      <c r="Q109" s="2"/>
      <c r="R109" s="7">
        <f t="shared" si="43"/>
        <v>2.3238370511478455E-3</v>
      </c>
      <c r="S109" s="2"/>
      <c r="T109" s="6">
        <v>720</v>
      </c>
      <c r="U109" s="2"/>
      <c r="V109" s="7">
        <f t="shared" si="44"/>
        <v>1.6214645878890107E-3</v>
      </c>
      <c r="W109" s="2"/>
      <c r="X109" s="6">
        <f t="shared" si="45"/>
        <v>234.04999999999995</v>
      </c>
      <c r="Y109" s="2"/>
      <c r="Z109" s="7">
        <f t="shared" si="46"/>
        <v>0.32506944444444436</v>
      </c>
    </row>
    <row r="110" spans="1:26" s="27" customFormat="1" outlineLevel="1" collapsed="1" x14ac:dyDescent="0.25">
      <c r="A110" s="26"/>
      <c r="B110" s="13" t="str">
        <f>CONCATENATE("     ","Professional Services                             ")</f>
        <v xml:space="preserve">     Professional Services                             </v>
      </c>
      <c r="C110" s="13"/>
      <c r="D110" s="1">
        <f>SUM(OSRRefD22_7x_0)</f>
        <v>0</v>
      </c>
      <c r="E110" s="1"/>
      <c r="F110" s="5">
        <f t="shared" si="39"/>
        <v>0</v>
      </c>
      <c r="G110" s="1"/>
      <c r="H110" s="1">
        <f>SUM(OSRRefH22_7x_0)</f>
        <v>115</v>
      </c>
      <c r="I110" s="1"/>
      <c r="J110" s="5">
        <f t="shared" si="40"/>
        <v>2.4203902089954326E-3</v>
      </c>
      <c r="K110" s="1"/>
      <c r="L110" s="1">
        <f t="shared" si="41"/>
        <v>-115</v>
      </c>
      <c r="M110" s="1"/>
      <c r="N110" s="5">
        <f t="shared" si="42"/>
        <v>-1</v>
      </c>
      <c r="O110" s="13"/>
      <c r="P110" s="1">
        <f>SUM(OSRRefP22_7x_0)</f>
        <v>791.15</v>
      </c>
      <c r="Q110" s="1"/>
      <c r="R110" s="5">
        <f t="shared" si="43"/>
        <v>1.9270517090462954E-3</v>
      </c>
      <c r="S110" s="1"/>
      <c r="T110" s="1">
        <f>SUM(OSRRefT22_7x_0)</f>
        <v>1035</v>
      </c>
      <c r="U110" s="1"/>
      <c r="V110" s="5">
        <f t="shared" si="44"/>
        <v>2.3308553450904529E-3</v>
      </c>
      <c r="W110" s="1"/>
      <c r="X110" s="1">
        <f t="shared" si="45"/>
        <v>-243.85000000000002</v>
      </c>
      <c r="Y110" s="1"/>
      <c r="Z110" s="5">
        <f t="shared" si="46"/>
        <v>-0.23560386473429953</v>
      </c>
    </row>
    <row r="111" spans="1:26" s="24" customFormat="1" hidden="1" outlineLevel="2" x14ac:dyDescent="0.25">
      <c r="A111" s="25"/>
      <c r="B111" s="11" t="str">
        <f>CONCATENATE("          ", "6336", " - ", "PROFESSIONAL SERVICES")</f>
        <v xml:space="preserve">          6336 - PROFESSIONAL SERVICES</v>
      </c>
      <c r="C111" s="11"/>
      <c r="D111" s="6"/>
      <c r="E111" s="2"/>
      <c r="F111" s="7">
        <f t="shared" si="39"/>
        <v>0</v>
      </c>
      <c r="G111" s="2"/>
      <c r="H111" s="6">
        <v>115</v>
      </c>
      <c r="I111" s="2"/>
      <c r="J111" s="7">
        <f t="shared" si="40"/>
        <v>2.4203902089954326E-3</v>
      </c>
      <c r="K111" s="2"/>
      <c r="L111" s="6">
        <f t="shared" si="41"/>
        <v>-115</v>
      </c>
      <c r="M111" s="2"/>
      <c r="N111" s="7">
        <f t="shared" si="42"/>
        <v>-1</v>
      </c>
      <c r="O111" s="11"/>
      <c r="P111" s="6">
        <v>791.15</v>
      </c>
      <c r="Q111" s="2"/>
      <c r="R111" s="7">
        <f t="shared" si="43"/>
        <v>1.9270517090462954E-3</v>
      </c>
      <c r="S111" s="2"/>
      <c r="T111" s="6">
        <v>1035</v>
      </c>
      <c r="U111" s="2"/>
      <c r="V111" s="7">
        <f t="shared" si="44"/>
        <v>2.3308553450904529E-3</v>
      </c>
      <c r="W111" s="2"/>
      <c r="X111" s="6">
        <f t="shared" si="45"/>
        <v>-243.85000000000002</v>
      </c>
      <c r="Y111" s="2"/>
      <c r="Z111" s="7">
        <f t="shared" si="46"/>
        <v>-0.23560386473429953</v>
      </c>
    </row>
    <row r="112" spans="1:26" s="27" customFormat="1" outlineLevel="1" collapsed="1" x14ac:dyDescent="0.25">
      <c r="A112" s="26"/>
      <c r="B112" s="13" t="str">
        <f>CONCATENATE("     ","Repair and Maintenance                            ")</f>
        <v xml:space="preserve">     Repair and Maintenance                            </v>
      </c>
      <c r="C112" s="13"/>
      <c r="D112" s="1">
        <f>SUM(OSRRefD22_8x_0)</f>
        <v>61.11</v>
      </c>
      <c r="E112" s="1"/>
      <c r="F112" s="5">
        <f t="shared" si="39"/>
        <v>2.3283867339489533E-3</v>
      </c>
      <c r="G112" s="1"/>
      <c r="H112" s="1">
        <f>SUM(OSRRefH22_8x_0)</f>
        <v>125</v>
      </c>
      <c r="I112" s="1"/>
      <c r="J112" s="5">
        <f t="shared" si="40"/>
        <v>2.6308589228211227E-3</v>
      </c>
      <c r="K112" s="1"/>
      <c r="L112" s="1">
        <f t="shared" si="41"/>
        <v>-63.89</v>
      </c>
      <c r="M112" s="1"/>
      <c r="N112" s="5">
        <f t="shared" si="42"/>
        <v>-0.51112000000000002</v>
      </c>
      <c r="O112" s="13"/>
      <c r="P112" s="1">
        <f>SUM(OSRRefP22_8x_0)</f>
        <v>190.64000000000001</v>
      </c>
      <c r="Q112" s="1"/>
      <c r="R112" s="5">
        <f t="shared" si="43"/>
        <v>4.6435333098980699E-4</v>
      </c>
      <c r="S112" s="1"/>
      <c r="T112" s="1">
        <f>SUM(OSRRefT22_8x_0)</f>
        <v>1125</v>
      </c>
      <c r="U112" s="1"/>
      <c r="V112" s="5">
        <f t="shared" si="44"/>
        <v>2.5335384185765793E-3</v>
      </c>
      <c r="W112" s="1"/>
      <c r="X112" s="1">
        <f t="shared" si="45"/>
        <v>-934.36</v>
      </c>
      <c r="Y112" s="1"/>
      <c r="Z112" s="5">
        <f t="shared" si="46"/>
        <v>-0.83054222222222218</v>
      </c>
    </row>
    <row r="113" spans="1:26" s="24" customFormat="1" hidden="1" outlineLevel="2" x14ac:dyDescent="0.25">
      <c r="A113" s="25"/>
      <c r="B113" s="11" t="str">
        <f>CONCATENATE("          ", "6373", " - ", "MAINTENANCE CONTRACTS")</f>
        <v xml:space="preserve">          6373 - MAINTENANCE CONTRACTS</v>
      </c>
      <c r="C113" s="11"/>
      <c r="D113" s="6">
        <v>61.11</v>
      </c>
      <c r="E113" s="2"/>
      <c r="F113" s="7">
        <f t="shared" si="39"/>
        <v>2.3283867339489533E-3</v>
      </c>
      <c r="G113" s="2"/>
      <c r="H113" s="6"/>
      <c r="I113" s="2"/>
      <c r="J113" s="7">
        <f t="shared" si="40"/>
        <v>0</v>
      </c>
      <c r="K113" s="2"/>
      <c r="L113" s="6">
        <f t="shared" si="41"/>
        <v>61.11</v>
      </c>
      <c r="M113" s="2"/>
      <c r="N113" s="7">
        <f t="shared" si="42"/>
        <v>0</v>
      </c>
      <c r="O113" s="11"/>
      <c r="P113" s="6">
        <v>180.84</v>
      </c>
      <c r="Q113" s="2"/>
      <c r="R113" s="7">
        <f t="shared" si="43"/>
        <v>4.4048288069763268E-4</v>
      </c>
      <c r="S113" s="2"/>
      <c r="T113" s="6"/>
      <c r="U113" s="2"/>
      <c r="V113" s="7">
        <f t="shared" si="44"/>
        <v>0</v>
      </c>
      <c r="W113" s="2"/>
      <c r="X113" s="6">
        <f t="shared" si="45"/>
        <v>180.84</v>
      </c>
      <c r="Y113" s="2"/>
      <c r="Z113" s="7">
        <f t="shared" si="46"/>
        <v>0</v>
      </c>
    </row>
    <row r="114" spans="1:26" s="24" customFormat="1" hidden="1" outlineLevel="2" x14ac:dyDescent="0.25">
      <c r="A114" s="25"/>
      <c r="B114" s="11" t="str">
        <f>CONCATENATE("          ", "6375", " - ", "OUTSIDE REPAIRS &amp; MAINTENANCE")</f>
        <v xml:space="preserve">          6375 - OUTSIDE REPAIRS &amp; MAINTENANCE</v>
      </c>
      <c r="C114" s="11"/>
      <c r="D114" s="6"/>
      <c r="E114" s="2"/>
      <c r="F114" s="7">
        <f t="shared" si="39"/>
        <v>0</v>
      </c>
      <c r="G114" s="2"/>
      <c r="H114" s="6">
        <v>125</v>
      </c>
      <c r="I114" s="2"/>
      <c r="J114" s="7">
        <f t="shared" si="40"/>
        <v>2.6308589228211227E-3</v>
      </c>
      <c r="K114" s="2"/>
      <c r="L114" s="6">
        <f t="shared" si="41"/>
        <v>-125</v>
      </c>
      <c r="M114" s="2"/>
      <c r="N114" s="7">
        <f t="shared" si="42"/>
        <v>-1</v>
      </c>
      <c r="O114" s="11"/>
      <c r="P114" s="6">
        <v>9.8000000000000007</v>
      </c>
      <c r="Q114" s="2"/>
      <c r="R114" s="7">
        <f t="shared" si="43"/>
        <v>2.3870450292174299E-5</v>
      </c>
      <c r="S114" s="2"/>
      <c r="T114" s="6">
        <v>1125</v>
      </c>
      <c r="U114" s="2"/>
      <c r="V114" s="7">
        <f t="shared" si="44"/>
        <v>2.5335384185765793E-3</v>
      </c>
      <c r="W114" s="2"/>
      <c r="X114" s="6">
        <f t="shared" si="45"/>
        <v>-1115.2</v>
      </c>
      <c r="Y114" s="2"/>
      <c r="Z114" s="7">
        <f t="shared" si="46"/>
        <v>-0.99128888888888889</v>
      </c>
    </row>
    <row r="115" spans="1:26" s="27" customFormat="1" outlineLevel="1" collapsed="1" x14ac:dyDescent="0.25">
      <c r="A115" s="26"/>
      <c r="B115" s="13" t="str">
        <f>CONCATENATE("     ","Services                                          ")</f>
        <v xml:space="preserve">     Services                                          </v>
      </c>
      <c r="C115" s="13"/>
      <c r="D115" s="1">
        <f>SUM(OSRRefD22_9x_0)</f>
        <v>0</v>
      </c>
      <c r="E115" s="1"/>
      <c r="F115" s="5">
        <f t="shared" ref="F115:F117" si="47">IF(D$12=0,0,D115/D$12)</f>
        <v>0</v>
      </c>
      <c r="G115" s="1"/>
      <c r="H115" s="1">
        <f>SUM(OSRRefH22_9x_0)</f>
        <v>100</v>
      </c>
      <c r="I115" s="1"/>
      <c r="J115" s="5">
        <f t="shared" ref="J115:J117" si="48">IF(H$12=0,0,H115/H$12)</f>
        <v>2.1046871382568982E-3</v>
      </c>
      <c r="K115" s="1"/>
      <c r="L115" s="1">
        <f t="shared" ref="L115:L117" si="49">+D115-H115</f>
        <v>-100</v>
      </c>
      <c r="M115" s="1"/>
      <c r="N115" s="5">
        <f t="shared" ref="N115:N117" si="50">IF(H115=0,0,L115/H115)</f>
        <v>-1</v>
      </c>
      <c r="O115" s="13"/>
      <c r="P115" s="1">
        <f>SUM(OSRRefP22_9x_0)</f>
        <v>1818.61</v>
      </c>
      <c r="Q115" s="1"/>
      <c r="R115" s="5">
        <f t="shared" ref="R115:R117" si="51">IF(P$12=0,0,P115/P$12)</f>
        <v>4.4296979189643974E-3</v>
      </c>
      <c r="S115" s="1"/>
      <c r="T115" s="1">
        <f>SUM(OSRRefT22_9x_0)</f>
        <v>900</v>
      </c>
      <c r="U115" s="1"/>
      <c r="V115" s="5">
        <f t="shared" ref="V115:V117" si="52">IF(T$12=0,0,T115/T$12)</f>
        <v>2.0268307348612633E-3</v>
      </c>
      <c r="W115" s="1"/>
      <c r="X115" s="1">
        <f t="shared" ref="X115:X117" si="53">+P115-T115</f>
        <v>918.6099999999999</v>
      </c>
      <c r="Y115" s="1"/>
      <c r="Z115" s="5">
        <f t="shared" ref="Z115:Z117" si="54">IF(T115=0,0,X115/T115)</f>
        <v>1.0206777777777776</v>
      </c>
    </row>
    <row r="116" spans="1:26" s="24" customFormat="1" hidden="1" outlineLevel="2" x14ac:dyDescent="0.25">
      <c r="A116" s="25"/>
      <c r="B116" s="11" t="str">
        <f>CONCATENATE("          ", "6282", " - ", "JANITORIAL/EXTERMINATOR EXPENS")</f>
        <v xml:space="preserve">          6282 - JANITORIAL/EXTERMINATOR EXPENS</v>
      </c>
      <c r="C116" s="11"/>
      <c r="D116" s="6"/>
      <c r="E116" s="2"/>
      <c r="F116" s="7">
        <f t="shared" si="47"/>
        <v>0</v>
      </c>
      <c r="G116" s="2"/>
      <c r="H116" s="6">
        <v>50</v>
      </c>
      <c r="I116" s="2"/>
      <c r="J116" s="7">
        <f t="shared" si="48"/>
        <v>1.0523435691284491E-3</v>
      </c>
      <c r="K116" s="2"/>
      <c r="L116" s="6">
        <f t="shared" si="49"/>
        <v>-50</v>
      </c>
      <c r="M116" s="2"/>
      <c r="N116" s="7">
        <f t="shared" si="50"/>
        <v>-1</v>
      </c>
      <c r="O116" s="11"/>
      <c r="P116" s="6">
        <v>373.02</v>
      </c>
      <c r="Q116" s="2"/>
      <c r="R116" s="7">
        <f t="shared" si="51"/>
        <v>9.0858728244763839E-4</v>
      </c>
      <c r="S116" s="2"/>
      <c r="T116" s="6">
        <v>450</v>
      </c>
      <c r="U116" s="2"/>
      <c r="V116" s="7">
        <f t="shared" si="52"/>
        <v>1.0134153674306316E-3</v>
      </c>
      <c r="W116" s="2"/>
      <c r="X116" s="6">
        <f t="shared" si="53"/>
        <v>-76.980000000000018</v>
      </c>
      <c r="Y116" s="2"/>
      <c r="Z116" s="7">
        <f t="shared" si="54"/>
        <v>-0.1710666666666667</v>
      </c>
    </row>
    <row r="117" spans="1:26" s="24" customFormat="1" hidden="1" outlineLevel="2" x14ac:dyDescent="0.25">
      <c r="A117" s="25"/>
      <c r="B117" s="11" t="str">
        <f>CONCATENATE("          ", "6285", " - ", "JANITORIAL SERVICES")</f>
        <v xml:space="preserve">          6285 - JANITORIAL SERVICES</v>
      </c>
      <c r="C117" s="11"/>
      <c r="D117" s="6"/>
      <c r="E117" s="2"/>
      <c r="F117" s="7">
        <f t="shared" si="47"/>
        <v>0</v>
      </c>
      <c r="G117" s="2"/>
      <c r="H117" s="6">
        <v>50</v>
      </c>
      <c r="I117" s="2"/>
      <c r="J117" s="7">
        <f t="shared" si="48"/>
        <v>1.0523435691284491E-3</v>
      </c>
      <c r="K117" s="2"/>
      <c r="L117" s="6">
        <f t="shared" si="49"/>
        <v>-50</v>
      </c>
      <c r="M117" s="2"/>
      <c r="N117" s="7">
        <f t="shared" si="50"/>
        <v>-1</v>
      </c>
      <c r="O117" s="11"/>
      <c r="P117" s="6">
        <v>1445.59</v>
      </c>
      <c r="Q117" s="2"/>
      <c r="R117" s="7">
        <f t="shared" si="51"/>
        <v>3.5211106365167595E-3</v>
      </c>
      <c r="S117" s="2"/>
      <c r="T117" s="6">
        <v>450</v>
      </c>
      <c r="U117" s="2"/>
      <c r="V117" s="7">
        <f t="shared" si="52"/>
        <v>1.0134153674306316E-3</v>
      </c>
      <c r="W117" s="2"/>
      <c r="X117" s="6">
        <f t="shared" si="53"/>
        <v>995.58999999999992</v>
      </c>
      <c r="Y117" s="2"/>
      <c r="Z117" s="7">
        <f t="shared" si="54"/>
        <v>2.2124222222222221</v>
      </c>
    </row>
    <row r="118" spans="1:26" s="27" customFormat="1" outlineLevel="1" collapsed="1" x14ac:dyDescent="0.25">
      <c r="A118" s="26"/>
      <c r="B118" s="13" t="str">
        <f>CONCATENATE("     ","Supplies                                          ")</f>
        <v xml:space="preserve">     Supplies                                          </v>
      </c>
      <c r="C118" s="13"/>
      <c r="D118" s="1">
        <f>SUM(OSRRefD22_10x_0)</f>
        <v>329.96000000000004</v>
      </c>
      <c r="E118" s="1"/>
      <c r="F118" s="5">
        <f t="shared" ref="F118:F121" si="55">IF(D$12=0,0,D118/D$12)</f>
        <v>1.2571992910060491E-2</v>
      </c>
      <c r="G118" s="1"/>
      <c r="H118" s="1">
        <f>SUM(OSRRefH22_10x_0)</f>
        <v>150</v>
      </c>
      <c r="I118" s="1"/>
      <c r="J118" s="5">
        <f t="shared" ref="J118:J121" si="56">IF(H$12=0,0,H118/H$12)</f>
        <v>3.1570307073853473E-3</v>
      </c>
      <c r="K118" s="1"/>
      <c r="L118" s="1">
        <f t="shared" ref="L118:L121" si="57">+D118-H118</f>
        <v>179.96000000000004</v>
      </c>
      <c r="M118" s="1"/>
      <c r="N118" s="5">
        <f t="shared" ref="N118:N121" si="58">IF(H118=0,0,L118/H118)</f>
        <v>1.1997333333333335</v>
      </c>
      <c r="O118" s="13"/>
      <c r="P118" s="1">
        <f>SUM(OSRRefP22_10x_0)</f>
        <v>1612.07</v>
      </c>
      <c r="Q118" s="1"/>
      <c r="R118" s="5">
        <f t="shared" ref="R118:R121" si="59">IF(P$12=0,0,P118/P$12)</f>
        <v>3.9266160002556548E-3</v>
      </c>
      <c r="S118" s="1"/>
      <c r="T118" s="1">
        <f>SUM(OSRRefT22_10x_0)</f>
        <v>1350</v>
      </c>
      <c r="U118" s="1"/>
      <c r="V118" s="5">
        <f t="shared" ref="V118:V121" si="60">IF(T$12=0,0,T118/T$12)</f>
        <v>3.0402461022918954E-3</v>
      </c>
      <c r="W118" s="1"/>
      <c r="X118" s="1">
        <f t="shared" ref="X118:X121" si="61">+P118-T118</f>
        <v>262.06999999999994</v>
      </c>
      <c r="Y118" s="1"/>
      <c r="Z118" s="5">
        <f t="shared" ref="Z118:Z121" si="62">IF(T118=0,0,X118/T118)</f>
        <v>0.19412592592592587</v>
      </c>
    </row>
    <row r="119" spans="1:26" s="24" customFormat="1" hidden="1" outlineLevel="2" x14ac:dyDescent="0.25">
      <c r="A119" s="25"/>
      <c r="B119" s="11" t="str">
        <f>CONCATENATE("          ", "6241", " - ", "OFFICE EXPENSE")</f>
        <v xml:space="preserve">          6241 - OFFICE EXPENSE</v>
      </c>
      <c r="C119" s="11"/>
      <c r="D119" s="6">
        <v>160.41</v>
      </c>
      <c r="E119" s="2"/>
      <c r="F119" s="7">
        <f t="shared" si="55"/>
        <v>6.1118722957413116E-3</v>
      </c>
      <c r="G119" s="2"/>
      <c r="H119" s="6">
        <v>150</v>
      </c>
      <c r="I119" s="2"/>
      <c r="J119" s="7">
        <f t="shared" si="56"/>
        <v>3.1570307073853473E-3</v>
      </c>
      <c r="K119" s="2"/>
      <c r="L119" s="6">
        <f t="shared" si="57"/>
        <v>10.409999999999997</v>
      </c>
      <c r="M119" s="2"/>
      <c r="N119" s="7">
        <f t="shared" si="58"/>
        <v>6.9399999999999976E-2</v>
      </c>
      <c r="O119" s="11"/>
      <c r="P119" s="6">
        <v>1421.17</v>
      </c>
      <c r="Q119" s="2"/>
      <c r="R119" s="7">
        <f t="shared" si="59"/>
        <v>3.4616293716050357E-3</v>
      </c>
      <c r="S119" s="2"/>
      <c r="T119" s="6">
        <v>1350</v>
      </c>
      <c r="U119" s="2"/>
      <c r="V119" s="7">
        <f t="shared" si="60"/>
        <v>3.0402461022918954E-3</v>
      </c>
      <c r="W119" s="2"/>
      <c r="X119" s="6">
        <f t="shared" si="61"/>
        <v>71.170000000000073</v>
      </c>
      <c r="Y119" s="2"/>
      <c r="Z119" s="7">
        <f t="shared" si="62"/>
        <v>5.2718518518518574E-2</v>
      </c>
    </row>
    <row r="120" spans="1:26" s="24" customFormat="1" hidden="1" outlineLevel="2" x14ac:dyDescent="0.25">
      <c r="A120" s="25"/>
      <c r="B120" s="11" t="str">
        <f>CONCATENATE("          ", "6245", " - ", "PRINTING")</f>
        <v xml:space="preserve">          6245 - PRINTING</v>
      </c>
      <c r="C120" s="11"/>
      <c r="D120" s="6"/>
      <c r="E120" s="2"/>
      <c r="F120" s="7">
        <f t="shared" si="55"/>
        <v>0</v>
      </c>
      <c r="G120" s="2"/>
      <c r="H120" s="6"/>
      <c r="I120" s="2"/>
      <c r="J120" s="7">
        <f t="shared" si="56"/>
        <v>0</v>
      </c>
      <c r="K120" s="2"/>
      <c r="L120" s="6">
        <f t="shared" si="57"/>
        <v>0</v>
      </c>
      <c r="M120" s="2"/>
      <c r="N120" s="7">
        <f t="shared" si="58"/>
        <v>0</v>
      </c>
      <c r="O120" s="11"/>
      <c r="P120" s="6">
        <v>22.05</v>
      </c>
      <c r="Q120" s="2"/>
      <c r="R120" s="7">
        <f t="shared" si="59"/>
        <v>5.3708513157392171E-5</v>
      </c>
      <c r="S120" s="2"/>
      <c r="T120" s="6"/>
      <c r="U120" s="2"/>
      <c r="V120" s="7">
        <f t="shared" si="60"/>
        <v>0</v>
      </c>
      <c r="W120" s="2"/>
      <c r="X120" s="6">
        <f t="shared" si="61"/>
        <v>22.05</v>
      </c>
      <c r="Y120" s="2"/>
      <c r="Z120" s="7">
        <f t="shared" si="62"/>
        <v>0</v>
      </c>
    </row>
    <row r="121" spans="1:26" s="24" customFormat="1" hidden="1" outlineLevel="2" x14ac:dyDescent="0.25">
      <c r="A121" s="25"/>
      <c r="B121" s="11" t="str">
        <f>CONCATENATE("          ", "6247", " - ", "STORE SUPPLIES")</f>
        <v xml:space="preserve">          6247 - STORE SUPPLIES</v>
      </c>
      <c r="C121" s="11"/>
      <c r="D121" s="6">
        <v>169.55</v>
      </c>
      <c r="E121" s="2"/>
      <c r="F121" s="7">
        <f t="shared" si="55"/>
        <v>6.4601206143191786E-3</v>
      </c>
      <c r="G121" s="2"/>
      <c r="H121" s="6"/>
      <c r="I121" s="2"/>
      <c r="J121" s="7">
        <f t="shared" si="56"/>
        <v>0</v>
      </c>
      <c r="K121" s="2"/>
      <c r="L121" s="6">
        <f t="shared" si="57"/>
        <v>169.55</v>
      </c>
      <c r="M121" s="2"/>
      <c r="N121" s="7">
        <f t="shared" si="58"/>
        <v>0</v>
      </c>
      <c r="O121" s="11"/>
      <c r="P121" s="6">
        <v>168.85</v>
      </c>
      <c r="Q121" s="2"/>
      <c r="R121" s="7">
        <f t="shared" si="59"/>
        <v>4.1127811549322756E-4</v>
      </c>
      <c r="S121" s="2"/>
      <c r="T121" s="6"/>
      <c r="U121" s="2"/>
      <c r="V121" s="7">
        <f t="shared" si="60"/>
        <v>0</v>
      </c>
      <c r="W121" s="2"/>
      <c r="X121" s="6">
        <f t="shared" si="61"/>
        <v>168.85</v>
      </c>
      <c r="Y121" s="2"/>
      <c r="Z121" s="7">
        <f t="shared" si="62"/>
        <v>0</v>
      </c>
    </row>
    <row r="122" spans="1:26" s="27" customFormat="1" outlineLevel="1" collapsed="1" x14ac:dyDescent="0.25">
      <c r="A122" s="26"/>
      <c r="B122" s="13" t="str">
        <f>CONCATENATE("     ","Telephone/Data Lines                              ")</f>
        <v xml:space="preserve">     Telephone/Data Lines                              </v>
      </c>
      <c r="C122" s="13"/>
      <c r="D122" s="1">
        <f>SUM(OSRRefD22_11x_0)</f>
        <v>103.15</v>
      </c>
      <c r="E122" s="1"/>
      <c r="F122" s="5">
        <f t="shared" ref="F122:F125" si="63">IF(D$12=0,0,D122/D$12)</f>
        <v>3.9301765931408035E-3</v>
      </c>
      <c r="G122" s="1"/>
      <c r="H122" s="1">
        <f>SUM(OSRRefH22_11x_0)</f>
        <v>75</v>
      </c>
      <c r="I122" s="1"/>
      <c r="J122" s="5">
        <f t="shared" ref="J122:J125" si="64">IF(H$12=0,0,H122/H$12)</f>
        <v>1.5785153536926736E-3</v>
      </c>
      <c r="K122" s="1"/>
      <c r="L122" s="1">
        <f t="shared" ref="L122:L125" si="65">+D122-H122</f>
        <v>28.150000000000006</v>
      </c>
      <c r="M122" s="1"/>
      <c r="N122" s="5">
        <f t="shared" ref="N122:N125" si="66">IF(H122=0,0,L122/H122)</f>
        <v>0.37533333333333341</v>
      </c>
      <c r="O122" s="13"/>
      <c r="P122" s="1">
        <f>SUM(OSRRefP22_11x_0)</f>
        <v>887.37</v>
      </c>
      <c r="Q122" s="1"/>
      <c r="R122" s="5">
        <f t="shared" ref="R122:R125" si="67">IF(P$12=0,0,P122/P$12)</f>
        <v>2.1614205587517049E-3</v>
      </c>
      <c r="S122" s="1"/>
      <c r="T122" s="1">
        <f>SUM(OSRRefT22_11x_0)</f>
        <v>675</v>
      </c>
      <c r="U122" s="1"/>
      <c r="V122" s="5">
        <f t="shared" ref="V122:V125" si="68">IF(T$12=0,0,T122/T$12)</f>
        <v>1.5201230511459477E-3</v>
      </c>
      <c r="W122" s="1"/>
      <c r="X122" s="1">
        <f t="shared" ref="X122:X125" si="69">+P122-T122</f>
        <v>212.37</v>
      </c>
      <c r="Y122" s="1"/>
      <c r="Z122" s="5">
        <f t="shared" ref="Z122:Z125" si="70">IF(T122=0,0,X122/T122)</f>
        <v>0.31462222222222225</v>
      </c>
    </row>
    <row r="123" spans="1:26" s="24" customFormat="1" hidden="1" outlineLevel="2" x14ac:dyDescent="0.25">
      <c r="A123" s="25"/>
      <c r="B123" s="11" t="str">
        <f>CONCATENATE("          ", "6309", " - ", "TELEPHONE")</f>
        <v xml:space="preserve">          6309 - TELEPHONE</v>
      </c>
      <c r="C123" s="11"/>
      <c r="D123" s="6">
        <v>103.15</v>
      </c>
      <c r="E123" s="2"/>
      <c r="F123" s="7">
        <f t="shared" si="63"/>
        <v>3.9301765931408035E-3</v>
      </c>
      <c r="G123" s="2"/>
      <c r="H123" s="6">
        <v>75</v>
      </c>
      <c r="I123" s="2"/>
      <c r="J123" s="7">
        <f t="shared" si="64"/>
        <v>1.5785153536926736E-3</v>
      </c>
      <c r="K123" s="2"/>
      <c r="L123" s="6">
        <f t="shared" si="65"/>
        <v>28.150000000000006</v>
      </c>
      <c r="M123" s="2"/>
      <c r="N123" s="7">
        <f t="shared" si="66"/>
        <v>0.37533333333333341</v>
      </c>
      <c r="O123" s="11"/>
      <c r="P123" s="6">
        <v>887.37</v>
      </c>
      <c r="Q123" s="2"/>
      <c r="R123" s="7">
        <f t="shared" si="67"/>
        <v>2.1614205587517049E-3</v>
      </c>
      <c r="S123" s="2"/>
      <c r="T123" s="6">
        <v>675</v>
      </c>
      <c r="U123" s="2"/>
      <c r="V123" s="7">
        <f t="shared" si="68"/>
        <v>1.5201230511459477E-3</v>
      </c>
      <c r="W123" s="2"/>
      <c r="X123" s="6">
        <f t="shared" si="69"/>
        <v>212.37</v>
      </c>
      <c r="Y123" s="2"/>
      <c r="Z123" s="7">
        <f t="shared" si="70"/>
        <v>0.31462222222222225</v>
      </c>
    </row>
    <row r="124" spans="1:26" s="27" customFormat="1" outlineLevel="1" collapsed="1" x14ac:dyDescent="0.25">
      <c r="A124" s="26"/>
      <c r="B124" s="13" t="str">
        <f>CONCATENATE("     ","Training                                          ")</f>
        <v xml:space="preserve">     Training                                          </v>
      </c>
      <c r="C124" s="13"/>
      <c r="D124" s="1">
        <f>SUM(OSRRefD22_12x_0)</f>
        <v>0</v>
      </c>
      <c r="E124" s="1"/>
      <c r="F124" s="5">
        <f t="shared" si="63"/>
        <v>0</v>
      </c>
      <c r="G124" s="1"/>
      <c r="H124" s="1">
        <f>SUM(OSRRefH22_12x_0)</f>
        <v>175</v>
      </c>
      <c r="I124" s="1"/>
      <c r="J124" s="5">
        <f t="shared" si="64"/>
        <v>3.6832024919495718E-3</v>
      </c>
      <c r="K124" s="1"/>
      <c r="L124" s="1">
        <f t="shared" si="65"/>
        <v>-175</v>
      </c>
      <c r="M124" s="1"/>
      <c r="N124" s="5">
        <f t="shared" si="66"/>
        <v>-1</v>
      </c>
      <c r="O124" s="13"/>
      <c r="P124" s="1">
        <f>SUM(OSRRefP22_12x_0)</f>
        <v>254.8</v>
      </c>
      <c r="Q124" s="1"/>
      <c r="R124" s="5">
        <f t="shared" si="67"/>
        <v>6.2063170759653178E-4</v>
      </c>
      <c r="S124" s="1"/>
      <c r="T124" s="1">
        <f>SUM(OSRRefT22_12x_0)</f>
        <v>1575</v>
      </c>
      <c r="U124" s="1"/>
      <c r="V124" s="5">
        <f t="shared" si="68"/>
        <v>3.546953786007211E-3</v>
      </c>
      <c r="W124" s="1"/>
      <c r="X124" s="1">
        <f t="shared" si="69"/>
        <v>-1320.2</v>
      </c>
      <c r="Y124" s="1"/>
      <c r="Z124" s="5">
        <f t="shared" si="70"/>
        <v>-0.8382222222222222</v>
      </c>
    </row>
    <row r="125" spans="1:26" s="24" customFormat="1" hidden="1" outlineLevel="2" x14ac:dyDescent="0.25">
      <c r="A125" s="25"/>
      <c r="B125" s="11" t="str">
        <f>CONCATENATE("          ", "6376", " - ", "TRAINING")</f>
        <v xml:space="preserve">          6376 - TRAINING</v>
      </c>
      <c r="C125" s="11"/>
      <c r="D125" s="6"/>
      <c r="E125" s="2"/>
      <c r="F125" s="7">
        <f t="shared" si="63"/>
        <v>0</v>
      </c>
      <c r="G125" s="2"/>
      <c r="H125" s="6">
        <v>175</v>
      </c>
      <c r="I125" s="2"/>
      <c r="J125" s="7">
        <f t="shared" si="64"/>
        <v>3.6832024919495718E-3</v>
      </c>
      <c r="K125" s="2"/>
      <c r="L125" s="6">
        <f t="shared" si="65"/>
        <v>-175</v>
      </c>
      <c r="M125" s="2"/>
      <c r="N125" s="7">
        <f t="shared" si="66"/>
        <v>-1</v>
      </c>
      <c r="O125" s="11"/>
      <c r="P125" s="6">
        <v>254.8</v>
      </c>
      <c r="Q125" s="2"/>
      <c r="R125" s="7">
        <f t="shared" si="67"/>
        <v>6.2063170759653178E-4</v>
      </c>
      <c r="S125" s="2"/>
      <c r="T125" s="6">
        <v>1575</v>
      </c>
      <c r="U125" s="2"/>
      <c r="V125" s="7">
        <f t="shared" si="68"/>
        <v>3.546953786007211E-3</v>
      </c>
      <c r="W125" s="2"/>
      <c r="X125" s="6">
        <f t="shared" si="69"/>
        <v>-1320.2</v>
      </c>
      <c r="Y125" s="2"/>
      <c r="Z125" s="7">
        <f t="shared" si="70"/>
        <v>-0.8382222222222222</v>
      </c>
    </row>
    <row r="126" spans="1:26" s="56" customFormat="1" x14ac:dyDescent="0.25">
      <c r="A126" s="36"/>
      <c r="B126" s="36"/>
      <c r="C126" s="36"/>
      <c r="D126" s="1"/>
      <c r="E126" s="1"/>
      <c r="F126" s="5"/>
      <c r="G126" s="1"/>
      <c r="H126" s="1"/>
      <c r="I126" s="1"/>
      <c r="J126" s="5"/>
      <c r="K126" s="1"/>
      <c r="L126" s="1"/>
      <c r="M126" s="1"/>
      <c r="N126" s="5"/>
      <c r="O126" s="36"/>
      <c r="P126" s="1"/>
      <c r="Q126" s="1"/>
      <c r="R126" s="5"/>
      <c r="S126" s="1"/>
      <c r="T126" s="1"/>
      <c r="U126" s="1"/>
      <c r="V126" s="5"/>
      <c r="W126" s="1"/>
      <c r="X126" s="1"/>
      <c r="Y126" s="1"/>
      <c r="Z126" s="5"/>
    </row>
    <row r="127" spans="1:26" s="23" customFormat="1" collapsed="1" x14ac:dyDescent="0.25">
      <c r="A127" s="10"/>
      <c r="B127" s="29" t="s">
        <v>0</v>
      </c>
      <c r="C127" s="10"/>
      <c r="D127" s="4">
        <f>SUM(OSRRefD25x_0)</f>
        <v>0</v>
      </c>
      <c r="E127" s="4"/>
      <c r="F127" s="12">
        <f t="shared" ref="F127:F128" si="71">IF(D$12=0,0,D127/D$12)</f>
        <v>0</v>
      </c>
      <c r="G127" s="4"/>
      <c r="H127" s="4">
        <f>SUM(OSRRefH25x_0)</f>
        <v>0</v>
      </c>
      <c r="I127" s="4"/>
      <c r="J127" s="12">
        <f t="shared" ref="J127:J128" si="72">IF(H$12=0,0,H127/H$12)</f>
        <v>0</v>
      </c>
      <c r="K127" s="4"/>
      <c r="L127" s="4">
        <f t="shared" ref="L127:L128" si="73">+D127-H127</f>
        <v>0</v>
      </c>
      <c r="M127" s="4"/>
      <c r="N127" s="12">
        <f t="shared" ref="N127:N128" si="74">IF(H127=0,0,L127/H127)</f>
        <v>0</v>
      </c>
      <c r="O127" s="10"/>
      <c r="P127" s="4">
        <f>SUM(OSRRefP25x_0)</f>
        <v>68.760000000000005</v>
      </c>
      <c r="Q127" s="4"/>
      <c r="R127" s="12">
        <f t="shared" ref="R127:R128" si="75">IF(P$12=0,0,P127/P$12)</f>
        <v>1.6748287368264334E-4</v>
      </c>
      <c r="S127" s="4"/>
      <c r="T127" s="4">
        <f>SUM(OSRRefT25x_0)</f>
        <v>0</v>
      </c>
      <c r="U127" s="4"/>
      <c r="V127" s="12">
        <f t="shared" ref="V127:V128" si="76">IF(T$12=0,0,T127/T$12)</f>
        <v>0</v>
      </c>
      <c r="W127" s="4"/>
      <c r="X127" s="4">
        <f t="shared" ref="X127:X128" si="77">+P127-T127</f>
        <v>68.760000000000005</v>
      </c>
      <c r="Y127" s="4"/>
      <c r="Z127" s="12">
        <f t="shared" ref="Z127:Z128" si="78">IF(T127=0,0,X127/T127)</f>
        <v>0</v>
      </c>
    </row>
    <row r="128" spans="1:26" s="24" customFormat="1" hidden="1" outlineLevel="1" x14ac:dyDescent="0.25">
      <c r="A128" s="44"/>
      <c r="B128" s="11" t="str">
        <f>CONCATENATE("          ", "9150", " - ", "MISC. INCOME")</f>
        <v xml:space="preserve">          9150 - MISC. INCOME</v>
      </c>
      <c r="C128" s="11"/>
      <c r="D128" s="2">
        <f>0</f>
        <v>0</v>
      </c>
      <c r="E128" s="2"/>
      <c r="F128" s="19">
        <f t="shared" si="71"/>
        <v>0</v>
      </c>
      <c r="G128" s="2"/>
      <c r="H128" s="2"/>
      <c r="I128" s="2"/>
      <c r="J128" s="19">
        <f t="shared" si="72"/>
        <v>0</v>
      </c>
      <c r="K128" s="2"/>
      <c r="L128" s="2">
        <f t="shared" si="73"/>
        <v>0</v>
      </c>
      <c r="M128" s="2"/>
      <c r="N128" s="19">
        <f t="shared" si="74"/>
        <v>0</v>
      </c>
      <c r="O128" s="11"/>
      <c r="P128" s="2">
        <f>--68.76</f>
        <v>68.760000000000005</v>
      </c>
      <c r="Q128" s="2"/>
      <c r="R128" s="19">
        <f t="shared" si="75"/>
        <v>1.6748287368264334E-4</v>
      </c>
      <c r="S128" s="2"/>
      <c r="T128" s="2"/>
      <c r="U128" s="2"/>
      <c r="V128" s="19">
        <f t="shared" si="76"/>
        <v>0</v>
      </c>
      <c r="W128" s="2"/>
      <c r="X128" s="2">
        <f t="shared" si="77"/>
        <v>68.760000000000005</v>
      </c>
      <c r="Y128" s="2"/>
      <c r="Z128" s="19">
        <f t="shared" si="78"/>
        <v>0</v>
      </c>
    </row>
    <row r="129" spans="1:26" x14ac:dyDescent="0.25">
      <c r="A129" s="9"/>
      <c r="B129" s="10"/>
      <c r="C129" s="10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O129" s="10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x14ac:dyDescent="0.25">
      <c r="A130" s="10"/>
      <c r="B130" s="28" t="s">
        <v>3</v>
      </c>
      <c r="C130" s="28"/>
      <c r="D130" s="20">
        <f>+D75-D77+D127</f>
        <v>1053.6299999999992</v>
      </c>
      <c r="E130" s="14"/>
      <c r="F130" s="22">
        <f>IF(D$12=0,0,D130/D$12)</f>
        <v>4.0144953599912186E-2</v>
      </c>
      <c r="G130" s="14"/>
      <c r="H130" s="20">
        <f>+H75-H77+H127</f>
        <v>12473.106515568001</v>
      </c>
      <c r="I130" s="14"/>
      <c r="J130" s="22">
        <f>IF(H$12=0,0,H130/H$12)</f>
        <v>0.26251986857424287</v>
      </c>
      <c r="K130" s="16"/>
      <c r="L130" s="20">
        <f>+D130-H130</f>
        <v>-11419.476515568002</v>
      </c>
      <c r="M130" s="16"/>
      <c r="N130" s="22">
        <f>IF(H130=0,0,L130/H130)</f>
        <v>-0.91552785998540642</v>
      </c>
      <c r="O130" s="29"/>
      <c r="P130" s="20">
        <f>+P75-P77+P127</f>
        <v>86764.650000000212</v>
      </c>
      <c r="Q130" s="14"/>
      <c r="R130" s="22">
        <f>IF(P$12=0,0,P130/P$12)</f>
        <v>0.21133788417784752</v>
      </c>
      <c r="S130" s="14"/>
      <c r="T130" s="20">
        <f>+T75-T77+T127</f>
        <v>140334.04088013002</v>
      </c>
      <c r="U130" s="14"/>
      <c r="V130" s="22">
        <f>IF(T$12=0,0,T130/T$12)</f>
        <v>0.31603705244791613</v>
      </c>
      <c r="W130" s="16"/>
      <c r="X130" s="20">
        <f>+P130-T130</f>
        <v>-53569.390880129809</v>
      </c>
      <c r="Y130" s="16"/>
      <c r="Z130" s="22">
        <f>IF(T130=0,0,X130/T130)</f>
        <v>-0.38172770159085989</v>
      </c>
    </row>
    <row r="131" spans="1:26" x14ac:dyDescent="0.25">
      <c r="A131" s="9"/>
      <c r="B131" s="10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x14ac:dyDescent="0.25">
      <c r="A132" s="52"/>
      <c r="B132" s="10" t="s">
        <v>14</v>
      </c>
      <c r="C132" s="10"/>
      <c r="D132" s="4">
        <v>4823.21</v>
      </c>
      <c r="E132" s="4"/>
      <c r="F132" s="12">
        <f>IF(D$12=0,0,D132/D$12)</f>
        <v>0.18377185696367093</v>
      </c>
      <c r="G132" s="4"/>
      <c r="H132" s="4">
        <v>4221</v>
      </c>
      <c r="I132" s="4"/>
      <c r="J132" s="12">
        <f>IF(H$12=0,0,H132/H$12)</f>
        <v>8.8838844105823669E-2</v>
      </c>
      <c r="K132" s="4"/>
      <c r="L132" s="4">
        <f>+D132-H132</f>
        <v>602.21</v>
      </c>
      <c r="M132" s="4"/>
      <c r="N132" s="12">
        <f>IF(H132=0,0,L132/H132)</f>
        <v>0.14266998341625209</v>
      </c>
      <c r="O132" s="10"/>
      <c r="P132" s="4">
        <v>43991.369999999995</v>
      </c>
      <c r="Q132" s="4"/>
      <c r="R132" s="12">
        <f>IF(P$12=0,0,P132/P$12)</f>
        <v>0.10715242968057628</v>
      </c>
      <c r="S132" s="4"/>
      <c r="T132" s="4">
        <v>51904</v>
      </c>
      <c r="U132" s="4"/>
      <c r="V132" s="12">
        <f>IF(T$12=0,0,T132/T$12)</f>
        <v>0.11688958051359891</v>
      </c>
      <c r="W132" s="4"/>
      <c r="X132" s="4">
        <f>+P132-T132</f>
        <v>-7912.6300000000047</v>
      </c>
      <c r="Y132" s="4"/>
      <c r="Z132" s="12">
        <f>IF(T132=0,0,X132/T132)</f>
        <v>-0.15244740289765729</v>
      </c>
    </row>
    <row r="133" spans="1:26" x14ac:dyDescent="0.25">
      <c r="A133" s="9"/>
      <c r="B133" s="10"/>
      <c r="C133" s="10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O133" s="10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8" t="s">
        <v>4</v>
      </c>
      <c r="C134" s="28"/>
      <c r="D134" s="31">
        <f>+D130-D132</f>
        <v>-3769.5800000000008</v>
      </c>
      <c r="E134" s="14"/>
      <c r="F134" s="34">
        <f>IF(D$12=0,0,D134/D$12)</f>
        <v>-0.14362690336375875</v>
      </c>
      <c r="G134" s="14"/>
      <c r="H134" s="31">
        <f>+H130-H132</f>
        <v>8252.1065155680008</v>
      </c>
      <c r="I134" s="14"/>
      <c r="J134" s="34">
        <f>IF(H$12=0,0,H134/H$12)</f>
        <v>0.17368102446841918</v>
      </c>
      <c r="K134" s="16"/>
      <c r="L134" s="31">
        <f>D134-H134</f>
        <v>-12021.686515568003</v>
      </c>
      <c r="M134" s="16"/>
      <c r="N134" s="34">
        <f>IF(H134=0,0,L134/H134)</f>
        <v>-1.4568021502011039</v>
      </c>
      <c r="O134" s="29"/>
      <c r="P134" s="31">
        <f>+P130-P132</f>
        <v>42773.280000000217</v>
      </c>
      <c r="Q134" s="14"/>
      <c r="R134" s="34">
        <f>IF(P$12=0,0,P134/P$12)</f>
        <v>0.10418545449727125</v>
      </c>
      <c r="S134" s="14"/>
      <c r="T134" s="31">
        <f>+T130-T132</f>
        <v>88430.040880130022</v>
      </c>
      <c r="U134" s="14"/>
      <c r="V134" s="34">
        <f>IF(T$12=0,0,T134/T$12)</f>
        <v>0.19914747193431723</v>
      </c>
      <c r="W134" s="16"/>
      <c r="X134" s="31">
        <f>P134-T134</f>
        <v>-45656.760880129805</v>
      </c>
      <c r="Y134" s="16"/>
      <c r="Z134" s="34">
        <f>IF(T134=0,0,X134/T134)</f>
        <v>-0.5163037405130132</v>
      </c>
    </row>
    <row r="135" spans="1:26" ht="15.75" thickTop="1" x14ac:dyDescent="0.25">
      <c r="A135" s="9"/>
      <c r="B135" s="9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x14ac:dyDescent="0.25">
      <c r="A136" s="9"/>
      <c r="B136" s="9"/>
      <c r="C136" s="9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s="23" customFormat="1" ht="15.75" thickBot="1" x14ac:dyDescent="0.3">
      <c r="A137" s="10"/>
      <c r="B137" s="28" t="s">
        <v>5</v>
      </c>
      <c r="C137" s="28"/>
      <c r="D137" s="32">
        <f>SUM(D134:D136)</f>
        <v>-3769.5800000000008</v>
      </c>
      <c r="E137" s="14"/>
      <c r="F137" s="35">
        <f>IF(D$12=0,0,D137/D$12)</f>
        <v>-0.14362690336375875</v>
      </c>
      <c r="G137" s="14"/>
      <c r="H137" s="32">
        <f>SUM(H134:H136)</f>
        <v>8252.1065155680008</v>
      </c>
      <c r="I137" s="14"/>
      <c r="J137" s="35">
        <f>IF(H$12=0,0,H137/H$12)</f>
        <v>0.17368102446841918</v>
      </c>
      <c r="K137" s="16"/>
      <c r="L137" s="32">
        <f>+D137-H137</f>
        <v>-12021.686515568003</v>
      </c>
      <c r="M137" s="16"/>
      <c r="N137" s="35">
        <f>IF(H137=0,0,L137/H137)</f>
        <v>-1.4568021502011039</v>
      </c>
      <c r="O137" s="29"/>
      <c r="P137" s="32">
        <f>SUM(P134:P136)</f>
        <v>42773.280000000217</v>
      </c>
      <c r="Q137" s="14"/>
      <c r="R137" s="35">
        <f>IF(P$12=0,0,P137/P$12)</f>
        <v>0.10418545449727125</v>
      </c>
      <c r="S137" s="14"/>
      <c r="T137" s="32">
        <f>SUM(T134:T136)</f>
        <v>88430.040880130022</v>
      </c>
      <c r="U137" s="14"/>
      <c r="V137" s="35">
        <f>IF(T$12=0,0,T137/T$12)</f>
        <v>0.19914747193431723</v>
      </c>
      <c r="W137" s="16"/>
      <c r="X137" s="32">
        <f>+P137-T137</f>
        <v>-45656.760880129805</v>
      </c>
      <c r="Y137" s="16"/>
      <c r="Z137" s="35">
        <f>IF(T137=0,0,X137/T137)</f>
        <v>-0.5163037405130132</v>
      </c>
    </row>
    <row r="138" spans="1:26" ht="15.75" thickTop="1" x14ac:dyDescent="0.25">
      <c r="A138" s="9"/>
      <c r="C138" s="9"/>
      <c r="D138" s="18"/>
      <c r="E138" s="18"/>
      <c r="G138" s="18"/>
      <c r="H138" s="18"/>
      <c r="I138" s="18"/>
      <c r="J138" s="42"/>
      <c r="K138" s="18"/>
      <c r="L138" s="18"/>
      <c r="M138" s="18"/>
      <c r="P138" s="18"/>
      <c r="Q138" s="18"/>
      <c r="R138" s="42"/>
      <c r="S138" s="18"/>
      <c r="T138" s="18"/>
      <c r="U138" s="18"/>
      <c r="V138" s="42"/>
      <c r="W138" s="18"/>
      <c r="X138" s="18"/>
    </row>
    <row r="139" spans="1:26" x14ac:dyDescent="0.25">
      <c r="A139" s="9"/>
      <c r="B139" s="57">
        <v>43934.46637642361</v>
      </c>
      <c r="D139" s="18"/>
      <c r="E139" s="18"/>
      <c r="G139" s="18"/>
      <c r="H139" s="18"/>
      <c r="I139" s="18"/>
      <c r="J139" s="42"/>
      <c r="K139" s="18"/>
      <c r="L139" s="18"/>
      <c r="M139" s="18"/>
      <c r="P139" s="18"/>
      <c r="Q139" s="18"/>
      <c r="R139" s="42"/>
      <c r="S139" s="18"/>
      <c r="T139" s="18"/>
      <c r="U139" s="18"/>
      <c r="V139" s="42"/>
      <c r="W139" s="18"/>
      <c r="X139" s="18"/>
    </row>
    <row r="140" spans="1:26" x14ac:dyDescent="0.25">
      <c r="A140" s="9"/>
      <c r="B140" s="62" t="s">
        <v>314</v>
      </c>
      <c r="D140" s="18"/>
      <c r="E140" s="18"/>
      <c r="G140" s="18"/>
      <c r="H140" s="18"/>
      <c r="I140" s="18"/>
      <c r="J140" s="42"/>
      <c r="K140" s="18"/>
      <c r="L140" s="18"/>
      <c r="M140" s="18"/>
      <c r="P140" s="18"/>
      <c r="Q140" s="18"/>
      <c r="R140" s="42"/>
      <c r="S140" s="18"/>
      <c r="T140" s="18"/>
      <c r="U140" s="18"/>
      <c r="V140" s="42"/>
      <c r="W140" s="18"/>
      <c r="X140" s="18"/>
    </row>
    <row r="141" spans="1:26" x14ac:dyDescent="0.25">
      <c r="A141" s="9"/>
      <c r="B141" s="60"/>
      <c r="D141" s="18"/>
      <c r="E141" s="18"/>
      <c r="G141" s="18"/>
      <c r="H141" s="18"/>
      <c r="I141" s="18"/>
      <c r="J141" s="42"/>
      <c r="K141" s="18"/>
      <c r="L141" s="18"/>
      <c r="M141" s="18"/>
      <c r="P141" s="18"/>
      <c r="Q141" s="18"/>
      <c r="R141" s="42"/>
      <c r="S141" s="18"/>
      <c r="T141" s="18"/>
      <c r="U141" s="18"/>
      <c r="V141" s="42"/>
      <c r="W141" s="18"/>
      <c r="X141" s="18"/>
    </row>
    <row r="142" spans="1:26" x14ac:dyDescent="0.25">
      <c r="D142" s="18"/>
      <c r="E142" s="18"/>
      <c r="G142" s="18"/>
      <c r="H142" s="18"/>
      <c r="I142" s="18"/>
      <c r="J142" s="42"/>
      <c r="K142" s="18"/>
      <c r="L142" s="18"/>
      <c r="M142" s="18"/>
      <c r="P142" s="18"/>
      <c r="Q142" s="18"/>
      <c r="R142" s="42"/>
      <c r="S142" s="18"/>
      <c r="T142" s="18"/>
      <c r="U142" s="18"/>
      <c r="V142" s="42"/>
      <c r="W142" s="18"/>
      <c r="X142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","314", " - ", "Tech/Supplies")</f>
        <v>Department 314 - Tech/Supplies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14591.45</v>
      </c>
      <c r="E12" s="4"/>
      <c r="F12" s="12"/>
      <c r="G12" s="4"/>
      <c r="H12" s="4">
        <f>SUM(OSRRefH13x_0)</f>
        <v>28544</v>
      </c>
      <c r="I12" s="4"/>
      <c r="J12" s="12"/>
      <c r="K12" s="4"/>
      <c r="L12" s="4">
        <f t="shared" ref="L12:L34" si="0">+D12-H12</f>
        <v>-13952.55</v>
      </c>
      <c r="M12" s="4"/>
      <c r="N12" s="12">
        <f t="shared" ref="N12:N34" si="1">IF(H12=0,0,L12/H12)</f>
        <v>-0.48880850616591925</v>
      </c>
      <c r="O12" s="10"/>
      <c r="P12" s="4">
        <f>SUM(OSRRefP13x_0)</f>
        <v>400990.76000000007</v>
      </c>
      <c r="Q12" s="4"/>
      <c r="R12" s="12"/>
      <c r="S12" s="4"/>
      <c r="T12" s="4">
        <f>SUM(OSRRefT13x_0)</f>
        <v>440973</v>
      </c>
      <c r="U12" s="4"/>
      <c r="V12" s="12"/>
      <c r="W12" s="4"/>
      <c r="X12" s="4">
        <f t="shared" ref="X12:X34" si="2">+P12-T12</f>
        <v>-39982.239999999932</v>
      </c>
      <c r="Y12" s="4"/>
      <c r="Z12" s="12">
        <f t="shared" ref="Z12:Z34" si="3">IF(T12=0,0,X12/T12)</f>
        <v>-9.0668226852891068E-2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19"/>
      <c r="G13" s="2"/>
      <c r="H13" s="2">
        <v>26252</v>
      </c>
      <c r="I13" s="2"/>
      <c r="J13" s="19"/>
      <c r="K13" s="2"/>
      <c r="L13" s="2">
        <f t="shared" si="0"/>
        <v>-26252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405685</v>
      </c>
      <c r="U13" s="2"/>
      <c r="V13" s="19"/>
      <c r="W13" s="2"/>
      <c r="X13" s="2">
        <f t="shared" si="2"/>
        <v>-405685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--211.2</f>
        <v>211.2</v>
      </c>
      <c r="Q14" s="2"/>
      <c r="R14" s="19"/>
      <c r="S14" s="2"/>
      <c r="T14" s="2"/>
      <c r="U14" s="2"/>
      <c r="V14" s="19"/>
      <c r="W14" s="2"/>
      <c r="X14" s="2">
        <f t="shared" si="2"/>
        <v>211.2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--42.85</f>
        <v>42.85</v>
      </c>
      <c r="Q15" s="2"/>
      <c r="R15" s="19"/>
      <c r="S15" s="2"/>
      <c r="T15" s="2"/>
      <c r="U15" s="2"/>
      <c r="V15" s="19"/>
      <c r="W15" s="2"/>
      <c r="X15" s="2">
        <f t="shared" si="2"/>
        <v>42.85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>--2695.91</f>
        <v>2695.91</v>
      </c>
      <c r="E16" s="2"/>
      <c r="F16" s="19"/>
      <c r="G16" s="2"/>
      <c r="H16" s="2"/>
      <c r="I16" s="2"/>
      <c r="J16" s="19"/>
      <c r="K16" s="2"/>
      <c r="L16" s="2">
        <f t="shared" si="0"/>
        <v>2695.91</v>
      </c>
      <c r="M16" s="2"/>
      <c r="N16" s="19">
        <f t="shared" si="1"/>
        <v>0</v>
      </c>
      <c r="O16" s="11"/>
      <c r="P16" s="2">
        <f>--52426.3</f>
        <v>52426.3</v>
      </c>
      <c r="Q16" s="2"/>
      <c r="R16" s="19"/>
      <c r="S16" s="2"/>
      <c r="T16" s="2"/>
      <c r="U16" s="2"/>
      <c r="V16" s="19"/>
      <c r="W16" s="2"/>
      <c r="X16" s="2">
        <f t="shared" si="2"/>
        <v>52426.3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--4002.44</f>
        <v>4002.44</v>
      </c>
      <c r="E17" s="2"/>
      <c r="F17" s="19"/>
      <c r="G17" s="2"/>
      <c r="H17" s="2"/>
      <c r="I17" s="2"/>
      <c r="J17" s="19"/>
      <c r="K17" s="2"/>
      <c r="L17" s="2">
        <f t="shared" si="0"/>
        <v>4002.44</v>
      </c>
      <c r="M17" s="2"/>
      <c r="N17" s="19">
        <f t="shared" si="1"/>
        <v>0</v>
      </c>
      <c r="O17" s="11"/>
      <c r="P17" s="2">
        <f>--72975.17</f>
        <v>72975.17</v>
      </c>
      <c r="Q17" s="2"/>
      <c r="R17" s="19"/>
      <c r="S17" s="2"/>
      <c r="T17" s="2"/>
      <c r="U17" s="2"/>
      <c r="V17" s="19"/>
      <c r="W17" s="2"/>
      <c r="X17" s="2">
        <f t="shared" si="2"/>
        <v>72975.17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--7917.49</f>
        <v>7917.49</v>
      </c>
      <c r="E18" s="2"/>
      <c r="F18" s="19"/>
      <c r="G18" s="2"/>
      <c r="H18" s="2"/>
      <c r="I18" s="2"/>
      <c r="J18" s="19"/>
      <c r="K18" s="2"/>
      <c r="L18" s="2">
        <f t="shared" si="0"/>
        <v>7917.49</v>
      </c>
      <c r="M18" s="2"/>
      <c r="N18" s="19">
        <f t="shared" si="1"/>
        <v>0</v>
      </c>
      <c r="O18" s="11"/>
      <c r="P18" s="2">
        <f>--260453.86</f>
        <v>260453.86</v>
      </c>
      <c r="Q18" s="2"/>
      <c r="R18" s="19"/>
      <c r="S18" s="2"/>
      <c r="T18" s="2"/>
      <c r="U18" s="2"/>
      <c r="V18" s="19"/>
      <c r="W18" s="2"/>
      <c r="X18" s="2">
        <f t="shared" si="2"/>
        <v>260453.86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--471.51</f>
        <v>471.51</v>
      </c>
      <c r="E19" s="2"/>
      <c r="F19" s="19"/>
      <c r="G19" s="2"/>
      <c r="H19" s="2"/>
      <c r="I19" s="2"/>
      <c r="J19" s="19"/>
      <c r="K19" s="2"/>
      <c r="L19" s="2">
        <f t="shared" si="0"/>
        <v>471.51</v>
      </c>
      <c r="M19" s="2"/>
      <c r="N19" s="19">
        <f t="shared" si="1"/>
        <v>0</v>
      </c>
      <c r="O19" s="11"/>
      <c r="P19" s="2">
        <f>--12103.33</f>
        <v>12103.33</v>
      </c>
      <c r="Q19" s="2"/>
      <c r="R19" s="19"/>
      <c r="S19" s="2"/>
      <c r="T19" s="2"/>
      <c r="U19" s="2"/>
      <c r="V19" s="19"/>
      <c r="W19" s="2"/>
      <c r="X19" s="2">
        <f t="shared" si="2"/>
        <v>12103.33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"4035", " - ", "TAXABLE SALES-HEALTH &amp; BEAUTY")</f>
        <v xml:space="preserve">          4035 - TAXABLE SALES-HEALTH &amp; BEAUTY</v>
      </c>
      <c r="C20" s="11"/>
      <c r="D20" s="2">
        <f>--3.95</f>
        <v>3.95</v>
      </c>
      <c r="E20" s="2"/>
      <c r="F20" s="19"/>
      <c r="G20" s="2"/>
      <c r="H20" s="2"/>
      <c r="I20" s="2"/>
      <c r="J20" s="19"/>
      <c r="K20" s="2"/>
      <c r="L20" s="2">
        <f t="shared" si="0"/>
        <v>3.95</v>
      </c>
      <c r="M20" s="2"/>
      <c r="N20" s="19">
        <f t="shared" si="1"/>
        <v>0</v>
      </c>
      <c r="O20" s="11"/>
      <c r="P20" s="2">
        <f>--20.15</f>
        <v>20.149999999999999</v>
      </c>
      <c r="Q20" s="2"/>
      <c r="R20" s="19"/>
      <c r="S20" s="2"/>
      <c r="T20" s="2"/>
      <c r="U20" s="2"/>
      <c r="V20" s="19"/>
      <c r="W20" s="2"/>
      <c r="X20" s="2">
        <f t="shared" si="2"/>
        <v>20.149999999999999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2292</v>
      </c>
      <c r="I21" s="2"/>
      <c r="J21" s="19"/>
      <c r="K21" s="2"/>
      <c r="L21" s="2">
        <f t="shared" si="0"/>
        <v>-2292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35288</v>
      </c>
      <c r="U21" s="2"/>
      <c r="V21" s="19"/>
      <c r="W21" s="2"/>
      <c r="X21" s="2">
        <f t="shared" si="2"/>
        <v>-35288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"4125", " - ", "NON-TAXABLE SALES-TEST FORMS")</f>
        <v xml:space="preserve">          4125 - NON-TAXABLE SALES-TEST FORMS</v>
      </c>
      <c r="C22" s="11"/>
      <c r="D22" s="2">
        <f>--4.54</f>
        <v>4.54</v>
      </c>
      <c r="E22" s="2"/>
      <c r="F22" s="19"/>
      <c r="G22" s="2"/>
      <c r="H22" s="2"/>
      <c r="I22" s="2"/>
      <c r="J22" s="19"/>
      <c r="K22" s="2"/>
      <c r="L22" s="2">
        <f t="shared" si="0"/>
        <v>4.54</v>
      </c>
      <c r="M22" s="2"/>
      <c r="N22" s="19">
        <f t="shared" si="1"/>
        <v>0</v>
      </c>
      <c r="O22" s="11"/>
      <c r="P22" s="2">
        <f>--267.61</f>
        <v>267.61</v>
      </c>
      <c r="Q22" s="2"/>
      <c r="R22" s="19"/>
      <c r="S22" s="2"/>
      <c r="T22" s="2"/>
      <c r="U22" s="2"/>
      <c r="V22" s="19"/>
      <c r="W22" s="2"/>
      <c r="X22" s="2">
        <f t="shared" si="2"/>
        <v>267.61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"4126", " - ", "NON-TAXABLE SALES-WRITING INST")</f>
        <v xml:space="preserve">          4126 - NON-TAXABLE SALES-WRITING INST</v>
      </c>
      <c r="C23" s="11"/>
      <c r="D23" s="2">
        <f>--110.71</f>
        <v>110.71</v>
      </c>
      <c r="E23" s="2"/>
      <c r="F23" s="19"/>
      <c r="G23" s="2"/>
      <c r="H23" s="2"/>
      <c r="I23" s="2"/>
      <c r="J23" s="19"/>
      <c r="K23" s="2"/>
      <c r="L23" s="2">
        <f t="shared" si="0"/>
        <v>110.71</v>
      </c>
      <c r="M23" s="2"/>
      <c r="N23" s="19">
        <f t="shared" si="1"/>
        <v>0</v>
      </c>
      <c r="O23" s="11"/>
      <c r="P23" s="2">
        <f>--3014.8</f>
        <v>3014.8</v>
      </c>
      <c r="Q23" s="2"/>
      <c r="R23" s="19"/>
      <c r="S23" s="2"/>
      <c r="T23" s="2"/>
      <c r="U23" s="2"/>
      <c r="V23" s="19"/>
      <c r="W23" s="2"/>
      <c r="X23" s="2">
        <f t="shared" si="2"/>
        <v>3014.8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"4127", " - ", "NON-TAXABLE SALES-SCHOOL SUPPL")</f>
        <v xml:space="preserve">          4127 - NON-TAXABLE SALES-SCHOOL SUPPL</v>
      </c>
      <c r="C24" s="11"/>
      <c r="D24" s="2">
        <f>--53.81</f>
        <v>53.81</v>
      </c>
      <c r="E24" s="2"/>
      <c r="F24" s="19"/>
      <c r="G24" s="2"/>
      <c r="H24" s="2"/>
      <c r="I24" s="2"/>
      <c r="J24" s="19"/>
      <c r="K24" s="2"/>
      <c r="L24" s="2">
        <f t="shared" si="0"/>
        <v>53.81</v>
      </c>
      <c r="M24" s="2"/>
      <c r="N24" s="19">
        <f t="shared" si="1"/>
        <v>0</v>
      </c>
      <c r="O24" s="11"/>
      <c r="P24" s="2">
        <f>--4699.77</f>
        <v>4699.7700000000004</v>
      </c>
      <c r="Q24" s="2"/>
      <c r="R24" s="19"/>
      <c r="S24" s="2"/>
      <c r="T24" s="2"/>
      <c r="U24" s="2"/>
      <c r="V24" s="19"/>
      <c r="W24" s="2"/>
      <c r="X24" s="2">
        <f t="shared" si="2"/>
        <v>4699.7700000000004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"4128", " - ", "NON-TAXABLE SALES-ART/TECH")</f>
        <v xml:space="preserve">          4128 - NON-TAXABLE SALES-ART/TECH</v>
      </c>
      <c r="C25" s="11"/>
      <c r="D25" s="2">
        <f>--52.12</f>
        <v>52.12</v>
      </c>
      <c r="E25" s="2"/>
      <c r="F25" s="19"/>
      <c r="G25" s="2"/>
      <c r="H25" s="2"/>
      <c r="I25" s="2"/>
      <c r="J25" s="19"/>
      <c r="K25" s="2"/>
      <c r="L25" s="2">
        <f t="shared" si="0"/>
        <v>52.12</v>
      </c>
      <c r="M25" s="2"/>
      <c r="N25" s="19">
        <f t="shared" si="1"/>
        <v>0</v>
      </c>
      <c r="O25" s="11"/>
      <c r="P25" s="2">
        <f>--488.53</f>
        <v>488.53</v>
      </c>
      <c r="Q25" s="2"/>
      <c r="R25" s="19"/>
      <c r="S25" s="2"/>
      <c r="T25" s="2"/>
      <c r="U25" s="2"/>
      <c r="V25" s="19"/>
      <c r="W25" s="2"/>
      <c r="X25" s="2">
        <f t="shared" si="2"/>
        <v>488.53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"4131", " - ", "NON-TAXABLE SALES-FOOD")</f>
        <v xml:space="preserve">          4131 - NON-TAXABLE SALES-FOOD</v>
      </c>
      <c r="C26" s="11"/>
      <c r="D26" s="2">
        <f>--134.57</f>
        <v>134.57</v>
      </c>
      <c r="E26" s="2"/>
      <c r="F26" s="19"/>
      <c r="G26" s="2"/>
      <c r="H26" s="2"/>
      <c r="I26" s="2"/>
      <c r="J26" s="19"/>
      <c r="K26" s="2"/>
      <c r="L26" s="2">
        <f t="shared" si="0"/>
        <v>134.57</v>
      </c>
      <c r="M26" s="2"/>
      <c r="N26" s="19">
        <f t="shared" si="1"/>
        <v>0</v>
      </c>
      <c r="O26" s="11"/>
      <c r="P26" s="2">
        <f>--1573.43</f>
        <v>1573.43</v>
      </c>
      <c r="Q26" s="2"/>
      <c r="R26" s="19"/>
      <c r="S26" s="2"/>
      <c r="T26" s="2"/>
      <c r="U26" s="2"/>
      <c r="V26" s="19"/>
      <c r="W26" s="2"/>
      <c r="X26" s="2">
        <f t="shared" si="2"/>
        <v>1573.43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"4133", " - ", "NON-TAXABLE SALES-CANDY")</f>
        <v xml:space="preserve">          4133 - NON-TAXABLE SALES-CANDY</v>
      </c>
      <c r="C27" s="11"/>
      <c r="D27" s="2">
        <f>--140.71</f>
        <v>140.71</v>
      </c>
      <c r="E27" s="2"/>
      <c r="F27" s="19"/>
      <c r="G27" s="2"/>
      <c r="H27" s="2"/>
      <c r="I27" s="2"/>
      <c r="J27" s="19"/>
      <c r="K27" s="2"/>
      <c r="L27" s="2">
        <f t="shared" si="0"/>
        <v>140.71</v>
      </c>
      <c r="M27" s="2"/>
      <c r="N27" s="19">
        <f t="shared" si="1"/>
        <v>0</v>
      </c>
      <c r="O27" s="11"/>
      <c r="P27" s="2">
        <f>--2260.45</f>
        <v>2260.4499999999998</v>
      </c>
      <c r="Q27" s="2"/>
      <c r="R27" s="19"/>
      <c r="S27" s="2"/>
      <c r="T27" s="2"/>
      <c r="U27" s="2"/>
      <c r="V27" s="19"/>
      <c r="W27" s="2"/>
      <c r="X27" s="2">
        <f t="shared" si="2"/>
        <v>2260.4499999999998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"4135", " - ", "NON-TAXABLE SALES")</f>
        <v xml:space="preserve">          4135 - NON-TAXABLE SALES</v>
      </c>
      <c r="C28" s="11"/>
      <c r="D28" s="2">
        <f t="shared" ref="D28:D29" si="5"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--50.16</f>
        <v>50.16</v>
      </c>
      <c r="Q28" s="2"/>
      <c r="R28" s="19"/>
      <c r="S28" s="2"/>
      <c r="T28" s="2"/>
      <c r="U28" s="2"/>
      <c r="V28" s="19"/>
      <c r="W28" s="2"/>
      <c r="X28" s="2">
        <f t="shared" si="2"/>
        <v>50.16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"4217", " - ", "NON-TAXABLE SALES-DORM/HOUSEWA")</f>
        <v xml:space="preserve">          4217 - NON-TAXABLE SALES-DORM/HOUSEWA</v>
      </c>
      <c r="C29" s="11"/>
      <c r="D29" s="2">
        <f t="shared" si="5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-2.98</f>
        <v>-2.98</v>
      </c>
      <c r="Q29" s="2"/>
      <c r="R29" s="19"/>
      <c r="S29" s="2"/>
      <c r="T29" s="2"/>
      <c r="U29" s="2"/>
      <c r="V29" s="19"/>
      <c r="W29" s="2"/>
      <c r="X29" s="2">
        <f t="shared" si="2"/>
        <v>-2.98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"4225", " - ", "SALES RETURN TAXABLE-TEST FORM")</f>
        <v xml:space="preserve">          4225 - SALES RETURN TAXABLE-TEST FORM</v>
      </c>
      <c r="C30" s="11"/>
      <c r="D30" s="2">
        <f>-8.16</f>
        <v>-8.16</v>
      </c>
      <c r="E30" s="2"/>
      <c r="F30" s="19"/>
      <c r="G30" s="2"/>
      <c r="H30" s="2"/>
      <c r="I30" s="2"/>
      <c r="J30" s="19"/>
      <c r="K30" s="2"/>
      <c r="L30" s="2">
        <f t="shared" si="0"/>
        <v>-8.16</v>
      </c>
      <c r="M30" s="2"/>
      <c r="N30" s="19">
        <f t="shared" si="1"/>
        <v>0</v>
      </c>
      <c r="O30" s="11"/>
      <c r="P30" s="2">
        <f>-141.28</f>
        <v>-141.28</v>
      </c>
      <c r="Q30" s="2"/>
      <c r="R30" s="19"/>
      <c r="S30" s="2"/>
      <c r="T30" s="2"/>
      <c r="U30" s="2"/>
      <c r="V30" s="19"/>
      <c r="W30" s="2"/>
      <c r="X30" s="2">
        <f t="shared" si="2"/>
        <v>-141.28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"4226", " - ", "SALES RETURN TAXABLE-WRITING I")</f>
        <v xml:space="preserve">          4226 - SALES RETURN TAXABLE-WRITING I</v>
      </c>
      <c r="C31" s="11"/>
      <c r="D31" s="2">
        <f>-8.96</f>
        <v>-8.9600000000000009</v>
      </c>
      <c r="E31" s="2"/>
      <c r="F31" s="19"/>
      <c r="G31" s="2"/>
      <c r="H31" s="2"/>
      <c r="I31" s="2"/>
      <c r="J31" s="19"/>
      <c r="K31" s="2"/>
      <c r="L31" s="2">
        <f t="shared" si="0"/>
        <v>-8.9600000000000009</v>
      </c>
      <c r="M31" s="2"/>
      <c r="N31" s="19">
        <f t="shared" si="1"/>
        <v>0</v>
      </c>
      <c r="O31" s="11"/>
      <c r="P31" s="2">
        <f>-619.19</f>
        <v>-619.19000000000005</v>
      </c>
      <c r="Q31" s="2"/>
      <c r="R31" s="19"/>
      <c r="S31" s="2"/>
      <c r="T31" s="2"/>
      <c r="U31" s="2"/>
      <c r="V31" s="19"/>
      <c r="W31" s="2"/>
      <c r="X31" s="2">
        <f t="shared" si="2"/>
        <v>-619.19000000000005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"4227", " - ", "SALES RETURN TAXABLE-SCHOOL SU")</f>
        <v xml:space="preserve">          4227 - SALES RETURN TAXABLE-SCHOOL SU</v>
      </c>
      <c r="C32" s="11"/>
      <c r="D32" s="2">
        <f>-979.19</f>
        <v>-979.19</v>
      </c>
      <c r="E32" s="2"/>
      <c r="F32" s="19"/>
      <c r="G32" s="2"/>
      <c r="H32" s="2"/>
      <c r="I32" s="2"/>
      <c r="J32" s="19"/>
      <c r="K32" s="2"/>
      <c r="L32" s="2">
        <f t="shared" si="0"/>
        <v>-979.19</v>
      </c>
      <c r="M32" s="2"/>
      <c r="N32" s="19">
        <f t="shared" si="1"/>
        <v>0</v>
      </c>
      <c r="O32" s="11"/>
      <c r="P32" s="2">
        <f>-8551.55</f>
        <v>-8551.5499999999993</v>
      </c>
      <c r="Q32" s="2"/>
      <c r="R32" s="19"/>
      <c r="S32" s="2"/>
      <c r="T32" s="2"/>
      <c r="U32" s="2"/>
      <c r="V32" s="19"/>
      <c r="W32" s="2"/>
      <c r="X32" s="2">
        <f t="shared" si="2"/>
        <v>-8551.5499999999993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"4228", " - ", "SALES RETURN TAXABLE-ART/TECH")</f>
        <v xml:space="preserve">          4228 - SALES RETURN TAXABLE-ART/TECH</v>
      </c>
      <c r="C33" s="11"/>
      <c r="D33" s="2">
        <f t="shared" ref="D33:D34" si="6">0</f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-259.98</f>
        <v>-259.98</v>
      </c>
      <c r="Q33" s="2"/>
      <c r="R33" s="19"/>
      <c r="S33" s="2"/>
      <c r="T33" s="2"/>
      <c r="U33" s="2"/>
      <c r="V33" s="19"/>
      <c r="W33" s="2"/>
      <c r="X33" s="2">
        <f t="shared" si="2"/>
        <v>-259.98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"4327", " - ", "SALES RETURN NON TAXABLE-SCHOO")</f>
        <v xml:space="preserve">          4327 - SALES RETURN NON TAXABLE-SCHOO</v>
      </c>
      <c r="C34" s="11"/>
      <c r="D34" s="2">
        <f t="shared" si="6"/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-21.87</f>
        <v>-21.87</v>
      </c>
      <c r="Q34" s="2"/>
      <c r="R34" s="19"/>
      <c r="S34" s="2"/>
      <c r="T34" s="2"/>
      <c r="U34" s="2"/>
      <c r="V34" s="19"/>
      <c r="W34" s="2"/>
      <c r="X34" s="2">
        <f t="shared" si="2"/>
        <v>-21.87</v>
      </c>
      <c r="Y34" s="2"/>
      <c r="Z34" s="19">
        <f t="shared" si="3"/>
        <v>0</v>
      </c>
    </row>
    <row r="35" spans="1:26" x14ac:dyDescent="0.2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collapsed="1" x14ac:dyDescent="0.25">
      <c r="A36" s="10"/>
      <c r="B36" s="29" t="s">
        <v>8</v>
      </c>
      <c r="C36" s="10"/>
      <c r="D36" s="4">
        <f>SUM(OSRRefD16x_0)</f>
        <v>6972.9100000000017</v>
      </c>
      <c r="E36" s="4"/>
      <c r="F36" s="12">
        <f t="shared" ref="F36:F52" si="7">IF(D$12=0,0,D36/D$12)</f>
        <v>0.47787642763399124</v>
      </c>
      <c r="G36" s="4"/>
      <c r="H36" s="4">
        <f>SUM(OSRRefH16x_0)</f>
        <v>14608</v>
      </c>
      <c r="I36" s="4"/>
      <c r="J36" s="12">
        <f t="shared" ref="J36:J52" si="8">IF(H$12=0,0,H36/H$12)</f>
        <v>0.51177130044843044</v>
      </c>
      <c r="K36" s="4"/>
      <c r="L36" s="4">
        <f t="shared" ref="L36:L52" si="9">+D36-H36</f>
        <v>-7635.0899999999983</v>
      </c>
      <c r="M36" s="4"/>
      <c r="N36" s="12">
        <f t="shared" ref="N36:N52" si="10">IF(H36=0,0,L36/H36)</f>
        <v>-0.52266497809419488</v>
      </c>
      <c r="O36" s="10"/>
      <c r="P36" s="4">
        <f>SUM(OSRRefP16x_0)</f>
        <v>190649.22</v>
      </c>
      <c r="Q36" s="4"/>
      <c r="R36" s="12">
        <f t="shared" ref="R36:R52" si="11">IF(P$12=0,0,P36/P$12)</f>
        <v>0.47544541924108169</v>
      </c>
      <c r="S36" s="4"/>
      <c r="T36" s="4">
        <f>SUM(OSRRefT16x_0)</f>
        <v>224944</v>
      </c>
      <c r="U36" s="4"/>
      <c r="V36" s="12">
        <f t="shared" ref="V36:V52" si="12">IF(T$12=0,0,T36/T$12)</f>
        <v>0.51010832862782984</v>
      </c>
      <c r="W36" s="4"/>
      <c r="X36" s="4">
        <f t="shared" ref="X36:X52" si="13">+P36-T36</f>
        <v>-34294.78</v>
      </c>
      <c r="Y36" s="4"/>
      <c r="Z36" s="12">
        <f t="shared" ref="Z36:Z52" si="14">IF(T36=0,0,X36/T36)</f>
        <v>-0.15245918984280532</v>
      </c>
    </row>
    <row r="37" spans="1:26" s="24" customFormat="1" hidden="1" outlineLevel="1" x14ac:dyDescent="0.25">
      <c r="A37" s="44"/>
      <c r="B37" s="11" t="str">
        <f>CONCATENATE("          ", "5000", " - ", "PURCHASES @ COST")</f>
        <v xml:space="preserve">          5000 - PURCHASES @ COST</v>
      </c>
      <c r="C37" s="11"/>
      <c r="D37" s="2"/>
      <c r="E37" s="2"/>
      <c r="F37" s="19">
        <f t="shared" si="7"/>
        <v>0</v>
      </c>
      <c r="G37" s="2"/>
      <c r="H37" s="2">
        <v>14608</v>
      </c>
      <c r="I37" s="2"/>
      <c r="J37" s="19">
        <f t="shared" si="8"/>
        <v>0.51177130044843044</v>
      </c>
      <c r="K37" s="2"/>
      <c r="L37" s="2">
        <f t="shared" si="9"/>
        <v>-14608</v>
      </c>
      <c r="M37" s="2"/>
      <c r="N37" s="19">
        <f t="shared" si="10"/>
        <v>-1</v>
      </c>
      <c r="O37" s="11"/>
      <c r="P37" s="2"/>
      <c r="Q37" s="2"/>
      <c r="R37" s="19">
        <f t="shared" si="11"/>
        <v>0</v>
      </c>
      <c r="S37" s="2"/>
      <c r="T37" s="2">
        <v>224944</v>
      </c>
      <c r="U37" s="2"/>
      <c r="V37" s="19">
        <f t="shared" si="12"/>
        <v>0.51010832862782984</v>
      </c>
      <c r="W37" s="2"/>
      <c r="X37" s="2">
        <f t="shared" si="13"/>
        <v>-224944</v>
      </c>
      <c r="Y37" s="2"/>
      <c r="Z37" s="19">
        <f t="shared" si="14"/>
        <v>-1</v>
      </c>
    </row>
    <row r="38" spans="1:26" s="24" customFormat="1" hidden="1" outlineLevel="1" x14ac:dyDescent="0.25">
      <c r="A38" s="44"/>
      <c r="B38" s="11" t="str">
        <f>CONCATENATE("          ", "5017", " - ", "PURCHASES @ COST-DORM/HOUSEWAR")</f>
        <v xml:space="preserve">          5017 - PURCHASES @ COST-DORM/HOUSEWAR</v>
      </c>
      <c r="C38" s="11"/>
      <c r="D38" s="2">
        <v>14.46</v>
      </c>
      <c r="E38" s="2"/>
      <c r="F38" s="19">
        <f t="shared" si="7"/>
        <v>9.9099129969948147E-4</v>
      </c>
      <c r="G38" s="2"/>
      <c r="H38" s="2"/>
      <c r="I38" s="2"/>
      <c r="J38" s="19">
        <f t="shared" si="8"/>
        <v>0</v>
      </c>
      <c r="K38" s="2"/>
      <c r="L38" s="2">
        <f t="shared" si="9"/>
        <v>14.46</v>
      </c>
      <c r="M38" s="2"/>
      <c r="N38" s="19">
        <f t="shared" si="10"/>
        <v>0</v>
      </c>
      <c r="O38" s="11"/>
      <c r="P38" s="2">
        <v>14.46</v>
      </c>
      <c r="Q38" s="2"/>
      <c r="R38" s="19">
        <f t="shared" si="11"/>
        <v>3.6060681298491761E-5</v>
      </c>
      <c r="S38" s="2"/>
      <c r="T38" s="2"/>
      <c r="U38" s="2"/>
      <c r="V38" s="19">
        <f t="shared" si="12"/>
        <v>0</v>
      </c>
      <c r="W38" s="2"/>
      <c r="X38" s="2">
        <f t="shared" si="13"/>
        <v>14.46</v>
      </c>
      <c r="Y38" s="2"/>
      <c r="Z38" s="19">
        <f t="shared" si="14"/>
        <v>0</v>
      </c>
    </row>
    <row r="39" spans="1:26" s="24" customFormat="1" hidden="1" outlineLevel="1" x14ac:dyDescent="0.25">
      <c r="A39" s="44"/>
      <c r="B39" s="11" t="str">
        <f>CONCATENATE("          ", "5025", " - ", "PURCHASES @ COST-TEST FORMS")</f>
        <v xml:space="preserve">          5025 - PURCHASES @ COST-TEST FORMS</v>
      </c>
      <c r="C39" s="11"/>
      <c r="D39" s="2">
        <v>-1</v>
      </c>
      <c r="E39" s="2"/>
      <c r="F39" s="19">
        <f t="shared" si="7"/>
        <v>-6.8533284903145336E-5</v>
      </c>
      <c r="G39" s="2"/>
      <c r="H39" s="2"/>
      <c r="I39" s="2"/>
      <c r="J39" s="19">
        <f t="shared" si="8"/>
        <v>0</v>
      </c>
      <c r="K39" s="2"/>
      <c r="L39" s="2">
        <f t="shared" si="9"/>
        <v>-1</v>
      </c>
      <c r="M39" s="2"/>
      <c r="N39" s="19">
        <f t="shared" si="10"/>
        <v>0</v>
      </c>
      <c r="O39" s="11"/>
      <c r="P39" s="2">
        <v>25706.15</v>
      </c>
      <c r="Q39" s="2"/>
      <c r="R39" s="19">
        <f t="shared" si="11"/>
        <v>6.4106589388743015E-2</v>
      </c>
      <c r="S39" s="2"/>
      <c r="T39" s="2"/>
      <c r="U39" s="2"/>
      <c r="V39" s="19">
        <f t="shared" si="12"/>
        <v>0</v>
      </c>
      <c r="W39" s="2"/>
      <c r="X39" s="2">
        <f t="shared" si="13"/>
        <v>25706.15</v>
      </c>
      <c r="Y39" s="2"/>
      <c r="Z39" s="19">
        <f t="shared" si="14"/>
        <v>0</v>
      </c>
    </row>
    <row r="40" spans="1:26" s="24" customFormat="1" hidden="1" outlineLevel="1" x14ac:dyDescent="0.25">
      <c r="A40" s="44"/>
      <c r="B40" s="11" t="str">
        <f>CONCATENATE("          ", "5026", " - ", "PURCHASES @ COST-WRITING INSTR")</f>
        <v xml:space="preserve">          5026 - PURCHASES @ COST-WRITING INSTR</v>
      </c>
      <c r="C40" s="11"/>
      <c r="D40" s="2">
        <v>3054.76</v>
      </c>
      <c r="E40" s="2"/>
      <c r="F40" s="19">
        <f t="shared" si="7"/>
        <v>0.20935273739073224</v>
      </c>
      <c r="G40" s="2"/>
      <c r="H40" s="2"/>
      <c r="I40" s="2"/>
      <c r="J40" s="19">
        <f t="shared" si="8"/>
        <v>0</v>
      </c>
      <c r="K40" s="2"/>
      <c r="L40" s="2">
        <f t="shared" si="9"/>
        <v>3054.76</v>
      </c>
      <c r="M40" s="2"/>
      <c r="N40" s="19">
        <f t="shared" si="10"/>
        <v>0</v>
      </c>
      <c r="O40" s="11"/>
      <c r="P40" s="2">
        <v>43360.5</v>
      </c>
      <c r="Q40" s="2"/>
      <c r="R40" s="19">
        <f t="shared" si="11"/>
        <v>0.10813341434600636</v>
      </c>
      <c r="S40" s="2"/>
      <c r="T40" s="2"/>
      <c r="U40" s="2"/>
      <c r="V40" s="19">
        <f t="shared" si="12"/>
        <v>0</v>
      </c>
      <c r="W40" s="2"/>
      <c r="X40" s="2">
        <f t="shared" si="13"/>
        <v>43360.5</v>
      </c>
      <c r="Y40" s="2"/>
      <c r="Z40" s="19">
        <f t="shared" si="14"/>
        <v>0</v>
      </c>
    </row>
    <row r="41" spans="1:26" s="24" customFormat="1" hidden="1" outlineLevel="1" x14ac:dyDescent="0.25">
      <c r="A41" s="44"/>
      <c r="B41" s="11" t="str">
        <f>CONCATENATE("          ", "5027", " - ", "PURCHASES @ COST-SCHOOL SUPPLI")</f>
        <v xml:space="preserve">          5027 - PURCHASES @ COST-SCHOOL SUPPLI</v>
      </c>
      <c r="C41" s="11"/>
      <c r="D41" s="2">
        <v>19232.96</v>
      </c>
      <c r="E41" s="2"/>
      <c r="F41" s="19">
        <f t="shared" si="7"/>
        <v>1.318097927210798</v>
      </c>
      <c r="G41" s="2"/>
      <c r="H41" s="2"/>
      <c r="I41" s="2"/>
      <c r="J41" s="19">
        <f t="shared" si="8"/>
        <v>0</v>
      </c>
      <c r="K41" s="2"/>
      <c r="L41" s="2">
        <f t="shared" si="9"/>
        <v>19232.96</v>
      </c>
      <c r="M41" s="2"/>
      <c r="N41" s="19">
        <f t="shared" si="10"/>
        <v>0</v>
      </c>
      <c r="O41" s="11"/>
      <c r="P41" s="2">
        <v>133411.44</v>
      </c>
      <c r="Q41" s="2"/>
      <c r="R41" s="19">
        <f t="shared" si="11"/>
        <v>0.3327045241640979</v>
      </c>
      <c r="S41" s="2"/>
      <c r="T41" s="2"/>
      <c r="U41" s="2"/>
      <c r="V41" s="19">
        <f t="shared" si="12"/>
        <v>0</v>
      </c>
      <c r="W41" s="2"/>
      <c r="X41" s="2">
        <f t="shared" si="13"/>
        <v>133411.44</v>
      </c>
      <c r="Y41" s="2"/>
      <c r="Z41" s="19">
        <f t="shared" si="14"/>
        <v>0</v>
      </c>
    </row>
    <row r="42" spans="1:26" s="24" customFormat="1" hidden="1" outlineLevel="1" x14ac:dyDescent="0.25">
      <c r="A42" s="44"/>
      <c r="B42" s="11" t="str">
        <f>CONCATENATE("          ", "5028", " - ", "PURCHASES @ COST-ART/TECH")</f>
        <v xml:space="preserve">          5028 - PURCHASES @ COST-ART/TECH</v>
      </c>
      <c r="C42" s="11"/>
      <c r="D42" s="2">
        <v>920.75</v>
      </c>
      <c r="E42" s="2"/>
      <c r="F42" s="19">
        <f t="shared" si="7"/>
        <v>6.3102022074571065E-2</v>
      </c>
      <c r="G42" s="2"/>
      <c r="H42" s="2"/>
      <c r="I42" s="2"/>
      <c r="J42" s="19">
        <f t="shared" si="8"/>
        <v>0</v>
      </c>
      <c r="K42" s="2"/>
      <c r="L42" s="2">
        <f t="shared" si="9"/>
        <v>920.75</v>
      </c>
      <c r="M42" s="2"/>
      <c r="N42" s="19">
        <f t="shared" si="10"/>
        <v>0</v>
      </c>
      <c r="O42" s="11"/>
      <c r="P42" s="2">
        <v>6731.98</v>
      </c>
      <c r="Q42" s="2"/>
      <c r="R42" s="19">
        <f t="shared" si="11"/>
        <v>1.6788366894040146E-2</v>
      </c>
      <c r="S42" s="2"/>
      <c r="T42" s="2"/>
      <c r="U42" s="2"/>
      <c r="V42" s="19">
        <f t="shared" si="12"/>
        <v>0</v>
      </c>
      <c r="W42" s="2"/>
      <c r="X42" s="2">
        <f t="shared" si="13"/>
        <v>6731.98</v>
      </c>
      <c r="Y42" s="2"/>
      <c r="Z42" s="19">
        <f t="shared" si="14"/>
        <v>0</v>
      </c>
    </row>
    <row r="43" spans="1:26" s="24" customFormat="1" hidden="1" outlineLevel="1" x14ac:dyDescent="0.25">
      <c r="A43" s="44"/>
      <c r="B43" s="11" t="str">
        <f>CONCATENATE("          ", "5031", " - ", "PURCHASES @ COST-FOOD")</f>
        <v xml:space="preserve">          5031 - PURCHASES @ COST-FOOD</v>
      </c>
      <c r="C43" s="11"/>
      <c r="D43" s="2">
        <v>290.79000000000002</v>
      </c>
      <c r="E43" s="2"/>
      <c r="F43" s="19">
        <f t="shared" si="7"/>
        <v>1.9928793916985633E-2</v>
      </c>
      <c r="G43" s="2"/>
      <c r="H43" s="2"/>
      <c r="I43" s="2"/>
      <c r="J43" s="19">
        <f t="shared" si="8"/>
        <v>0</v>
      </c>
      <c r="K43" s="2"/>
      <c r="L43" s="2">
        <f t="shared" si="9"/>
        <v>290.79000000000002</v>
      </c>
      <c r="M43" s="2"/>
      <c r="N43" s="19">
        <f t="shared" si="10"/>
        <v>0</v>
      </c>
      <c r="O43" s="11"/>
      <c r="P43" s="2">
        <v>780.53</v>
      </c>
      <c r="Q43" s="2"/>
      <c r="R43" s="19">
        <f t="shared" si="11"/>
        <v>1.9465037049731515E-3</v>
      </c>
      <c r="S43" s="2"/>
      <c r="T43" s="2"/>
      <c r="U43" s="2"/>
      <c r="V43" s="19">
        <f t="shared" si="12"/>
        <v>0</v>
      </c>
      <c r="W43" s="2"/>
      <c r="X43" s="2">
        <f t="shared" si="13"/>
        <v>780.53</v>
      </c>
      <c r="Y43" s="2"/>
      <c r="Z43" s="19">
        <f t="shared" si="14"/>
        <v>0</v>
      </c>
    </row>
    <row r="44" spans="1:26" s="24" customFormat="1" hidden="1" outlineLevel="1" x14ac:dyDescent="0.25">
      <c r="A44" s="44"/>
      <c r="B44" s="11" t="str">
        <f>CONCATENATE("          ", "5033", " - ", "PURCHASES @ COST-CANDY")</f>
        <v xml:space="preserve">          5033 - PURCHASES @ COST-CANDY</v>
      </c>
      <c r="C44" s="11"/>
      <c r="D44" s="2">
        <v>479.36</v>
      </c>
      <c r="E44" s="2"/>
      <c r="F44" s="19">
        <f t="shared" si="7"/>
        <v>3.2852115451171747E-2</v>
      </c>
      <c r="G44" s="2"/>
      <c r="H44" s="2"/>
      <c r="I44" s="2"/>
      <c r="J44" s="19">
        <f t="shared" si="8"/>
        <v>0</v>
      </c>
      <c r="K44" s="2"/>
      <c r="L44" s="2">
        <f t="shared" si="9"/>
        <v>479.36</v>
      </c>
      <c r="M44" s="2"/>
      <c r="N44" s="19">
        <f t="shared" si="10"/>
        <v>0</v>
      </c>
      <c r="O44" s="11"/>
      <c r="P44" s="2">
        <v>1119.08</v>
      </c>
      <c r="Q44" s="2"/>
      <c r="R44" s="19">
        <f t="shared" si="11"/>
        <v>2.7907874984451006E-3</v>
      </c>
      <c r="S44" s="2"/>
      <c r="T44" s="2"/>
      <c r="U44" s="2"/>
      <c r="V44" s="19">
        <f t="shared" si="12"/>
        <v>0</v>
      </c>
      <c r="W44" s="2"/>
      <c r="X44" s="2">
        <f t="shared" si="13"/>
        <v>1119.08</v>
      </c>
      <c r="Y44" s="2"/>
      <c r="Z44" s="19">
        <f t="shared" si="14"/>
        <v>0</v>
      </c>
    </row>
    <row r="45" spans="1:26" s="24" customFormat="1" hidden="1" outlineLevel="1" x14ac:dyDescent="0.25">
      <c r="A45" s="44"/>
      <c r="B45" s="11" t="str">
        <f>CONCATENATE("          ", "5035", " - ", "PURCHASES @ COST-HEALTH &amp; BEAU")</f>
        <v xml:space="preserve">          5035 - PURCHASES @ COST-HEALTH &amp; BEAU</v>
      </c>
      <c r="C45" s="11"/>
      <c r="D45" s="2"/>
      <c r="E45" s="2"/>
      <c r="F45" s="19">
        <f t="shared" si="7"/>
        <v>0</v>
      </c>
      <c r="G45" s="2"/>
      <c r="H45" s="2"/>
      <c r="I45" s="2"/>
      <c r="J45" s="19">
        <f t="shared" si="8"/>
        <v>0</v>
      </c>
      <c r="K45" s="2"/>
      <c r="L45" s="2">
        <f t="shared" si="9"/>
        <v>0</v>
      </c>
      <c r="M45" s="2"/>
      <c r="N45" s="19">
        <f t="shared" si="10"/>
        <v>0</v>
      </c>
      <c r="O45" s="11"/>
      <c r="P45" s="2">
        <v>36.25</v>
      </c>
      <c r="Q45" s="2"/>
      <c r="R45" s="19">
        <f t="shared" si="11"/>
        <v>9.0401085551198223E-5</v>
      </c>
      <c r="S45" s="2"/>
      <c r="T45" s="2"/>
      <c r="U45" s="2"/>
      <c r="V45" s="19">
        <f t="shared" si="12"/>
        <v>0</v>
      </c>
      <c r="W45" s="2"/>
      <c r="X45" s="2">
        <f t="shared" si="13"/>
        <v>36.25</v>
      </c>
      <c r="Y45" s="2"/>
      <c r="Z45" s="19">
        <f t="shared" si="14"/>
        <v>0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-24515</v>
      </c>
      <c r="E46" s="2"/>
      <c r="F46" s="19">
        <f t="shared" si="7"/>
        <v>-1.6800934794006077</v>
      </c>
      <c r="G46" s="2"/>
      <c r="H46" s="2"/>
      <c r="I46" s="2"/>
      <c r="J46" s="19">
        <f t="shared" si="8"/>
        <v>0</v>
      </c>
      <c r="K46" s="2"/>
      <c r="L46" s="2">
        <f t="shared" si="9"/>
        <v>-24515</v>
      </c>
      <c r="M46" s="2"/>
      <c r="N46" s="19">
        <f t="shared" si="10"/>
        <v>0</v>
      </c>
      <c r="O46" s="11"/>
      <c r="P46" s="2">
        <v>-214344</v>
      </c>
      <c r="Q46" s="2"/>
      <c r="R46" s="19">
        <f t="shared" si="11"/>
        <v>-0.53453600776237331</v>
      </c>
      <c r="S46" s="2"/>
      <c r="T46" s="2"/>
      <c r="U46" s="2"/>
      <c r="V46" s="19">
        <f t="shared" si="12"/>
        <v>0</v>
      </c>
      <c r="W46" s="2"/>
      <c r="X46" s="2">
        <f t="shared" si="13"/>
        <v>-214344</v>
      </c>
      <c r="Y46" s="2"/>
      <c r="Z46" s="19">
        <f t="shared" si="14"/>
        <v>0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6972</v>
      </c>
      <c r="E47" s="2"/>
      <c r="F47" s="19">
        <f t="shared" si="7"/>
        <v>0.47781406234472923</v>
      </c>
      <c r="G47" s="2"/>
      <c r="H47" s="2"/>
      <c r="I47" s="2"/>
      <c r="J47" s="19">
        <f t="shared" si="8"/>
        <v>0</v>
      </c>
      <c r="K47" s="2"/>
      <c r="L47" s="2">
        <f t="shared" si="9"/>
        <v>6972</v>
      </c>
      <c r="M47" s="2"/>
      <c r="N47" s="19">
        <f t="shared" si="10"/>
        <v>0</v>
      </c>
      <c r="O47" s="11"/>
      <c r="P47" s="2">
        <v>190644</v>
      </c>
      <c r="Q47" s="2"/>
      <c r="R47" s="19">
        <f t="shared" si="11"/>
        <v>0.47543240148476229</v>
      </c>
      <c r="S47" s="2"/>
      <c r="T47" s="2"/>
      <c r="U47" s="2"/>
      <c r="V47" s="19">
        <f t="shared" si="12"/>
        <v>0</v>
      </c>
      <c r="W47" s="2"/>
      <c r="X47" s="2">
        <f t="shared" si="13"/>
        <v>190644</v>
      </c>
      <c r="Y47" s="2"/>
      <c r="Z47" s="19">
        <f t="shared" si="14"/>
        <v>0</v>
      </c>
    </row>
    <row r="48" spans="1:26" s="24" customFormat="1" hidden="1" outlineLevel="1" x14ac:dyDescent="0.25">
      <c r="A48" s="44"/>
      <c r="B48" s="11" t="str">
        <f>CONCATENATE("          ", "5500", " - ", "FREIGHT-IN")</f>
        <v xml:space="preserve">          5500 - FREIGHT-IN</v>
      </c>
      <c r="C48" s="11"/>
      <c r="D48" s="2"/>
      <c r="E48" s="2"/>
      <c r="F48" s="19">
        <f t="shared" si="7"/>
        <v>0</v>
      </c>
      <c r="G48" s="2"/>
      <c r="H48" s="2"/>
      <c r="I48" s="2"/>
      <c r="J48" s="19">
        <f t="shared" si="8"/>
        <v>0</v>
      </c>
      <c r="K48" s="2"/>
      <c r="L48" s="2">
        <f t="shared" si="9"/>
        <v>0</v>
      </c>
      <c r="M48" s="2"/>
      <c r="N48" s="19">
        <f t="shared" si="10"/>
        <v>0</v>
      </c>
      <c r="O48" s="11"/>
      <c r="P48" s="2">
        <v>6</v>
      </c>
      <c r="Q48" s="2"/>
      <c r="R48" s="19">
        <f t="shared" si="11"/>
        <v>1.4962938298129361E-5</v>
      </c>
      <c r="S48" s="2"/>
      <c r="T48" s="2"/>
      <c r="U48" s="2"/>
      <c r="V48" s="19">
        <f t="shared" si="12"/>
        <v>0</v>
      </c>
      <c r="W48" s="2"/>
      <c r="X48" s="2">
        <f t="shared" si="13"/>
        <v>6</v>
      </c>
      <c r="Y48" s="2"/>
      <c r="Z48" s="19">
        <f t="shared" si="14"/>
        <v>0</v>
      </c>
    </row>
    <row r="49" spans="1:26" s="24" customFormat="1" hidden="1" outlineLevel="1" x14ac:dyDescent="0.25">
      <c r="A49" s="44"/>
      <c r="B49" s="11" t="str">
        <f>CONCATENATE("          ", "5525", " - ", "FREIGHT-IN-TEST FORMS")</f>
        <v xml:space="preserve">          5525 - FREIGHT-IN-TEST FORMS</v>
      </c>
      <c r="C49" s="11"/>
      <c r="D49" s="2">
        <v>82.2</v>
      </c>
      <c r="E49" s="2"/>
      <c r="F49" s="19">
        <f t="shared" si="7"/>
        <v>5.6334360190385463E-3</v>
      </c>
      <c r="G49" s="2"/>
      <c r="H49" s="2"/>
      <c r="I49" s="2"/>
      <c r="J49" s="19">
        <f t="shared" si="8"/>
        <v>0</v>
      </c>
      <c r="K49" s="2"/>
      <c r="L49" s="2">
        <f t="shared" si="9"/>
        <v>82.2</v>
      </c>
      <c r="M49" s="2"/>
      <c r="N49" s="19">
        <f t="shared" si="10"/>
        <v>0</v>
      </c>
      <c r="O49" s="11"/>
      <c r="P49" s="2">
        <v>1237.22</v>
      </c>
      <c r="Q49" s="2"/>
      <c r="R49" s="19">
        <f t="shared" si="11"/>
        <v>3.0854077535352681E-3</v>
      </c>
      <c r="S49" s="2"/>
      <c r="T49" s="2"/>
      <c r="U49" s="2"/>
      <c r="V49" s="19">
        <f t="shared" si="12"/>
        <v>0</v>
      </c>
      <c r="W49" s="2"/>
      <c r="X49" s="2">
        <f t="shared" si="13"/>
        <v>1237.22</v>
      </c>
      <c r="Y49" s="2"/>
      <c r="Z49" s="19">
        <f t="shared" si="14"/>
        <v>0</v>
      </c>
    </row>
    <row r="50" spans="1:26" s="24" customFormat="1" hidden="1" outlineLevel="1" x14ac:dyDescent="0.25">
      <c r="A50" s="44"/>
      <c r="B50" s="11" t="str">
        <f>CONCATENATE("          ", "5526", " - ", "FREIGHT-IN-WRITING INSTRUMENTS")</f>
        <v xml:space="preserve">          5526 - FREIGHT-IN-WRITING INSTRUMENTS</v>
      </c>
      <c r="C50" s="11"/>
      <c r="D50" s="2"/>
      <c r="E50" s="2"/>
      <c r="F50" s="19">
        <f t="shared" si="7"/>
        <v>0</v>
      </c>
      <c r="G50" s="2"/>
      <c r="H50" s="2"/>
      <c r="I50" s="2"/>
      <c r="J50" s="19">
        <f t="shared" si="8"/>
        <v>0</v>
      </c>
      <c r="K50" s="2"/>
      <c r="L50" s="2">
        <f t="shared" si="9"/>
        <v>0</v>
      </c>
      <c r="M50" s="2"/>
      <c r="N50" s="19">
        <f t="shared" si="10"/>
        <v>0</v>
      </c>
      <c r="O50" s="11"/>
      <c r="P50" s="2">
        <v>260.35000000000002</v>
      </c>
      <c r="Q50" s="2"/>
      <c r="R50" s="19">
        <f t="shared" si="11"/>
        <v>6.4926683098632989E-4</v>
      </c>
      <c r="S50" s="2"/>
      <c r="T50" s="2"/>
      <c r="U50" s="2"/>
      <c r="V50" s="19">
        <f t="shared" si="12"/>
        <v>0</v>
      </c>
      <c r="W50" s="2"/>
      <c r="X50" s="2">
        <f t="shared" si="13"/>
        <v>260.35000000000002</v>
      </c>
      <c r="Y50" s="2"/>
      <c r="Z50" s="19">
        <f t="shared" si="14"/>
        <v>0</v>
      </c>
    </row>
    <row r="51" spans="1:26" s="24" customFormat="1" hidden="1" outlineLevel="1" x14ac:dyDescent="0.25">
      <c r="A51" s="44"/>
      <c r="B51" s="11" t="str">
        <f>CONCATENATE("          ", "5527", " - ", "FREIGHT-IN-SCHOOL SUPPLIES")</f>
        <v xml:space="preserve">          5527 - FREIGHT-IN-SCHOOL SUPPLIES</v>
      </c>
      <c r="C51" s="11"/>
      <c r="D51" s="2">
        <v>407.31</v>
      </c>
      <c r="E51" s="2"/>
      <c r="F51" s="19">
        <f t="shared" si="7"/>
        <v>2.7914292273900125E-2</v>
      </c>
      <c r="G51" s="2"/>
      <c r="H51" s="2"/>
      <c r="I51" s="2"/>
      <c r="J51" s="19">
        <f t="shared" si="8"/>
        <v>0</v>
      </c>
      <c r="K51" s="2"/>
      <c r="L51" s="2">
        <f t="shared" si="9"/>
        <v>407.31</v>
      </c>
      <c r="M51" s="2"/>
      <c r="N51" s="19">
        <f t="shared" si="10"/>
        <v>0</v>
      </c>
      <c r="O51" s="11"/>
      <c r="P51" s="2">
        <v>1594.03</v>
      </c>
      <c r="Q51" s="2"/>
      <c r="R51" s="19">
        <f t="shared" si="11"/>
        <v>3.975228755894524E-3</v>
      </c>
      <c r="S51" s="2"/>
      <c r="T51" s="2"/>
      <c r="U51" s="2"/>
      <c r="V51" s="19">
        <f t="shared" si="12"/>
        <v>0</v>
      </c>
      <c r="W51" s="2"/>
      <c r="X51" s="2">
        <f t="shared" si="13"/>
        <v>1594.03</v>
      </c>
      <c r="Y51" s="2"/>
      <c r="Z51" s="19">
        <f t="shared" si="14"/>
        <v>0</v>
      </c>
    </row>
    <row r="52" spans="1:26" s="24" customFormat="1" hidden="1" outlineLevel="1" x14ac:dyDescent="0.25">
      <c r="A52" s="44"/>
      <c r="B52" s="11" t="str">
        <f>CONCATENATE("          ", "5528", " - ", "FREIGHT-IN-ART/TECH")</f>
        <v xml:space="preserve">          5528 - FREIGHT-IN-ART/TECH</v>
      </c>
      <c r="C52" s="11"/>
      <c r="D52" s="2">
        <v>34.32</v>
      </c>
      <c r="E52" s="2"/>
      <c r="F52" s="19">
        <f t="shared" si="7"/>
        <v>2.352062337875948E-3</v>
      </c>
      <c r="G52" s="2"/>
      <c r="H52" s="2"/>
      <c r="I52" s="2"/>
      <c r="J52" s="19">
        <f t="shared" si="8"/>
        <v>0</v>
      </c>
      <c r="K52" s="2"/>
      <c r="L52" s="2">
        <f t="shared" si="9"/>
        <v>34.32</v>
      </c>
      <c r="M52" s="2"/>
      <c r="N52" s="19">
        <f t="shared" si="10"/>
        <v>0</v>
      </c>
      <c r="O52" s="11"/>
      <c r="P52" s="2">
        <v>91.23</v>
      </c>
      <c r="Q52" s="2"/>
      <c r="R52" s="19">
        <f t="shared" si="11"/>
        <v>2.2751147682305693E-4</v>
      </c>
      <c r="S52" s="2"/>
      <c r="T52" s="2"/>
      <c r="U52" s="2"/>
      <c r="V52" s="19">
        <f t="shared" si="12"/>
        <v>0</v>
      </c>
      <c r="W52" s="2"/>
      <c r="X52" s="2">
        <f t="shared" si="13"/>
        <v>91.23</v>
      </c>
      <c r="Y52" s="2"/>
      <c r="Z52" s="19">
        <f t="shared" si="14"/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8" t="s">
        <v>6</v>
      </c>
      <c r="C54" s="28"/>
      <c r="D54" s="20">
        <f>D12-D36</f>
        <v>7618.5399999999991</v>
      </c>
      <c r="E54" s="14"/>
      <c r="F54" s="22">
        <f>IF(D$12=0,0,D54/D$12)</f>
        <v>0.52212357236600881</v>
      </c>
      <c r="G54" s="14"/>
      <c r="H54" s="20">
        <f>H12-H36</f>
        <v>13936</v>
      </c>
      <c r="I54" s="14"/>
      <c r="J54" s="22">
        <f>IF(H$12=0,0,H54/H$12)</f>
        <v>0.4882286995515695</v>
      </c>
      <c r="K54" s="16"/>
      <c r="L54" s="20">
        <f>+D54-H54</f>
        <v>-6317.4600000000009</v>
      </c>
      <c r="M54" s="16"/>
      <c r="N54" s="22">
        <f>IF(H54=0,0,L54/H54)</f>
        <v>-0.45331946039035598</v>
      </c>
      <c r="O54" s="29"/>
      <c r="P54" s="20">
        <f>P12-P36</f>
        <v>210341.54000000007</v>
      </c>
      <c r="Q54" s="14"/>
      <c r="R54" s="22">
        <f>IF(P$12=0,0,P54/P$12)</f>
        <v>0.52455458075891837</v>
      </c>
      <c r="S54" s="14"/>
      <c r="T54" s="20">
        <f>T12-T36</f>
        <v>216029</v>
      </c>
      <c r="U54" s="14"/>
      <c r="V54" s="22">
        <f>IF(T$12=0,0,T54/T$12)</f>
        <v>0.48989167137217016</v>
      </c>
      <c r="W54" s="16"/>
      <c r="X54" s="20">
        <f>+P54-T54</f>
        <v>-5687.4599999999336</v>
      </c>
      <c r="Y54" s="16"/>
      <c r="Z54" s="22">
        <f>IF(T54=0,0,X54/T54)</f>
        <v>-2.6327298649718018E-2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9" t="s">
        <v>9</v>
      </c>
      <c r="C56" s="10"/>
      <c r="D56" s="21">
        <f>SUM(OSRRefD22x_0)</f>
        <v>7284.7800000000007</v>
      </c>
      <c r="E56" s="21"/>
      <c r="F56" s="30">
        <f t="shared" ref="F56:F66" si="15">IF(D$12=0,0,D56/D$12)</f>
        <v>0.49924990319673507</v>
      </c>
      <c r="G56" s="21"/>
      <c r="H56" s="21">
        <f>SUM(OSRRefH22x_0)</f>
        <v>9885.4401235446094</v>
      </c>
      <c r="I56" s="21"/>
      <c r="J56" s="30">
        <f t="shared" ref="J56:J66" si="16">IF(H$12=0,0,H56/H$12)</f>
        <v>0.34632287428337338</v>
      </c>
      <c r="K56" s="4"/>
      <c r="L56" s="21">
        <f t="shared" ref="L56:L66" si="17">+D56-H56</f>
        <v>-2600.6601235446087</v>
      </c>
      <c r="M56" s="4"/>
      <c r="N56" s="30">
        <f t="shared" ref="N56:N66" si="18">IF(H56=0,0,L56/H56)</f>
        <v>-0.26307985188747401</v>
      </c>
      <c r="O56" s="10"/>
      <c r="P56" s="21">
        <f>SUM(OSRRefP22x_0)</f>
        <v>92627.599999999977</v>
      </c>
      <c r="Q56" s="21"/>
      <c r="R56" s="30">
        <f t="shared" ref="R56:R66" si="19">IF(P$12=0,0,P56/P$12)</f>
        <v>0.23099684391730113</v>
      </c>
      <c r="S56" s="21"/>
      <c r="T56" s="21">
        <f>SUM(OSRRefT22x_0)</f>
        <v>91082.880177059968</v>
      </c>
      <c r="U56" s="21"/>
      <c r="V56" s="30">
        <f t="shared" ref="V56:V66" si="20">IF(T$12=0,0,T56/T$12)</f>
        <v>0.20654978916409841</v>
      </c>
      <c r="W56" s="4"/>
      <c r="X56" s="21">
        <f t="shared" ref="X56:X66" si="21">+P56-T56</f>
        <v>1544.7198229400092</v>
      </c>
      <c r="Y56" s="4"/>
      <c r="Z56" s="30">
        <f t="shared" ref="Z56:Z66" si="22">IF(T56=0,0,X56/T56)</f>
        <v>1.6959496888297353E-2</v>
      </c>
    </row>
    <row r="57" spans="1:26" s="27" customFormat="1" outlineLevel="1" collapsed="1" x14ac:dyDescent="0.25">
      <c r="A57" s="26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-5592.5499999999993</v>
      </c>
      <c r="E57" s="1"/>
      <c r="F57" s="5">
        <f t="shared" si="15"/>
        <v>-0.38327582248508535</v>
      </c>
      <c r="G57" s="1"/>
      <c r="H57" s="1">
        <f>SUM(OSRRefH22_0x_0)</f>
        <v>1544.9275296984608</v>
      </c>
      <c r="I57" s="1"/>
      <c r="J57" s="5">
        <f t="shared" si="16"/>
        <v>5.4124422985512219E-2</v>
      </c>
      <c r="K57" s="1"/>
      <c r="L57" s="1">
        <f t="shared" si="17"/>
        <v>-7137.4775296984599</v>
      </c>
      <c r="M57" s="1"/>
      <c r="N57" s="5">
        <f t="shared" si="18"/>
        <v>-4.6199432610871742</v>
      </c>
      <c r="O57" s="13"/>
      <c r="P57" s="1">
        <f>SUM(OSRRefP22_0x_0)</f>
        <v>9840.6799999999985</v>
      </c>
      <c r="Q57" s="1"/>
      <c r="R57" s="5">
        <f t="shared" si="19"/>
        <v>2.4540914608605937E-2</v>
      </c>
      <c r="S57" s="1"/>
      <c r="T57" s="1">
        <f>SUM(OSRRefT22_0x_0)</f>
        <v>15080.251137059997</v>
      </c>
      <c r="U57" s="1"/>
      <c r="V57" s="5">
        <f t="shared" si="20"/>
        <v>3.4197674544836069E-2</v>
      </c>
      <c r="W57" s="1"/>
      <c r="X57" s="1">
        <f t="shared" si="21"/>
        <v>-5239.5711370599984</v>
      </c>
      <c r="Y57" s="1"/>
      <c r="Z57" s="5">
        <f t="shared" si="22"/>
        <v>-0.34744588067128768</v>
      </c>
    </row>
    <row r="58" spans="1:26" s="24" customFormat="1" hidden="1" outlineLevel="2" x14ac:dyDescent="0.25">
      <c r="A58" s="25"/>
      <c r="B58" s="11" t="str">
        <f>CONCATENATE("          ", "6111", " - ", "F.I.C.A.")</f>
        <v xml:space="preserve">          6111 - F.I.C.A.</v>
      </c>
      <c r="C58" s="11"/>
      <c r="D58" s="6">
        <v>577.09</v>
      </c>
      <c r="E58" s="2"/>
      <c r="F58" s="7">
        <f t="shared" si="15"/>
        <v>3.9549873384756143E-2</v>
      </c>
      <c r="G58" s="2"/>
      <c r="H58" s="6">
        <v>174.43080234461499</v>
      </c>
      <c r="I58" s="2"/>
      <c r="J58" s="7">
        <f t="shared" si="16"/>
        <v>6.1109445888668365E-3</v>
      </c>
      <c r="K58" s="2"/>
      <c r="L58" s="6">
        <f t="shared" si="17"/>
        <v>402.65919765538501</v>
      </c>
      <c r="M58" s="2"/>
      <c r="N58" s="7">
        <f t="shared" si="18"/>
        <v>2.3084179642759977</v>
      </c>
      <c r="O58" s="11"/>
      <c r="P58" s="6">
        <v>2780.3</v>
      </c>
      <c r="Q58" s="2"/>
      <c r="R58" s="7">
        <f t="shared" si="19"/>
        <v>6.9335762250481775E-3</v>
      </c>
      <c r="S58" s="2"/>
      <c r="T58" s="6">
        <v>2445.1458978599967</v>
      </c>
      <c r="U58" s="2"/>
      <c r="V58" s="7">
        <f t="shared" si="20"/>
        <v>5.5448880041635128E-3</v>
      </c>
      <c r="W58" s="2"/>
      <c r="X58" s="6">
        <f t="shared" si="21"/>
        <v>335.15410214000349</v>
      </c>
      <c r="Y58" s="2"/>
      <c r="Z58" s="7">
        <f t="shared" si="22"/>
        <v>0.13706916320753373</v>
      </c>
    </row>
    <row r="59" spans="1:26" s="24" customFormat="1" hidden="1" outlineLevel="2" x14ac:dyDescent="0.25">
      <c r="A59" s="25"/>
      <c r="B59" s="11" t="str">
        <f>CONCATENATE("          ", "6112", " - ", "COMPENSATION INSURANCE")</f>
        <v xml:space="preserve">          6112 - COMPENSATION INSURANCE</v>
      </c>
      <c r="C59" s="11"/>
      <c r="D59" s="6">
        <v>221.95</v>
      </c>
      <c r="E59" s="2"/>
      <c r="F59" s="7">
        <f t="shared" si="15"/>
        <v>1.5210962584253106E-2</v>
      </c>
      <c r="G59" s="2"/>
      <c r="H59" s="6">
        <v>134.76419530769201</v>
      </c>
      <c r="I59" s="2"/>
      <c r="J59" s="7">
        <f t="shared" si="16"/>
        <v>4.7212792638625283E-3</v>
      </c>
      <c r="K59" s="2"/>
      <c r="L59" s="6">
        <f t="shared" si="17"/>
        <v>87.185804692307983</v>
      </c>
      <c r="M59" s="2"/>
      <c r="N59" s="7">
        <f t="shared" si="18"/>
        <v>0.6469508053919395</v>
      </c>
      <c r="O59" s="11"/>
      <c r="P59" s="6">
        <v>1231.77</v>
      </c>
      <c r="Q59" s="2"/>
      <c r="R59" s="7">
        <f t="shared" si="19"/>
        <v>3.0718164179144671E-3</v>
      </c>
      <c r="S59" s="2"/>
      <c r="T59" s="6">
        <v>1233.298397999997</v>
      </c>
      <c r="U59" s="2"/>
      <c r="V59" s="7">
        <f t="shared" si="20"/>
        <v>2.7967662373886769E-3</v>
      </c>
      <c r="W59" s="2"/>
      <c r="X59" s="6">
        <f t="shared" si="21"/>
        <v>-1.5283979999969688</v>
      </c>
      <c r="Y59" s="2"/>
      <c r="Z59" s="7">
        <f t="shared" si="22"/>
        <v>-1.2392767253047001E-3</v>
      </c>
    </row>
    <row r="60" spans="1:26" s="24" customFormat="1" hidden="1" outlineLevel="2" x14ac:dyDescent="0.25">
      <c r="A60" s="25"/>
      <c r="B60" s="11" t="str">
        <f>CONCATENATE("          ", "6113", " - ", "GROUP INSURANCE")</f>
        <v xml:space="preserve">          6113 - GROUP INSURANCE</v>
      </c>
      <c r="C60" s="11"/>
      <c r="D60" s="6">
        <v>1216.43</v>
      </c>
      <c r="E60" s="2"/>
      <c r="F60" s="7">
        <f t="shared" si="15"/>
        <v>8.3365943754733079E-2</v>
      </c>
      <c r="G60" s="2"/>
      <c r="H60" s="6">
        <v>790.8</v>
      </c>
      <c r="I60" s="2"/>
      <c r="J60" s="7">
        <f t="shared" si="16"/>
        <v>2.7704596412556053E-2</v>
      </c>
      <c r="K60" s="2"/>
      <c r="L60" s="6">
        <f t="shared" si="17"/>
        <v>425.63000000000011</v>
      </c>
      <c r="M60" s="2"/>
      <c r="N60" s="7">
        <f t="shared" si="18"/>
        <v>0.53822711178553384</v>
      </c>
      <c r="O60" s="11"/>
      <c r="P60" s="6">
        <v>8668.0499999999993</v>
      </c>
      <c r="Q60" s="2"/>
      <c r="R60" s="7">
        <f t="shared" si="19"/>
        <v>2.1616582885850031E-2</v>
      </c>
      <c r="S60" s="2"/>
      <c r="T60" s="6">
        <v>7117.2</v>
      </c>
      <c r="U60" s="2"/>
      <c r="V60" s="7">
        <f t="shared" si="20"/>
        <v>1.613976365899953E-2</v>
      </c>
      <c r="W60" s="2"/>
      <c r="X60" s="6">
        <f t="shared" si="21"/>
        <v>1550.8499999999995</v>
      </c>
      <c r="Y60" s="2"/>
      <c r="Z60" s="7">
        <f t="shared" si="22"/>
        <v>0.21790170291687735</v>
      </c>
    </row>
    <row r="61" spans="1:26" s="24" customFormat="1" hidden="1" outlineLevel="2" x14ac:dyDescent="0.25">
      <c r="A61" s="25"/>
      <c r="B61" s="11" t="str">
        <f>CONCATENATE("          ", "6114", " - ", "STATE UNEMPLOYMENT INSURANCE")</f>
        <v xml:space="preserve">          6114 - STATE UNEMPLOYMENT INSURANCE</v>
      </c>
      <c r="C61" s="11"/>
      <c r="D61" s="6">
        <v>30.37</v>
      </c>
      <c r="E61" s="2"/>
      <c r="F61" s="7">
        <f t="shared" si="15"/>
        <v>2.0813558625085238E-3</v>
      </c>
      <c r="G61" s="2"/>
      <c r="H61" s="6">
        <v>18.441416199999999</v>
      </c>
      <c r="I61" s="2"/>
      <c r="J61" s="7">
        <f t="shared" si="16"/>
        <v>6.4606979400224209E-4</v>
      </c>
      <c r="K61" s="2"/>
      <c r="L61" s="6">
        <f t="shared" si="17"/>
        <v>11.928583800000002</v>
      </c>
      <c r="M61" s="2"/>
      <c r="N61" s="7">
        <f t="shared" si="18"/>
        <v>0.64683664587538581</v>
      </c>
      <c r="O61" s="11"/>
      <c r="P61" s="6">
        <v>188.13</v>
      </c>
      <c r="Q61" s="2"/>
      <c r="R61" s="7">
        <f t="shared" si="19"/>
        <v>4.6916293033784611E-4</v>
      </c>
      <c r="S61" s="2"/>
      <c r="T61" s="6">
        <v>168.76714920000001</v>
      </c>
      <c r="U61" s="2"/>
      <c r="V61" s="7">
        <f t="shared" si="20"/>
        <v>3.8271537985318829E-4</v>
      </c>
      <c r="W61" s="2"/>
      <c r="X61" s="6">
        <f t="shared" si="21"/>
        <v>19.36285079999999</v>
      </c>
      <c r="Y61" s="2"/>
      <c r="Z61" s="7">
        <f t="shared" si="22"/>
        <v>0.11473116001416696</v>
      </c>
    </row>
    <row r="62" spans="1:26" s="24" customFormat="1" hidden="1" outlineLevel="2" x14ac:dyDescent="0.25">
      <c r="A62" s="25"/>
      <c r="B62" s="11" t="str">
        <f>CONCATENATE("          ", "6115", " - ", "P.E.R.S.")</f>
        <v xml:space="preserve">          6115 - P.E.R.S.</v>
      </c>
      <c r="C62" s="11"/>
      <c r="D62" s="6">
        <v>357.89</v>
      </c>
      <c r="E62" s="2"/>
      <c r="F62" s="7">
        <f t="shared" si="15"/>
        <v>2.4527377333986682E-2</v>
      </c>
      <c r="G62" s="2"/>
      <c r="H62" s="6">
        <v>196.01527507692302</v>
      </c>
      <c r="I62" s="2"/>
      <c r="J62" s="7">
        <f t="shared" si="16"/>
        <v>6.867127069679198E-3</v>
      </c>
      <c r="K62" s="2"/>
      <c r="L62" s="6">
        <f t="shared" si="17"/>
        <v>161.87472492307697</v>
      </c>
      <c r="M62" s="2"/>
      <c r="N62" s="7">
        <f t="shared" si="18"/>
        <v>0.82582709362600371</v>
      </c>
      <c r="O62" s="11"/>
      <c r="P62" s="6">
        <v>1988.35</v>
      </c>
      <c r="Q62" s="2"/>
      <c r="R62" s="7">
        <f t="shared" si="19"/>
        <v>4.9585930608475855E-3</v>
      </c>
      <c r="S62" s="2"/>
      <c r="T62" s="6">
        <v>1911.1489320000001</v>
      </c>
      <c r="U62" s="2"/>
      <c r="V62" s="7">
        <f t="shared" si="20"/>
        <v>4.3339363906633741E-3</v>
      </c>
      <c r="W62" s="2"/>
      <c r="X62" s="6">
        <f t="shared" si="21"/>
        <v>77.20106799999985</v>
      </c>
      <c r="Y62" s="2"/>
      <c r="Z62" s="7">
        <f t="shared" si="22"/>
        <v>4.0395108255226152E-2</v>
      </c>
    </row>
    <row r="63" spans="1:26" s="24" customFormat="1" hidden="1" outlineLevel="2" x14ac:dyDescent="0.25">
      <c r="A63" s="25"/>
      <c r="B63" s="11" t="str">
        <f>CONCATENATE("          ", "6116", " - ", "EDUCATIONAL BENEFITS")</f>
        <v xml:space="preserve">          6116 - EDUCATIONAL BENEFITS</v>
      </c>
      <c r="C63" s="11"/>
      <c r="D63" s="6"/>
      <c r="E63" s="2"/>
      <c r="F63" s="7">
        <f t="shared" si="15"/>
        <v>0</v>
      </c>
      <c r="G63" s="2"/>
      <c r="H63" s="6">
        <v>0</v>
      </c>
      <c r="I63" s="2"/>
      <c r="J63" s="7">
        <f t="shared" si="16"/>
        <v>0</v>
      </c>
      <c r="K63" s="2"/>
      <c r="L63" s="6">
        <f t="shared" si="17"/>
        <v>0</v>
      </c>
      <c r="M63" s="2"/>
      <c r="N63" s="7">
        <f t="shared" si="18"/>
        <v>0</v>
      </c>
      <c r="O63" s="11"/>
      <c r="P63" s="6"/>
      <c r="Q63" s="2"/>
      <c r="R63" s="7">
        <f t="shared" si="19"/>
        <v>0</v>
      </c>
      <c r="S63" s="2"/>
      <c r="T63" s="6">
        <v>0</v>
      </c>
      <c r="U63" s="2"/>
      <c r="V63" s="7">
        <f t="shared" si="20"/>
        <v>0</v>
      </c>
      <c r="W63" s="2"/>
      <c r="X63" s="6">
        <f t="shared" si="21"/>
        <v>0</v>
      </c>
      <c r="Y63" s="2"/>
      <c r="Z63" s="7">
        <f t="shared" si="22"/>
        <v>0</v>
      </c>
    </row>
    <row r="64" spans="1:26" s="24" customFormat="1" hidden="1" outlineLevel="2" x14ac:dyDescent="0.25">
      <c r="A64" s="25"/>
      <c r="B64" s="11" t="str">
        <f>CONCATENATE("          ", "6118", " - ", "VACATION")</f>
        <v xml:space="preserve">          6118 - VACATION</v>
      </c>
      <c r="C64" s="11"/>
      <c r="D64" s="6">
        <v>303.94</v>
      </c>
      <c r="E64" s="2"/>
      <c r="F64" s="7">
        <f t="shared" si="15"/>
        <v>2.0830006613461991E-2</v>
      </c>
      <c r="G64" s="2"/>
      <c r="H64" s="6">
        <v>113.962369230769</v>
      </c>
      <c r="I64" s="2"/>
      <c r="J64" s="7">
        <f t="shared" si="16"/>
        <v>3.9925157381855729E-3</v>
      </c>
      <c r="K64" s="2"/>
      <c r="L64" s="6">
        <f t="shared" si="17"/>
        <v>189.97763076923098</v>
      </c>
      <c r="M64" s="2"/>
      <c r="N64" s="7">
        <f t="shared" si="18"/>
        <v>1.6670207196599631</v>
      </c>
      <c r="O64" s="11"/>
      <c r="P64" s="6">
        <v>1573.76</v>
      </c>
      <c r="Q64" s="2"/>
      <c r="R64" s="7">
        <f t="shared" si="19"/>
        <v>3.9246789626773441E-3</v>
      </c>
      <c r="S64" s="2"/>
      <c r="T64" s="6">
        <v>1111.1331</v>
      </c>
      <c r="U64" s="2"/>
      <c r="V64" s="7">
        <f t="shared" si="20"/>
        <v>2.5197304596880081E-3</v>
      </c>
      <c r="W64" s="2"/>
      <c r="X64" s="6">
        <f t="shared" si="21"/>
        <v>462.62689999999998</v>
      </c>
      <c r="Y64" s="2"/>
      <c r="Z64" s="7">
        <f t="shared" si="22"/>
        <v>0.41635597031534743</v>
      </c>
    </row>
    <row r="65" spans="1:26" s="24" customFormat="1" hidden="1" outlineLevel="2" x14ac:dyDescent="0.25">
      <c r="A65" s="25"/>
      <c r="B65" s="11" t="str">
        <f>CONCATENATE("          ", "6119", " - ", "SICK LEAVE")</f>
        <v xml:space="preserve">          6119 - SICK LEAVE</v>
      </c>
      <c r="C65" s="11"/>
      <c r="D65" s="6">
        <v>-8381.3799999999992</v>
      </c>
      <c r="E65" s="2"/>
      <c r="F65" s="7">
        <f t="shared" si="15"/>
        <v>-0.57440350342152413</v>
      </c>
      <c r="G65" s="2"/>
      <c r="H65" s="6">
        <v>116.513471538462</v>
      </c>
      <c r="I65" s="2"/>
      <c r="J65" s="7">
        <f t="shared" si="16"/>
        <v>4.0818901183597954E-3</v>
      </c>
      <c r="K65" s="2"/>
      <c r="L65" s="6">
        <f t="shared" si="17"/>
        <v>-8497.8934715384603</v>
      </c>
      <c r="M65" s="2"/>
      <c r="N65" s="7">
        <f t="shared" si="18"/>
        <v>-72.93485774074837</v>
      </c>
      <c r="O65" s="11"/>
      <c r="P65" s="6">
        <v>-6954.53</v>
      </c>
      <c r="Q65" s="2"/>
      <c r="R65" s="7">
        <f t="shared" si="19"/>
        <v>-1.7343367213748264E-2</v>
      </c>
      <c r="S65" s="2"/>
      <c r="T65" s="6">
        <v>1093.5576600000029</v>
      </c>
      <c r="U65" s="2"/>
      <c r="V65" s="7">
        <f t="shared" si="20"/>
        <v>2.47987441407978E-3</v>
      </c>
      <c r="W65" s="2"/>
      <c r="X65" s="6">
        <f t="shared" si="21"/>
        <v>-8048.0876600000029</v>
      </c>
      <c r="Y65" s="2"/>
      <c r="Z65" s="7">
        <f t="shared" si="22"/>
        <v>-7.359545778317699</v>
      </c>
    </row>
    <row r="66" spans="1:26" s="24" customFormat="1" hidden="1" outlineLevel="2" x14ac:dyDescent="0.25">
      <c r="A66" s="25"/>
      <c r="B66" s="11" t="str">
        <f>CONCATENATE("          ", "6156", " - ", "EMPLOYEE MEALS")</f>
        <v xml:space="preserve">          6156 - EMPLOYEE MEALS</v>
      </c>
      <c r="C66" s="11"/>
      <c r="D66" s="6">
        <v>81.16</v>
      </c>
      <c r="E66" s="2"/>
      <c r="F66" s="7">
        <f t="shared" si="15"/>
        <v>5.5621614027392746E-3</v>
      </c>
      <c r="G66" s="2"/>
      <c r="H66" s="6"/>
      <c r="I66" s="2"/>
      <c r="J66" s="7">
        <f t="shared" si="16"/>
        <v>0</v>
      </c>
      <c r="K66" s="2"/>
      <c r="L66" s="6">
        <f t="shared" si="17"/>
        <v>81.16</v>
      </c>
      <c r="M66" s="2"/>
      <c r="N66" s="7">
        <f t="shared" si="18"/>
        <v>0</v>
      </c>
      <c r="O66" s="11"/>
      <c r="P66" s="6">
        <v>364.85</v>
      </c>
      <c r="Q66" s="2"/>
      <c r="R66" s="7">
        <f t="shared" si="19"/>
        <v>9.0987133967874957E-4</v>
      </c>
      <c r="S66" s="2"/>
      <c r="T66" s="6"/>
      <c r="U66" s="2"/>
      <c r="V66" s="7">
        <f t="shared" si="20"/>
        <v>0</v>
      </c>
      <c r="W66" s="2"/>
      <c r="X66" s="6">
        <f t="shared" si="21"/>
        <v>364.85</v>
      </c>
      <c r="Y66" s="2"/>
      <c r="Z66" s="7">
        <f t="shared" si="22"/>
        <v>0</v>
      </c>
    </row>
    <row r="67" spans="1:26" s="27" customFormat="1" outlineLevel="1" collapsed="1" x14ac:dyDescent="0.25">
      <c r="A67" s="26"/>
      <c r="B67" s="13" t="str">
        <f>CONCATENATE("     ","*Payroll                                          ")</f>
        <v xml:space="preserve">     *Payroll                                          </v>
      </c>
      <c r="C67" s="13"/>
      <c r="D67" s="1">
        <f>SUM(OSRRefD22_1x_0)</f>
        <v>11877.21</v>
      </c>
      <c r="E67" s="1"/>
      <c r="F67" s="5">
        <f t="shared" ref="F67:F77" si="23">IF(D$12=0,0,D67/D$12)</f>
        <v>0.81398421678448674</v>
      </c>
      <c r="G67" s="1"/>
      <c r="H67" s="1">
        <f>SUM(OSRRefH22_1x_0)</f>
        <v>6910.5125938461497</v>
      </c>
      <c r="I67" s="1"/>
      <c r="J67" s="5">
        <f t="shared" ref="J67:J77" si="24">IF(H$12=0,0,H67/H$12)</f>
        <v>0.24210035712745759</v>
      </c>
      <c r="K67" s="1"/>
      <c r="L67" s="1">
        <f t="shared" ref="L67:L77" si="25">+D67-H67</f>
        <v>4966.6974061538494</v>
      </c>
      <c r="M67" s="1"/>
      <c r="N67" s="5">
        <f t="shared" ref="N67:N77" si="26">IF(H67=0,0,L67/H67)</f>
        <v>0.71871620790861757</v>
      </c>
      <c r="O67" s="13"/>
      <c r="P67" s="1">
        <f>SUM(OSRRefP22_1x_0)</f>
        <v>71698.86</v>
      </c>
      <c r="Q67" s="1"/>
      <c r="R67" s="5">
        <f t="shared" ref="R67:R77" si="27">IF(P$12=0,0,P67/P$12)</f>
        <v>0.17880426970436922</v>
      </c>
      <c r="S67" s="1"/>
      <c r="T67" s="1">
        <f>SUM(OSRRefT22_1x_0)</f>
        <v>63132.629039999971</v>
      </c>
      <c r="U67" s="1"/>
      <c r="V67" s="5">
        <f t="shared" ref="V67:V77" si="28">IF(T$12=0,0,T67/T$12)</f>
        <v>0.14316665428495615</v>
      </c>
      <c r="W67" s="1"/>
      <c r="X67" s="1">
        <f t="shared" ref="X67:X77" si="29">+P67-T67</f>
        <v>8566.2309600000299</v>
      </c>
      <c r="Y67" s="1"/>
      <c r="Z67" s="5">
        <f t="shared" ref="Z67:Z77" si="30">IF(T67=0,0,X67/T67)</f>
        <v>0.13568627016265367</v>
      </c>
    </row>
    <row r="68" spans="1:26" s="24" customFormat="1" hidden="1" outlineLevel="2" x14ac:dyDescent="0.25">
      <c r="A68" s="25"/>
      <c r="B68" s="11" t="str">
        <f>CONCATENATE("          ", "6001", " - ", "ADMINISTRATIVE SALARIES")</f>
        <v xml:space="preserve">          6001 - ADMINISTRATIVE SALARIES</v>
      </c>
      <c r="C68" s="11"/>
      <c r="D68" s="6"/>
      <c r="E68" s="2"/>
      <c r="F68" s="7">
        <f t="shared" si="23"/>
        <v>0</v>
      </c>
      <c r="G68" s="2"/>
      <c r="H68" s="6">
        <v>2096.9075938461501</v>
      </c>
      <c r="I68" s="2"/>
      <c r="J68" s="7">
        <f t="shared" si="24"/>
        <v>7.3462289582614568E-2</v>
      </c>
      <c r="K68" s="2"/>
      <c r="L68" s="6">
        <f t="shared" si="25"/>
        <v>-2096.9075938461501</v>
      </c>
      <c r="M68" s="2"/>
      <c r="N68" s="7">
        <f t="shared" si="26"/>
        <v>-1</v>
      </c>
      <c r="O68" s="11"/>
      <c r="P68" s="6"/>
      <c r="Q68" s="2"/>
      <c r="R68" s="7">
        <f t="shared" si="27"/>
        <v>0</v>
      </c>
      <c r="S68" s="2"/>
      <c r="T68" s="6">
        <v>20444.849039999968</v>
      </c>
      <c r="U68" s="2"/>
      <c r="V68" s="7">
        <f t="shared" si="28"/>
        <v>4.6363040458259279E-2</v>
      </c>
      <c r="W68" s="2"/>
      <c r="X68" s="6">
        <f t="shared" si="29"/>
        <v>-20444.849039999968</v>
      </c>
      <c r="Y68" s="2"/>
      <c r="Z68" s="7">
        <f t="shared" si="30"/>
        <v>-1</v>
      </c>
    </row>
    <row r="69" spans="1:26" s="24" customFormat="1" hidden="1" outlineLevel="2" x14ac:dyDescent="0.25">
      <c r="A69" s="25"/>
      <c r="B69" s="11" t="str">
        <f>CONCATENATE("          ", "6002", " - ", "STAFF SALARIES")</f>
        <v xml:space="preserve">          6002 - STAFF SALARIES</v>
      </c>
      <c r="C69" s="11"/>
      <c r="D69" s="6">
        <v>5638.7</v>
      </c>
      <c r="E69" s="2"/>
      <c r="F69" s="7">
        <f t="shared" si="23"/>
        <v>0.38643863358336555</v>
      </c>
      <c r="G69" s="2"/>
      <c r="H69" s="6">
        <v>0</v>
      </c>
      <c r="I69" s="2"/>
      <c r="J69" s="7">
        <f t="shared" si="24"/>
        <v>0</v>
      </c>
      <c r="K69" s="2"/>
      <c r="L69" s="6">
        <f t="shared" si="25"/>
        <v>5638.7</v>
      </c>
      <c r="M69" s="2"/>
      <c r="N69" s="7">
        <f t="shared" si="26"/>
        <v>0</v>
      </c>
      <c r="O69" s="11"/>
      <c r="P69" s="6">
        <v>27497.01</v>
      </c>
      <c r="Q69" s="2"/>
      <c r="R69" s="7">
        <f t="shared" si="27"/>
        <v>6.8572677335507662E-2</v>
      </c>
      <c r="S69" s="2"/>
      <c r="T69" s="6">
        <v>0</v>
      </c>
      <c r="U69" s="2"/>
      <c r="V69" s="7">
        <f t="shared" si="28"/>
        <v>0</v>
      </c>
      <c r="W69" s="2"/>
      <c r="X69" s="6">
        <f t="shared" si="29"/>
        <v>27497.01</v>
      </c>
      <c r="Y69" s="2"/>
      <c r="Z69" s="7">
        <f t="shared" si="30"/>
        <v>0</v>
      </c>
    </row>
    <row r="70" spans="1:26" s="24" customFormat="1" hidden="1" outlineLevel="2" x14ac:dyDescent="0.25">
      <c r="A70" s="25"/>
      <c r="B70" s="11" t="str">
        <f>CONCATENATE("          ", "6003", " - ", "STAFF HOURLY-9 MONTH")</f>
        <v xml:space="preserve">          6003 - STAFF HOURLY-9 MONTH</v>
      </c>
      <c r="C70" s="11"/>
      <c r="D70" s="6"/>
      <c r="E70" s="2"/>
      <c r="F70" s="7">
        <f t="shared" si="23"/>
        <v>0</v>
      </c>
      <c r="G70" s="2"/>
      <c r="H70" s="6">
        <v>0</v>
      </c>
      <c r="I70" s="2"/>
      <c r="J70" s="7">
        <f t="shared" si="24"/>
        <v>0</v>
      </c>
      <c r="K70" s="2"/>
      <c r="L70" s="6">
        <f t="shared" si="25"/>
        <v>0</v>
      </c>
      <c r="M70" s="2"/>
      <c r="N70" s="7">
        <f t="shared" si="26"/>
        <v>0</v>
      </c>
      <c r="O70" s="11"/>
      <c r="P70" s="6"/>
      <c r="Q70" s="2"/>
      <c r="R70" s="7">
        <f t="shared" si="27"/>
        <v>0</v>
      </c>
      <c r="S70" s="2"/>
      <c r="T70" s="6">
        <v>0</v>
      </c>
      <c r="U70" s="2"/>
      <c r="V70" s="7">
        <f t="shared" si="28"/>
        <v>0</v>
      </c>
      <c r="W70" s="2"/>
      <c r="X70" s="6">
        <f t="shared" si="29"/>
        <v>0</v>
      </c>
      <c r="Y70" s="2"/>
      <c r="Z70" s="7">
        <f t="shared" si="30"/>
        <v>0</v>
      </c>
    </row>
    <row r="71" spans="1:26" s="24" customFormat="1" hidden="1" outlineLevel="2" x14ac:dyDescent="0.25">
      <c r="A71" s="25"/>
      <c r="B71" s="11" t="str">
        <f>CONCATENATE("          ", "6004", " - ", "STAFF HOURLY")</f>
        <v xml:space="preserve">          6004 - STAFF HOURLY</v>
      </c>
      <c r="C71" s="11"/>
      <c r="D71" s="6"/>
      <c r="E71" s="2"/>
      <c r="F71" s="7">
        <f t="shared" si="23"/>
        <v>0</v>
      </c>
      <c r="G71" s="2"/>
      <c r="H71" s="6">
        <v>0</v>
      </c>
      <c r="I71" s="2"/>
      <c r="J71" s="7">
        <f t="shared" si="24"/>
        <v>0</v>
      </c>
      <c r="K71" s="2"/>
      <c r="L71" s="6">
        <f t="shared" si="25"/>
        <v>0</v>
      </c>
      <c r="M71" s="2"/>
      <c r="N71" s="7">
        <f t="shared" si="26"/>
        <v>0</v>
      </c>
      <c r="O71" s="11"/>
      <c r="P71" s="6">
        <v>-48</v>
      </c>
      <c r="Q71" s="2"/>
      <c r="R71" s="7">
        <f t="shared" si="27"/>
        <v>-1.1970350638503489E-4</v>
      </c>
      <c r="S71" s="2"/>
      <c r="T71" s="6">
        <v>0</v>
      </c>
      <c r="U71" s="2"/>
      <c r="V71" s="7">
        <f t="shared" si="28"/>
        <v>0</v>
      </c>
      <c r="W71" s="2"/>
      <c r="X71" s="6">
        <f t="shared" si="29"/>
        <v>-48</v>
      </c>
      <c r="Y71" s="2"/>
      <c r="Z71" s="7">
        <f t="shared" si="30"/>
        <v>0</v>
      </c>
    </row>
    <row r="72" spans="1:26" s="24" customFormat="1" hidden="1" outlineLevel="2" x14ac:dyDescent="0.25">
      <c r="A72" s="25"/>
      <c r="B72" s="11" t="str">
        <f>CONCATENATE("          ", "6005", " - ", "TEMPORARY WAGES-HOURLY")</f>
        <v xml:space="preserve">          6005 - TEMPORARY WAGES-HOURLY</v>
      </c>
      <c r="C72" s="11"/>
      <c r="D72" s="6"/>
      <c r="E72" s="2"/>
      <c r="F72" s="7">
        <f t="shared" si="23"/>
        <v>0</v>
      </c>
      <c r="G72" s="2"/>
      <c r="H72" s="6">
        <v>0</v>
      </c>
      <c r="I72" s="2"/>
      <c r="J72" s="7">
        <f t="shared" si="24"/>
        <v>0</v>
      </c>
      <c r="K72" s="2"/>
      <c r="L72" s="6">
        <f t="shared" si="25"/>
        <v>0</v>
      </c>
      <c r="M72" s="2"/>
      <c r="N72" s="7">
        <f t="shared" si="26"/>
        <v>0</v>
      </c>
      <c r="O72" s="11"/>
      <c r="P72" s="6"/>
      <c r="Q72" s="2"/>
      <c r="R72" s="7">
        <f t="shared" si="27"/>
        <v>0</v>
      </c>
      <c r="S72" s="2"/>
      <c r="T72" s="6">
        <v>0</v>
      </c>
      <c r="U72" s="2"/>
      <c r="V72" s="7">
        <f t="shared" si="28"/>
        <v>0</v>
      </c>
      <c r="W72" s="2"/>
      <c r="X72" s="6">
        <f t="shared" si="29"/>
        <v>0</v>
      </c>
      <c r="Y72" s="2"/>
      <c r="Z72" s="7">
        <f t="shared" si="30"/>
        <v>0</v>
      </c>
    </row>
    <row r="73" spans="1:26" s="24" customFormat="1" hidden="1" outlineLevel="2" x14ac:dyDescent="0.25">
      <c r="A73" s="25"/>
      <c r="B73" s="11" t="str">
        <f>CONCATENATE("          ", "6006", " - ", "TEMPORARY PART TIME")</f>
        <v xml:space="preserve">          6006 - TEMPORARY PART TIME</v>
      </c>
      <c r="C73" s="11"/>
      <c r="D73" s="6"/>
      <c r="E73" s="2"/>
      <c r="F73" s="7">
        <f t="shared" si="23"/>
        <v>0</v>
      </c>
      <c r="G73" s="2"/>
      <c r="H73" s="6">
        <v>0</v>
      </c>
      <c r="I73" s="2"/>
      <c r="J73" s="7">
        <f t="shared" si="24"/>
        <v>0</v>
      </c>
      <c r="K73" s="2"/>
      <c r="L73" s="6">
        <f t="shared" si="25"/>
        <v>0</v>
      </c>
      <c r="M73" s="2"/>
      <c r="N73" s="7">
        <f t="shared" si="26"/>
        <v>0</v>
      </c>
      <c r="O73" s="11"/>
      <c r="P73" s="6"/>
      <c r="Q73" s="2"/>
      <c r="R73" s="7">
        <f t="shared" si="27"/>
        <v>0</v>
      </c>
      <c r="S73" s="2"/>
      <c r="T73" s="6">
        <v>0</v>
      </c>
      <c r="U73" s="2"/>
      <c r="V73" s="7">
        <f t="shared" si="28"/>
        <v>0</v>
      </c>
      <c r="W73" s="2"/>
      <c r="X73" s="6">
        <f t="shared" si="29"/>
        <v>0</v>
      </c>
      <c r="Y73" s="2"/>
      <c r="Z73" s="7">
        <f t="shared" si="30"/>
        <v>0</v>
      </c>
    </row>
    <row r="74" spans="1:26" s="24" customFormat="1" hidden="1" outlineLevel="2" x14ac:dyDescent="0.25">
      <c r="A74" s="25"/>
      <c r="B74" s="11" t="str">
        <f>CONCATENATE("          ", "6007", " - ", "STUDENT HOURLY")</f>
        <v xml:space="preserve">          6007 - STUDENT HOURLY</v>
      </c>
      <c r="C74" s="11"/>
      <c r="D74" s="6">
        <v>6238.51</v>
      </c>
      <c r="E74" s="2"/>
      <c r="F74" s="7">
        <f t="shared" si="23"/>
        <v>0.42754558320112118</v>
      </c>
      <c r="G74" s="2"/>
      <c r="H74" s="6">
        <v>0</v>
      </c>
      <c r="I74" s="2"/>
      <c r="J74" s="7">
        <f t="shared" si="24"/>
        <v>0</v>
      </c>
      <c r="K74" s="2"/>
      <c r="L74" s="6">
        <f t="shared" si="25"/>
        <v>6238.51</v>
      </c>
      <c r="M74" s="2"/>
      <c r="N74" s="7">
        <f t="shared" si="26"/>
        <v>0</v>
      </c>
      <c r="O74" s="11"/>
      <c r="P74" s="6">
        <v>44249.85</v>
      </c>
      <c r="Q74" s="2"/>
      <c r="R74" s="7">
        <f t="shared" si="27"/>
        <v>0.11035129587524659</v>
      </c>
      <c r="S74" s="2"/>
      <c r="T74" s="6">
        <v>9727.5</v>
      </c>
      <c r="U74" s="2"/>
      <c r="V74" s="7">
        <f t="shared" si="28"/>
        <v>2.2059173690906247E-2</v>
      </c>
      <c r="W74" s="2"/>
      <c r="X74" s="6">
        <f t="shared" si="29"/>
        <v>34522.35</v>
      </c>
      <c r="Y74" s="2"/>
      <c r="Z74" s="7">
        <f t="shared" si="30"/>
        <v>3.5489437162683113</v>
      </c>
    </row>
    <row r="75" spans="1:26" s="24" customFormat="1" hidden="1" outlineLevel="2" x14ac:dyDescent="0.25">
      <c r="A75" s="25"/>
      <c r="B75" s="11" t="str">
        <f>CONCATENATE("          ", "6008", " - ", "STUDENT HOURLY-FICA EXEMPT")</f>
        <v xml:space="preserve">          6008 - STUDENT HOURLY-FICA EXEMPT</v>
      </c>
      <c r="C75" s="11"/>
      <c r="D75" s="6"/>
      <c r="E75" s="2"/>
      <c r="F75" s="7">
        <f t="shared" si="23"/>
        <v>0</v>
      </c>
      <c r="G75" s="2"/>
      <c r="H75" s="6">
        <v>4813.6049999999996</v>
      </c>
      <c r="I75" s="2"/>
      <c r="J75" s="7">
        <f t="shared" si="24"/>
        <v>0.16863806754484303</v>
      </c>
      <c r="K75" s="2"/>
      <c r="L75" s="6">
        <f t="shared" si="25"/>
        <v>-4813.6049999999996</v>
      </c>
      <c r="M75" s="2"/>
      <c r="N75" s="7">
        <f t="shared" si="26"/>
        <v>-1</v>
      </c>
      <c r="O75" s="11"/>
      <c r="P75" s="6"/>
      <c r="Q75" s="2"/>
      <c r="R75" s="7">
        <f t="shared" si="27"/>
        <v>0</v>
      </c>
      <c r="S75" s="2"/>
      <c r="T75" s="6">
        <v>32960.28</v>
      </c>
      <c r="U75" s="2"/>
      <c r="V75" s="7">
        <f t="shared" si="28"/>
        <v>7.4744440135790624E-2</v>
      </c>
      <c r="W75" s="2"/>
      <c r="X75" s="6">
        <f t="shared" si="29"/>
        <v>-32960.28</v>
      </c>
      <c r="Y75" s="2"/>
      <c r="Z75" s="7">
        <f t="shared" si="30"/>
        <v>-1</v>
      </c>
    </row>
    <row r="76" spans="1:26" s="24" customFormat="1" hidden="1" outlineLevel="2" x14ac:dyDescent="0.25">
      <c r="A76" s="25"/>
      <c r="B76" s="11" t="str">
        <f>CONCATENATE("          ", "6009", " - ", "TEMPORARY-SEASONAL")</f>
        <v xml:space="preserve">          6009 - TEMPORARY-SEASONAL</v>
      </c>
      <c r="C76" s="11"/>
      <c r="D76" s="6"/>
      <c r="E76" s="2"/>
      <c r="F76" s="7">
        <f t="shared" si="23"/>
        <v>0</v>
      </c>
      <c r="G76" s="2"/>
      <c r="H76" s="6">
        <v>0</v>
      </c>
      <c r="I76" s="2"/>
      <c r="J76" s="7">
        <f t="shared" si="24"/>
        <v>0</v>
      </c>
      <c r="K76" s="2"/>
      <c r="L76" s="6">
        <f t="shared" si="25"/>
        <v>0</v>
      </c>
      <c r="M76" s="2"/>
      <c r="N76" s="7">
        <f t="shared" si="26"/>
        <v>0</v>
      </c>
      <c r="O76" s="11"/>
      <c r="P76" s="6"/>
      <c r="Q76" s="2"/>
      <c r="R76" s="7">
        <f t="shared" si="27"/>
        <v>0</v>
      </c>
      <c r="S76" s="2"/>
      <c r="T76" s="6">
        <v>0</v>
      </c>
      <c r="U76" s="2"/>
      <c r="V76" s="7">
        <f t="shared" si="28"/>
        <v>0</v>
      </c>
      <c r="W76" s="2"/>
      <c r="X76" s="6">
        <f t="shared" si="29"/>
        <v>0</v>
      </c>
      <c r="Y76" s="2"/>
      <c r="Z76" s="7">
        <f t="shared" si="30"/>
        <v>0</v>
      </c>
    </row>
    <row r="77" spans="1:26" s="24" customFormat="1" hidden="1" outlineLevel="2" x14ac:dyDescent="0.25">
      <c r="A77" s="25"/>
      <c r="B77" s="11" t="str">
        <f>CONCATENATE("          ", "6010", " - ", "GRATUITY")</f>
        <v xml:space="preserve">          6010 - GRATUITY</v>
      </c>
      <c r="C77" s="11"/>
      <c r="D77" s="6"/>
      <c r="E77" s="2"/>
      <c r="F77" s="7">
        <f t="shared" si="23"/>
        <v>0</v>
      </c>
      <c r="G77" s="2"/>
      <c r="H77" s="6">
        <v>0</v>
      </c>
      <c r="I77" s="2"/>
      <c r="J77" s="7">
        <f t="shared" si="24"/>
        <v>0</v>
      </c>
      <c r="K77" s="2"/>
      <c r="L77" s="6">
        <f t="shared" si="25"/>
        <v>0</v>
      </c>
      <c r="M77" s="2"/>
      <c r="N77" s="7">
        <f t="shared" si="26"/>
        <v>0</v>
      </c>
      <c r="O77" s="11"/>
      <c r="P77" s="6"/>
      <c r="Q77" s="2"/>
      <c r="R77" s="7">
        <f t="shared" si="27"/>
        <v>0</v>
      </c>
      <c r="S77" s="2"/>
      <c r="T77" s="6">
        <v>0</v>
      </c>
      <c r="U77" s="2"/>
      <c r="V77" s="7">
        <f t="shared" si="28"/>
        <v>0</v>
      </c>
      <c r="W77" s="2"/>
      <c r="X77" s="6">
        <f t="shared" si="29"/>
        <v>0</v>
      </c>
      <c r="Y77" s="2"/>
      <c r="Z77" s="7">
        <f t="shared" si="30"/>
        <v>0</v>
      </c>
    </row>
    <row r="78" spans="1:26" s="27" customFormat="1" outlineLevel="1" collapsed="1" x14ac:dyDescent="0.25">
      <c r="A78" s="26"/>
      <c r="B78" s="13" t="str">
        <f>CONCATENATE("     ","Advertising/Promo                                 ")</f>
        <v xml:space="preserve">     Advertising/Promo                                 </v>
      </c>
      <c r="C78" s="13"/>
      <c r="D78" s="1">
        <f>SUM(OSRRefD22_2x_0)</f>
        <v>0</v>
      </c>
      <c r="E78" s="1"/>
      <c r="F78" s="5">
        <f t="shared" ref="F78:F82" si="31">IF(D$12=0,0,D78/D$12)</f>
        <v>0</v>
      </c>
      <c r="G78" s="1"/>
      <c r="H78" s="1">
        <f>SUM(OSRRefH22_2x_0)</f>
        <v>80</v>
      </c>
      <c r="I78" s="1"/>
      <c r="J78" s="5">
        <f t="shared" ref="J78:J82" si="32">IF(H$12=0,0,H78/H$12)</f>
        <v>2.8026905829596411E-3</v>
      </c>
      <c r="K78" s="1"/>
      <c r="L78" s="1">
        <f t="shared" ref="L78:L82" si="33">+D78-H78</f>
        <v>-80</v>
      </c>
      <c r="M78" s="1"/>
      <c r="N78" s="5">
        <f t="shared" ref="N78:N82" si="34">IF(H78=0,0,L78/H78)</f>
        <v>-1</v>
      </c>
      <c r="O78" s="13"/>
      <c r="P78" s="1">
        <f>SUM(OSRRefP22_2x_0)</f>
        <v>1181.76</v>
      </c>
      <c r="Q78" s="1"/>
      <c r="R78" s="5">
        <f t="shared" ref="R78:R82" si="35">IF(P$12=0,0,P78/P$12)</f>
        <v>2.9471003271995589E-3</v>
      </c>
      <c r="S78" s="1"/>
      <c r="T78" s="1">
        <f>SUM(OSRRefT22_2x_0)</f>
        <v>720</v>
      </c>
      <c r="U78" s="1"/>
      <c r="V78" s="5">
        <f t="shared" ref="V78:V82" si="36">IF(T$12=0,0,T78/T$12)</f>
        <v>1.6327530256954508E-3</v>
      </c>
      <c r="W78" s="1"/>
      <c r="X78" s="1">
        <f t="shared" ref="X78:X82" si="37">+P78-T78</f>
        <v>461.76</v>
      </c>
      <c r="Y78" s="1"/>
      <c r="Z78" s="5">
        <f t="shared" ref="Z78:Z82" si="38">IF(T78=0,0,X78/T78)</f>
        <v>0.64133333333333331</v>
      </c>
    </row>
    <row r="79" spans="1:26" s="24" customFormat="1" hidden="1" outlineLevel="2" x14ac:dyDescent="0.25">
      <c r="A79" s="25"/>
      <c r="B79" s="11" t="str">
        <f>CONCATENATE("          ", "6362", " - ", "ADVERTISING EXPENSE")</f>
        <v xml:space="preserve">          6362 - ADVERTISING EXPENSE</v>
      </c>
      <c r="C79" s="11"/>
      <c r="D79" s="6"/>
      <c r="E79" s="2"/>
      <c r="F79" s="7">
        <f t="shared" si="31"/>
        <v>0</v>
      </c>
      <c r="G79" s="2"/>
      <c r="H79" s="6">
        <v>80</v>
      </c>
      <c r="I79" s="2"/>
      <c r="J79" s="7">
        <f t="shared" si="32"/>
        <v>2.8026905829596411E-3</v>
      </c>
      <c r="K79" s="2"/>
      <c r="L79" s="6">
        <f t="shared" si="33"/>
        <v>-80</v>
      </c>
      <c r="M79" s="2"/>
      <c r="N79" s="7">
        <f t="shared" si="34"/>
        <v>-1</v>
      </c>
      <c r="O79" s="11"/>
      <c r="P79" s="6">
        <v>1181.76</v>
      </c>
      <c r="Q79" s="2"/>
      <c r="R79" s="7">
        <f t="shared" si="35"/>
        <v>2.9471003271995589E-3</v>
      </c>
      <c r="S79" s="2"/>
      <c r="T79" s="6">
        <v>720</v>
      </c>
      <c r="U79" s="2"/>
      <c r="V79" s="7">
        <f t="shared" si="36"/>
        <v>1.6327530256954508E-3</v>
      </c>
      <c r="W79" s="2"/>
      <c r="X79" s="6">
        <f t="shared" si="37"/>
        <v>461.76</v>
      </c>
      <c r="Y79" s="2"/>
      <c r="Z79" s="7">
        <f t="shared" si="38"/>
        <v>0.64133333333333331</v>
      </c>
    </row>
    <row r="80" spans="1:26" s="27" customFormat="1" outlineLevel="1" collapsed="1" x14ac:dyDescent="0.25">
      <c r="A80" s="26"/>
      <c r="B80" s="13" t="str">
        <f>CONCATENATE("     ","Discounts and Markdowns                           ")</f>
        <v xml:space="preserve">     Discounts and Markdowns                           </v>
      </c>
      <c r="C80" s="13"/>
      <c r="D80" s="1">
        <f>SUM(OSRRefD22_3x_0)</f>
        <v>1000.12</v>
      </c>
      <c r="E80" s="1"/>
      <c r="F80" s="5">
        <f t="shared" si="31"/>
        <v>6.8541508897333708E-2</v>
      </c>
      <c r="G80" s="1"/>
      <c r="H80" s="1">
        <f>SUM(OSRRefH22_3x_0)</f>
        <v>1250</v>
      </c>
      <c r="I80" s="1"/>
      <c r="J80" s="5">
        <f t="shared" si="32"/>
        <v>4.3792040358744393E-2</v>
      </c>
      <c r="K80" s="1"/>
      <c r="L80" s="1">
        <f t="shared" si="33"/>
        <v>-249.88</v>
      </c>
      <c r="M80" s="1"/>
      <c r="N80" s="5">
        <f t="shared" si="34"/>
        <v>-0.199904</v>
      </c>
      <c r="O80" s="13"/>
      <c r="P80" s="1">
        <f>SUM(OSRRefP22_3x_0)</f>
        <v>9781.2099999999991</v>
      </c>
      <c r="Q80" s="1"/>
      <c r="R80" s="5">
        <f t="shared" si="35"/>
        <v>2.4392606951840978E-2</v>
      </c>
      <c r="S80" s="1"/>
      <c r="T80" s="1">
        <f>SUM(OSRRefT22_3x_0)</f>
        <v>11250</v>
      </c>
      <c r="U80" s="1"/>
      <c r="V80" s="5">
        <f t="shared" si="36"/>
        <v>2.5511766026491418E-2</v>
      </c>
      <c r="W80" s="1"/>
      <c r="X80" s="1">
        <f t="shared" si="37"/>
        <v>-1468.7900000000009</v>
      </c>
      <c r="Y80" s="1"/>
      <c r="Z80" s="5">
        <f t="shared" si="38"/>
        <v>-0.13055911111111118</v>
      </c>
    </row>
    <row r="81" spans="1:26" s="24" customFormat="1" hidden="1" outlineLevel="2" x14ac:dyDescent="0.25">
      <c r="A81" s="25"/>
      <c r="B81" s="11" t="str">
        <f>CONCATENATE("          ", "6382", " - ", "DISCOUNTS/MARK DOWNS")</f>
        <v xml:space="preserve">          6382 - DISCOUNTS/MARK DOWNS</v>
      </c>
      <c r="C81" s="11"/>
      <c r="D81" s="6">
        <v>1000.12</v>
      </c>
      <c r="E81" s="2"/>
      <c r="F81" s="7">
        <f t="shared" si="31"/>
        <v>6.8541508897333708E-2</v>
      </c>
      <c r="G81" s="2"/>
      <c r="H81" s="6">
        <v>1250</v>
      </c>
      <c r="I81" s="2"/>
      <c r="J81" s="7">
        <f t="shared" si="32"/>
        <v>4.3792040358744393E-2</v>
      </c>
      <c r="K81" s="2"/>
      <c r="L81" s="6">
        <f t="shared" si="33"/>
        <v>-249.88</v>
      </c>
      <c r="M81" s="2"/>
      <c r="N81" s="7">
        <f t="shared" si="34"/>
        <v>-0.199904</v>
      </c>
      <c r="O81" s="11"/>
      <c r="P81" s="6">
        <v>9781.2099999999991</v>
      </c>
      <c r="Q81" s="2"/>
      <c r="R81" s="7">
        <f t="shared" si="35"/>
        <v>2.4392606951840978E-2</v>
      </c>
      <c r="S81" s="2"/>
      <c r="T81" s="6">
        <v>11250</v>
      </c>
      <c r="U81" s="2"/>
      <c r="V81" s="7">
        <f t="shared" si="36"/>
        <v>2.5511766026491418E-2</v>
      </c>
      <c r="W81" s="2"/>
      <c r="X81" s="6">
        <f t="shared" si="37"/>
        <v>-1468.7900000000009</v>
      </c>
      <c r="Y81" s="2"/>
      <c r="Z81" s="7">
        <f t="shared" si="38"/>
        <v>-0.13055911111111118</v>
      </c>
    </row>
    <row r="82" spans="1:26" s="24" customFormat="1" hidden="1" outlineLevel="2" x14ac:dyDescent="0.25">
      <c r="A82" s="25"/>
      <c r="B82" s="11" t="str">
        <f>CONCATENATE("          ", "9175", " - ", "EARNED DISCOUNTS")</f>
        <v xml:space="preserve">          9175 - EARNED DISCOUNTS</v>
      </c>
      <c r="C82" s="11"/>
      <c r="D82" s="6"/>
      <c r="E82" s="2"/>
      <c r="F82" s="7">
        <f t="shared" si="31"/>
        <v>0</v>
      </c>
      <c r="G82" s="2"/>
      <c r="H82" s="6"/>
      <c r="I82" s="2"/>
      <c r="J82" s="7">
        <f t="shared" si="32"/>
        <v>0</v>
      </c>
      <c r="K82" s="2"/>
      <c r="L82" s="6">
        <f t="shared" si="33"/>
        <v>0</v>
      </c>
      <c r="M82" s="2"/>
      <c r="N82" s="7">
        <f t="shared" si="34"/>
        <v>0</v>
      </c>
      <c r="O82" s="11"/>
      <c r="P82" s="6">
        <v>0</v>
      </c>
      <c r="Q82" s="2"/>
      <c r="R82" s="7">
        <f t="shared" si="35"/>
        <v>0</v>
      </c>
      <c r="S82" s="2"/>
      <c r="T82" s="6"/>
      <c r="U82" s="2"/>
      <c r="V82" s="7">
        <f t="shared" si="36"/>
        <v>0</v>
      </c>
      <c r="W82" s="2"/>
      <c r="X82" s="6">
        <f t="shared" si="37"/>
        <v>0</v>
      </c>
      <c r="Y82" s="2"/>
      <c r="Z82" s="7">
        <f t="shared" si="38"/>
        <v>0</v>
      </c>
    </row>
    <row r="83" spans="1:26" s="27" customFormat="1" outlineLevel="1" collapsed="1" x14ac:dyDescent="0.25">
      <c r="A83" s="26"/>
      <c r="B83" s="13" t="str">
        <f>CONCATENATE("     ","Employees' Appreciation                           ")</f>
        <v xml:space="preserve">     Employees' Appreciation                           </v>
      </c>
      <c r="C83" s="13"/>
      <c r="D83" s="1">
        <f>SUM(OSRRefD22_4x_0)</f>
        <v>0</v>
      </c>
      <c r="E83" s="1"/>
      <c r="F83" s="5">
        <f t="shared" ref="F83:F96" si="39">IF(D$12=0,0,D83/D$12)</f>
        <v>0</v>
      </c>
      <c r="G83" s="1"/>
      <c r="H83" s="1">
        <f>SUM(OSRRefH22_4x_0)</f>
        <v>25</v>
      </c>
      <c r="I83" s="1"/>
      <c r="J83" s="5">
        <f t="shared" ref="J83:J96" si="40">IF(H$12=0,0,H83/H$12)</f>
        <v>8.7584080717488793E-4</v>
      </c>
      <c r="K83" s="1"/>
      <c r="L83" s="1">
        <f t="shared" ref="L83:L96" si="41">+D83-H83</f>
        <v>-25</v>
      </c>
      <c r="M83" s="1"/>
      <c r="N83" s="5">
        <f t="shared" ref="N83:N96" si="42">IF(H83=0,0,L83/H83)</f>
        <v>-1</v>
      </c>
      <c r="O83" s="13"/>
      <c r="P83" s="1">
        <f>SUM(OSRRefP22_4x_0)</f>
        <v>0</v>
      </c>
      <c r="Q83" s="1"/>
      <c r="R83" s="5">
        <f t="shared" ref="R83:R96" si="43">IF(P$12=0,0,P83/P$12)</f>
        <v>0</v>
      </c>
      <c r="S83" s="1"/>
      <c r="T83" s="1">
        <f>SUM(OSRRefT22_4x_0)</f>
        <v>225</v>
      </c>
      <c r="U83" s="1"/>
      <c r="V83" s="5">
        <f t="shared" ref="V83:V96" si="44">IF(T$12=0,0,T83/T$12)</f>
        <v>5.1023532052982832E-4</v>
      </c>
      <c r="W83" s="1"/>
      <c r="X83" s="1">
        <f t="shared" ref="X83:X96" si="45">+P83-T83</f>
        <v>-225</v>
      </c>
      <c r="Y83" s="1"/>
      <c r="Z83" s="5">
        <f t="shared" ref="Z83:Z96" si="46">IF(T83=0,0,X83/T83)</f>
        <v>-1</v>
      </c>
    </row>
    <row r="84" spans="1:26" s="24" customFormat="1" hidden="1" outlineLevel="2" x14ac:dyDescent="0.25">
      <c r="A84" s="25"/>
      <c r="B84" s="11" t="str">
        <f>CONCATENATE("          ", "6277", " - ", "EMPLOYEE APPRECIATION")</f>
        <v xml:space="preserve">          6277 - EMPLOYEE APPRECIATION</v>
      </c>
      <c r="C84" s="11"/>
      <c r="D84" s="6"/>
      <c r="E84" s="2"/>
      <c r="F84" s="7">
        <f t="shared" si="39"/>
        <v>0</v>
      </c>
      <c r="G84" s="2"/>
      <c r="H84" s="6">
        <v>25</v>
      </c>
      <c r="I84" s="2"/>
      <c r="J84" s="7">
        <f t="shared" si="40"/>
        <v>8.7584080717488793E-4</v>
      </c>
      <c r="K84" s="2"/>
      <c r="L84" s="6">
        <f t="shared" si="41"/>
        <v>-25</v>
      </c>
      <c r="M84" s="2"/>
      <c r="N84" s="7">
        <f t="shared" si="42"/>
        <v>-1</v>
      </c>
      <c r="O84" s="11"/>
      <c r="P84" s="6"/>
      <c r="Q84" s="2"/>
      <c r="R84" s="7">
        <f t="shared" si="43"/>
        <v>0</v>
      </c>
      <c r="S84" s="2"/>
      <c r="T84" s="6">
        <v>225</v>
      </c>
      <c r="U84" s="2"/>
      <c r="V84" s="7">
        <f t="shared" si="44"/>
        <v>5.1023532052982832E-4</v>
      </c>
      <c r="W84" s="2"/>
      <c r="X84" s="6">
        <f t="shared" si="45"/>
        <v>-225</v>
      </c>
      <c r="Y84" s="2"/>
      <c r="Z84" s="7">
        <f t="shared" si="46"/>
        <v>-1</v>
      </c>
    </row>
    <row r="85" spans="1:26" s="27" customFormat="1" outlineLevel="1" collapsed="1" x14ac:dyDescent="0.25">
      <c r="A85" s="26"/>
      <c r="B85" s="13" t="str">
        <f>CONCATENATE("     ","Freight out/Postage                               ")</f>
        <v xml:space="preserve">     Freight out/Postage                               </v>
      </c>
      <c r="C85" s="13"/>
      <c r="D85" s="1">
        <f>SUM(OSRRefD22_5x_0)</f>
        <v>0</v>
      </c>
      <c r="E85" s="1"/>
      <c r="F85" s="5">
        <f t="shared" si="39"/>
        <v>0</v>
      </c>
      <c r="G85" s="1"/>
      <c r="H85" s="1">
        <f>SUM(OSRRefH22_5x_0)</f>
        <v>0</v>
      </c>
      <c r="I85" s="1"/>
      <c r="J85" s="5">
        <f t="shared" si="40"/>
        <v>0</v>
      </c>
      <c r="K85" s="1"/>
      <c r="L85" s="1">
        <f t="shared" si="41"/>
        <v>0</v>
      </c>
      <c r="M85" s="1"/>
      <c r="N85" s="5">
        <f t="shared" si="42"/>
        <v>0</v>
      </c>
      <c r="O85" s="13"/>
      <c r="P85" s="1">
        <f>SUM(OSRRefP22_5x_0)</f>
        <v>15.81</v>
      </c>
      <c r="Q85" s="1"/>
      <c r="R85" s="5">
        <f t="shared" si="43"/>
        <v>3.9427342415570867E-5</v>
      </c>
      <c r="S85" s="1"/>
      <c r="T85" s="1">
        <f>SUM(OSRRefT22_5x_0)</f>
        <v>0</v>
      </c>
      <c r="U85" s="1"/>
      <c r="V85" s="5">
        <f t="shared" si="44"/>
        <v>0</v>
      </c>
      <c r="W85" s="1"/>
      <c r="X85" s="1">
        <f t="shared" si="45"/>
        <v>15.81</v>
      </c>
      <c r="Y85" s="1"/>
      <c r="Z85" s="5">
        <f t="shared" si="46"/>
        <v>0</v>
      </c>
    </row>
    <row r="86" spans="1:26" s="24" customFormat="1" hidden="1" outlineLevel="2" x14ac:dyDescent="0.25">
      <c r="A86" s="25"/>
      <c r="B86" s="11" t="str">
        <f>CONCATENATE("          ", "6305", " - ", "FREIGHT OUT")</f>
        <v xml:space="preserve">          6305 - FREIGHT OUT</v>
      </c>
      <c r="C86" s="11"/>
      <c r="D86" s="6"/>
      <c r="E86" s="2"/>
      <c r="F86" s="7">
        <f t="shared" si="39"/>
        <v>0</v>
      </c>
      <c r="G86" s="2"/>
      <c r="H86" s="6"/>
      <c r="I86" s="2"/>
      <c r="J86" s="7">
        <f t="shared" si="40"/>
        <v>0</v>
      </c>
      <c r="K86" s="2"/>
      <c r="L86" s="6">
        <f t="shared" si="41"/>
        <v>0</v>
      </c>
      <c r="M86" s="2"/>
      <c r="N86" s="7">
        <f t="shared" si="42"/>
        <v>0</v>
      </c>
      <c r="O86" s="11"/>
      <c r="P86" s="6">
        <v>15.81</v>
      </c>
      <c r="Q86" s="2"/>
      <c r="R86" s="7">
        <f t="shared" si="43"/>
        <v>3.9427342415570867E-5</v>
      </c>
      <c r="S86" s="2"/>
      <c r="T86" s="6"/>
      <c r="U86" s="2"/>
      <c r="V86" s="7">
        <f t="shared" si="44"/>
        <v>0</v>
      </c>
      <c r="W86" s="2"/>
      <c r="X86" s="6">
        <f t="shared" si="45"/>
        <v>15.81</v>
      </c>
      <c r="Y86" s="2"/>
      <c r="Z86" s="7">
        <f t="shared" si="46"/>
        <v>0</v>
      </c>
    </row>
    <row r="87" spans="1:26" s="27" customFormat="1" outlineLevel="1" collapsed="1" x14ac:dyDescent="0.25">
      <c r="A87" s="26"/>
      <c r="B87" s="13" t="str">
        <f>CONCATENATE("     ","General                                           ")</f>
        <v xml:space="preserve">     General                                           </v>
      </c>
      <c r="C87" s="13"/>
      <c r="D87" s="1">
        <f>SUM(OSRRefD22_6x_0)</f>
        <v>0</v>
      </c>
      <c r="E87" s="1"/>
      <c r="F87" s="5">
        <f t="shared" si="39"/>
        <v>0</v>
      </c>
      <c r="G87" s="1"/>
      <c r="H87" s="1">
        <f>SUM(OSRRefH22_6x_0)</f>
        <v>0</v>
      </c>
      <c r="I87" s="1"/>
      <c r="J87" s="5">
        <f t="shared" si="40"/>
        <v>0</v>
      </c>
      <c r="K87" s="1"/>
      <c r="L87" s="1">
        <f t="shared" si="41"/>
        <v>0</v>
      </c>
      <c r="M87" s="1"/>
      <c r="N87" s="5">
        <f t="shared" si="42"/>
        <v>0</v>
      </c>
      <c r="O87" s="13"/>
      <c r="P87" s="1">
        <f>SUM(OSRRefP22_6x_0)</f>
        <v>0</v>
      </c>
      <c r="Q87" s="1"/>
      <c r="R87" s="5">
        <f t="shared" si="43"/>
        <v>0</v>
      </c>
      <c r="S87" s="1"/>
      <c r="T87" s="1">
        <f>SUM(OSRRefT22_6x_0)</f>
        <v>0</v>
      </c>
      <c r="U87" s="1"/>
      <c r="V87" s="5">
        <f t="shared" si="44"/>
        <v>0</v>
      </c>
      <c r="W87" s="1"/>
      <c r="X87" s="1">
        <f t="shared" si="45"/>
        <v>0</v>
      </c>
      <c r="Y87" s="1"/>
      <c r="Z87" s="5">
        <f t="shared" si="46"/>
        <v>0</v>
      </c>
    </row>
    <row r="88" spans="1:26" s="24" customFormat="1" hidden="1" outlineLevel="2" x14ac:dyDescent="0.25">
      <c r="A88" s="25"/>
      <c r="B88" s="11" t="str">
        <f>CONCATENATE("          ", "6279", " - ", "GENERAL EXPENSE")</f>
        <v xml:space="preserve">          6279 - GENERAL EXPENSE</v>
      </c>
      <c r="C88" s="11"/>
      <c r="D88" s="6"/>
      <c r="E88" s="2"/>
      <c r="F88" s="7">
        <f t="shared" si="39"/>
        <v>0</v>
      </c>
      <c r="G88" s="2"/>
      <c r="H88" s="6">
        <v>0</v>
      </c>
      <c r="I88" s="2"/>
      <c r="J88" s="7">
        <f t="shared" si="40"/>
        <v>0</v>
      </c>
      <c r="K88" s="2"/>
      <c r="L88" s="6">
        <f t="shared" si="41"/>
        <v>0</v>
      </c>
      <c r="M88" s="2"/>
      <c r="N88" s="7">
        <f t="shared" si="42"/>
        <v>0</v>
      </c>
      <c r="O88" s="11"/>
      <c r="P88" s="6"/>
      <c r="Q88" s="2"/>
      <c r="R88" s="7">
        <f t="shared" si="43"/>
        <v>0</v>
      </c>
      <c r="S88" s="2"/>
      <c r="T88" s="6">
        <v>0</v>
      </c>
      <c r="U88" s="2"/>
      <c r="V88" s="7">
        <f t="shared" si="44"/>
        <v>0</v>
      </c>
      <c r="W88" s="2"/>
      <c r="X88" s="6">
        <f t="shared" si="45"/>
        <v>0</v>
      </c>
      <c r="Y88" s="2"/>
      <c r="Z88" s="7">
        <f t="shared" si="46"/>
        <v>0</v>
      </c>
    </row>
    <row r="89" spans="1:26" s="27" customFormat="1" outlineLevel="1" collapsed="1" x14ac:dyDescent="0.25">
      <c r="A89" s="26"/>
      <c r="B89" s="13" t="str">
        <f>CONCATENATE("     ","Subscriptions &amp; Dues                              ")</f>
        <v xml:space="preserve">     Subscriptions &amp; Dues                              </v>
      </c>
      <c r="C89" s="13"/>
      <c r="D89" s="1">
        <f>SUM(OSRRefD22_7x_0)</f>
        <v>0</v>
      </c>
      <c r="E89" s="1"/>
      <c r="F89" s="5">
        <f t="shared" si="39"/>
        <v>0</v>
      </c>
      <c r="G89" s="1"/>
      <c r="H89" s="1">
        <f>SUM(OSRRefH22_7x_0)</f>
        <v>0</v>
      </c>
      <c r="I89" s="1"/>
      <c r="J89" s="5">
        <f t="shared" si="40"/>
        <v>0</v>
      </c>
      <c r="K89" s="1"/>
      <c r="L89" s="1">
        <f t="shared" si="41"/>
        <v>0</v>
      </c>
      <c r="M89" s="1"/>
      <c r="N89" s="5">
        <f t="shared" si="42"/>
        <v>0</v>
      </c>
      <c r="O89" s="13"/>
      <c r="P89" s="1">
        <f>SUM(OSRRefP22_7x_0)</f>
        <v>120</v>
      </c>
      <c r="Q89" s="1"/>
      <c r="R89" s="5">
        <f t="shared" si="43"/>
        <v>2.9925876596258719E-4</v>
      </c>
      <c r="S89" s="1"/>
      <c r="T89" s="1">
        <f>SUM(OSRRefT22_7x_0)</f>
        <v>0</v>
      </c>
      <c r="U89" s="1"/>
      <c r="V89" s="5">
        <f t="shared" si="44"/>
        <v>0</v>
      </c>
      <c r="W89" s="1"/>
      <c r="X89" s="1">
        <f t="shared" si="45"/>
        <v>120</v>
      </c>
      <c r="Y89" s="1"/>
      <c r="Z89" s="5">
        <f t="shared" si="46"/>
        <v>0</v>
      </c>
    </row>
    <row r="90" spans="1:26" s="24" customFormat="1" hidden="1" outlineLevel="2" x14ac:dyDescent="0.25">
      <c r="A90" s="25"/>
      <c r="B90" s="11" t="str">
        <f>CONCATENATE("          ", "6258", " - ", "MEMBERSHIP DUES")</f>
        <v xml:space="preserve">          6258 - MEMBERSHIP DUES</v>
      </c>
      <c r="C90" s="11"/>
      <c r="D90" s="6"/>
      <c r="E90" s="2"/>
      <c r="F90" s="7">
        <f t="shared" si="39"/>
        <v>0</v>
      </c>
      <c r="G90" s="2"/>
      <c r="H90" s="6"/>
      <c r="I90" s="2"/>
      <c r="J90" s="7">
        <f t="shared" si="40"/>
        <v>0</v>
      </c>
      <c r="K90" s="2"/>
      <c r="L90" s="6">
        <f t="shared" si="41"/>
        <v>0</v>
      </c>
      <c r="M90" s="2"/>
      <c r="N90" s="7">
        <f t="shared" si="42"/>
        <v>0</v>
      </c>
      <c r="O90" s="11"/>
      <c r="P90" s="6">
        <v>120</v>
      </c>
      <c r="Q90" s="2"/>
      <c r="R90" s="7">
        <f t="shared" si="43"/>
        <v>2.9925876596258719E-4</v>
      </c>
      <c r="S90" s="2"/>
      <c r="T90" s="6"/>
      <c r="U90" s="2"/>
      <c r="V90" s="7">
        <f t="shared" si="44"/>
        <v>0</v>
      </c>
      <c r="W90" s="2"/>
      <c r="X90" s="6">
        <f t="shared" si="45"/>
        <v>120</v>
      </c>
      <c r="Y90" s="2"/>
      <c r="Z90" s="7">
        <f t="shared" si="46"/>
        <v>0</v>
      </c>
    </row>
    <row r="91" spans="1:26" s="27" customFormat="1" outlineLevel="1" collapsed="1" x14ac:dyDescent="0.25">
      <c r="A91" s="26"/>
      <c r="B91" s="13" t="str">
        <f>CONCATENATE("     ","Supplies                                          ")</f>
        <v xml:space="preserve">     Supplies                                          </v>
      </c>
      <c r="C91" s="13"/>
      <c r="D91" s="1">
        <f>SUM(OSRRefD22_8x_0)</f>
        <v>0</v>
      </c>
      <c r="E91" s="1"/>
      <c r="F91" s="5">
        <f t="shared" si="39"/>
        <v>0</v>
      </c>
      <c r="G91" s="1"/>
      <c r="H91" s="1">
        <f>SUM(OSRRefH22_8x_0)</f>
        <v>75</v>
      </c>
      <c r="I91" s="1"/>
      <c r="J91" s="5">
        <f t="shared" si="40"/>
        <v>2.6275224215246639E-3</v>
      </c>
      <c r="K91" s="1"/>
      <c r="L91" s="1">
        <f t="shared" si="41"/>
        <v>-75</v>
      </c>
      <c r="M91" s="1"/>
      <c r="N91" s="5">
        <f t="shared" si="42"/>
        <v>-1</v>
      </c>
      <c r="O91" s="13"/>
      <c r="P91" s="1">
        <f>SUM(OSRRefP22_8x_0)</f>
        <v>252.29</v>
      </c>
      <c r="Q91" s="1"/>
      <c r="R91" s="5">
        <f t="shared" si="43"/>
        <v>6.2916661720584276E-4</v>
      </c>
      <c r="S91" s="1"/>
      <c r="T91" s="1">
        <f>SUM(OSRRefT22_8x_0)</f>
        <v>675</v>
      </c>
      <c r="U91" s="1"/>
      <c r="V91" s="5">
        <f t="shared" si="44"/>
        <v>1.5307059615894852E-3</v>
      </c>
      <c r="W91" s="1"/>
      <c r="X91" s="1">
        <f t="shared" si="45"/>
        <v>-422.71000000000004</v>
      </c>
      <c r="Y91" s="1"/>
      <c r="Z91" s="5">
        <f t="shared" si="46"/>
        <v>-0.62623703703703704</v>
      </c>
    </row>
    <row r="92" spans="1:26" s="24" customFormat="1" hidden="1" outlineLevel="2" x14ac:dyDescent="0.25">
      <c r="A92" s="25"/>
      <c r="B92" s="11" t="str">
        <f>CONCATENATE("          ", "6241", " - ", "OFFICE EXPENSE")</f>
        <v xml:space="preserve">          6241 - OFFICE EXPENSE</v>
      </c>
      <c r="C92" s="11"/>
      <c r="D92" s="6"/>
      <c r="E92" s="2"/>
      <c r="F92" s="7">
        <f t="shared" si="39"/>
        <v>0</v>
      </c>
      <c r="G92" s="2"/>
      <c r="H92" s="6">
        <v>75</v>
      </c>
      <c r="I92" s="2"/>
      <c r="J92" s="7">
        <f t="shared" si="40"/>
        <v>2.6275224215246639E-3</v>
      </c>
      <c r="K92" s="2"/>
      <c r="L92" s="6">
        <f t="shared" si="41"/>
        <v>-75</v>
      </c>
      <c r="M92" s="2"/>
      <c r="N92" s="7">
        <f t="shared" si="42"/>
        <v>-1</v>
      </c>
      <c r="O92" s="11"/>
      <c r="P92" s="6">
        <v>252.29</v>
      </c>
      <c r="Q92" s="2"/>
      <c r="R92" s="7">
        <f t="shared" si="43"/>
        <v>6.2916661720584276E-4</v>
      </c>
      <c r="S92" s="2"/>
      <c r="T92" s="6">
        <v>675</v>
      </c>
      <c r="U92" s="2"/>
      <c r="V92" s="7">
        <f t="shared" si="44"/>
        <v>1.5307059615894852E-3</v>
      </c>
      <c r="W92" s="2"/>
      <c r="X92" s="6">
        <f t="shared" si="45"/>
        <v>-422.71000000000004</v>
      </c>
      <c r="Y92" s="2"/>
      <c r="Z92" s="7">
        <f t="shared" si="46"/>
        <v>-0.62623703703703704</v>
      </c>
    </row>
    <row r="93" spans="1:26" s="27" customFormat="1" outlineLevel="1" collapsed="1" x14ac:dyDescent="0.25">
      <c r="A93" s="26"/>
      <c r="B93" s="13" t="str">
        <f>CONCATENATE("     ","Training                                          ")</f>
        <v xml:space="preserve">     Training                                          </v>
      </c>
      <c r="C93" s="13"/>
      <c r="D93" s="1">
        <f>SUM(OSRRefD22_9x_0)</f>
        <v>0</v>
      </c>
      <c r="E93" s="1"/>
      <c r="F93" s="5">
        <f t="shared" si="39"/>
        <v>0</v>
      </c>
      <c r="G93" s="1"/>
      <c r="H93" s="1">
        <f>SUM(OSRRefH22_9x_0)</f>
        <v>0</v>
      </c>
      <c r="I93" s="1"/>
      <c r="J93" s="5">
        <f t="shared" si="40"/>
        <v>0</v>
      </c>
      <c r="K93" s="1"/>
      <c r="L93" s="1">
        <f t="shared" si="41"/>
        <v>0</v>
      </c>
      <c r="M93" s="1"/>
      <c r="N93" s="5">
        <f t="shared" si="42"/>
        <v>0</v>
      </c>
      <c r="O93" s="13"/>
      <c r="P93" s="1">
        <f>SUM(OSRRefP22_9x_0)</f>
        <v>60</v>
      </c>
      <c r="Q93" s="1"/>
      <c r="R93" s="5">
        <f t="shared" si="43"/>
        <v>1.496293829812936E-4</v>
      </c>
      <c r="S93" s="1"/>
      <c r="T93" s="1">
        <f>SUM(OSRRefT22_9x_0)</f>
        <v>0</v>
      </c>
      <c r="U93" s="1"/>
      <c r="V93" s="5">
        <f t="shared" si="44"/>
        <v>0</v>
      </c>
      <c r="W93" s="1"/>
      <c r="X93" s="1">
        <f t="shared" si="45"/>
        <v>60</v>
      </c>
      <c r="Y93" s="1"/>
      <c r="Z93" s="5">
        <f t="shared" si="46"/>
        <v>0</v>
      </c>
    </row>
    <row r="94" spans="1:26" s="24" customFormat="1" hidden="1" outlineLevel="2" x14ac:dyDescent="0.25">
      <c r="A94" s="25"/>
      <c r="B94" s="11" t="str">
        <f>CONCATENATE("          ", "6376", " - ", "TRAINING")</f>
        <v xml:space="preserve">          6376 - TRAINING</v>
      </c>
      <c r="C94" s="11"/>
      <c r="D94" s="6"/>
      <c r="E94" s="2"/>
      <c r="F94" s="7">
        <f t="shared" si="39"/>
        <v>0</v>
      </c>
      <c r="G94" s="2"/>
      <c r="H94" s="6"/>
      <c r="I94" s="2"/>
      <c r="J94" s="7">
        <f t="shared" si="40"/>
        <v>0</v>
      </c>
      <c r="K94" s="2"/>
      <c r="L94" s="6">
        <f t="shared" si="41"/>
        <v>0</v>
      </c>
      <c r="M94" s="2"/>
      <c r="N94" s="7">
        <f t="shared" si="42"/>
        <v>0</v>
      </c>
      <c r="O94" s="11"/>
      <c r="P94" s="6">
        <v>60</v>
      </c>
      <c r="Q94" s="2"/>
      <c r="R94" s="7">
        <f t="shared" si="43"/>
        <v>1.496293829812936E-4</v>
      </c>
      <c r="S94" s="2"/>
      <c r="T94" s="6"/>
      <c r="U94" s="2"/>
      <c r="V94" s="7">
        <f t="shared" si="44"/>
        <v>0</v>
      </c>
      <c r="W94" s="2"/>
      <c r="X94" s="6">
        <f t="shared" si="45"/>
        <v>60</v>
      </c>
      <c r="Y94" s="2"/>
      <c r="Z94" s="7">
        <f t="shared" si="46"/>
        <v>0</v>
      </c>
    </row>
    <row r="95" spans="1:26" s="27" customFormat="1" outlineLevel="1" collapsed="1" x14ac:dyDescent="0.25">
      <c r="A95" s="26"/>
      <c r="B95" s="13" t="str">
        <f>CONCATENATE("     ","Travel                                            ")</f>
        <v xml:space="preserve">     Travel                                            </v>
      </c>
      <c r="C95" s="13"/>
      <c r="D95" s="1">
        <f>SUM(OSRRefD22_10x_0)</f>
        <v>0</v>
      </c>
      <c r="E95" s="1"/>
      <c r="F95" s="5">
        <f t="shared" si="39"/>
        <v>0</v>
      </c>
      <c r="G95" s="1"/>
      <c r="H95" s="1">
        <f>SUM(OSRRefH22_10x_0)</f>
        <v>0</v>
      </c>
      <c r="I95" s="1"/>
      <c r="J95" s="5">
        <f t="shared" si="40"/>
        <v>0</v>
      </c>
      <c r="K95" s="1"/>
      <c r="L95" s="1">
        <f t="shared" si="41"/>
        <v>0</v>
      </c>
      <c r="M95" s="1"/>
      <c r="N95" s="5">
        <f t="shared" si="42"/>
        <v>0</v>
      </c>
      <c r="O95" s="13"/>
      <c r="P95" s="1">
        <f>SUM(OSRRefP22_10x_0)</f>
        <v>-323.01</v>
      </c>
      <c r="Q95" s="1"/>
      <c r="R95" s="5">
        <f t="shared" si="43"/>
        <v>-8.0552978327979414E-4</v>
      </c>
      <c r="S95" s="1"/>
      <c r="T95" s="1">
        <f>SUM(OSRRefT22_10x_0)</f>
        <v>0</v>
      </c>
      <c r="U95" s="1"/>
      <c r="V95" s="5">
        <f t="shared" si="44"/>
        <v>0</v>
      </c>
      <c r="W95" s="1"/>
      <c r="X95" s="1">
        <f t="shared" si="45"/>
        <v>-323.01</v>
      </c>
      <c r="Y95" s="1"/>
      <c r="Z95" s="5">
        <f t="shared" si="46"/>
        <v>0</v>
      </c>
    </row>
    <row r="96" spans="1:26" s="24" customFormat="1" hidden="1" outlineLevel="2" x14ac:dyDescent="0.25">
      <c r="A96" s="25"/>
      <c r="B96" s="11" t="str">
        <f>CONCATENATE("          ", "6292", " - ", "TRAVEL/CONFERENCE")</f>
        <v xml:space="preserve">          6292 - TRAVEL/CONFERENCE</v>
      </c>
      <c r="C96" s="11"/>
      <c r="D96" s="6"/>
      <c r="E96" s="2"/>
      <c r="F96" s="7">
        <f t="shared" si="39"/>
        <v>0</v>
      </c>
      <c r="G96" s="2"/>
      <c r="H96" s="6"/>
      <c r="I96" s="2"/>
      <c r="J96" s="7">
        <f t="shared" si="40"/>
        <v>0</v>
      </c>
      <c r="K96" s="2"/>
      <c r="L96" s="6">
        <f t="shared" si="41"/>
        <v>0</v>
      </c>
      <c r="M96" s="2"/>
      <c r="N96" s="7">
        <f t="shared" si="42"/>
        <v>0</v>
      </c>
      <c r="O96" s="11"/>
      <c r="P96" s="6">
        <v>-323.01</v>
      </c>
      <c r="Q96" s="2"/>
      <c r="R96" s="7">
        <f t="shared" si="43"/>
        <v>-8.0552978327979414E-4</v>
      </c>
      <c r="S96" s="2"/>
      <c r="T96" s="6"/>
      <c r="U96" s="2"/>
      <c r="V96" s="7">
        <f t="shared" si="44"/>
        <v>0</v>
      </c>
      <c r="W96" s="2"/>
      <c r="X96" s="6">
        <f t="shared" si="45"/>
        <v>-323.01</v>
      </c>
      <c r="Y96" s="2"/>
      <c r="Z96" s="7">
        <f t="shared" si="46"/>
        <v>0</v>
      </c>
    </row>
    <row r="97" spans="1:26" s="56" customFormat="1" x14ac:dyDescent="0.25">
      <c r="A97" s="36"/>
      <c r="B97" s="36"/>
      <c r="C97" s="36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6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x14ac:dyDescent="0.25">
      <c r="A98" s="10"/>
      <c r="B98" s="29" t="s">
        <v>0</v>
      </c>
      <c r="C98" s="10"/>
      <c r="D98" s="4">
        <f>SUM(0)</f>
        <v>0</v>
      </c>
      <c r="E98" s="4"/>
      <c r="F98" s="12">
        <f>IF(D$12=0,0,D98/D$12)</f>
        <v>0</v>
      </c>
      <c r="G98" s="4"/>
      <c r="H98" s="4">
        <f>SUM(0)</f>
        <v>0</v>
      </c>
      <c r="I98" s="4"/>
      <c r="J98" s="12">
        <f>IF(H$12=0,0,H98/H$12)</f>
        <v>0</v>
      </c>
      <c r="K98" s="4"/>
      <c r="L98" s="4">
        <f>+D98-H98</f>
        <v>0</v>
      </c>
      <c r="M98" s="4"/>
      <c r="N98" s="12">
        <f>IF(H98=0,0,L98/H98)</f>
        <v>0</v>
      </c>
      <c r="O98" s="10"/>
      <c r="P98" s="4">
        <f>SUM(0)</f>
        <v>0</v>
      </c>
      <c r="Q98" s="4"/>
      <c r="R98" s="12">
        <f>IF(P$12=0,0,P98/P$12)</f>
        <v>0</v>
      </c>
      <c r="S98" s="4"/>
      <c r="T98" s="4">
        <f>SUM(0)</f>
        <v>0</v>
      </c>
      <c r="U98" s="4"/>
      <c r="V98" s="12">
        <f>IF(T$12=0,0,T98/T$12)</f>
        <v>0</v>
      </c>
      <c r="W98" s="4"/>
      <c r="X98" s="4">
        <f>+P98-T98</f>
        <v>0</v>
      </c>
      <c r="Y98" s="4"/>
      <c r="Z98" s="12">
        <f>IF(T98=0,0,X98/T98)</f>
        <v>0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10"/>
      <c r="B100" s="28" t="s">
        <v>3</v>
      </c>
      <c r="C100" s="28"/>
      <c r="D100" s="20">
        <f>+D54-D56+D98</f>
        <v>333.7599999999984</v>
      </c>
      <c r="E100" s="14"/>
      <c r="F100" s="22">
        <f>IF(D$12=0,0,D100/D$12)</f>
        <v>2.2873669169273678E-2</v>
      </c>
      <c r="G100" s="14"/>
      <c r="H100" s="20">
        <f>+H54-H56+H98</f>
        <v>4050.5598764553906</v>
      </c>
      <c r="I100" s="14"/>
      <c r="J100" s="22">
        <f>IF(H$12=0,0,H100/H$12)</f>
        <v>0.14190582526819615</v>
      </c>
      <c r="K100" s="16"/>
      <c r="L100" s="20">
        <f>+D100-H100</f>
        <v>-3716.7998764553922</v>
      </c>
      <c r="M100" s="16"/>
      <c r="N100" s="22">
        <f>IF(H100=0,0,L100/H100)</f>
        <v>-0.91760151431409798</v>
      </c>
      <c r="O100" s="29"/>
      <c r="P100" s="20">
        <f>+P54-P56+P98</f>
        <v>117713.94000000009</v>
      </c>
      <c r="Q100" s="14"/>
      <c r="R100" s="22">
        <f>IF(P$12=0,0,P100/P$12)</f>
        <v>0.29355773684161718</v>
      </c>
      <c r="S100" s="14"/>
      <c r="T100" s="20">
        <f>+T54-T56+T98</f>
        <v>124946.11982294003</v>
      </c>
      <c r="U100" s="14"/>
      <c r="V100" s="22">
        <f>IF(T$12=0,0,T100/T$12)</f>
        <v>0.28334188220807177</v>
      </c>
      <c r="W100" s="16"/>
      <c r="X100" s="20">
        <f>+P100-T100</f>
        <v>-7232.1798229399428</v>
      </c>
      <c r="Y100" s="16"/>
      <c r="Z100" s="22">
        <f>IF(T100=0,0,X100/T100)</f>
        <v>-5.7882388290157363E-2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52"/>
      <c r="B102" s="10" t="s">
        <v>14</v>
      </c>
      <c r="C102" s="10"/>
      <c r="D102" s="4">
        <v>3585.4</v>
      </c>
      <c r="E102" s="4"/>
      <c r="F102" s="12">
        <f>IF(D$12=0,0,D102/D$12)</f>
        <v>0.24571923969173728</v>
      </c>
      <c r="G102" s="4"/>
      <c r="H102" s="4">
        <v>1951</v>
      </c>
      <c r="I102" s="4"/>
      <c r="J102" s="12">
        <f>IF(H$12=0,0,H102/H$12)</f>
        <v>6.8350616591928245E-2</v>
      </c>
      <c r="K102" s="4"/>
      <c r="L102" s="4">
        <f>+D102-H102</f>
        <v>1634.4</v>
      </c>
      <c r="M102" s="4"/>
      <c r="N102" s="12">
        <f>IF(H102=0,0,L102/H102)</f>
        <v>0.83772424397744749</v>
      </c>
      <c r="O102" s="10"/>
      <c r="P102" s="4">
        <v>42967.13</v>
      </c>
      <c r="Q102" s="4"/>
      <c r="R102" s="12">
        <f>IF(P$12=0,0,P102/P$12)</f>
        <v>0.1071524191729505</v>
      </c>
      <c r="S102" s="4"/>
      <c r="T102" s="4">
        <v>51544</v>
      </c>
      <c r="U102" s="4"/>
      <c r="V102" s="12">
        <f>IF(T$12=0,0,T102/T$12)</f>
        <v>0.11688697493950877</v>
      </c>
      <c r="W102" s="4"/>
      <c r="X102" s="4">
        <f>+P102-T102</f>
        <v>-8576.8700000000026</v>
      </c>
      <c r="Y102" s="4"/>
      <c r="Z102" s="12">
        <f>IF(T102=0,0,X102/T102)</f>
        <v>-0.16639899891354965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8" t="s">
        <v>4</v>
      </c>
      <c r="C104" s="28"/>
      <c r="D104" s="31">
        <f>+D100-D102</f>
        <v>-3251.6400000000017</v>
      </c>
      <c r="E104" s="14"/>
      <c r="F104" s="34">
        <f>IF(D$12=0,0,D104/D$12)</f>
        <v>-0.22284557052246359</v>
      </c>
      <c r="G104" s="14"/>
      <c r="H104" s="31">
        <f>+H100-H102</f>
        <v>2099.5598764553906</v>
      </c>
      <c r="I104" s="14"/>
      <c r="J104" s="34">
        <f>IF(H$12=0,0,H104/H$12)</f>
        <v>7.3555208676267886E-2</v>
      </c>
      <c r="K104" s="16"/>
      <c r="L104" s="31">
        <f>D104-H104</f>
        <v>-5351.1998764553919</v>
      </c>
      <c r="M104" s="16"/>
      <c r="N104" s="34">
        <f>IF(H104=0,0,L104/H104)</f>
        <v>-2.5487245857877725</v>
      </c>
      <c r="O104" s="29"/>
      <c r="P104" s="31">
        <f>+P100-P102</f>
        <v>74746.810000000085</v>
      </c>
      <c r="Q104" s="14"/>
      <c r="R104" s="34">
        <f>IF(P$12=0,0,P104/P$12)</f>
        <v>0.18640531766866666</v>
      </c>
      <c r="S104" s="14"/>
      <c r="T104" s="31">
        <f>+T100-T102</f>
        <v>73402.119822940032</v>
      </c>
      <c r="U104" s="14"/>
      <c r="V104" s="34">
        <f>IF(T$12=0,0,T104/T$12)</f>
        <v>0.16645490726856299</v>
      </c>
      <c r="W104" s="16"/>
      <c r="X104" s="31">
        <f>P104-T104</f>
        <v>1344.6901770600525</v>
      </c>
      <c r="Y104" s="16"/>
      <c r="Z104" s="34">
        <f>IF(T104=0,0,X104/T104)</f>
        <v>1.8319500585319642E-2</v>
      </c>
    </row>
    <row r="105" spans="1:26" ht="15.75" thickTop="1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8" t="s">
        <v>5</v>
      </c>
      <c r="C107" s="28"/>
      <c r="D107" s="32">
        <f>SUM(D104:D106)</f>
        <v>-3251.6400000000017</v>
      </c>
      <c r="E107" s="14"/>
      <c r="F107" s="35">
        <f>IF(D$12=0,0,D107/D$12)</f>
        <v>-0.22284557052246359</v>
      </c>
      <c r="G107" s="14"/>
      <c r="H107" s="32">
        <f>SUM(H104:H106)</f>
        <v>2099.5598764553906</v>
      </c>
      <c r="I107" s="14"/>
      <c r="J107" s="35">
        <f>IF(H$12=0,0,H107/H$12)</f>
        <v>7.3555208676267886E-2</v>
      </c>
      <c r="K107" s="16"/>
      <c r="L107" s="32">
        <f>+D107-H107</f>
        <v>-5351.1998764553919</v>
      </c>
      <c r="M107" s="16"/>
      <c r="N107" s="35">
        <f>IF(H107=0,0,L107/H107)</f>
        <v>-2.5487245857877725</v>
      </c>
      <c r="O107" s="29"/>
      <c r="P107" s="32">
        <f>SUM(P104:P106)</f>
        <v>74746.810000000085</v>
      </c>
      <c r="Q107" s="14"/>
      <c r="R107" s="35">
        <f>IF(P$12=0,0,P107/P$12)</f>
        <v>0.18640531766866666</v>
      </c>
      <c r="S107" s="14"/>
      <c r="T107" s="32">
        <f>SUM(T104:T106)</f>
        <v>73402.119822940032</v>
      </c>
      <c r="U107" s="14"/>
      <c r="V107" s="35">
        <f>IF(T$12=0,0,T107/T$12)</f>
        <v>0.16645490726856299</v>
      </c>
      <c r="W107" s="16"/>
      <c r="X107" s="32">
        <f>+P107-T107</f>
        <v>1344.6901770600525</v>
      </c>
      <c r="Y107" s="16"/>
      <c r="Z107" s="35">
        <f>IF(T107=0,0,X107/T107)</f>
        <v>1.8319500585319642E-2</v>
      </c>
    </row>
    <row r="108" spans="1:26" ht="15.75" thickTop="1" x14ac:dyDescent="0.25">
      <c r="A108" s="9"/>
      <c r="C108" s="9"/>
      <c r="D108" s="18"/>
      <c r="E108" s="18"/>
      <c r="G108" s="18"/>
      <c r="H108" s="18"/>
      <c r="I108" s="18"/>
      <c r="J108" s="42"/>
      <c r="K108" s="18"/>
      <c r="L108" s="18"/>
      <c r="M108" s="18"/>
      <c r="P108" s="18"/>
      <c r="Q108" s="18"/>
      <c r="R108" s="42"/>
      <c r="S108" s="18"/>
      <c r="T108" s="18"/>
      <c r="U108" s="18"/>
      <c r="V108" s="42"/>
      <c r="W108" s="18"/>
      <c r="X108" s="18"/>
    </row>
    <row r="109" spans="1:26" x14ac:dyDescent="0.25">
      <c r="A109" s="9"/>
      <c r="B109" s="57">
        <v>43934.466457060182</v>
      </c>
      <c r="D109" s="18"/>
      <c r="E109" s="18"/>
      <c r="G109" s="18"/>
      <c r="H109" s="18"/>
      <c r="I109" s="18"/>
      <c r="J109" s="42"/>
      <c r="K109" s="18"/>
      <c r="L109" s="18"/>
      <c r="M109" s="18"/>
      <c r="P109" s="18"/>
      <c r="Q109" s="18"/>
      <c r="R109" s="42"/>
      <c r="S109" s="18"/>
      <c r="T109" s="18"/>
      <c r="U109" s="18"/>
      <c r="V109" s="42"/>
      <c r="W109" s="18"/>
      <c r="X109" s="18"/>
    </row>
    <row r="110" spans="1:26" x14ac:dyDescent="0.25">
      <c r="A110" s="9"/>
      <c r="B110" s="62" t="s">
        <v>314</v>
      </c>
      <c r="D110" s="18"/>
      <c r="E110" s="18"/>
      <c r="G110" s="18"/>
      <c r="H110" s="18"/>
      <c r="I110" s="18"/>
      <c r="J110" s="42"/>
      <c r="K110" s="18"/>
      <c r="L110" s="18"/>
      <c r="M110" s="18"/>
      <c r="P110" s="18"/>
      <c r="Q110" s="18"/>
      <c r="R110" s="42"/>
      <c r="S110" s="18"/>
      <c r="T110" s="18"/>
      <c r="U110" s="18"/>
      <c r="V110" s="42"/>
      <c r="W110" s="18"/>
      <c r="X110" s="18"/>
    </row>
    <row r="111" spans="1:26" x14ac:dyDescent="0.25">
      <c r="A111" s="9"/>
      <c r="B111" s="60"/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  <row r="112" spans="1:26" x14ac:dyDescent="0.25"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9"/>
  <sheetViews>
    <sheetView zoomScale="80" workbookViewId="0">
      <pane xSplit="3" ySplit="10" topLeftCell="D9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303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18503.29</v>
      </c>
      <c r="E12" s="4"/>
      <c r="F12" s="12"/>
      <c r="G12" s="4"/>
      <c r="H12" s="4">
        <f>SUM(OSRRefH13x_0)</f>
        <v>32123</v>
      </c>
      <c r="I12" s="4"/>
      <c r="J12" s="12"/>
      <c r="K12" s="4"/>
      <c r="L12" s="4">
        <f t="shared" ref="L12:L40" si="0">+D12-H12</f>
        <v>-13619.71</v>
      </c>
      <c r="M12" s="4"/>
      <c r="N12" s="12">
        <f t="shared" ref="N12:N40" si="1">IF(H12=0,0,L12/H12)</f>
        <v>-0.42398624038850663</v>
      </c>
      <c r="O12" s="10"/>
      <c r="P12" s="4">
        <f>SUM(OSRRefP13x_0)</f>
        <v>4835860.0299999993</v>
      </c>
      <c r="Q12" s="4"/>
      <c r="R12" s="12"/>
      <c r="S12" s="4"/>
      <c r="T12" s="4">
        <f>SUM(OSRRefT13x_0)</f>
        <v>5354575</v>
      </c>
      <c r="U12" s="4"/>
      <c r="V12" s="12"/>
      <c r="W12" s="4"/>
      <c r="X12" s="4">
        <f t="shared" ref="X12:X40" si="2">+P12-T12</f>
        <v>-518714.97000000067</v>
      </c>
      <c r="Y12" s="4"/>
      <c r="Z12" s="12">
        <f t="shared" ref="Z12:Z40" si="3">IF(T12=0,0,X12/T12)</f>
        <v>-9.6873228967751995E-2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--6131.56</f>
        <v>6131.56</v>
      </c>
      <c r="E13" s="2"/>
      <c r="F13" s="19"/>
      <c r="G13" s="2"/>
      <c r="H13" s="2"/>
      <c r="I13" s="2"/>
      <c r="J13" s="19"/>
      <c r="K13" s="2"/>
      <c r="L13" s="2">
        <f t="shared" si="0"/>
        <v>6131.56</v>
      </c>
      <c r="M13" s="2"/>
      <c r="N13" s="19">
        <f t="shared" si="1"/>
        <v>0</v>
      </c>
      <c r="O13" s="11"/>
      <c r="P13" s="2">
        <f>--2396893.28</f>
        <v>2396893.2799999998</v>
      </c>
      <c r="Q13" s="2"/>
      <c r="R13" s="19"/>
      <c r="S13" s="2"/>
      <c r="T13" s="2"/>
      <c r="U13" s="2"/>
      <c r="V13" s="19"/>
      <c r="W13" s="2"/>
      <c r="X13" s="2">
        <f t="shared" si="2"/>
        <v>2396893.2799999998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--4341.5</f>
        <v>4341.5</v>
      </c>
      <c r="E14" s="2"/>
      <c r="F14" s="19"/>
      <c r="G14" s="2"/>
      <c r="H14" s="2"/>
      <c r="I14" s="2"/>
      <c r="J14" s="19"/>
      <c r="K14" s="2"/>
      <c r="L14" s="2">
        <f t="shared" si="0"/>
        <v>4341.5</v>
      </c>
      <c r="M14" s="2"/>
      <c r="N14" s="19">
        <f t="shared" si="1"/>
        <v>0</v>
      </c>
      <c r="O14" s="11"/>
      <c r="P14" s="2">
        <f>--1244314.69</f>
        <v>1244314.69</v>
      </c>
      <c r="Q14" s="2"/>
      <c r="R14" s="19"/>
      <c r="S14" s="2"/>
      <c r="T14" s="2"/>
      <c r="U14" s="2"/>
      <c r="V14" s="19"/>
      <c r="W14" s="2"/>
      <c r="X14" s="2">
        <f t="shared" si="2"/>
        <v>1244314.69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--78</f>
        <v>78</v>
      </c>
      <c r="E15" s="2"/>
      <c r="F15" s="19"/>
      <c r="G15" s="2"/>
      <c r="H15" s="2"/>
      <c r="I15" s="2"/>
      <c r="J15" s="19"/>
      <c r="K15" s="2"/>
      <c r="L15" s="2">
        <f t="shared" si="0"/>
        <v>78</v>
      </c>
      <c r="M15" s="2"/>
      <c r="N15" s="19">
        <f t="shared" si="1"/>
        <v>0</v>
      </c>
      <c r="O15" s="11"/>
      <c r="P15" s="2">
        <f>--33694.89</f>
        <v>33694.89</v>
      </c>
      <c r="Q15" s="2"/>
      <c r="R15" s="19"/>
      <c r="S15" s="2"/>
      <c r="T15" s="2"/>
      <c r="U15" s="2"/>
      <c r="V15" s="19"/>
      <c r="W15" s="2"/>
      <c r="X15" s="2">
        <f t="shared" si="2"/>
        <v>33694.89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--42195.3</f>
        <v>42195.3</v>
      </c>
      <c r="Q16" s="2"/>
      <c r="R16" s="19"/>
      <c r="S16" s="2"/>
      <c r="T16" s="2"/>
      <c r="U16" s="2"/>
      <c r="V16" s="19"/>
      <c r="W16" s="2"/>
      <c r="X16" s="2">
        <f t="shared" si="2"/>
        <v>42195.3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--253.6</f>
        <v>253.6</v>
      </c>
      <c r="E17" s="2"/>
      <c r="F17" s="19"/>
      <c r="G17" s="2"/>
      <c r="H17" s="2"/>
      <c r="I17" s="2"/>
      <c r="J17" s="19"/>
      <c r="K17" s="2"/>
      <c r="L17" s="2">
        <f t="shared" si="0"/>
        <v>253.6</v>
      </c>
      <c r="M17" s="2"/>
      <c r="N17" s="19">
        <f t="shared" si="1"/>
        <v>0</v>
      </c>
      <c r="O17" s="11"/>
      <c r="P17" s="2">
        <f>--1052.48</f>
        <v>1052.48</v>
      </c>
      <c r="Q17" s="2"/>
      <c r="R17" s="19"/>
      <c r="S17" s="2"/>
      <c r="T17" s="2"/>
      <c r="U17" s="2"/>
      <c r="V17" s="19"/>
      <c r="W17" s="2"/>
      <c r="X17" s="2">
        <f t="shared" si="2"/>
        <v>1052.48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--412.75</f>
        <v>412.75</v>
      </c>
      <c r="E18" s="2"/>
      <c r="F18" s="19"/>
      <c r="G18" s="2"/>
      <c r="H18" s="2"/>
      <c r="I18" s="2"/>
      <c r="J18" s="19"/>
      <c r="K18" s="2"/>
      <c r="L18" s="2">
        <f t="shared" si="0"/>
        <v>412.75</v>
      </c>
      <c r="M18" s="2"/>
      <c r="N18" s="19">
        <f t="shared" si="1"/>
        <v>0</v>
      </c>
      <c r="O18" s="11"/>
      <c r="P18" s="2">
        <f>--2695</f>
        <v>2695</v>
      </c>
      <c r="Q18" s="2"/>
      <c r="R18" s="19"/>
      <c r="S18" s="2"/>
      <c r="T18" s="2"/>
      <c r="U18" s="2"/>
      <c r="V18" s="19"/>
      <c r="W18" s="2"/>
      <c r="X18" s="2">
        <f t="shared" si="2"/>
        <v>2695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--67.24</f>
        <v>67.239999999999995</v>
      </c>
      <c r="E19" s="2"/>
      <c r="F19" s="19"/>
      <c r="G19" s="2"/>
      <c r="H19" s="2"/>
      <c r="I19" s="2"/>
      <c r="J19" s="19"/>
      <c r="K19" s="2"/>
      <c r="L19" s="2">
        <f t="shared" si="0"/>
        <v>67.239999999999995</v>
      </c>
      <c r="M19" s="2"/>
      <c r="N19" s="19">
        <f t="shared" si="1"/>
        <v>0</v>
      </c>
      <c r="O19" s="11"/>
      <c r="P19" s="2">
        <f>--1219.18</f>
        <v>1219.18</v>
      </c>
      <c r="Q19" s="2"/>
      <c r="R19" s="19"/>
      <c r="S19" s="2"/>
      <c r="T19" s="2"/>
      <c r="U19" s="2"/>
      <c r="V19" s="19"/>
      <c r="W19" s="2"/>
      <c r="X19" s="2">
        <f t="shared" si="2"/>
        <v>1219.18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--56.6</f>
        <v>56.6</v>
      </c>
      <c r="E20" s="2"/>
      <c r="F20" s="19"/>
      <c r="G20" s="2"/>
      <c r="H20" s="2"/>
      <c r="I20" s="2"/>
      <c r="J20" s="19"/>
      <c r="K20" s="2"/>
      <c r="L20" s="2">
        <f t="shared" si="0"/>
        <v>56.6</v>
      </c>
      <c r="M20" s="2"/>
      <c r="N20" s="19">
        <f t="shared" si="1"/>
        <v>0</v>
      </c>
      <c r="O20" s="11"/>
      <c r="P20" s="2">
        <f>--4154.31</f>
        <v>4154.3100000000004</v>
      </c>
      <c r="Q20" s="2"/>
      <c r="R20" s="19"/>
      <c r="S20" s="2"/>
      <c r="T20" s="2"/>
      <c r="U20" s="2"/>
      <c r="V20" s="19"/>
      <c r="W20" s="2"/>
      <c r="X20" s="2">
        <f t="shared" si="2"/>
        <v>4154.3100000000004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--1572.53</f>
        <v>1572.53</v>
      </c>
      <c r="E21" s="2"/>
      <c r="F21" s="19"/>
      <c r="G21" s="2"/>
      <c r="H21" s="2">
        <v>32123</v>
      </c>
      <c r="I21" s="2"/>
      <c r="J21" s="19"/>
      <c r="K21" s="2"/>
      <c r="L21" s="2">
        <f t="shared" si="0"/>
        <v>-30550.47</v>
      </c>
      <c r="M21" s="2"/>
      <c r="N21" s="19">
        <f t="shared" si="1"/>
        <v>-0.95104660212308945</v>
      </c>
      <c r="O21" s="11"/>
      <c r="P21" s="2">
        <f>--574312.65</f>
        <v>574312.65</v>
      </c>
      <c r="Q21" s="2"/>
      <c r="R21" s="19"/>
      <c r="S21" s="2"/>
      <c r="T21" s="2">
        <v>5354575</v>
      </c>
      <c r="U21" s="2"/>
      <c r="V21" s="19"/>
      <c r="W21" s="2"/>
      <c r="X21" s="2">
        <f t="shared" si="2"/>
        <v>-4780262.3499999996</v>
      </c>
      <c r="Y21" s="2"/>
      <c r="Z21" s="19">
        <f t="shared" si="3"/>
        <v>-0.89274356041329139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--2453.65</f>
        <v>2453.65</v>
      </c>
      <c r="E22" s="2"/>
      <c r="F22" s="19"/>
      <c r="G22" s="2"/>
      <c r="H22" s="2"/>
      <c r="I22" s="2"/>
      <c r="J22" s="19"/>
      <c r="K22" s="2"/>
      <c r="L22" s="2">
        <f t="shared" si="0"/>
        <v>2453.65</v>
      </c>
      <c r="M22" s="2"/>
      <c r="N22" s="19">
        <f t="shared" si="1"/>
        <v>0</v>
      </c>
      <c r="O22" s="11"/>
      <c r="P22" s="2">
        <f>--142191.42</f>
        <v>142191.42000000001</v>
      </c>
      <c r="Q22" s="2"/>
      <c r="R22" s="19"/>
      <c r="S22" s="2"/>
      <c r="T22" s="2"/>
      <c r="U22" s="2"/>
      <c r="V22" s="19"/>
      <c r="W22" s="2"/>
      <c r="X22" s="2">
        <f t="shared" si="2"/>
        <v>142191.42000000001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--388.84</f>
        <v>388.84</v>
      </c>
      <c r="E23" s="2"/>
      <c r="F23" s="19"/>
      <c r="G23" s="2"/>
      <c r="H23" s="2"/>
      <c r="I23" s="2"/>
      <c r="J23" s="19"/>
      <c r="K23" s="2"/>
      <c r="L23" s="2">
        <f t="shared" si="0"/>
        <v>388.84</v>
      </c>
      <c r="M23" s="2"/>
      <c r="N23" s="19">
        <f t="shared" si="1"/>
        <v>0</v>
      </c>
      <c r="O23" s="11"/>
      <c r="P23" s="2">
        <f>--68855.7</f>
        <v>68855.7</v>
      </c>
      <c r="Q23" s="2"/>
      <c r="R23" s="19"/>
      <c r="S23" s="2"/>
      <c r="T23" s="2"/>
      <c r="U23" s="2"/>
      <c r="V23" s="19"/>
      <c r="W23" s="2"/>
      <c r="X23" s="2">
        <f t="shared" si="2"/>
        <v>68855.7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--664.97</f>
        <v>664.97</v>
      </c>
      <c r="Q24" s="2"/>
      <c r="R24" s="19"/>
      <c r="S24" s="2"/>
      <c r="T24" s="2"/>
      <c r="U24" s="2"/>
      <c r="V24" s="19"/>
      <c r="W24" s="2"/>
      <c r="X24" s="2">
        <f t="shared" si="2"/>
        <v>664.97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--961.31</f>
        <v>961.31</v>
      </c>
      <c r="E25" s="2"/>
      <c r="F25" s="19"/>
      <c r="G25" s="2"/>
      <c r="H25" s="2"/>
      <c r="I25" s="2"/>
      <c r="J25" s="19"/>
      <c r="K25" s="2"/>
      <c r="L25" s="2">
        <f t="shared" si="0"/>
        <v>961.31</v>
      </c>
      <c r="M25" s="2"/>
      <c r="N25" s="19">
        <f t="shared" si="1"/>
        <v>0</v>
      </c>
      <c r="O25" s="11"/>
      <c r="P25" s="2">
        <f>--524351.65</f>
        <v>524351.65</v>
      </c>
      <c r="Q25" s="2"/>
      <c r="R25" s="19"/>
      <c r="S25" s="2"/>
      <c r="T25" s="2"/>
      <c r="U25" s="2"/>
      <c r="V25" s="19"/>
      <c r="W25" s="2"/>
      <c r="X25" s="2">
        <f t="shared" si="2"/>
        <v>524351.65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--369.34</f>
        <v>369.34</v>
      </c>
      <c r="E26" s="2"/>
      <c r="F26" s="19"/>
      <c r="G26" s="2"/>
      <c r="H26" s="2"/>
      <c r="I26" s="2"/>
      <c r="J26" s="19"/>
      <c r="K26" s="2"/>
      <c r="L26" s="2">
        <f t="shared" si="0"/>
        <v>369.34</v>
      </c>
      <c r="M26" s="2"/>
      <c r="N26" s="19">
        <f t="shared" si="1"/>
        <v>0</v>
      </c>
      <c r="O26" s="11"/>
      <c r="P26" s="2">
        <f>--14729.33</f>
        <v>14729.33</v>
      </c>
      <c r="Q26" s="2"/>
      <c r="R26" s="19"/>
      <c r="S26" s="2"/>
      <c r="T26" s="2"/>
      <c r="U26" s="2"/>
      <c r="V26" s="19"/>
      <c r="W26" s="2"/>
      <c r="X26" s="2">
        <f t="shared" si="2"/>
        <v>14729.33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>--2440</f>
        <v>2440</v>
      </c>
      <c r="E27" s="2"/>
      <c r="F27" s="19"/>
      <c r="G27" s="2"/>
      <c r="H27" s="2"/>
      <c r="I27" s="2"/>
      <c r="J27" s="19"/>
      <c r="K27" s="2"/>
      <c r="L27" s="2">
        <f t="shared" si="0"/>
        <v>2440</v>
      </c>
      <c r="M27" s="2"/>
      <c r="N27" s="19">
        <f t="shared" si="1"/>
        <v>0</v>
      </c>
      <c r="O27" s="11"/>
      <c r="P27" s="2">
        <f>--5801.92</f>
        <v>5801.92</v>
      </c>
      <c r="Q27" s="2"/>
      <c r="R27" s="19"/>
      <c r="S27" s="2"/>
      <c r="T27" s="2"/>
      <c r="U27" s="2"/>
      <c r="V27" s="19"/>
      <c r="W27" s="2"/>
      <c r="X27" s="2">
        <f t="shared" si="2"/>
        <v>5801.92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>--7.02</f>
        <v>7.02</v>
      </c>
      <c r="E28" s="2"/>
      <c r="F28" s="19"/>
      <c r="G28" s="2"/>
      <c r="H28" s="2"/>
      <c r="I28" s="2"/>
      <c r="J28" s="19"/>
      <c r="K28" s="2"/>
      <c r="L28" s="2">
        <f t="shared" si="0"/>
        <v>7.02</v>
      </c>
      <c r="M28" s="2"/>
      <c r="N28" s="19">
        <f t="shared" si="1"/>
        <v>0</v>
      </c>
      <c r="O28" s="11"/>
      <c r="P28" s="2">
        <f>--68.92</f>
        <v>68.92</v>
      </c>
      <c r="Q28" s="2"/>
      <c r="R28" s="19"/>
      <c r="S28" s="2"/>
      <c r="T28" s="2"/>
      <c r="U28" s="2"/>
      <c r="V28" s="19"/>
      <c r="W28" s="2"/>
      <c r="X28" s="2">
        <f t="shared" si="2"/>
        <v>68.92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-420.3</f>
        <v>-420.3</v>
      </c>
      <c r="E29" s="2"/>
      <c r="F29" s="19"/>
      <c r="G29" s="2"/>
      <c r="H29" s="2"/>
      <c r="I29" s="2"/>
      <c r="J29" s="19"/>
      <c r="K29" s="2"/>
      <c r="L29" s="2">
        <f t="shared" si="0"/>
        <v>-420.3</v>
      </c>
      <c r="M29" s="2"/>
      <c r="N29" s="19">
        <f t="shared" si="1"/>
        <v>0</v>
      </c>
      <c r="O29" s="11"/>
      <c r="P29" s="2">
        <f>-121160.71</f>
        <v>-121160.71</v>
      </c>
      <c r="Q29" s="2"/>
      <c r="R29" s="19"/>
      <c r="S29" s="2"/>
      <c r="T29" s="2"/>
      <c r="U29" s="2"/>
      <c r="V29" s="19"/>
      <c r="W29" s="2"/>
      <c r="X29" s="2">
        <f t="shared" si="2"/>
        <v>-121160.71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-133.45</f>
        <v>-133.44999999999999</v>
      </c>
      <c r="E30" s="2"/>
      <c r="F30" s="19"/>
      <c r="G30" s="2"/>
      <c r="H30" s="2"/>
      <c r="I30" s="2"/>
      <c r="J30" s="19"/>
      <c r="K30" s="2"/>
      <c r="L30" s="2">
        <f t="shared" si="0"/>
        <v>-133.44999999999999</v>
      </c>
      <c r="M30" s="2"/>
      <c r="N30" s="19">
        <f t="shared" si="1"/>
        <v>0</v>
      </c>
      <c r="O30" s="11"/>
      <c r="P30" s="2">
        <f>-45520.76</f>
        <v>-45520.76</v>
      </c>
      <c r="Q30" s="2"/>
      <c r="R30" s="19"/>
      <c r="S30" s="2"/>
      <c r="T30" s="2"/>
      <c r="U30" s="2"/>
      <c r="V30" s="19"/>
      <c r="W30" s="2"/>
      <c r="X30" s="2">
        <f t="shared" si="2"/>
        <v>-45520.76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"4203", " - ", "SALES RETURN TAXABLE-RENTAL TE")</f>
        <v xml:space="preserve">          4203 - SALES RETURN TAXABLE-RENTAL TE</v>
      </c>
      <c r="C31" s="11"/>
      <c r="D31" s="2">
        <f t="shared" ref="D31:D32" si="4">0</f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-144.99</f>
        <v>-144.99</v>
      </c>
      <c r="Q31" s="2"/>
      <c r="R31" s="19"/>
      <c r="S31" s="2"/>
      <c r="T31" s="2"/>
      <c r="U31" s="2"/>
      <c r="V31" s="19"/>
      <c r="W31" s="2"/>
      <c r="X31" s="2">
        <f t="shared" si="2"/>
        <v>-144.99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"4204", " - ", "SALES RETURN TAXABLE-DIGITAL T")</f>
        <v xml:space="preserve">          4204 - SALES RETURN TAXABLE-DIGITAL T</v>
      </c>
      <c r="C32" s="11"/>
      <c r="D32" s="2">
        <f t="shared" si="4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-17255.33</f>
        <v>-17255.330000000002</v>
      </c>
      <c r="Q32" s="2"/>
      <c r="R32" s="19"/>
      <c r="S32" s="2"/>
      <c r="T32" s="2"/>
      <c r="U32" s="2"/>
      <c r="V32" s="19"/>
      <c r="W32" s="2"/>
      <c r="X32" s="2">
        <f t="shared" si="2"/>
        <v>-17255.330000000002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"4213", " - ", "NON-TAXABLE SALES-TRADE BOOKS")</f>
        <v xml:space="preserve">          4213 - NON-TAXABLE SALES-TRADE BOOKS</v>
      </c>
      <c r="C33" s="11"/>
      <c r="D33" s="2">
        <f>-374.85</f>
        <v>-374.85</v>
      </c>
      <c r="E33" s="2"/>
      <c r="F33" s="19"/>
      <c r="G33" s="2"/>
      <c r="H33" s="2"/>
      <c r="I33" s="2"/>
      <c r="J33" s="19"/>
      <c r="K33" s="2"/>
      <c r="L33" s="2">
        <f t="shared" si="0"/>
        <v>-374.85</v>
      </c>
      <c r="M33" s="2"/>
      <c r="N33" s="19">
        <f t="shared" si="1"/>
        <v>0</v>
      </c>
      <c r="O33" s="11"/>
      <c r="P33" s="2">
        <f>-594.91</f>
        <v>-594.91</v>
      </c>
      <c r="Q33" s="2"/>
      <c r="R33" s="19"/>
      <c r="S33" s="2"/>
      <c r="T33" s="2"/>
      <c r="U33" s="2"/>
      <c r="V33" s="19"/>
      <c r="W33" s="2"/>
      <c r="X33" s="2">
        <f t="shared" si="2"/>
        <v>-594.91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"4214", " - ", "SALES RETURN TAXABLE-REMAINDER")</f>
        <v xml:space="preserve">          4214 - SALES RETURN TAXABLE-REMAINDER</v>
      </c>
      <c r="C34" s="11"/>
      <c r="D34" s="2">
        <f t="shared" ref="D34:D38" si="5">0</f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-11.94</f>
        <v>-11.94</v>
      </c>
      <c r="Q34" s="2"/>
      <c r="R34" s="19"/>
      <c r="S34" s="2"/>
      <c r="T34" s="2"/>
      <c r="U34" s="2"/>
      <c r="V34" s="19"/>
      <c r="W34" s="2"/>
      <c r="X34" s="2">
        <f t="shared" si="2"/>
        <v>-11.94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"4218", " - ", "SALES RETURN TAXABLE-STUDY GUI")</f>
        <v xml:space="preserve">          4218 - SALES RETURN TAXABLE-STUDY GUI</v>
      </c>
      <c r="C35" s="11"/>
      <c r="D35" s="2">
        <f t="shared" si="5"/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-39.25</f>
        <v>-39.25</v>
      </c>
      <c r="Q35" s="2"/>
      <c r="R35" s="19"/>
      <c r="S35" s="2"/>
      <c r="T35" s="2"/>
      <c r="U35" s="2"/>
      <c r="V35" s="19"/>
      <c r="W35" s="2"/>
      <c r="X35" s="2">
        <f t="shared" si="2"/>
        <v>-39.25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"4301", " - ", "SALES RETURN NON TAXABLE-NEW T")</f>
        <v xml:space="preserve">          4301 - SALES RETURN NON TAXABLE-NEW T</v>
      </c>
      <c r="C36" s="11"/>
      <c r="D36" s="2">
        <f t="shared" si="5"/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-15221.62</f>
        <v>-15221.62</v>
      </c>
      <c r="Q36" s="2"/>
      <c r="R36" s="19"/>
      <c r="S36" s="2"/>
      <c r="T36" s="2"/>
      <c r="U36" s="2"/>
      <c r="V36" s="19"/>
      <c r="W36" s="2"/>
      <c r="X36" s="2">
        <f t="shared" si="2"/>
        <v>-15221.62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"4302", " - ", "SALES RETURN NON TAXABLE-TEXT")</f>
        <v xml:space="preserve">          4302 - SALES RETURN NON TAXABLE-TEXT</v>
      </c>
      <c r="C37" s="11"/>
      <c r="D37" s="2">
        <f t="shared" si="5"/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-1312.37</f>
        <v>-1312.37</v>
      </c>
      <c r="Q37" s="2"/>
      <c r="R37" s="19"/>
      <c r="S37" s="2"/>
      <c r="T37" s="2"/>
      <c r="U37" s="2"/>
      <c r="V37" s="19"/>
      <c r="W37" s="2"/>
      <c r="X37" s="2">
        <f t="shared" si="2"/>
        <v>-1312.37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"4303", " - ", "SALES RETURN NON-TAXABLE-RENTA")</f>
        <v xml:space="preserve">          4303 - SALES RETURN NON-TAXABLE-RENTA</v>
      </c>
      <c r="C38" s="11"/>
      <c r="D38" s="2">
        <f t="shared" si="5"/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-184.99</f>
        <v>-184.99</v>
      </c>
      <c r="Q38" s="2"/>
      <c r="R38" s="19"/>
      <c r="S38" s="2"/>
      <c r="T38" s="2"/>
      <c r="U38" s="2"/>
      <c r="V38" s="19"/>
      <c r="W38" s="2"/>
      <c r="X38" s="2">
        <f t="shared" si="2"/>
        <v>-184.99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"4304", " - ", "SALES RETURN NON TAXABLE-DIGIT")</f>
        <v xml:space="preserve">          4304 - SALES RETURN NON TAXABLE-DIGIT</v>
      </c>
      <c r="C39" s="11"/>
      <c r="D39" s="2">
        <f>-44.15</f>
        <v>-44.15</v>
      </c>
      <c r="E39" s="2"/>
      <c r="F39" s="19"/>
      <c r="G39" s="2"/>
      <c r="H39" s="2"/>
      <c r="I39" s="2"/>
      <c r="J39" s="19"/>
      <c r="K39" s="2"/>
      <c r="L39" s="2">
        <f t="shared" si="0"/>
        <v>-44.15</v>
      </c>
      <c r="M39" s="2"/>
      <c r="N39" s="19">
        <f t="shared" si="1"/>
        <v>0</v>
      </c>
      <c r="O39" s="11"/>
      <c r="P39" s="2">
        <f>-19036.13</f>
        <v>-19036.13</v>
      </c>
      <c r="Q39" s="2"/>
      <c r="R39" s="19"/>
      <c r="S39" s="2"/>
      <c r="T39" s="2"/>
      <c r="U39" s="2"/>
      <c r="V39" s="19"/>
      <c r="W39" s="2"/>
      <c r="X39" s="2">
        <f t="shared" si="2"/>
        <v>-19036.13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"4311", " - ", "SALES RETURN NON TAXABLE-NO VA")</f>
        <v xml:space="preserve">          4311 - SALES RETURN NON TAXABLE-NO VA</v>
      </c>
      <c r="C40" s="11"/>
      <c r="D40" s="2">
        <f>-57.9</f>
        <v>-57.9</v>
      </c>
      <c r="E40" s="2"/>
      <c r="F40" s="19"/>
      <c r="G40" s="2"/>
      <c r="H40" s="2"/>
      <c r="I40" s="2"/>
      <c r="J40" s="19"/>
      <c r="K40" s="2"/>
      <c r="L40" s="2">
        <f t="shared" si="0"/>
        <v>-57.9</v>
      </c>
      <c r="M40" s="2"/>
      <c r="N40" s="19">
        <f t="shared" si="1"/>
        <v>0</v>
      </c>
      <c r="O40" s="11"/>
      <c r="P40" s="2">
        <f>-852.66</f>
        <v>-852.66</v>
      </c>
      <c r="Q40" s="2"/>
      <c r="R40" s="19"/>
      <c r="S40" s="2"/>
      <c r="T40" s="2"/>
      <c r="U40" s="2"/>
      <c r="V40" s="19"/>
      <c r="W40" s="2"/>
      <c r="X40" s="2">
        <f t="shared" si="2"/>
        <v>-852.66</v>
      </c>
      <c r="Y40" s="2"/>
      <c r="Z40" s="19">
        <f t="shared" si="3"/>
        <v>0</v>
      </c>
    </row>
    <row r="41" spans="1:26" x14ac:dyDescent="0.25">
      <c r="A41" s="9"/>
      <c r="B41" s="10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collapsed="1" x14ac:dyDescent="0.25">
      <c r="A42" s="10"/>
      <c r="B42" s="29" t="s">
        <v>8</v>
      </c>
      <c r="C42" s="10"/>
      <c r="D42" s="4">
        <f>SUM(OSRRefD16x_0)</f>
        <v>12803.030000000055</v>
      </c>
      <c r="E42" s="4"/>
      <c r="F42" s="12">
        <f t="shared" ref="F42:F59" si="6">IF(D$12=0,0,D42/D$12)</f>
        <v>0.69193262387391941</v>
      </c>
      <c r="G42" s="4"/>
      <c r="H42" s="4">
        <f>SUM(OSRRefH16x_0)</f>
        <v>23212.710000000003</v>
      </c>
      <c r="I42" s="4"/>
      <c r="J42" s="12">
        <f t="shared" ref="J42:J59" si="7">IF(H$12=0,0,H42/H$12)</f>
        <v>0.72261961834199806</v>
      </c>
      <c r="K42" s="4"/>
      <c r="L42" s="4">
        <f t="shared" ref="L42:L59" si="8">+D42-H42</f>
        <v>-10409.679999999948</v>
      </c>
      <c r="M42" s="4"/>
      <c r="N42" s="12">
        <f t="shared" ref="N42:N59" si="9">IF(H42=0,0,L42/H42)</f>
        <v>-0.4484474238466748</v>
      </c>
      <c r="O42" s="10"/>
      <c r="P42" s="4">
        <f>SUM(OSRRefP16x_0)</f>
        <v>3464383.2199999997</v>
      </c>
      <c r="Q42" s="4"/>
      <c r="R42" s="12">
        <f t="shared" ref="R42:R59" si="10">IF(P$12=0,0,P42/P$12)</f>
        <v>0.71639443625501298</v>
      </c>
      <c r="S42" s="4"/>
      <c r="T42" s="4">
        <f>SUM(OSRRefT16x_0)</f>
        <v>3862167.8800000004</v>
      </c>
      <c r="U42" s="4"/>
      <c r="V42" s="12">
        <f t="shared" ref="V42:V59" si="11">IF(T$12=0,0,T42/T$12)</f>
        <v>0.72128373960585113</v>
      </c>
      <c r="W42" s="4"/>
      <c r="X42" s="4">
        <f t="shared" ref="X42:X59" si="12">+P42-T42</f>
        <v>-397784.66000000061</v>
      </c>
      <c r="Y42" s="4"/>
      <c r="Z42" s="12">
        <f t="shared" ref="Z42:Z59" si="13">IF(T42=0,0,X42/T42)</f>
        <v>-0.10299517585962643</v>
      </c>
    </row>
    <row r="43" spans="1:26" s="24" customFormat="1" hidden="1" outlineLevel="1" x14ac:dyDescent="0.25">
      <c r="A43" s="44"/>
      <c r="B43" s="11" t="str">
        <f>CONCATENATE("          ", "5000", " - ", "PURCHASES @ COST")</f>
        <v xml:space="preserve">          5000 - PURCHASES @ COST</v>
      </c>
      <c r="C43" s="11"/>
      <c r="D43" s="2"/>
      <c r="E43" s="2"/>
      <c r="F43" s="19">
        <f t="shared" si="6"/>
        <v>0</v>
      </c>
      <c r="G43" s="2"/>
      <c r="H43" s="2">
        <v>23212.710000000003</v>
      </c>
      <c r="I43" s="2"/>
      <c r="J43" s="19">
        <f t="shared" si="7"/>
        <v>0.72261961834199806</v>
      </c>
      <c r="K43" s="2"/>
      <c r="L43" s="2">
        <f t="shared" si="8"/>
        <v>-23212.710000000003</v>
      </c>
      <c r="M43" s="2"/>
      <c r="N43" s="19">
        <f t="shared" si="9"/>
        <v>-1</v>
      </c>
      <c r="O43" s="11"/>
      <c r="P43" s="2"/>
      <c r="Q43" s="2"/>
      <c r="R43" s="19">
        <f t="shared" si="10"/>
        <v>0</v>
      </c>
      <c r="S43" s="2"/>
      <c r="T43" s="2">
        <v>3862167.8800000004</v>
      </c>
      <c r="U43" s="2"/>
      <c r="V43" s="19">
        <f t="shared" si="11"/>
        <v>0.72128373960585113</v>
      </c>
      <c r="W43" s="2"/>
      <c r="X43" s="2">
        <f t="shared" si="12"/>
        <v>-3862167.8800000004</v>
      </c>
      <c r="Y43" s="2"/>
      <c r="Z43" s="19">
        <f t="shared" si="13"/>
        <v>-1</v>
      </c>
    </row>
    <row r="44" spans="1:26" s="24" customFormat="1" hidden="1" outlineLevel="1" x14ac:dyDescent="0.25">
      <c r="A44" s="44"/>
      <c r="B44" s="11" t="str">
        <f>CONCATENATE("          ", "5001", " - ", "PURCHASES @ COST-NEW TEXT")</f>
        <v xml:space="preserve">          5001 - PURCHASES @ COST-NEW TEXT</v>
      </c>
      <c r="C44" s="11"/>
      <c r="D44" s="2">
        <v>-921934.35</v>
      </c>
      <c r="E44" s="2"/>
      <c r="F44" s="19">
        <f t="shared" si="6"/>
        <v>-49.825428342743365</v>
      </c>
      <c r="G44" s="2"/>
      <c r="H44" s="2"/>
      <c r="I44" s="2"/>
      <c r="J44" s="19">
        <f t="shared" si="7"/>
        <v>0</v>
      </c>
      <c r="K44" s="2"/>
      <c r="L44" s="2">
        <f t="shared" si="8"/>
        <v>-921934.35</v>
      </c>
      <c r="M44" s="2"/>
      <c r="N44" s="19">
        <f t="shared" si="9"/>
        <v>0</v>
      </c>
      <c r="O44" s="11"/>
      <c r="P44" s="2">
        <v>1594665.1199999999</v>
      </c>
      <c r="Q44" s="2"/>
      <c r="R44" s="19">
        <f t="shared" si="10"/>
        <v>0.32975832842705338</v>
      </c>
      <c r="S44" s="2"/>
      <c r="T44" s="2"/>
      <c r="U44" s="2"/>
      <c r="V44" s="19">
        <f t="shared" si="11"/>
        <v>0</v>
      </c>
      <c r="W44" s="2"/>
      <c r="X44" s="2">
        <f t="shared" si="12"/>
        <v>1594665.1199999999</v>
      </c>
      <c r="Y44" s="2"/>
      <c r="Z44" s="19">
        <f t="shared" si="13"/>
        <v>0</v>
      </c>
    </row>
    <row r="45" spans="1:26" s="24" customFormat="1" hidden="1" outlineLevel="1" x14ac:dyDescent="0.25">
      <c r="A45" s="44"/>
      <c r="B45" s="11" t="str">
        <f>CONCATENATE("          ", "5002", " - ", "PURCHASES @ COST-USED TEXT")</f>
        <v xml:space="preserve">          5002 - PURCHASES @ COST-USED TEXT</v>
      </c>
      <c r="C45" s="11"/>
      <c r="D45" s="2">
        <v>74144.739999999991</v>
      </c>
      <c r="E45" s="2"/>
      <c r="F45" s="19">
        <f t="shared" si="6"/>
        <v>4.007111167797726</v>
      </c>
      <c r="G45" s="2"/>
      <c r="H45" s="2"/>
      <c r="I45" s="2"/>
      <c r="J45" s="19">
        <f t="shared" si="7"/>
        <v>0</v>
      </c>
      <c r="K45" s="2"/>
      <c r="L45" s="2">
        <f t="shared" si="8"/>
        <v>74144.739999999991</v>
      </c>
      <c r="M45" s="2"/>
      <c r="N45" s="19">
        <f t="shared" si="9"/>
        <v>0</v>
      </c>
      <c r="O45" s="11"/>
      <c r="P45" s="2">
        <v>598700.11</v>
      </c>
      <c r="Q45" s="2"/>
      <c r="R45" s="19">
        <f t="shared" si="10"/>
        <v>0.12380426775917253</v>
      </c>
      <c r="S45" s="2"/>
      <c r="T45" s="2"/>
      <c r="U45" s="2"/>
      <c r="V45" s="19">
        <f t="shared" si="11"/>
        <v>0</v>
      </c>
      <c r="W45" s="2"/>
      <c r="X45" s="2">
        <f t="shared" si="12"/>
        <v>598700.11</v>
      </c>
      <c r="Y45" s="2"/>
      <c r="Z45" s="19">
        <f t="shared" si="13"/>
        <v>0</v>
      </c>
    </row>
    <row r="46" spans="1:26" s="24" customFormat="1" hidden="1" outlineLevel="1" x14ac:dyDescent="0.25">
      <c r="A46" s="44"/>
      <c r="B46" s="11" t="str">
        <f>CONCATENATE("          ", "5003", " - ", "PURCHASES @ COST-RENTAL TEXT")</f>
        <v xml:space="preserve">          5003 - PURCHASES @ COST-RENTAL TEXT</v>
      </c>
      <c r="C46" s="11"/>
      <c r="D46" s="2"/>
      <c r="E46" s="2"/>
      <c r="F46" s="19">
        <f t="shared" si="6"/>
        <v>0</v>
      </c>
      <c r="G46" s="2"/>
      <c r="H46" s="2"/>
      <c r="I46" s="2"/>
      <c r="J46" s="19">
        <f t="shared" si="7"/>
        <v>0</v>
      </c>
      <c r="K46" s="2"/>
      <c r="L46" s="2">
        <f t="shared" si="8"/>
        <v>0</v>
      </c>
      <c r="M46" s="2"/>
      <c r="N46" s="19">
        <f t="shared" si="9"/>
        <v>0</v>
      </c>
      <c r="O46" s="11"/>
      <c r="P46" s="2">
        <v>-78.400000000000006</v>
      </c>
      <c r="Q46" s="2"/>
      <c r="R46" s="19">
        <f t="shared" si="10"/>
        <v>-1.6212214479665165E-5</v>
      </c>
      <c r="S46" s="2"/>
      <c r="T46" s="2"/>
      <c r="U46" s="2"/>
      <c r="V46" s="19">
        <f t="shared" si="11"/>
        <v>0</v>
      </c>
      <c r="W46" s="2"/>
      <c r="X46" s="2">
        <f t="shared" si="12"/>
        <v>-78.400000000000006</v>
      </c>
      <c r="Y46" s="2"/>
      <c r="Z46" s="19">
        <f t="shared" si="13"/>
        <v>0</v>
      </c>
    </row>
    <row r="47" spans="1:26" s="24" customFormat="1" hidden="1" outlineLevel="1" x14ac:dyDescent="0.25">
      <c r="A47" s="44"/>
      <c r="B47" s="11" t="str">
        <f>CONCATENATE("          ", "5004", " - ", "PURCHASES @ COST-DIGITAL TEXT")</f>
        <v xml:space="preserve">          5004 - PURCHASES @ COST-DIGITAL TEXT</v>
      </c>
      <c r="C47" s="11"/>
      <c r="D47" s="2">
        <v>-96834.95</v>
      </c>
      <c r="E47" s="2"/>
      <c r="F47" s="19">
        <f t="shared" si="6"/>
        <v>-5.2333909266946579</v>
      </c>
      <c r="G47" s="2"/>
      <c r="H47" s="2"/>
      <c r="I47" s="2"/>
      <c r="J47" s="19">
        <f t="shared" si="7"/>
        <v>0</v>
      </c>
      <c r="K47" s="2"/>
      <c r="L47" s="2">
        <f t="shared" si="8"/>
        <v>-96834.95</v>
      </c>
      <c r="M47" s="2"/>
      <c r="N47" s="19">
        <f t="shared" si="9"/>
        <v>0</v>
      </c>
      <c r="O47" s="11"/>
      <c r="P47" s="2">
        <v>438322.88</v>
      </c>
      <c r="Q47" s="2"/>
      <c r="R47" s="19">
        <f t="shared" si="10"/>
        <v>9.0640108952863979E-2</v>
      </c>
      <c r="S47" s="2"/>
      <c r="T47" s="2"/>
      <c r="U47" s="2"/>
      <c r="V47" s="19">
        <f t="shared" si="11"/>
        <v>0</v>
      </c>
      <c r="W47" s="2"/>
      <c r="X47" s="2">
        <f t="shared" si="12"/>
        <v>438322.88</v>
      </c>
      <c r="Y47" s="2"/>
      <c r="Z47" s="19">
        <f t="shared" si="13"/>
        <v>0</v>
      </c>
    </row>
    <row r="48" spans="1:26" s="24" customFormat="1" hidden="1" outlineLevel="1" x14ac:dyDescent="0.25">
      <c r="A48" s="44"/>
      <c r="B48" s="11" t="str">
        <f>CONCATENATE("          ", "5011", " - ", "PURCHASES @ COST-NO VALUE TEXT")</f>
        <v xml:space="preserve">          5011 - PURCHASES @ COST-NO VALUE TEXT</v>
      </c>
      <c r="C48" s="11"/>
      <c r="D48" s="2">
        <v>588</v>
      </c>
      <c r="E48" s="2"/>
      <c r="F48" s="19">
        <f t="shared" si="6"/>
        <v>3.1778132429422012E-2</v>
      </c>
      <c r="G48" s="2"/>
      <c r="H48" s="2"/>
      <c r="I48" s="2"/>
      <c r="J48" s="19">
        <f t="shared" si="7"/>
        <v>0</v>
      </c>
      <c r="K48" s="2"/>
      <c r="L48" s="2">
        <f t="shared" si="8"/>
        <v>588</v>
      </c>
      <c r="M48" s="2"/>
      <c r="N48" s="19">
        <f t="shared" si="9"/>
        <v>0</v>
      </c>
      <c r="O48" s="11"/>
      <c r="P48" s="2">
        <v>6321</v>
      </c>
      <c r="Q48" s="2"/>
      <c r="R48" s="19">
        <f t="shared" si="10"/>
        <v>1.3071097924230038E-3</v>
      </c>
      <c r="S48" s="2"/>
      <c r="T48" s="2"/>
      <c r="U48" s="2"/>
      <c r="V48" s="19">
        <f t="shared" si="11"/>
        <v>0</v>
      </c>
      <c r="W48" s="2"/>
      <c r="X48" s="2">
        <f t="shared" si="12"/>
        <v>6321</v>
      </c>
      <c r="Y48" s="2"/>
      <c r="Z48" s="19">
        <f t="shared" si="13"/>
        <v>0</v>
      </c>
    </row>
    <row r="49" spans="1:26" s="24" customFormat="1" hidden="1" outlineLevel="1" x14ac:dyDescent="0.25">
      <c r="A49" s="44"/>
      <c r="B49" s="11" t="str">
        <f>CONCATENATE("          ", "5013", " - ", "PURCHASES @ COST-TRADE BOOKS")</f>
        <v xml:space="preserve">          5013 - PURCHASES @ COST-TRADE BOOKS</v>
      </c>
      <c r="C49" s="11"/>
      <c r="D49" s="2">
        <v>3297.82</v>
      </c>
      <c r="E49" s="2"/>
      <c r="F49" s="19">
        <f t="shared" si="6"/>
        <v>0.17822884470815731</v>
      </c>
      <c r="G49" s="2"/>
      <c r="H49" s="2"/>
      <c r="I49" s="2"/>
      <c r="J49" s="19">
        <f t="shared" si="7"/>
        <v>0</v>
      </c>
      <c r="K49" s="2"/>
      <c r="L49" s="2">
        <f t="shared" si="8"/>
        <v>3297.82</v>
      </c>
      <c r="M49" s="2"/>
      <c r="N49" s="19">
        <f t="shared" si="9"/>
        <v>0</v>
      </c>
      <c r="O49" s="11"/>
      <c r="P49" s="2">
        <v>6348.54</v>
      </c>
      <c r="Q49" s="2"/>
      <c r="R49" s="19">
        <f t="shared" si="10"/>
        <v>1.3128047463358862E-3</v>
      </c>
      <c r="S49" s="2"/>
      <c r="T49" s="2"/>
      <c r="U49" s="2"/>
      <c r="V49" s="19">
        <f t="shared" si="11"/>
        <v>0</v>
      </c>
      <c r="W49" s="2"/>
      <c r="X49" s="2">
        <f t="shared" si="12"/>
        <v>6348.54</v>
      </c>
      <c r="Y49" s="2"/>
      <c r="Z49" s="19">
        <f t="shared" si="13"/>
        <v>0</v>
      </c>
    </row>
    <row r="50" spans="1:26" s="24" customFormat="1" hidden="1" outlineLevel="1" x14ac:dyDescent="0.25">
      <c r="A50" s="44"/>
      <c r="B50" s="11" t="str">
        <f>CONCATENATE("          ", "5014", " - ", "PURCHASES @ COST-REMAINDERS")</f>
        <v xml:space="preserve">          5014 - PURCHASES @ COST-REMAINDERS</v>
      </c>
      <c r="C50" s="11"/>
      <c r="D50" s="2">
        <v>13.9</v>
      </c>
      <c r="E50" s="2"/>
      <c r="F50" s="19">
        <f t="shared" si="6"/>
        <v>7.5121775640980598E-4</v>
      </c>
      <c r="G50" s="2"/>
      <c r="H50" s="2"/>
      <c r="I50" s="2"/>
      <c r="J50" s="19">
        <f t="shared" si="7"/>
        <v>0</v>
      </c>
      <c r="K50" s="2"/>
      <c r="L50" s="2">
        <f t="shared" si="8"/>
        <v>13.9</v>
      </c>
      <c r="M50" s="2"/>
      <c r="N50" s="19">
        <f t="shared" si="9"/>
        <v>0</v>
      </c>
      <c r="O50" s="11"/>
      <c r="P50" s="2">
        <v>600.61</v>
      </c>
      <c r="Q50" s="2"/>
      <c r="R50" s="19">
        <f t="shared" si="10"/>
        <v>1.2419921095193487E-4</v>
      </c>
      <c r="S50" s="2"/>
      <c r="T50" s="2"/>
      <c r="U50" s="2"/>
      <c r="V50" s="19">
        <f t="shared" si="11"/>
        <v>0</v>
      </c>
      <c r="W50" s="2"/>
      <c r="X50" s="2">
        <f t="shared" si="12"/>
        <v>600.61</v>
      </c>
      <c r="Y50" s="2"/>
      <c r="Z50" s="19">
        <f t="shared" si="13"/>
        <v>0</v>
      </c>
    </row>
    <row r="51" spans="1:26" s="24" customFormat="1" hidden="1" outlineLevel="1" x14ac:dyDescent="0.25">
      <c r="A51" s="44"/>
      <c r="B51" s="11" t="str">
        <f>CONCATENATE("          ", "5018", " - ", "PURCHASES @ COST-STUDY GUIDES")</f>
        <v xml:space="preserve">          5018 - PURCHASES @ COST-STUDY GUIDES</v>
      </c>
      <c r="C51" s="11"/>
      <c r="D51" s="2">
        <v>108.9</v>
      </c>
      <c r="E51" s="2"/>
      <c r="F51" s="19">
        <f t="shared" si="6"/>
        <v>5.8854398325919339E-3</v>
      </c>
      <c r="G51" s="2"/>
      <c r="H51" s="2"/>
      <c r="I51" s="2"/>
      <c r="J51" s="19">
        <f t="shared" si="7"/>
        <v>0</v>
      </c>
      <c r="K51" s="2"/>
      <c r="L51" s="2">
        <f t="shared" si="8"/>
        <v>108.9</v>
      </c>
      <c r="M51" s="2"/>
      <c r="N51" s="19">
        <f t="shared" si="9"/>
        <v>0</v>
      </c>
      <c r="O51" s="11"/>
      <c r="P51" s="2">
        <v>2377.33</v>
      </c>
      <c r="Q51" s="2"/>
      <c r="R51" s="19">
        <f t="shared" si="10"/>
        <v>4.9160438582834668E-4</v>
      </c>
      <c r="S51" s="2"/>
      <c r="T51" s="2"/>
      <c r="U51" s="2"/>
      <c r="V51" s="19">
        <f t="shared" si="11"/>
        <v>0</v>
      </c>
      <c r="W51" s="2"/>
      <c r="X51" s="2">
        <f t="shared" si="12"/>
        <v>2377.33</v>
      </c>
      <c r="Y51" s="2"/>
      <c r="Z51" s="19">
        <f t="shared" si="13"/>
        <v>0</v>
      </c>
    </row>
    <row r="52" spans="1:26" s="24" customFormat="1" hidden="1" outlineLevel="1" x14ac:dyDescent="0.25">
      <c r="A52" s="44"/>
      <c r="B52" s="11" t="str">
        <f>CONCATENATE("          ", "5200", " - ", "PURCHASES OFFSET")</f>
        <v xml:space="preserve">          5200 - PURCHASES OFFSET</v>
      </c>
      <c r="C52" s="11"/>
      <c r="D52" s="2">
        <v>941682</v>
      </c>
      <c r="E52" s="2"/>
      <c r="F52" s="19">
        <f t="shared" si="6"/>
        <v>50.892679085719351</v>
      </c>
      <c r="G52" s="2"/>
      <c r="H52" s="2"/>
      <c r="I52" s="2"/>
      <c r="J52" s="19">
        <f t="shared" si="7"/>
        <v>0</v>
      </c>
      <c r="K52" s="2"/>
      <c r="L52" s="2">
        <f t="shared" si="8"/>
        <v>941682</v>
      </c>
      <c r="M52" s="2"/>
      <c r="N52" s="19">
        <f t="shared" si="9"/>
        <v>0</v>
      </c>
      <c r="O52" s="11"/>
      <c r="P52" s="2">
        <v>-1579900</v>
      </c>
      <c r="Q52" s="2"/>
      <c r="R52" s="19">
        <f t="shared" si="10"/>
        <v>-0.32670507214825245</v>
      </c>
      <c r="S52" s="2"/>
      <c r="T52" s="2"/>
      <c r="U52" s="2"/>
      <c r="V52" s="19">
        <f t="shared" si="11"/>
        <v>0</v>
      </c>
      <c r="W52" s="2"/>
      <c r="X52" s="2">
        <f t="shared" si="12"/>
        <v>-1579900</v>
      </c>
      <c r="Y52" s="2"/>
      <c r="Z52" s="19">
        <f t="shared" si="13"/>
        <v>0</v>
      </c>
    </row>
    <row r="53" spans="1:26" s="24" customFormat="1" hidden="1" outlineLevel="1" x14ac:dyDescent="0.25">
      <c r="A53" s="44"/>
      <c r="B53" s="11" t="str">
        <f>CONCATENATE("          ", "5300", " - ", "COG$ OFFSET")</f>
        <v xml:space="preserve">          5300 - COG$ OFFSET</v>
      </c>
      <c r="C53" s="11"/>
      <c r="D53" s="2">
        <v>9893</v>
      </c>
      <c r="E53" s="2"/>
      <c r="F53" s="19">
        <f t="shared" si="6"/>
        <v>0.53466167368073458</v>
      </c>
      <c r="G53" s="2"/>
      <c r="H53" s="2"/>
      <c r="I53" s="2"/>
      <c r="J53" s="19">
        <f t="shared" si="7"/>
        <v>0</v>
      </c>
      <c r="K53" s="2"/>
      <c r="L53" s="2">
        <f t="shared" si="8"/>
        <v>9893</v>
      </c>
      <c r="M53" s="2"/>
      <c r="N53" s="19">
        <f t="shared" si="9"/>
        <v>0</v>
      </c>
      <c r="O53" s="11"/>
      <c r="P53" s="2">
        <v>2314209.4699999997</v>
      </c>
      <c r="Q53" s="2"/>
      <c r="R53" s="19">
        <f t="shared" si="10"/>
        <v>0.47855178926673775</v>
      </c>
      <c r="S53" s="2"/>
      <c r="T53" s="2"/>
      <c r="U53" s="2"/>
      <c r="V53" s="19">
        <f t="shared" si="11"/>
        <v>0</v>
      </c>
      <c r="W53" s="2"/>
      <c r="X53" s="2">
        <f t="shared" si="12"/>
        <v>2314209.4699999997</v>
      </c>
      <c r="Y53" s="2"/>
      <c r="Z53" s="19">
        <f t="shared" si="13"/>
        <v>0</v>
      </c>
    </row>
    <row r="54" spans="1:26" s="24" customFormat="1" hidden="1" outlineLevel="1" x14ac:dyDescent="0.25">
      <c r="A54" s="44"/>
      <c r="B54" s="11" t="str">
        <f>CONCATENATE("          ", "5500", " - ", "FREIGHT-IN")</f>
        <v xml:space="preserve">          5500 - FREIGHT-IN</v>
      </c>
      <c r="C54" s="11"/>
      <c r="D54" s="2"/>
      <c r="E54" s="2"/>
      <c r="F54" s="19">
        <f t="shared" si="6"/>
        <v>0</v>
      </c>
      <c r="G54" s="2"/>
      <c r="H54" s="2"/>
      <c r="I54" s="2"/>
      <c r="J54" s="19">
        <f t="shared" si="7"/>
        <v>0</v>
      </c>
      <c r="K54" s="2"/>
      <c r="L54" s="2">
        <f t="shared" si="8"/>
        <v>0</v>
      </c>
      <c r="M54" s="2"/>
      <c r="N54" s="19">
        <f t="shared" si="9"/>
        <v>0</v>
      </c>
      <c r="O54" s="11"/>
      <c r="P54" s="2">
        <v>41.25</v>
      </c>
      <c r="Q54" s="2"/>
      <c r="R54" s="19">
        <f t="shared" si="10"/>
        <v>8.530023562323826E-6</v>
      </c>
      <c r="S54" s="2"/>
      <c r="T54" s="2"/>
      <c r="U54" s="2"/>
      <c r="V54" s="19">
        <f t="shared" si="11"/>
        <v>0</v>
      </c>
      <c r="W54" s="2"/>
      <c r="X54" s="2">
        <f t="shared" si="12"/>
        <v>41.25</v>
      </c>
      <c r="Y54" s="2"/>
      <c r="Z54" s="19">
        <f t="shared" si="13"/>
        <v>0</v>
      </c>
    </row>
    <row r="55" spans="1:26" s="24" customFormat="1" hidden="1" outlineLevel="1" x14ac:dyDescent="0.25">
      <c r="A55" s="44"/>
      <c r="B55" s="11" t="str">
        <f>CONCATENATE("          ", "5501", " - ", "FREIGHT-IN-NEW TEXT")</f>
        <v xml:space="preserve">          5501 - FREIGHT-IN-NEW TEXT</v>
      </c>
      <c r="C55" s="11"/>
      <c r="D55" s="2">
        <v>1315.81</v>
      </c>
      <c r="E55" s="2"/>
      <c r="F55" s="19">
        <f t="shared" si="6"/>
        <v>7.1112218421696891E-2</v>
      </c>
      <c r="G55" s="2"/>
      <c r="H55" s="2"/>
      <c r="I55" s="2"/>
      <c r="J55" s="19">
        <f t="shared" si="7"/>
        <v>0</v>
      </c>
      <c r="K55" s="2"/>
      <c r="L55" s="2">
        <f t="shared" si="8"/>
        <v>1315.81</v>
      </c>
      <c r="M55" s="2"/>
      <c r="N55" s="19">
        <f t="shared" si="9"/>
        <v>0</v>
      </c>
      <c r="O55" s="11"/>
      <c r="P55" s="2">
        <v>67340.55</v>
      </c>
      <c r="Q55" s="2"/>
      <c r="R55" s="19">
        <f t="shared" si="10"/>
        <v>1.3925247956359897E-2</v>
      </c>
      <c r="S55" s="2"/>
      <c r="T55" s="2"/>
      <c r="U55" s="2"/>
      <c r="V55" s="19">
        <f t="shared" si="11"/>
        <v>0</v>
      </c>
      <c r="W55" s="2"/>
      <c r="X55" s="2">
        <f t="shared" si="12"/>
        <v>67340.55</v>
      </c>
      <c r="Y55" s="2"/>
      <c r="Z55" s="19">
        <f t="shared" si="13"/>
        <v>0</v>
      </c>
    </row>
    <row r="56" spans="1:26" s="24" customFormat="1" hidden="1" outlineLevel="1" x14ac:dyDescent="0.25">
      <c r="A56" s="44"/>
      <c r="B56" s="11" t="str">
        <f>CONCATENATE("          ", "5502", " - ", "FREIGHT-IN-USED TEXT")</f>
        <v xml:space="preserve">          5502 - FREIGHT-IN-USED TEXT</v>
      </c>
      <c r="C56" s="11"/>
      <c r="D56" s="2">
        <v>506.55</v>
      </c>
      <c r="E56" s="2"/>
      <c r="F56" s="19">
        <f t="shared" si="6"/>
        <v>2.7376212554632174E-2</v>
      </c>
      <c r="G56" s="2"/>
      <c r="H56" s="2"/>
      <c r="I56" s="2"/>
      <c r="J56" s="19">
        <f t="shared" si="7"/>
        <v>0</v>
      </c>
      <c r="K56" s="2"/>
      <c r="L56" s="2">
        <f t="shared" si="8"/>
        <v>506.55</v>
      </c>
      <c r="M56" s="2"/>
      <c r="N56" s="19">
        <f t="shared" si="9"/>
        <v>0</v>
      </c>
      <c r="O56" s="11"/>
      <c r="P56" s="2">
        <v>15264.64</v>
      </c>
      <c r="Q56" s="2"/>
      <c r="R56" s="19">
        <f t="shared" si="10"/>
        <v>3.1565512453428065E-3</v>
      </c>
      <c r="S56" s="2"/>
      <c r="T56" s="2"/>
      <c r="U56" s="2"/>
      <c r="V56" s="19">
        <f t="shared" si="11"/>
        <v>0</v>
      </c>
      <c r="W56" s="2"/>
      <c r="X56" s="2">
        <f t="shared" si="12"/>
        <v>15264.64</v>
      </c>
      <c r="Y56" s="2"/>
      <c r="Z56" s="19">
        <f t="shared" si="13"/>
        <v>0</v>
      </c>
    </row>
    <row r="57" spans="1:26" s="24" customFormat="1" hidden="1" outlineLevel="1" x14ac:dyDescent="0.25">
      <c r="A57" s="44"/>
      <c r="B57" s="11" t="str">
        <f>CONCATENATE("          ", "5504", " - ", "FREIGHT-IN-DIGITAL TEXT")</f>
        <v xml:space="preserve">          5504 - FREIGHT-IN-DIGITAL TEXT</v>
      </c>
      <c r="C57" s="11"/>
      <c r="D57" s="2">
        <v>12.78</v>
      </c>
      <c r="E57" s="2"/>
      <c r="F57" s="19">
        <f t="shared" si="6"/>
        <v>6.9068798035376404E-4</v>
      </c>
      <c r="G57" s="2"/>
      <c r="H57" s="2"/>
      <c r="I57" s="2"/>
      <c r="J57" s="19">
        <f t="shared" si="7"/>
        <v>0</v>
      </c>
      <c r="K57" s="2"/>
      <c r="L57" s="2">
        <f t="shared" si="8"/>
        <v>12.78</v>
      </c>
      <c r="M57" s="2"/>
      <c r="N57" s="19">
        <f t="shared" si="9"/>
        <v>0</v>
      </c>
      <c r="O57" s="11"/>
      <c r="P57" s="2">
        <v>118.75</v>
      </c>
      <c r="Q57" s="2"/>
      <c r="R57" s="19">
        <f t="shared" si="10"/>
        <v>2.4556128436992832E-5</v>
      </c>
      <c r="S57" s="2"/>
      <c r="T57" s="2"/>
      <c r="U57" s="2"/>
      <c r="V57" s="19">
        <f t="shared" si="11"/>
        <v>0</v>
      </c>
      <c r="W57" s="2"/>
      <c r="X57" s="2">
        <f t="shared" si="12"/>
        <v>118.75</v>
      </c>
      <c r="Y57" s="2"/>
      <c r="Z57" s="19">
        <f t="shared" si="13"/>
        <v>0</v>
      </c>
    </row>
    <row r="58" spans="1:26" s="24" customFormat="1" hidden="1" outlineLevel="1" x14ac:dyDescent="0.25">
      <c r="A58" s="44"/>
      <c r="B58" s="11" t="str">
        <f>CONCATENATE("          ", "5513", " - ", "FREIGHT-IN-TRADE BOOKS")</f>
        <v xml:space="preserve">          5513 - FREIGHT-IN-TRADE BOOKS</v>
      </c>
      <c r="C58" s="11"/>
      <c r="D58" s="2">
        <v>8.83</v>
      </c>
      <c r="E58" s="2"/>
      <c r="F58" s="19">
        <f t="shared" si="6"/>
        <v>4.7721243087040194E-4</v>
      </c>
      <c r="G58" s="2"/>
      <c r="H58" s="2"/>
      <c r="I58" s="2"/>
      <c r="J58" s="19">
        <f t="shared" si="7"/>
        <v>0</v>
      </c>
      <c r="K58" s="2"/>
      <c r="L58" s="2">
        <f t="shared" si="8"/>
        <v>8.83</v>
      </c>
      <c r="M58" s="2"/>
      <c r="N58" s="19">
        <f t="shared" si="9"/>
        <v>0</v>
      </c>
      <c r="O58" s="11"/>
      <c r="P58" s="2">
        <v>30.24</v>
      </c>
      <c r="Q58" s="2"/>
      <c r="R58" s="19">
        <f t="shared" si="10"/>
        <v>6.2532827278708486E-6</v>
      </c>
      <c r="S58" s="2"/>
      <c r="T58" s="2"/>
      <c r="U58" s="2"/>
      <c r="V58" s="19">
        <f t="shared" si="11"/>
        <v>0</v>
      </c>
      <c r="W58" s="2"/>
      <c r="X58" s="2">
        <f t="shared" si="12"/>
        <v>30.24</v>
      </c>
      <c r="Y58" s="2"/>
      <c r="Z58" s="19">
        <f t="shared" si="13"/>
        <v>0</v>
      </c>
    </row>
    <row r="59" spans="1:26" s="24" customFormat="1" hidden="1" outlineLevel="1" x14ac:dyDescent="0.25">
      <c r="A59" s="44"/>
      <c r="B59" s="11" t="str">
        <f>CONCATENATE("          ", "5518", " - ", "FREIGHT-IN-STUDY GUIDES")</f>
        <v xml:space="preserve">          5518 - FREIGHT-IN-STUDY GUIDES</v>
      </c>
      <c r="C59" s="11"/>
      <c r="D59" s="2"/>
      <c r="E59" s="2"/>
      <c r="F59" s="19">
        <f t="shared" si="6"/>
        <v>0</v>
      </c>
      <c r="G59" s="2"/>
      <c r="H59" s="2"/>
      <c r="I59" s="2"/>
      <c r="J59" s="19">
        <f t="shared" si="7"/>
        <v>0</v>
      </c>
      <c r="K59" s="2"/>
      <c r="L59" s="2">
        <f t="shared" si="8"/>
        <v>0</v>
      </c>
      <c r="M59" s="2"/>
      <c r="N59" s="19">
        <f t="shared" si="9"/>
        <v>0</v>
      </c>
      <c r="O59" s="11"/>
      <c r="P59" s="2">
        <v>21.13</v>
      </c>
      <c r="Q59" s="2"/>
      <c r="R59" s="19">
        <f t="shared" si="10"/>
        <v>4.3694399484097561E-6</v>
      </c>
      <c r="S59" s="2"/>
      <c r="T59" s="2"/>
      <c r="U59" s="2"/>
      <c r="V59" s="19">
        <f t="shared" si="11"/>
        <v>0</v>
      </c>
      <c r="W59" s="2"/>
      <c r="X59" s="2">
        <f t="shared" si="12"/>
        <v>21.13</v>
      </c>
      <c r="Y59" s="2"/>
      <c r="Z59" s="19">
        <f t="shared" si="13"/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8" t="s">
        <v>6</v>
      </c>
      <c r="C61" s="28"/>
      <c r="D61" s="20">
        <f>D12-D42</f>
        <v>5700.2599999999456</v>
      </c>
      <c r="E61" s="14"/>
      <c r="F61" s="22">
        <f>IF(D$12=0,0,D61/D$12)</f>
        <v>0.30806737612608059</v>
      </c>
      <c r="G61" s="14"/>
      <c r="H61" s="20">
        <f>H12-H42</f>
        <v>8910.2899999999972</v>
      </c>
      <c r="I61" s="14"/>
      <c r="J61" s="22">
        <f>IF(H$12=0,0,H61/H$12)</f>
        <v>0.277380381658002</v>
      </c>
      <c r="K61" s="16"/>
      <c r="L61" s="20">
        <f>+D61-H61</f>
        <v>-3210.0300000000516</v>
      </c>
      <c r="M61" s="16"/>
      <c r="N61" s="22">
        <f>IF(H61=0,0,L61/H61)</f>
        <v>-0.36026100160601421</v>
      </c>
      <c r="O61" s="29"/>
      <c r="P61" s="20">
        <f>P12-P42</f>
        <v>1371476.8099999996</v>
      </c>
      <c r="Q61" s="14"/>
      <c r="R61" s="22">
        <f>IF(P$12=0,0,P61/P$12)</f>
        <v>0.28360556374498702</v>
      </c>
      <c r="S61" s="14"/>
      <c r="T61" s="20">
        <f>T12-T42</f>
        <v>1492407.1199999996</v>
      </c>
      <c r="U61" s="14"/>
      <c r="V61" s="22">
        <f>IF(T$12=0,0,T61/T$12)</f>
        <v>0.27871626039414887</v>
      </c>
      <c r="W61" s="16"/>
      <c r="X61" s="20">
        <f>+P61-T61</f>
        <v>-120930.31000000006</v>
      </c>
      <c r="Y61" s="16"/>
      <c r="Z61" s="22">
        <f>IF(T61=0,0,X61/T61)</f>
        <v>-8.1030375947281783E-2</v>
      </c>
    </row>
    <row r="62" spans="1:26" x14ac:dyDescent="0.25">
      <c r="A62" s="9"/>
      <c r="B62" s="10"/>
      <c r="C62" s="9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6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9" t="s">
        <v>9</v>
      </c>
      <c r="C63" s="10"/>
      <c r="D63" s="21">
        <f>SUM(OSRRefD22x_0)</f>
        <v>41992.920000000006</v>
      </c>
      <c r="E63" s="21"/>
      <c r="F63" s="30">
        <f t="shared" ref="F63:F74" si="14">IF(D$12=0,0,D63/D$12)</f>
        <v>2.2694839674457894</v>
      </c>
      <c r="G63" s="21"/>
      <c r="H63" s="21">
        <f>SUM(OSRRefH22x_0)</f>
        <v>46218.635163297869</v>
      </c>
      <c r="I63" s="21"/>
      <c r="J63" s="30">
        <f t="shared" ref="J63:J74" si="15">IF(H$12=0,0,H63/H$12)</f>
        <v>1.4388019538429744</v>
      </c>
      <c r="K63" s="4"/>
      <c r="L63" s="21">
        <f t="shared" ref="L63:L74" si="16">+D63-H63</f>
        <v>-4225.7151632978639</v>
      </c>
      <c r="M63" s="4"/>
      <c r="N63" s="30">
        <f t="shared" ref="N63:N74" si="17">IF(H63=0,0,L63/H63)</f>
        <v>-9.1428817583378064E-2</v>
      </c>
      <c r="O63" s="10"/>
      <c r="P63" s="21">
        <f>SUM(OSRRefP22x_0)</f>
        <v>419135.60000000009</v>
      </c>
      <c r="Q63" s="21"/>
      <c r="R63" s="30">
        <f t="shared" ref="R63:R74" si="18">IF(P$12=0,0,P63/P$12)</f>
        <v>8.6672401062029947E-2</v>
      </c>
      <c r="S63" s="21"/>
      <c r="T63" s="21">
        <f>SUM(OSRRefT22x_0)</f>
        <v>506671.79398930399</v>
      </c>
      <c r="U63" s="21"/>
      <c r="V63" s="30">
        <f t="shared" ref="V63:V74" si="19">IF(T$12=0,0,T63/T$12)</f>
        <v>9.4624091359128221E-2</v>
      </c>
      <c r="W63" s="4"/>
      <c r="X63" s="21">
        <f t="shared" ref="X63:X74" si="20">+P63-T63</f>
        <v>-87536.193989303894</v>
      </c>
      <c r="Y63" s="4"/>
      <c r="Z63" s="30">
        <f t="shared" ref="Z63:Z74" si="21">IF(T63=0,0,X63/T63)</f>
        <v>-0.1727670555727675</v>
      </c>
    </row>
    <row r="64" spans="1:26" s="27" customFormat="1" outlineLevel="1" collapsed="1" x14ac:dyDescent="0.25">
      <c r="A64" s="26"/>
      <c r="B64" s="13" t="str">
        <f>CONCATENATE("     ","*Benefits                                         ")</f>
        <v xml:space="preserve">     *Benefits                                         </v>
      </c>
      <c r="C64" s="13"/>
      <c r="D64" s="1">
        <f>SUM(OSRRefD22_0x_0)</f>
        <v>12490.220000000001</v>
      </c>
      <c r="E64" s="1"/>
      <c r="F64" s="5">
        <f t="shared" si="14"/>
        <v>0.67502698168812147</v>
      </c>
      <c r="G64" s="1"/>
      <c r="H64" s="1">
        <f>SUM(OSRRefH22_0x_0)</f>
        <v>11949.125447574772</v>
      </c>
      <c r="I64" s="1"/>
      <c r="J64" s="5">
        <f t="shared" si="15"/>
        <v>0.37198037068688389</v>
      </c>
      <c r="K64" s="1"/>
      <c r="L64" s="1">
        <f t="shared" si="16"/>
        <v>541.09455242522927</v>
      </c>
      <c r="M64" s="1"/>
      <c r="N64" s="5">
        <f t="shared" si="17"/>
        <v>4.5283192882961266E-2</v>
      </c>
      <c r="O64" s="13"/>
      <c r="P64" s="1">
        <f>SUM(OSRRefP22_0x_0)</f>
        <v>94155.520000000004</v>
      </c>
      <c r="Q64" s="1"/>
      <c r="R64" s="5">
        <f t="shared" si="18"/>
        <v>1.9470274039341873E-2</v>
      </c>
      <c r="S64" s="1"/>
      <c r="T64" s="1">
        <f>SUM(OSRRefT22_0x_0)</f>
        <v>115001.634636004</v>
      </c>
      <c r="U64" s="1"/>
      <c r="V64" s="5">
        <f t="shared" si="19"/>
        <v>2.1477266568495912E-2</v>
      </c>
      <c r="W64" s="1"/>
      <c r="X64" s="1">
        <f t="shared" si="20"/>
        <v>-20846.114636004</v>
      </c>
      <c r="Y64" s="1"/>
      <c r="Z64" s="5">
        <f t="shared" si="21"/>
        <v>-0.18126798546807463</v>
      </c>
    </row>
    <row r="65" spans="1:26" s="24" customFormat="1" hidden="1" outlineLevel="2" x14ac:dyDescent="0.25">
      <c r="A65" s="25"/>
      <c r="B65" s="11" t="str">
        <f>CONCATENATE("          ", "6111", " - ", "F.I.C.A.")</f>
        <v xml:space="preserve">          6111 - F.I.C.A.</v>
      </c>
      <c r="C65" s="11"/>
      <c r="D65" s="6">
        <v>1726.4</v>
      </c>
      <c r="E65" s="2"/>
      <c r="F65" s="7">
        <f t="shared" si="14"/>
        <v>9.3302326234956059E-2</v>
      </c>
      <c r="G65" s="2"/>
      <c r="H65" s="6">
        <v>1602.9579046486201</v>
      </c>
      <c r="I65" s="2"/>
      <c r="J65" s="7">
        <f t="shared" si="15"/>
        <v>4.9900628977636585E-2</v>
      </c>
      <c r="K65" s="2"/>
      <c r="L65" s="6">
        <f t="shared" si="16"/>
        <v>123.44209535137998</v>
      </c>
      <c r="M65" s="2"/>
      <c r="N65" s="7">
        <f t="shared" si="17"/>
        <v>7.7008943898897564E-2</v>
      </c>
      <c r="O65" s="11"/>
      <c r="P65" s="6">
        <v>15759.3</v>
      </c>
      <c r="Q65" s="2"/>
      <c r="R65" s="7">
        <f t="shared" si="18"/>
        <v>3.2588412200176939E-3</v>
      </c>
      <c r="S65" s="2"/>
      <c r="T65" s="6">
        <v>16530.439500324032</v>
      </c>
      <c r="U65" s="2"/>
      <c r="V65" s="7">
        <f t="shared" si="19"/>
        <v>3.0871618196260265E-3</v>
      </c>
      <c r="W65" s="2"/>
      <c r="X65" s="6">
        <f t="shared" si="20"/>
        <v>-771.13950032403227</v>
      </c>
      <c r="Y65" s="2"/>
      <c r="Z65" s="7">
        <f t="shared" si="21"/>
        <v>-4.6649667137338743E-2</v>
      </c>
    </row>
    <row r="66" spans="1:26" s="24" customFormat="1" hidden="1" outlineLevel="2" x14ac:dyDescent="0.25">
      <c r="A66" s="25"/>
      <c r="B66" s="11" t="str">
        <f>CONCATENATE("          ", "6112", " - ", "COMPENSATION INSURANCE")</f>
        <v xml:space="preserve">          6112 - COMPENSATION INSURANCE</v>
      </c>
      <c r="C66" s="11"/>
      <c r="D66" s="6">
        <v>153.57</v>
      </c>
      <c r="E66" s="2"/>
      <c r="F66" s="7">
        <f t="shared" si="14"/>
        <v>8.2996050972556773E-3</v>
      </c>
      <c r="G66" s="2"/>
      <c r="H66" s="6">
        <v>520.96188700769198</v>
      </c>
      <c r="I66" s="2"/>
      <c r="J66" s="7">
        <f t="shared" si="15"/>
        <v>1.6217722099669769E-2</v>
      </c>
      <c r="K66" s="2"/>
      <c r="L66" s="6">
        <f t="shared" si="16"/>
        <v>-367.39188700769199</v>
      </c>
      <c r="M66" s="2"/>
      <c r="N66" s="7">
        <f t="shared" si="17"/>
        <v>-0.70521835890514473</v>
      </c>
      <c r="O66" s="11"/>
      <c r="P66" s="6">
        <v>710.35</v>
      </c>
      <c r="Q66" s="2"/>
      <c r="R66" s="7">
        <f t="shared" si="18"/>
        <v>1.468921754544662E-4</v>
      </c>
      <c r="S66" s="2"/>
      <c r="T66" s="6">
        <v>5516.686001199997</v>
      </c>
      <c r="U66" s="2"/>
      <c r="V66" s="7">
        <f t="shared" si="19"/>
        <v>1.0302752321519444E-3</v>
      </c>
      <c r="W66" s="2"/>
      <c r="X66" s="6">
        <f t="shared" si="20"/>
        <v>-4806.3360011999966</v>
      </c>
      <c r="Y66" s="2"/>
      <c r="Z66" s="7">
        <f t="shared" si="21"/>
        <v>-0.87123610083200598</v>
      </c>
    </row>
    <row r="67" spans="1:26" s="24" customFormat="1" hidden="1" outlineLevel="2" x14ac:dyDescent="0.25">
      <c r="A67" s="25"/>
      <c r="B67" s="11" t="str">
        <f>CONCATENATE("          ", "6113", " - ", "GROUP INSURANCE")</f>
        <v xml:space="preserve">          6113 - GROUP INSURANCE</v>
      </c>
      <c r="C67" s="11"/>
      <c r="D67" s="6">
        <v>4248.21</v>
      </c>
      <c r="E67" s="2"/>
      <c r="F67" s="7">
        <f t="shared" si="14"/>
        <v>0.22959214280271237</v>
      </c>
      <c r="G67" s="2"/>
      <c r="H67" s="6">
        <v>5311.7692307692296</v>
      </c>
      <c r="I67" s="2"/>
      <c r="J67" s="7">
        <f t="shared" si="15"/>
        <v>0.1653571967365822</v>
      </c>
      <c r="K67" s="2"/>
      <c r="L67" s="6">
        <f t="shared" si="16"/>
        <v>-1063.5592307692295</v>
      </c>
      <c r="M67" s="2"/>
      <c r="N67" s="7">
        <f t="shared" si="17"/>
        <v>-0.20022692714291901</v>
      </c>
      <c r="O67" s="11"/>
      <c r="P67" s="6">
        <v>37756.049999999996</v>
      </c>
      <c r="Q67" s="2"/>
      <c r="R67" s="7">
        <f t="shared" si="18"/>
        <v>7.8075150574612477E-3</v>
      </c>
      <c r="S67" s="2"/>
      <c r="T67" s="6">
        <v>49221</v>
      </c>
      <c r="U67" s="2"/>
      <c r="V67" s="7">
        <f t="shared" si="19"/>
        <v>9.1923261883529502E-3</v>
      </c>
      <c r="W67" s="2"/>
      <c r="X67" s="6">
        <f t="shared" si="20"/>
        <v>-11464.950000000004</v>
      </c>
      <c r="Y67" s="2"/>
      <c r="Z67" s="7">
        <f t="shared" si="21"/>
        <v>-0.23292801852867687</v>
      </c>
    </row>
    <row r="68" spans="1:26" s="24" customFormat="1" hidden="1" outlineLevel="2" x14ac:dyDescent="0.25">
      <c r="A68" s="25"/>
      <c r="B68" s="11" t="str">
        <f>CONCATENATE("          ", "6114", " - ", "STATE UNEMPLOYMENT INSURANCE")</f>
        <v xml:space="preserve">          6114 - STATE UNEMPLOYMENT INSURANCE</v>
      </c>
      <c r="C68" s="11"/>
      <c r="D68" s="6">
        <v>65.510000000000005</v>
      </c>
      <c r="E68" s="2"/>
      <c r="F68" s="7">
        <f t="shared" si="14"/>
        <v>3.5404514548493808E-3</v>
      </c>
      <c r="G68" s="2"/>
      <c r="H68" s="6">
        <v>71.289521379999996</v>
      </c>
      <c r="I68" s="2"/>
      <c r="J68" s="7">
        <f t="shared" si="15"/>
        <v>2.2192672346916537E-3</v>
      </c>
      <c r="K68" s="2"/>
      <c r="L68" s="6">
        <f t="shared" si="16"/>
        <v>-5.7795213799999914</v>
      </c>
      <c r="M68" s="2"/>
      <c r="N68" s="7">
        <f t="shared" si="17"/>
        <v>-8.1071120525455148E-2</v>
      </c>
      <c r="O68" s="11"/>
      <c r="P68" s="6">
        <v>589.73</v>
      </c>
      <c r="Q68" s="2"/>
      <c r="R68" s="7">
        <f t="shared" si="18"/>
        <v>1.2194935261598134E-4</v>
      </c>
      <c r="S68" s="2"/>
      <c r="T68" s="6">
        <v>754.91492647999996</v>
      </c>
      <c r="U68" s="2"/>
      <c r="V68" s="7">
        <f t="shared" si="19"/>
        <v>1.4098503176816088E-4</v>
      </c>
      <c r="W68" s="2"/>
      <c r="X68" s="6">
        <f t="shared" si="20"/>
        <v>-165.18492647999994</v>
      </c>
      <c r="Y68" s="2"/>
      <c r="Z68" s="7">
        <f t="shared" si="21"/>
        <v>-0.2188126379355359</v>
      </c>
    </row>
    <row r="69" spans="1:26" s="24" customFormat="1" hidden="1" outlineLevel="2" x14ac:dyDescent="0.25">
      <c r="A69" s="25"/>
      <c r="B69" s="11" t="str">
        <f>CONCATENATE("          ", "6115", " - ", "P.E.R.S.")</f>
        <v xml:space="preserve">          6115 - P.E.R.S.</v>
      </c>
      <c r="C69" s="11"/>
      <c r="D69" s="6">
        <v>1348.87</v>
      </c>
      <c r="E69" s="2"/>
      <c r="F69" s="7">
        <f t="shared" si="14"/>
        <v>7.2898927704208263E-2</v>
      </c>
      <c r="G69" s="2"/>
      <c r="H69" s="6">
        <v>1235.9586478769202</v>
      </c>
      <c r="I69" s="2"/>
      <c r="J69" s="7">
        <f t="shared" si="15"/>
        <v>3.8475816327146285E-2</v>
      </c>
      <c r="K69" s="2"/>
      <c r="L69" s="6">
        <f t="shared" si="16"/>
        <v>112.91135212307972</v>
      </c>
      <c r="M69" s="2"/>
      <c r="N69" s="7">
        <f t="shared" si="17"/>
        <v>9.1355283056625144E-2</v>
      </c>
      <c r="O69" s="11"/>
      <c r="P69" s="6">
        <v>13112.89</v>
      </c>
      <c r="Q69" s="2"/>
      <c r="R69" s="7">
        <f t="shared" si="18"/>
        <v>2.7115941980644966E-3</v>
      </c>
      <c r="S69" s="2"/>
      <c r="T69" s="6">
        <v>12050.596816799971</v>
      </c>
      <c r="U69" s="2"/>
      <c r="V69" s="7">
        <f t="shared" si="19"/>
        <v>2.2505234900622312E-3</v>
      </c>
      <c r="W69" s="2"/>
      <c r="X69" s="6">
        <f t="shared" si="20"/>
        <v>1062.2931832000286</v>
      </c>
      <c r="Y69" s="2"/>
      <c r="Z69" s="7">
        <f t="shared" si="21"/>
        <v>8.8152744577684738E-2</v>
      </c>
    </row>
    <row r="70" spans="1:26" s="24" customFormat="1" hidden="1" outlineLevel="2" x14ac:dyDescent="0.25">
      <c r="A70" s="25"/>
      <c r="B70" s="11" t="str">
        <f>CONCATENATE("          ", "6116", " - ", "EDUCATIONAL BENEFITS")</f>
        <v xml:space="preserve">          6116 - EDUCATIONAL BENEFITS</v>
      </c>
      <c r="C70" s="11"/>
      <c r="D70" s="6"/>
      <c r="E70" s="2"/>
      <c r="F70" s="7">
        <f t="shared" si="14"/>
        <v>0</v>
      </c>
      <c r="G70" s="2"/>
      <c r="H70" s="6">
        <v>0</v>
      </c>
      <c r="I70" s="2"/>
      <c r="J70" s="7">
        <f t="shared" si="15"/>
        <v>0</v>
      </c>
      <c r="K70" s="2"/>
      <c r="L70" s="6">
        <f t="shared" si="16"/>
        <v>0</v>
      </c>
      <c r="M70" s="2"/>
      <c r="N70" s="7">
        <f t="shared" si="17"/>
        <v>0</v>
      </c>
      <c r="O70" s="11"/>
      <c r="P70" s="6"/>
      <c r="Q70" s="2"/>
      <c r="R70" s="7">
        <f t="shared" si="18"/>
        <v>0</v>
      </c>
      <c r="S70" s="2"/>
      <c r="T70" s="6">
        <v>0</v>
      </c>
      <c r="U70" s="2"/>
      <c r="V70" s="7">
        <f t="shared" si="19"/>
        <v>0</v>
      </c>
      <c r="W70" s="2"/>
      <c r="X70" s="6">
        <f t="shared" si="20"/>
        <v>0</v>
      </c>
      <c r="Y70" s="2"/>
      <c r="Z70" s="7">
        <f t="shared" si="21"/>
        <v>0</v>
      </c>
    </row>
    <row r="71" spans="1:26" s="24" customFormat="1" hidden="1" outlineLevel="2" x14ac:dyDescent="0.25">
      <c r="A71" s="25"/>
      <c r="B71" s="11" t="str">
        <f>CONCATENATE("          ", "6117", " - ", "RETIREMENT STAFF HOURLY")</f>
        <v xml:space="preserve">          6117 - RETIREMENT STAFF HOURLY</v>
      </c>
      <c r="C71" s="11"/>
      <c r="D71" s="6">
        <v>110.54</v>
      </c>
      <c r="E71" s="2"/>
      <c r="F71" s="7">
        <f t="shared" si="14"/>
        <v>5.974072718959709E-3</v>
      </c>
      <c r="G71" s="2"/>
      <c r="H71" s="6"/>
      <c r="I71" s="2"/>
      <c r="J71" s="7">
        <f t="shared" si="15"/>
        <v>0</v>
      </c>
      <c r="K71" s="2"/>
      <c r="L71" s="6">
        <f t="shared" si="16"/>
        <v>110.54</v>
      </c>
      <c r="M71" s="2"/>
      <c r="N71" s="7">
        <f t="shared" si="17"/>
        <v>0</v>
      </c>
      <c r="O71" s="11"/>
      <c r="P71" s="6">
        <v>1174.1099999999999</v>
      </c>
      <c r="Q71" s="2"/>
      <c r="R71" s="7">
        <f t="shared" si="18"/>
        <v>2.4279238702448549E-4</v>
      </c>
      <c r="S71" s="2"/>
      <c r="T71" s="6"/>
      <c r="U71" s="2"/>
      <c r="V71" s="7">
        <f t="shared" si="19"/>
        <v>0</v>
      </c>
      <c r="W71" s="2"/>
      <c r="X71" s="6">
        <f t="shared" si="20"/>
        <v>1174.1099999999999</v>
      </c>
      <c r="Y71" s="2"/>
      <c r="Z71" s="7">
        <f t="shared" si="21"/>
        <v>0</v>
      </c>
    </row>
    <row r="72" spans="1:26" s="24" customFormat="1" hidden="1" outlineLevel="2" x14ac:dyDescent="0.25">
      <c r="A72" s="25"/>
      <c r="B72" s="11" t="str">
        <f>CONCATENATE("          ", "6118", " - ", "VACATION")</f>
        <v xml:space="preserve">          6118 - VACATION</v>
      </c>
      <c r="C72" s="11"/>
      <c r="D72" s="6">
        <v>1777.06</v>
      </c>
      <c r="E72" s="2"/>
      <c r="F72" s="7">
        <f t="shared" si="14"/>
        <v>9.6040217712633796E-2</v>
      </c>
      <c r="G72" s="2"/>
      <c r="H72" s="6">
        <v>1427.9603583999999</v>
      </c>
      <c r="I72" s="2"/>
      <c r="J72" s="7">
        <f t="shared" si="15"/>
        <v>4.4452895383370168E-2</v>
      </c>
      <c r="K72" s="2"/>
      <c r="L72" s="6">
        <f t="shared" si="16"/>
        <v>349.09964160000004</v>
      </c>
      <c r="M72" s="2"/>
      <c r="N72" s="7">
        <f t="shared" si="17"/>
        <v>0.24447432279643883</v>
      </c>
      <c r="O72" s="11"/>
      <c r="P72" s="6">
        <v>8823.7800000000007</v>
      </c>
      <c r="Q72" s="2"/>
      <c r="R72" s="7">
        <f t="shared" si="18"/>
        <v>1.8246557893033149E-3</v>
      </c>
      <c r="S72" s="2"/>
      <c r="T72" s="6">
        <v>13922.6134944</v>
      </c>
      <c r="U72" s="2"/>
      <c r="V72" s="7">
        <f t="shared" si="19"/>
        <v>2.6001341832731823E-3</v>
      </c>
      <c r="W72" s="2"/>
      <c r="X72" s="6">
        <f t="shared" si="20"/>
        <v>-5098.8334943999998</v>
      </c>
      <c r="Y72" s="2"/>
      <c r="Z72" s="7">
        <f t="shared" si="21"/>
        <v>-0.36622675020396633</v>
      </c>
    </row>
    <row r="73" spans="1:26" s="24" customFormat="1" hidden="1" outlineLevel="2" x14ac:dyDescent="0.25">
      <c r="A73" s="25"/>
      <c r="B73" s="11" t="str">
        <f>CONCATENATE("          ", "6119", " - ", "SICK LEAVE")</f>
        <v xml:space="preserve">          6119 - SICK LEAVE</v>
      </c>
      <c r="C73" s="11"/>
      <c r="D73" s="6">
        <v>2626.44</v>
      </c>
      <c r="E73" s="2"/>
      <c r="F73" s="7">
        <f t="shared" si="14"/>
        <v>0.14194448662913459</v>
      </c>
      <c r="G73" s="2"/>
      <c r="H73" s="6">
        <v>1028.2278974923099</v>
      </c>
      <c r="I73" s="2"/>
      <c r="J73" s="7">
        <f t="shared" si="15"/>
        <v>3.2009086868982038E-2</v>
      </c>
      <c r="K73" s="2"/>
      <c r="L73" s="6">
        <f t="shared" si="16"/>
        <v>1598.2121025076901</v>
      </c>
      <c r="M73" s="2"/>
      <c r="N73" s="7">
        <f t="shared" si="17"/>
        <v>1.5543364524591137</v>
      </c>
      <c r="O73" s="11"/>
      <c r="P73" s="6">
        <v>10597.39</v>
      </c>
      <c r="Q73" s="2"/>
      <c r="R73" s="7">
        <f t="shared" si="18"/>
        <v>2.19141785210024E-3</v>
      </c>
      <c r="S73" s="2"/>
      <c r="T73" s="6">
        <v>10255.3838968</v>
      </c>
      <c r="U73" s="2"/>
      <c r="V73" s="7">
        <f t="shared" si="19"/>
        <v>1.9152563736244239E-3</v>
      </c>
      <c r="W73" s="2"/>
      <c r="X73" s="6">
        <f t="shared" si="20"/>
        <v>342.00610319999942</v>
      </c>
      <c r="Y73" s="2"/>
      <c r="Z73" s="7">
        <f t="shared" si="21"/>
        <v>3.3348932291722012E-2</v>
      </c>
    </row>
    <row r="74" spans="1:26" s="24" customFormat="1" hidden="1" outlineLevel="2" x14ac:dyDescent="0.25">
      <c r="A74" s="25"/>
      <c r="B74" s="11" t="str">
        <f>CONCATENATE("          ", "6156", " - ", "EMPLOYEE MEALS")</f>
        <v xml:space="preserve">          6156 - EMPLOYEE MEALS</v>
      </c>
      <c r="C74" s="11"/>
      <c r="D74" s="6">
        <v>433.62</v>
      </c>
      <c r="E74" s="2"/>
      <c r="F74" s="7">
        <f t="shared" si="14"/>
        <v>2.3434751333411517E-2</v>
      </c>
      <c r="G74" s="2"/>
      <c r="H74" s="6">
        <v>750</v>
      </c>
      <c r="I74" s="2"/>
      <c r="J74" s="7">
        <f t="shared" si="15"/>
        <v>2.3347757058805218E-2</v>
      </c>
      <c r="K74" s="2"/>
      <c r="L74" s="6">
        <f t="shared" si="16"/>
        <v>-316.38</v>
      </c>
      <c r="M74" s="2"/>
      <c r="N74" s="7">
        <f t="shared" si="17"/>
        <v>-0.42183999999999999</v>
      </c>
      <c r="O74" s="11"/>
      <c r="P74" s="6">
        <v>5631.92</v>
      </c>
      <c r="Q74" s="2"/>
      <c r="R74" s="7">
        <f t="shared" si="18"/>
        <v>1.1646160072999467E-3</v>
      </c>
      <c r="S74" s="2"/>
      <c r="T74" s="6">
        <v>6750</v>
      </c>
      <c r="U74" s="2"/>
      <c r="V74" s="7">
        <f t="shared" si="19"/>
        <v>1.2606042496369927E-3</v>
      </c>
      <c r="W74" s="2"/>
      <c r="X74" s="6">
        <f t="shared" si="20"/>
        <v>-1118.08</v>
      </c>
      <c r="Y74" s="2"/>
      <c r="Z74" s="7">
        <f t="shared" si="21"/>
        <v>-0.16564148148148147</v>
      </c>
    </row>
    <row r="75" spans="1:26" s="27" customFormat="1" outlineLevel="1" collapsed="1" x14ac:dyDescent="0.25">
      <c r="A75" s="26"/>
      <c r="B75" s="13" t="str">
        <f>CONCATENATE("     ","*Payroll                                          ")</f>
        <v xml:space="preserve">     *Payroll                                          </v>
      </c>
      <c r="C75" s="13"/>
      <c r="D75" s="1">
        <f>SUM(OSRRefD22_1x_0)</f>
        <v>23850.33</v>
      </c>
      <c r="E75" s="1"/>
      <c r="F75" s="5">
        <f t="shared" ref="F75:F85" si="22">IF(D$12=0,0,D75/D$12)</f>
        <v>1.2889777980024093</v>
      </c>
      <c r="G75" s="1"/>
      <c r="H75" s="1">
        <f>SUM(OSRRefH22_1x_0)</f>
        <v>25104.509715723099</v>
      </c>
      <c r="I75" s="1"/>
      <c r="J75" s="5">
        <f t="shared" ref="J75:J85" si="23">IF(H$12=0,0,H75/H$12)</f>
        <v>0.78151199189749088</v>
      </c>
      <c r="K75" s="1"/>
      <c r="L75" s="1">
        <f t="shared" ref="L75:L85" si="24">+D75-H75</f>
        <v>-1254.1797157230976</v>
      </c>
      <c r="M75" s="1"/>
      <c r="N75" s="5">
        <f t="shared" ref="N75:N85" si="25">IF(H75=0,0,L75/H75)</f>
        <v>-4.9958343338511707E-2</v>
      </c>
      <c r="O75" s="13"/>
      <c r="P75" s="1">
        <f>SUM(OSRRefP22_1x_0)</f>
        <v>256814.09000000003</v>
      </c>
      <c r="Q75" s="1"/>
      <c r="R75" s="5">
        <f t="shared" ref="R75:R85" si="26">IF(P$12=0,0,P75/P$12)</f>
        <v>5.3106187608163685E-2</v>
      </c>
      <c r="S75" s="1"/>
      <c r="T75" s="1">
        <f>SUM(OSRRefT22_1x_0)</f>
        <v>267785.1593533</v>
      </c>
      <c r="U75" s="1"/>
      <c r="V75" s="5">
        <f t="shared" ref="V75:V85" si="27">IF(T$12=0,0,T75/T$12)</f>
        <v>5.0010534795628038E-2</v>
      </c>
      <c r="W75" s="1"/>
      <c r="X75" s="1">
        <f t="shared" ref="X75:X85" si="28">+P75-T75</f>
        <v>-10971.069353299972</v>
      </c>
      <c r="Y75" s="1"/>
      <c r="Z75" s="5">
        <f t="shared" ref="Z75:Z85" si="29">IF(T75=0,0,X75/T75)</f>
        <v>-4.0969669042881456E-2</v>
      </c>
    </row>
    <row r="76" spans="1:26" s="24" customFormat="1" hidden="1" outlineLevel="2" x14ac:dyDescent="0.25">
      <c r="A76" s="25"/>
      <c r="B76" s="11" t="str">
        <f>CONCATENATE("          ", "6001", " - ", "ADMINISTRATIVE SALARIES")</f>
        <v xml:space="preserve">          6001 - ADMINISTRATIVE SALARIES</v>
      </c>
      <c r="C76" s="11"/>
      <c r="D76" s="6"/>
      <c r="E76" s="2"/>
      <c r="F76" s="7">
        <f t="shared" si="22"/>
        <v>0</v>
      </c>
      <c r="G76" s="2"/>
      <c r="H76" s="6">
        <v>0</v>
      </c>
      <c r="I76" s="2"/>
      <c r="J76" s="7">
        <f t="shared" si="23"/>
        <v>0</v>
      </c>
      <c r="K76" s="2"/>
      <c r="L76" s="6">
        <f t="shared" si="24"/>
        <v>0</v>
      </c>
      <c r="M76" s="2"/>
      <c r="N76" s="7">
        <f t="shared" si="25"/>
        <v>0</v>
      </c>
      <c r="O76" s="11"/>
      <c r="P76" s="6"/>
      <c r="Q76" s="2"/>
      <c r="R76" s="7">
        <f t="shared" si="26"/>
        <v>0</v>
      </c>
      <c r="S76" s="2"/>
      <c r="T76" s="6">
        <v>0</v>
      </c>
      <c r="U76" s="2"/>
      <c r="V76" s="7">
        <f t="shared" si="27"/>
        <v>0</v>
      </c>
      <c r="W76" s="2"/>
      <c r="X76" s="6">
        <f t="shared" si="28"/>
        <v>0</v>
      </c>
      <c r="Y76" s="2"/>
      <c r="Z76" s="7">
        <f t="shared" si="29"/>
        <v>0</v>
      </c>
    </row>
    <row r="77" spans="1:26" s="24" customFormat="1" hidden="1" outlineLevel="2" x14ac:dyDescent="0.25">
      <c r="A77" s="25"/>
      <c r="B77" s="11" t="str">
        <f>CONCATENATE("          ", "6002", " - ", "STAFF SALARIES")</f>
        <v xml:space="preserve">          6002 - STAFF SALARIES</v>
      </c>
      <c r="C77" s="11"/>
      <c r="D77" s="6">
        <v>12572.28</v>
      </c>
      <c r="E77" s="2"/>
      <c r="F77" s="7">
        <f t="shared" si="22"/>
        <v>0.67946186867308467</v>
      </c>
      <c r="G77" s="2"/>
      <c r="H77" s="6">
        <v>12765.0123437231</v>
      </c>
      <c r="I77" s="2"/>
      <c r="J77" s="7">
        <f t="shared" si="23"/>
        <v>0.39737920940519567</v>
      </c>
      <c r="K77" s="2"/>
      <c r="L77" s="6">
        <f t="shared" si="24"/>
        <v>-192.73234372309889</v>
      </c>
      <c r="M77" s="2"/>
      <c r="N77" s="7">
        <f t="shared" si="25"/>
        <v>-1.5098484712227528E-2</v>
      </c>
      <c r="O77" s="11"/>
      <c r="P77" s="6">
        <v>142536.42000000001</v>
      </c>
      <c r="Q77" s="2"/>
      <c r="R77" s="7">
        <f t="shared" si="26"/>
        <v>2.9474885359740247E-2</v>
      </c>
      <c r="S77" s="2"/>
      <c r="T77" s="6">
        <v>124458.87035130001</v>
      </c>
      <c r="U77" s="2"/>
      <c r="V77" s="7">
        <f t="shared" si="27"/>
        <v>2.3243463832573082E-2</v>
      </c>
      <c r="W77" s="2"/>
      <c r="X77" s="6">
        <f t="shared" si="28"/>
        <v>18077.549648700005</v>
      </c>
      <c r="Y77" s="2"/>
      <c r="Z77" s="7">
        <f t="shared" si="29"/>
        <v>0.14524918631893383</v>
      </c>
    </row>
    <row r="78" spans="1:26" s="24" customFormat="1" hidden="1" outlineLevel="2" x14ac:dyDescent="0.25">
      <c r="A78" s="25"/>
      <c r="B78" s="11" t="str">
        <f>CONCATENATE("          ", "6003", " - ", "STAFF HOURLY-9 MONTH")</f>
        <v xml:space="preserve">          6003 - STAFF HOURLY-9 MONTH</v>
      </c>
      <c r="C78" s="11"/>
      <c r="D78" s="6"/>
      <c r="E78" s="2"/>
      <c r="F78" s="7">
        <f t="shared" si="22"/>
        <v>0</v>
      </c>
      <c r="G78" s="2"/>
      <c r="H78" s="6">
        <v>0</v>
      </c>
      <c r="I78" s="2"/>
      <c r="J78" s="7">
        <f t="shared" si="23"/>
        <v>0</v>
      </c>
      <c r="K78" s="2"/>
      <c r="L78" s="6">
        <f t="shared" si="24"/>
        <v>0</v>
      </c>
      <c r="M78" s="2"/>
      <c r="N78" s="7">
        <f t="shared" si="25"/>
        <v>0</v>
      </c>
      <c r="O78" s="11"/>
      <c r="P78" s="6"/>
      <c r="Q78" s="2"/>
      <c r="R78" s="7">
        <f t="shared" si="26"/>
        <v>0</v>
      </c>
      <c r="S78" s="2"/>
      <c r="T78" s="6">
        <v>0</v>
      </c>
      <c r="U78" s="2"/>
      <c r="V78" s="7">
        <f t="shared" si="27"/>
        <v>0</v>
      </c>
      <c r="W78" s="2"/>
      <c r="X78" s="6">
        <f t="shared" si="28"/>
        <v>0</v>
      </c>
      <c r="Y78" s="2"/>
      <c r="Z78" s="7">
        <f t="shared" si="29"/>
        <v>0</v>
      </c>
    </row>
    <row r="79" spans="1:26" s="24" customFormat="1" hidden="1" outlineLevel="2" x14ac:dyDescent="0.25">
      <c r="A79" s="25"/>
      <c r="B79" s="11" t="str">
        <f>CONCATENATE("          ", "6004", " - ", "STAFF HOURLY")</f>
        <v xml:space="preserve">          6004 - STAFF HOURLY</v>
      </c>
      <c r="C79" s="11"/>
      <c r="D79" s="6">
        <v>5563.51</v>
      </c>
      <c r="E79" s="2"/>
      <c r="F79" s="7">
        <f t="shared" si="22"/>
        <v>0.30067679855852664</v>
      </c>
      <c r="G79" s="2"/>
      <c r="H79" s="6">
        <v>5865.9348719999998</v>
      </c>
      <c r="I79" s="2"/>
      <c r="J79" s="7">
        <f t="shared" si="23"/>
        <v>0.18260856308563958</v>
      </c>
      <c r="K79" s="2"/>
      <c r="L79" s="6">
        <f t="shared" si="24"/>
        <v>-302.4248719999996</v>
      </c>
      <c r="M79" s="2"/>
      <c r="N79" s="7">
        <f t="shared" si="25"/>
        <v>-5.1556125084779088E-2</v>
      </c>
      <c r="O79" s="11"/>
      <c r="P79" s="6">
        <v>31860.780000000002</v>
      </c>
      <c r="Q79" s="2"/>
      <c r="R79" s="7">
        <f t="shared" si="26"/>
        <v>6.5884413118549269E-3</v>
      </c>
      <c r="S79" s="2"/>
      <c r="T79" s="6">
        <v>57192.865001999999</v>
      </c>
      <c r="U79" s="2"/>
      <c r="V79" s="7">
        <f t="shared" si="27"/>
        <v>1.0681121284509041E-2</v>
      </c>
      <c r="W79" s="2"/>
      <c r="X79" s="6">
        <f t="shared" si="28"/>
        <v>-25332.085001999996</v>
      </c>
      <c r="Y79" s="2"/>
      <c r="Z79" s="7">
        <f t="shared" si="29"/>
        <v>-0.44292386823276209</v>
      </c>
    </row>
    <row r="80" spans="1:26" s="24" customFormat="1" hidden="1" outlineLevel="2" x14ac:dyDescent="0.25">
      <c r="A80" s="25"/>
      <c r="B80" s="11" t="str">
        <f>CONCATENATE("          ", "6005", " - ", "TEMPORARY WAGES-HOURLY")</f>
        <v xml:space="preserve">          6005 - TEMPORARY WAGES-HOURLY</v>
      </c>
      <c r="C80" s="11"/>
      <c r="D80" s="6">
        <v>1613.95</v>
      </c>
      <c r="E80" s="2"/>
      <c r="F80" s="7">
        <f t="shared" si="22"/>
        <v>8.7225028630043625E-2</v>
      </c>
      <c r="G80" s="2"/>
      <c r="H80" s="6">
        <v>2792</v>
      </c>
      <c r="I80" s="2"/>
      <c r="J80" s="7">
        <f t="shared" si="23"/>
        <v>8.6915916944245553E-2</v>
      </c>
      <c r="K80" s="2"/>
      <c r="L80" s="6">
        <f t="shared" si="24"/>
        <v>-1178.05</v>
      </c>
      <c r="M80" s="2"/>
      <c r="N80" s="7">
        <f t="shared" si="25"/>
        <v>-0.42193767908309454</v>
      </c>
      <c r="O80" s="11"/>
      <c r="P80" s="6">
        <v>22392.289999999997</v>
      </c>
      <c r="Q80" s="2"/>
      <c r="R80" s="7">
        <f t="shared" si="26"/>
        <v>4.630466940954865E-3</v>
      </c>
      <c r="S80" s="2"/>
      <c r="T80" s="6">
        <v>30125.68</v>
      </c>
      <c r="U80" s="2"/>
      <c r="V80" s="7">
        <f t="shared" si="27"/>
        <v>5.6261570712895052E-3</v>
      </c>
      <c r="W80" s="2"/>
      <c r="X80" s="6">
        <f t="shared" si="28"/>
        <v>-7733.3900000000031</v>
      </c>
      <c r="Y80" s="2"/>
      <c r="Z80" s="7">
        <f t="shared" si="29"/>
        <v>-0.25670424700786848</v>
      </c>
    </row>
    <row r="81" spans="1:26" s="24" customFormat="1" hidden="1" outlineLevel="2" x14ac:dyDescent="0.25">
      <c r="A81" s="25"/>
      <c r="B81" s="11" t="str">
        <f>CONCATENATE("          ", "6006", " - ", "TEMPORARY PART TIME")</f>
        <v xml:space="preserve">          6006 - TEMPORARY PART TIME</v>
      </c>
      <c r="C81" s="11"/>
      <c r="D81" s="6">
        <v>1482.33</v>
      </c>
      <c r="E81" s="2"/>
      <c r="F81" s="7">
        <f t="shared" si="22"/>
        <v>8.0111699054600555E-2</v>
      </c>
      <c r="G81" s="2"/>
      <c r="H81" s="6">
        <v>0</v>
      </c>
      <c r="I81" s="2"/>
      <c r="J81" s="7">
        <f t="shared" si="23"/>
        <v>0</v>
      </c>
      <c r="K81" s="2"/>
      <c r="L81" s="6">
        <f t="shared" si="24"/>
        <v>1482.33</v>
      </c>
      <c r="M81" s="2"/>
      <c r="N81" s="7">
        <f t="shared" si="25"/>
        <v>0</v>
      </c>
      <c r="O81" s="11"/>
      <c r="P81" s="6">
        <v>2309.21</v>
      </c>
      <c r="Q81" s="2"/>
      <c r="R81" s="7">
        <f t="shared" si="26"/>
        <v>4.7751795661463766E-4</v>
      </c>
      <c r="S81" s="2"/>
      <c r="T81" s="6">
        <v>0</v>
      </c>
      <c r="U81" s="2"/>
      <c r="V81" s="7">
        <f t="shared" si="27"/>
        <v>0</v>
      </c>
      <c r="W81" s="2"/>
      <c r="X81" s="6">
        <f t="shared" si="28"/>
        <v>2309.21</v>
      </c>
      <c r="Y81" s="2"/>
      <c r="Z81" s="7">
        <f t="shared" si="29"/>
        <v>0</v>
      </c>
    </row>
    <row r="82" spans="1:26" s="24" customFormat="1" hidden="1" outlineLevel="2" x14ac:dyDescent="0.25">
      <c r="A82" s="25"/>
      <c r="B82" s="11" t="str">
        <f>CONCATENATE("          ", "6007", " - ", "STUDENT HOURLY")</f>
        <v xml:space="preserve">          6007 - STUDENT HOURLY</v>
      </c>
      <c r="C82" s="11"/>
      <c r="D82" s="6">
        <v>2618.2600000000002</v>
      </c>
      <c r="E82" s="2"/>
      <c r="F82" s="7">
        <f t="shared" si="22"/>
        <v>0.14150240308615386</v>
      </c>
      <c r="G82" s="2"/>
      <c r="H82" s="6">
        <v>0</v>
      </c>
      <c r="I82" s="2"/>
      <c r="J82" s="7">
        <f t="shared" si="23"/>
        <v>0</v>
      </c>
      <c r="K82" s="2"/>
      <c r="L82" s="6">
        <f t="shared" si="24"/>
        <v>2618.2600000000002</v>
      </c>
      <c r="M82" s="2"/>
      <c r="N82" s="7">
        <f t="shared" si="25"/>
        <v>0</v>
      </c>
      <c r="O82" s="11"/>
      <c r="P82" s="6">
        <v>57715.39</v>
      </c>
      <c r="Q82" s="2"/>
      <c r="R82" s="7">
        <f t="shared" si="26"/>
        <v>1.1934876038999004E-2</v>
      </c>
      <c r="S82" s="2"/>
      <c r="T82" s="6">
        <v>11781</v>
      </c>
      <c r="U82" s="2"/>
      <c r="V82" s="7">
        <f t="shared" si="27"/>
        <v>2.2001746170330978E-3</v>
      </c>
      <c r="W82" s="2"/>
      <c r="X82" s="6">
        <f t="shared" si="28"/>
        <v>45934.39</v>
      </c>
      <c r="Y82" s="2"/>
      <c r="Z82" s="7">
        <f t="shared" si="29"/>
        <v>3.8990230031406501</v>
      </c>
    </row>
    <row r="83" spans="1:26" s="24" customFormat="1" hidden="1" outlineLevel="2" x14ac:dyDescent="0.25">
      <c r="A83" s="25"/>
      <c r="B83" s="11" t="str">
        <f>CONCATENATE("          ", "6008", " - ", "STUDENT HOURLY-FICA EXEMPT")</f>
        <v xml:space="preserve">          6008 - STUDENT HOURLY-FICA EXEMPT</v>
      </c>
      <c r="C83" s="11"/>
      <c r="D83" s="6"/>
      <c r="E83" s="2"/>
      <c r="F83" s="7">
        <f t="shared" si="22"/>
        <v>0</v>
      </c>
      <c r="G83" s="2"/>
      <c r="H83" s="6">
        <v>3681.5625</v>
      </c>
      <c r="I83" s="2"/>
      <c r="J83" s="7">
        <f t="shared" si="23"/>
        <v>0.11460830246241011</v>
      </c>
      <c r="K83" s="2"/>
      <c r="L83" s="6">
        <f t="shared" si="24"/>
        <v>-3681.5625</v>
      </c>
      <c r="M83" s="2"/>
      <c r="N83" s="7">
        <f t="shared" si="25"/>
        <v>-1</v>
      </c>
      <c r="O83" s="11"/>
      <c r="P83" s="6"/>
      <c r="Q83" s="2"/>
      <c r="R83" s="7">
        <f t="shared" si="26"/>
        <v>0</v>
      </c>
      <c r="S83" s="2"/>
      <c r="T83" s="6">
        <v>44226.743999999999</v>
      </c>
      <c r="U83" s="2"/>
      <c r="V83" s="7">
        <f t="shared" si="27"/>
        <v>8.2596179902233134E-3</v>
      </c>
      <c r="W83" s="2"/>
      <c r="X83" s="6">
        <f t="shared" si="28"/>
        <v>-44226.743999999999</v>
      </c>
      <c r="Y83" s="2"/>
      <c r="Z83" s="7">
        <f t="shared" si="29"/>
        <v>-1</v>
      </c>
    </row>
    <row r="84" spans="1:26" s="24" customFormat="1" hidden="1" outlineLevel="2" x14ac:dyDescent="0.25">
      <c r="A84" s="25"/>
      <c r="B84" s="11" t="str">
        <f>CONCATENATE("          ", "6009", " - ", "TEMPORARY-SEASONAL")</f>
        <v xml:space="preserve">          6009 - TEMPORARY-SEASONAL</v>
      </c>
      <c r="C84" s="11"/>
      <c r="D84" s="6"/>
      <c r="E84" s="2"/>
      <c r="F84" s="7">
        <f t="shared" si="22"/>
        <v>0</v>
      </c>
      <c r="G84" s="2"/>
      <c r="H84" s="6">
        <v>0</v>
      </c>
      <c r="I84" s="2"/>
      <c r="J84" s="7">
        <f t="shared" si="23"/>
        <v>0</v>
      </c>
      <c r="K84" s="2"/>
      <c r="L84" s="6">
        <f t="shared" si="24"/>
        <v>0</v>
      </c>
      <c r="M84" s="2"/>
      <c r="N84" s="7">
        <f t="shared" si="25"/>
        <v>0</v>
      </c>
      <c r="O84" s="11"/>
      <c r="P84" s="6"/>
      <c r="Q84" s="2"/>
      <c r="R84" s="7">
        <f t="shared" si="26"/>
        <v>0</v>
      </c>
      <c r="S84" s="2"/>
      <c r="T84" s="6">
        <v>0</v>
      </c>
      <c r="U84" s="2"/>
      <c r="V84" s="7">
        <f t="shared" si="27"/>
        <v>0</v>
      </c>
      <c r="W84" s="2"/>
      <c r="X84" s="6">
        <f t="shared" si="28"/>
        <v>0</v>
      </c>
      <c r="Y84" s="2"/>
      <c r="Z84" s="7">
        <f t="shared" si="29"/>
        <v>0</v>
      </c>
    </row>
    <row r="85" spans="1:26" s="24" customFormat="1" hidden="1" outlineLevel="2" x14ac:dyDescent="0.25">
      <c r="A85" s="25"/>
      <c r="B85" s="11" t="str">
        <f>CONCATENATE("          ", "6010", " - ", "GRATUITY")</f>
        <v xml:space="preserve">          6010 - GRATUITY</v>
      </c>
      <c r="C85" s="11"/>
      <c r="D85" s="6"/>
      <c r="E85" s="2"/>
      <c r="F85" s="7">
        <f t="shared" si="22"/>
        <v>0</v>
      </c>
      <c r="G85" s="2"/>
      <c r="H85" s="6">
        <v>0</v>
      </c>
      <c r="I85" s="2"/>
      <c r="J85" s="7">
        <f t="shared" si="23"/>
        <v>0</v>
      </c>
      <c r="K85" s="2"/>
      <c r="L85" s="6">
        <f t="shared" si="24"/>
        <v>0</v>
      </c>
      <c r="M85" s="2"/>
      <c r="N85" s="7">
        <f t="shared" si="25"/>
        <v>0</v>
      </c>
      <c r="O85" s="11"/>
      <c r="P85" s="6"/>
      <c r="Q85" s="2"/>
      <c r="R85" s="7">
        <f t="shared" si="26"/>
        <v>0</v>
      </c>
      <c r="S85" s="2"/>
      <c r="T85" s="6">
        <v>0</v>
      </c>
      <c r="U85" s="2"/>
      <c r="V85" s="7">
        <f t="shared" si="27"/>
        <v>0</v>
      </c>
      <c r="W85" s="2"/>
      <c r="X85" s="6">
        <f t="shared" si="28"/>
        <v>0</v>
      </c>
      <c r="Y85" s="2"/>
      <c r="Z85" s="7">
        <f t="shared" si="29"/>
        <v>0</v>
      </c>
    </row>
    <row r="86" spans="1:26" s="27" customFormat="1" outlineLevel="1" collapsed="1" x14ac:dyDescent="0.25">
      <c r="A86" s="26"/>
      <c r="B86" s="13" t="str">
        <f>CONCATENATE("     ","Advertising/Promo                                 ")</f>
        <v xml:space="preserve">     Advertising/Promo                                 </v>
      </c>
      <c r="C86" s="13"/>
      <c r="D86" s="1">
        <f>SUM(OSRRefD22_2x_0)</f>
        <v>0</v>
      </c>
      <c r="E86" s="1"/>
      <c r="F86" s="5">
        <f t="shared" ref="F86:F90" si="30">IF(D$12=0,0,D86/D$12)</f>
        <v>0</v>
      </c>
      <c r="G86" s="1"/>
      <c r="H86" s="1">
        <f>SUM(OSRRefH22_2x_0)</f>
        <v>200</v>
      </c>
      <c r="I86" s="1"/>
      <c r="J86" s="5">
        <f t="shared" ref="J86:J90" si="31">IF(H$12=0,0,H86/H$12)</f>
        <v>6.2260685490147247E-3</v>
      </c>
      <c r="K86" s="1"/>
      <c r="L86" s="1">
        <f t="shared" ref="L86:L90" si="32">+D86-H86</f>
        <v>-200</v>
      </c>
      <c r="M86" s="1"/>
      <c r="N86" s="5">
        <f t="shared" ref="N86:N90" si="33">IF(H86=0,0,L86/H86)</f>
        <v>-1</v>
      </c>
      <c r="O86" s="13"/>
      <c r="P86" s="1">
        <f>SUM(OSRRefP22_2x_0)</f>
        <v>3981.59</v>
      </c>
      <c r="Q86" s="1"/>
      <c r="R86" s="5">
        <f t="shared" ref="R86:R90" si="34">IF(P$12=0,0,P86/P$12)</f>
        <v>8.233468246184951E-4</v>
      </c>
      <c r="S86" s="1"/>
      <c r="T86" s="1">
        <f>SUM(OSRRefT22_2x_0)</f>
        <v>4800</v>
      </c>
      <c r="U86" s="1"/>
      <c r="V86" s="5">
        <f t="shared" ref="V86:V90" si="35">IF(T$12=0,0,T86/T$12)</f>
        <v>8.9642968863075032E-4</v>
      </c>
      <c r="W86" s="1"/>
      <c r="X86" s="1">
        <f t="shared" ref="X86:X90" si="36">+P86-T86</f>
        <v>-818.40999999999985</v>
      </c>
      <c r="Y86" s="1"/>
      <c r="Z86" s="5">
        <f t="shared" ref="Z86:Z90" si="37">IF(T86=0,0,X86/T86)</f>
        <v>-0.1705020833333333</v>
      </c>
    </row>
    <row r="87" spans="1:26" s="24" customFormat="1" hidden="1" outlineLevel="2" x14ac:dyDescent="0.25">
      <c r="A87" s="25"/>
      <c r="B87" s="11" t="str">
        <f>CONCATENATE("          ", "6362", " - ", "ADVERTISING EXPENSE")</f>
        <v xml:space="preserve">          6362 - ADVERTISING EXPENSE</v>
      </c>
      <c r="C87" s="11"/>
      <c r="D87" s="6"/>
      <c r="E87" s="2"/>
      <c r="F87" s="7">
        <f t="shared" si="30"/>
        <v>0</v>
      </c>
      <c r="G87" s="2"/>
      <c r="H87" s="6">
        <v>200</v>
      </c>
      <c r="I87" s="2"/>
      <c r="J87" s="7">
        <f t="shared" si="31"/>
        <v>6.2260685490147247E-3</v>
      </c>
      <c r="K87" s="2"/>
      <c r="L87" s="6">
        <f t="shared" si="32"/>
        <v>-200</v>
      </c>
      <c r="M87" s="2"/>
      <c r="N87" s="7">
        <f t="shared" si="33"/>
        <v>-1</v>
      </c>
      <c r="O87" s="11"/>
      <c r="P87" s="6">
        <v>3981.59</v>
      </c>
      <c r="Q87" s="2"/>
      <c r="R87" s="7">
        <f t="shared" si="34"/>
        <v>8.233468246184951E-4</v>
      </c>
      <c r="S87" s="2"/>
      <c r="T87" s="6">
        <v>4800</v>
      </c>
      <c r="U87" s="2"/>
      <c r="V87" s="7">
        <f t="shared" si="35"/>
        <v>8.9642968863075032E-4</v>
      </c>
      <c r="W87" s="2"/>
      <c r="X87" s="6">
        <f t="shared" si="36"/>
        <v>-818.40999999999985</v>
      </c>
      <c r="Y87" s="2"/>
      <c r="Z87" s="7">
        <f t="shared" si="37"/>
        <v>-0.1705020833333333</v>
      </c>
    </row>
    <row r="88" spans="1:26" s="27" customFormat="1" outlineLevel="1" collapsed="1" x14ac:dyDescent="0.25">
      <c r="A88" s="26"/>
      <c r="B88" s="13" t="str">
        <f>CONCATENATE("     ","Discounts and Markdowns                           ")</f>
        <v xml:space="preserve">     Discounts and Markdowns                           </v>
      </c>
      <c r="C88" s="13"/>
      <c r="D88" s="1">
        <f>SUM(OSRRefD22_3x_0)</f>
        <v>-581.66</v>
      </c>
      <c r="E88" s="1"/>
      <c r="F88" s="5">
        <f t="shared" si="30"/>
        <v>-3.1435490661390487E-2</v>
      </c>
      <c r="G88" s="1"/>
      <c r="H88" s="1">
        <f>SUM(OSRRefH22_3x_0)</f>
        <v>2425</v>
      </c>
      <c r="I88" s="1"/>
      <c r="J88" s="5">
        <f t="shared" si="31"/>
        <v>7.549108115680353E-2</v>
      </c>
      <c r="K88" s="1"/>
      <c r="L88" s="1">
        <f t="shared" si="32"/>
        <v>-3006.66</v>
      </c>
      <c r="M88" s="1"/>
      <c r="N88" s="5">
        <f t="shared" si="33"/>
        <v>-1.2398597938144329</v>
      </c>
      <c r="O88" s="13"/>
      <c r="P88" s="1">
        <f>SUM(OSRRefP22_3x_0)</f>
        <v>-249.98</v>
      </c>
      <c r="Q88" s="1"/>
      <c r="R88" s="5">
        <f t="shared" si="34"/>
        <v>-5.1692976729932366E-5</v>
      </c>
      <c r="S88" s="1"/>
      <c r="T88" s="1">
        <f>SUM(OSRRefT22_3x_0)</f>
        <v>23125</v>
      </c>
      <c r="U88" s="1"/>
      <c r="V88" s="5">
        <f t="shared" si="35"/>
        <v>4.3187367811637709E-3</v>
      </c>
      <c r="W88" s="1"/>
      <c r="X88" s="1">
        <f t="shared" si="36"/>
        <v>-23374.98</v>
      </c>
      <c r="Y88" s="1"/>
      <c r="Z88" s="5">
        <f t="shared" si="37"/>
        <v>-1.0108099459459459</v>
      </c>
    </row>
    <row r="89" spans="1:26" s="24" customFormat="1" hidden="1" outlineLevel="2" x14ac:dyDescent="0.25">
      <c r="A89" s="25"/>
      <c r="B89" s="11" t="str">
        <f>CONCATENATE("          ", "6382", " - ", "DISCOUNTS/MARK DOWNS")</f>
        <v xml:space="preserve">          6382 - DISCOUNTS/MARK DOWNS</v>
      </c>
      <c r="C89" s="11"/>
      <c r="D89" s="6">
        <v>-581.66</v>
      </c>
      <c r="E89" s="2"/>
      <c r="F89" s="7">
        <f t="shared" si="30"/>
        <v>-3.1435490661390487E-2</v>
      </c>
      <c r="G89" s="2"/>
      <c r="H89" s="6">
        <v>2425</v>
      </c>
      <c r="I89" s="2"/>
      <c r="J89" s="7">
        <f t="shared" si="31"/>
        <v>7.549108115680353E-2</v>
      </c>
      <c r="K89" s="2"/>
      <c r="L89" s="6">
        <f t="shared" si="32"/>
        <v>-3006.66</v>
      </c>
      <c r="M89" s="2"/>
      <c r="N89" s="7">
        <f t="shared" si="33"/>
        <v>-1.2398597938144329</v>
      </c>
      <c r="O89" s="11"/>
      <c r="P89" s="6">
        <v>202.29</v>
      </c>
      <c r="Q89" s="2"/>
      <c r="R89" s="7">
        <f t="shared" si="34"/>
        <v>4.1831235549636043E-5</v>
      </c>
      <c r="S89" s="2"/>
      <c r="T89" s="6">
        <v>23125</v>
      </c>
      <c r="U89" s="2"/>
      <c r="V89" s="7">
        <f t="shared" si="35"/>
        <v>4.3187367811637709E-3</v>
      </c>
      <c r="W89" s="2"/>
      <c r="X89" s="6">
        <f t="shared" si="36"/>
        <v>-22922.71</v>
      </c>
      <c r="Y89" s="2"/>
      <c r="Z89" s="7">
        <f t="shared" si="37"/>
        <v>-0.99125232432432431</v>
      </c>
    </row>
    <row r="90" spans="1:26" s="24" customFormat="1" hidden="1" outlineLevel="2" x14ac:dyDescent="0.25">
      <c r="A90" s="25"/>
      <c r="B90" s="11" t="str">
        <f>CONCATENATE("          ", "9175", " - ", "EARNED DISCOUNTS")</f>
        <v xml:space="preserve">          9175 - EARNED DISCOUNTS</v>
      </c>
      <c r="C90" s="11"/>
      <c r="D90" s="6"/>
      <c r="E90" s="2"/>
      <c r="F90" s="7">
        <f t="shared" si="30"/>
        <v>0</v>
      </c>
      <c r="G90" s="2"/>
      <c r="H90" s="6"/>
      <c r="I90" s="2"/>
      <c r="J90" s="7">
        <f t="shared" si="31"/>
        <v>0</v>
      </c>
      <c r="K90" s="2"/>
      <c r="L90" s="6">
        <f t="shared" si="32"/>
        <v>0</v>
      </c>
      <c r="M90" s="2"/>
      <c r="N90" s="7">
        <f t="shared" si="33"/>
        <v>0</v>
      </c>
      <c r="O90" s="11"/>
      <c r="P90" s="6">
        <v>-452.27</v>
      </c>
      <c r="Q90" s="2"/>
      <c r="R90" s="7">
        <f t="shared" si="34"/>
        <v>-9.3524212279568402E-5</v>
      </c>
      <c r="S90" s="2"/>
      <c r="T90" s="6"/>
      <c r="U90" s="2"/>
      <c r="V90" s="7">
        <f t="shared" si="35"/>
        <v>0</v>
      </c>
      <c r="W90" s="2"/>
      <c r="X90" s="6">
        <f t="shared" si="36"/>
        <v>-452.27</v>
      </c>
      <c r="Y90" s="2"/>
      <c r="Z90" s="7">
        <f t="shared" si="37"/>
        <v>0</v>
      </c>
    </row>
    <row r="91" spans="1:26" s="27" customFormat="1" outlineLevel="1" collapsed="1" x14ac:dyDescent="0.25">
      <c r="A91" s="26"/>
      <c r="B91" s="13" t="str">
        <f>CONCATENATE("     ","Employees' Appreciation                           ")</f>
        <v xml:space="preserve">     Employees' Appreciation                           </v>
      </c>
      <c r="C91" s="13"/>
      <c r="D91" s="1">
        <f>SUM(OSRRefD22_4x_0)</f>
        <v>82.3</v>
      </c>
      <c r="E91" s="1"/>
      <c r="F91" s="5">
        <f t="shared" ref="F91:F97" si="38">IF(D$12=0,0,D91/D$12)</f>
        <v>4.4478576512609379E-3</v>
      </c>
      <c r="G91" s="1"/>
      <c r="H91" s="1">
        <f>SUM(OSRRefH22_4x_0)</f>
        <v>100</v>
      </c>
      <c r="I91" s="1"/>
      <c r="J91" s="5">
        <f t="shared" ref="J91:J97" si="39">IF(H$12=0,0,H91/H$12)</f>
        <v>3.1130342745073624E-3</v>
      </c>
      <c r="K91" s="1"/>
      <c r="L91" s="1">
        <f t="shared" ref="L91:L97" si="40">+D91-H91</f>
        <v>-17.700000000000003</v>
      </c>
      <c r="M91" s="1"/>
      <c r="N91" s="5">
        <f t="shared" ref="N91:N97" si="41">IF(H91=0,0,L91/H91)</f>
        <v>-0.17700000000000002</v>
      </c>
      <c r="O91" s="13"/>
      <c r="P91" s="1">
        <f>SUM(OSRRefP22_4x_0)</f>
        <v>120.18</v>
      </c>
      <c r="Q91" s="1"/>
      <c r="R91" s="5">
        <f t="shared" ref="R91:R97" si="42">IF(P$12=0,0,P91/P$12)</f>
        <v>2.4851835920486727E-5</v>
      </c>
      <c r="S91" s="1"/>
      <c r="T91" s="1">
        <f>SUM(OSRRefT22_4x_0)</f>
        <v>900</v>
      </c>
      <c r="U91" s="1"/>
      <c r="V91" s="5">
        <f t="shared" ref="V91:V97" si="43">IF(T$12=0,0,T91/T$12)</f>
        <v>1.6808056661826568E-4</v>
      </c>
      <c r="W91" s="1"/>
      <c r="X91" s="1">
        <f t="shared" ref="X91:X97" si="44">+P91-T91</f>
        <v>-779.81999999999994</v>
      </c>
      <c r="Y91" s="1"/>
      <c r="Z91" s="5">
        <f t="shared" ref="Z91:Z97" si="45">IF(T91=0,0,X91/T91)</f>
        <v>-0.86646666666666661</v>
      </c>
    </row>
    <row r="92" spans="1:26" s="24" customFormat="1" hidden="1" outlineLevel="2" x14ac:dyDescent="0.25">
      <c r="A92" s="25"/>
      <c r="B92" s="11" t="str">
        <f>CONCATENATE("          ", "6277", " - ", "EMPLOYEE APPRECIATION")</f>
        <v xml:space="preserve">          6277 - EMPLOYEE APPRECIATION</v>
      </c>
      <c r="C92" s="11"/>
      <c r="D92" s="6">
        <v>82.3</v>
      </c>
      <c r="E92" s="2"/>
      <c r="F92" s="7">
        <f t="shared" si="38"/>
        <v>4.4478576512609379E-3</v>
      </c>
      <c r="G92" s="2"/>
      <c r="H92" s="6">
        <v>100</v>
      </c>
      <c r="I92" s="2"/>
      <c r="J92" s="7">
        <f t="shared" si="39"/>
        <v>3.1130342745073624E-3</v>
      </c>
      <c r="K92" s="2"/>
      <c r="L92" s="6">
        <f t="shared" si="40"/>
        <v>-17.700000000000003</v>
      </c>
      <c r="M92" s="2"/>
      <c r="N92" s="7">
        <f t="shared" si="41"/>
        <v>-0.17700000000000002</v>
      </c>
      <c r="O92" s="11"/>
      <c r="P92" s="6">
        <v>120.18</v>
      </c>
      <c r="Q92" s="2"/>
      <c r="R92" s="7">
        <f t="shared" si="42"/>
        <v>2.4851835920486727E-5</v>
      </c>
      <c r="S92" s="2"/>
      <c r="T92" s="6">
        <v>900</v>
      </c>
      <c r="U92" s="2"/>
      <c r="V92" s="7">
        <f t="shared" si="43"/>
        <v>1.6808056661826568E-4</v>
      </c>
      <c r="W92" s="2"/>
      <c r="X92" s="6">
        <f t="shared" si="44"/>
        <v>-779.81999999999994</v>
      </c>
      <c r="Y92" s="2"/>
      <c r="Z92" s="7">
        <f t="shared" si="45"/>
        <v>-0.86646666666666661</v>
      </c>
    </row>
    <row r="93" spans="1:26" s="27" customFormat="1" outlineLevel="1" collapsed="1" x14ac:dyDescent="0.25">
      <c r="A93" s="26"/>
      <c r="B93" s="13" t="str">
        <f>CONCATENATE("     ","Equipment Rental                                  ")</f>
        <v xml:space="preserve">     Equipment Rental                                  </v>
      </c>
      <c r="C93" s="13"/>
      <c r="D93" s="1">
        <f>SUM(OSRRefD22_5x_0)</f>
        <v>91.26</v>
      </c>
      <c r="E93" s="1"/>
      <c r="F93" s="5">
        <f t="shared" si="38"/>
        <v>4.9320958597092734E-3</v>
      </c>
      <c r="G93" s="1"/>
      <c r="H93" s="1">
        <f>SUM(OSRRefH22_5x_0)</f>
        <v>100</v>
      </c>
      <c r="I93" s="1"/>
      <c r="J93" s="5">
        <f t="shared" si="39"/>
        <v>3.1130342745073624E-3</v>
      </c>
      <c r="K93" s="1"/>
      <c r="L93" s="1">
        <f t="shared" si="40"/>
        <v>-8.7399999999999949</v>
      </c>
      <c r="M93" s="1"/>
      <c r="N93" s="5">
        <f t="shared" si="41"/>
        <v>-8.739999999999995E-2</v>
      </c>
      <c r="O93" s="13"/>
      <c r="P93" s="1">
        <f>SUM(OSRRefP22_5x_0)</f>
        <v>821.34</v>
      </c>
      <c r="Q93" s="1"/>
      <c r="R93" s="5">
        <f t="shared" si="42"/>
        <v>1.6984362551949217E-4</v>
      </c>
      <c r="S93" s="1"/>
      <c r="T93" s="1">
        <f>SUM(OSRRefT22_5x_0)</f>
        <v>900</v>
      </c>
      <c r="U93" s="1"/>
      <c r="V93" s="5">
        <f t="shared" si="43"/>
        <v>1.6808056661826568E-4</v>
      </c>
      <c r="W93" s="1"/>
      <c r="X93" s="1">
        <f t="shared" si="44"/>
        <v>-78.659999999999968</v>
      </c>
      <c r="Y93" s="1"/>
      <c r="Z93" s="5">
        <f t="shared" si="45"/>
        <v>-8.7399999999999964E-2</v>
      </c>
    </row>
    <row r="94" spans="1:26" s="24" customFormat="1" hidden="1" outlineLevel="2" x14ac:dyDescent="0.25">
      <c r="A94" s="25"/>
      <c r="B94" s="11" t="str">
        <f>CONCATENATE("          ", "6351", " - ", "EQUIPMENT RENTAL")</f>
        <v xml:space="preserve">          6351 - EQUIPMENT RENTAL</v>
      </c>
      <c r="C94" s="11"/>
      <c r="D94" s="6">
        <v>91.26</v>
      </c>
      <c r="E94" s="2"/>
      <c r="F94" s="7">
        <f t="shared" si="38"/>
        <v>4.9320958597092734E-3</v>
      </c>
      <c r="G94" s="2"/>
      <c r="H94" s="6">
        <v>100</v>
      </c>
      <c r="I94" s="2"/>
      <c r="J94" s="7">
        <f t="shared" si="39"/>
        <v>3.1130342745073624E-3</v>
      </c>
      <c r="K94" s="2"/>
      <c r="L94" s="6">
        <f t="shared" si="40"/>
        <v>-8.7399999999999949</v>
      </c>
      <c r="M94" s="2"/>
      <c r="N94" s="7">
        <f t="shared" si="41"/>
        <v>-8.739999999999995E-2</v>
      </c>
      <c r="O94" s="11"/>
      <c r="P94" s="6">
        <v>821.34</v>
      </c>
      <c r="Q94" s="2"/>
      <c r="R94" s="7">
        <f t="shared" si="42"/>
        <v>1.6984362551949217E-4</v>
      </c>
      <c r="S94" s="2"/>
      <c r="T94" s="6">
        <v>900</v>
      </c>
      <c r="U94" s="2"/>
      <c r="V94" s="7">
        <f t="shared" si="43"/>
        <v>1.6808056661826568E-4</v>
      </c>
      <c r="W94" s="2"/>
      <c r="X94" s="6">
        <f t="shared" si="44"/>
        <v>-78.659999999999968</v>
      </c>
      <c r="Y94" s="2"/>
      <c r="Z94" s="7">
        <f t="shared" si="45"/>
        <v>-8.7399999999999964E-2</v>
      </c>
    </row>
    <row r="95" spans="1:26" s="27" customFormat="1" outlineLevel="1" collapsed="1" x14ac:dyDescent="0.25">
      <c r="A95" s="26"/>
      <c r="B95" s="13" t="str">
        <f>CONCATENATE("     ","Freight out/Postage                               ")</f>
        <v xml:space="preserve">     Freight out/Postage                               </v>
      </c>
      <c r="C95" s="13"/>
      <c r="D95" s="1">
        <f>SUM(OSRRefD22_6x_0)</f>
        <v>2959.5</v>
      </c>
      <c r="E95" s="1"/>
      <c r="F95" s="5">
        <f t="shared" si="38"/>
        <v>0.15994452878380006</v>
      </c>
      <c r="G95" s="1"/>
      <c r="H95" s="1">
        <f>SUM(OSRRefH22_6x_0)</f>
        <v>2000</v>
      </c>
      <c r="I95" s="1"/>
      <c r="J95" s="5">
        <f t="shared" si="39"/>
        <v>6.2260685490147245E-2</v>
      </c>
      <c r="K95" s="1"/>
      <c r="L95" s="1">
        <f t="shared" si="40"/>
        <v>959.5</v>
      </c>
      <c r="M95" s="1"/>
      <c r="N95" s="5">
        <f t="shared" si="41"/>
        <v>0.47975000000000001</v>
      </c>
      <c r="O95" s="13"/>
      <c r="P95" s="1">
        <f>SUM(OSRRefP22_6x_0)</f>
        <v>15248.4</v>
      </c>
      <c r="Q95" s="1"/>
      <c r="R95" s="5">
        <f t="shared" si="42"/>
        <v>3.1531930009148757E-3</v>
      </c>
      <c r="S95" s="1"/>
      <c r="T95" s="1">
        <f>SUM(OSRRefT22_6x_0)</f>
        <v>24800</v>
      </c>
      <c r="U95" s="1"/>
      <c r="V95" s="5">
        <f t="shared" si="43"/>
        <v>4.6315533912588769E-3</v>
      </c>
      <c r="W95" s="1"/>
      <c r="X95" s="1">
        <f t="shared" si="44"/>
        <v>-9551.6</v>
      </c>
      <c r="Y95" s="1"/>
      <c r="Z95" s="5">
        <f t="shared" si="45"/>
        <v>-0.38514516129032261</v>
      </c>
    </row>
    <row r="96" spans="1:26" s="24" customFormat="1" hidden="1" outlineLevel="2" x14ac:dyDescent="0.25">
      <c r="A96" s="25"/>
      <c r="B96" s="11" t="str">
        <f>CONCATENATE("          ", "6305", " - ", "FREIGHT OUT")</f>
        <v xml:space="preserve">          6305 - FREIGHT OUT</v>
      </c>
      <c r="C96" s="11"/>
      <c r="D96" s="6">
        <v>2959</v>
      </c>
      <c r="E96" s="2"/>
      <c r="F96" s="7">
        <f t="shared" si="38"/>
        <v>0.15991750656234646</v>
      </c>
      <c r="G96" s="2"/>
      <c r="H96" s="6">
        <v>2000</v>
      </c>
      <c r="I96" s="2"/>
      <c r="J96" s="7">
        <f t="shared" si="39"/>
        <v>6.2260685490147245E-2</v>
      </c>
      <c r="K96" s="2"/>
      <c r="L96" s="6">
        <f t="shared" si="40"/>
        <v>959</v>
      </c>
      <c r="M96" s="2"/>
      <c r="N96" s="7">
        <f t="shared" si="41"/>
        <v>0.47949999999999998</v>
      </c>
      <c r="O96" s="11"/>
      <c r="P96" s="6">
        <v>15246.449999999999</v>
      </c>
      <c r="Q96" s="2"/>
      <c r="R96" s="7">
        <f t="shared" si="42"/>
        <v>3.1527897634373841E-3</v>
      </c>
      <c r="S96" s="2"/>
      <c r="T96" s="6">
        <v>24800</v>
      </c>
      <c r="U96" s="2"/>
      <c r="V96" s="7">
        <f t="shared" si="43"/>
        <v>4.6315533912588769E-3</v>
      </c>
      <c r="W96" s="2"/>
      <c r="X96" s="6">
        <f t="shared" si="44"/>
        <v>-9553.5500000000011</v>
      </c>
      <c r="Y96" s="2"/>
      <c r="Z96" s="7">
        <f t="shared" si="45"/>
        <v>-0.38522379032258069</v>
      </c>
    </row>
    <row r="97" spans="1:26" s="24" customFormat="1" hidden="1" outlineLevel="2" x14ac:dyDescent="0.25">
      <c r="A97" s="25"/>
      <c r="B97" s="11" t="str">
        <f>CONCATENATE("          ", "6307", " - ", "POSTAGE")</f>
        <v xml:space="preserve">          6307 - POSTAGE</v>
      </c>
      <c r="C97" s="11"/>
      <c r="D97" s="6">
        <v>0.5</v>
      </c>
      <c r="E97" s="2"/>
      <c r="F97" s="7">
        <f t="shared" si="38"/>
        <v>2.7022221453590146E-5</v>
      </c>
      <c r="G97" s="2"/>
      <c r="H97" s="6"/>
      <c r="I97" s="2"/>
      <c r="J97" s="7">
        <f t="shared" si="39"/>
        <v>0</v>
      </c>
      <c r="K97" s="2"/>
      <c r="L97" s="6">
        <f t="shared" si="40"/>
        <v>0.5</v>
      </c>
      <c r="M97" s="2"/>
      <c r="N97" s="7">
        <f t="shared" si="41"/>
        <v>0</v>
      </c>
      <c r="O97" s="11"/>
      <c r="P97" s="6">
        <v>1.95</v>
      </c>
      <c r="Q97" s="2"/>
      <c r="R97" s="7">
        <f t="shared" si="42"/>
        <v>4.0323747749167177E-7</v>
      </c>
      <c r="S97" s="2"/>
      <c r="T97" s="6"/>
      <c r="U97" s="2"/>
      <c r="V97" s="7">
        <f t="shared" si="43"/>
        <v>0</v>
      </c>
      <c r="W97" s="2"/>
      <c r="X97" s="6">
        <f t="shared" si="44"/>
        <v>1.95</v>
      </c>
      <c r="Y97" s="2"/>
      <c r="Z97" s="7">
        <f t="shared" si="45"/>
        <v>0</v>
      </c>
    </row>
    <row r="98" spans="1:26" s="27" customFormat="1" outlineLevel="1" collapsed="1" x14ac:dyDescent="0.25">
      <c r="A98" s="26"/>
      <c r="B98" s="13" t="str">
        <f>CONCATENATE("     ","General                                           ")</f>
        <v xml:space="preserve">     General                                           </v>
      </c>
      <c r="C98" s="13"/>
      <c r="D98" s="1">
        <f>SUM(OSRRefD22_7x_0)</f>
        <v>0</v>
      </c>
      <c r="E98" s="1"/>
      <c r="F98" s="5">
        <f t="shared" ref="F98:F105" si="46">IF(D$12=0,0,D98/D$12)</f>
        <v>0</v>
      </c>
      <c r="G98" s="1"/>
      <c r="H98" s="1">
        <f>SUM(OSRRefH22_7x_0)</f>
        <v>0</v>
      </c>
      <c r="I98" s="1"/>
      <c r="J98" s="5">
        <f t="shared" ref="J98:J105" si="47">IF(H$12=0,0,H98/H$12)</f>
        <v>0</v>
      </c>
      <c r="K98" s="1"/>
      <c r="L98" s="1">
        <f t="shared" ref="L98:L105" si="48">+D98-H98</f>
        <v>0</v>
      </c>
      <c r="M98" s="1"/>
      <c r="N98" s="5">
        <f t="shared" ref="N98:N105" si="49">IF(H98=0,0,L98/H98)</f>
        <v>0</v>
      </c>
      <c r="O98" s="13"/>
      <c r="P98" s="1">
        <f>SUM(OSRRefP22_7x_0)</f>
        <v>8253.06</v>
      </c>
      <c r="Q98" s="1"/>
      <c r="R98" s="5">
        <f t="shared" ref="R98:R105" si="50">IF(P$12=0,0,P98/P$12)</f>
        <v>1.706637485121752E-3</v>
      </c>
      <c r="S98" s="1"/>
      <c r="T98" s="1">
        <f>SUM(OSRRefT22_7x_0)</f>
        <v>13000</v>
      </c>
      <c r="U98" s="1"/>
      <c r="V98" s="5">
        <f t="shared" ref="V98:V105" si="51">IF(T$12=0,0,T98/T$12)</f>
        <v>2.4278304067082822E-3</v>
      </c>
      <c r="W98" s="1"/>
      <c r="X98" s="1">
        <f t="shared" ref="X98:X105" si="52">+P98-T98</f>
        <v>-4746.9400000000005</v>
      </c>
      <c r="Y98" s="1"/>
      <c r="Z98" s="5">
        <f t="shared" ref="Z98:Z105" si="53">IF(T98=0,0,X98/T98)</f>
        <v>-0.36514923076923078</v>
      </c>
    </row>
    <row r="99" spans="1:26" s="24" customFormat="1" hidden="1" outlineLevel="2" x14ac:dyDescent="0.25">
      <c r="A99" s="25"/>
      <c r="B99" s="11" t="str">
        <f>CONCATENATE("          ", "6279", " - ", "GENERAL EXPENSE")</f>
        <v xml:space="preserve">          6279 - GENERAL EXPENSE</v>
      </c>
      <c r="C99" s="11"/>
      <c r="D99" s="6"/>
      <c r="E99" s="2"/>
      <c r="F99" s="7">
        <f t="shared" si="46"/>
        <v>0</v>
      </c>
      <c r="G99" s="2"/>
      <c r="H99" s="6"/>
      <c r="I99" s="2"/>
      <c r="J99" s="7">
        <f t="shared" si="47"/>
        <v>0</v>
      </c>
      <c r="K99" s="2"/>
      <c r="L99" s="6">
        <f t="shared" si="48"/>
        <v>0</v>
      </c>
      <c r="M99" s="2"/>
      <c r="N99" s="7">
        <f t="shared" si="49"/>
        <v>0</v>
      </c>
      <c r="O99" s="11"/>
      <c r="P99" s="6">
        <v>8253.06</v>
      </c>
      <c r="Q99" s="2"/>
      <c r="R99" s="7">
        <f t="shared" si="50"/>
        <v>1.706637485121752E-3</v>
      </c>
      <c r="S99" s="2"/>
      <c r="T99" s="6">
        <v>13000</v>
      </c>
      <c r="U99" s="2"/>
      <c r="V99" s="7">
        <f t="shared" si="51"/>
        <v>2.4278304067082822E-3</v>
      </c>
      <c r="W99" s="2"/>
      <c r="X99" s="6">
        <f t="shared" si="52"/>
        <v>-4746.9400000000005</v>
      </c>
      <c r="Y99" s="2"/>
      <c r="Z99" s="7">
        <f t="shared" si="53"/>
        <v>-0.36514923076923078</v>
      </c>
    </row>
    <row r="100" spans="1:26" s="27" customFormat="1" outlineLevel="1" collapsed="1" x14ac:dyDescent="0.25">
      <c r="A100" s="26"/>
      <c r="B100" s="13" t="str">
        <f>CONCATENATE("     ","Inventory Adjustment                              ")</f>
        <v xml:space="preserve">     Inventory Adjustment                              </v>
      </c>
      <c r="C100" s="13"/>
      <c r="D100" s="1">
        <f>SUM(OSRRefD22_8x_0)</f>
        <v>1000</v>
      </c>
      <c r="E100" s="1"/>
      <c r="F100" s="5">
        <f t="shared" si="46"/>
        <v>5.4044442907180287E-2</v>
      </c>
      <c r="G100" s="1"/>
      <c r="H100" s="1">
        <f>SUM(OSRRefH22_8x_0)</f>
        <v>1000</v>
      </c>
      <c r="I100" s="1"/>
      <c r="J100" s="5">
        <f t="shared" si="47"/>
        <v>3.1130342745073623E-2</v>
      </c>
      <c r="K100" s="1"/>
      <c r="L100" s="1">
        <f t="shared" si="48"/>
        <v>0</v>
      </c>
      <c r="M100" s="1"/>
      <c r="N100" s="5">
        <f t="shared" si="49"/>
        <v>0</v>
      </c>
      <c r="O100" s="13"/>
      <c r="P100" s="1">
        <f>SUM(OSRRefP22_8x_0)</f>
        <v>14800</v>
      </c>
      <c r="Q100" s="1"/>
      <c r="R100" s="5">
        <f t="shared" si="50"/>
        <v>3.0604690599367909E-3</v>
      </c>
      <c r="S100" s="1"/>
      <c r="T100" s="1">
        <f>SUM(OSRRefT22_8x_0)</f>
        <v>14800</v>
      </c>
      <c r="U100" s="1"/>
      <c r="V100" s="5">
        <f t="shared" si="51"/>
        <v>2.7639915399448136E-3</v>
      </c>
      <c r="W100" s="1"/>
      <c r="X100" s="1">
        <f t="shared" si="52"/>
        <v>0</v>
      </c>
      <c r="Y100" s="1"/>
      <c r="Z100" s="5">
        <f t="shared" si="53"/>
        <v>0</v>
      </c>
    </row>
    <row r="101" spans="1:26" s="24" customFormat="1" hidden="1" outlineLevel="2" x14ac:dyDescent="0.25">
      <c r="A101" s="25"/>
      <c r="B101" s="11" t="str">
        <f>CONCATENATE("          ", "6408", " - ", "INVENTORY ADJUSTMENT")</f>
        <v xml:space="preserve">          6408 - INVENTORY ADJUSTMENT</v>
      </c>
      <c r="C101" s="11"/>
      <c r="D101" s="6">
        <v>1000</v>
      </c>
      <c r="E101" s="2"/>
      <c r="F101" s="7">
        <f t="shared" si="46"/>
        <v>5.4044442907180287E-2</v>
      </c>
      <c r="G101" s="2"/>
      <c r="H101" s="6">
        <v>1000</v>
      </c>
      <c r="I101" s="2"/>
      <c r="J101" s="7">
        <f t="shared" si="47"/>
        <v>3.1130342745073623E-2</v>
      </c>
      <c r="K101" s="2"/>
      <c r="L101" s="6">
        <f t="shared" si="48"/>
        <v>0</v>
      </c>
      <c r="M101" s="2"/>
      <c r="N101" s="7">
        <f t="shared" si="49"/>
        <v>0</v>
      </c>
      <c r="O101" s="11"/>
      <c r="P101" s="6">
        <v>14800</v>
      </c>
      <c r="Q101" s="2"/>
      <c r="R101" s="7">
        <f t="shared" si="50"/>
        <v>3.0604690599367909E-3</v>
      </c>
      <c r="S101" s="2"/>
      <c r="T101" s="6">
        <v>14800</v>
      </c>
      <c r="U101" s="2"/>
      <c r="V101" s="7">
        <f t="shared" si="51"/>
        <v>2.7639915399448136E-3</v>
      </c>
      <c r="W101" s="2"/>
      <c r="X101" s="6">
        <f t="shared" si="52"/>
        <v>0</v>
      </c>
      <c r="Y101" s="2"/>
      <c r="Z101" s="7">
        <f t="shared" si="53"/>
        <v>0</v>
      </c>
    </row>
    <row r="102" spans="1:26" s="27" customFormat="1" outlineLevel="1" collapsed="1" x14ac:dyDescent="0.25">
      <c r="A102" s="26"/>
      <c r="B102" s="13" t="str">
        <f>CONCATENATE("     ","Repair and Maintenance                            ")</f>
        <v xml:space="preserve">     Repair and Maintenance                            </v>
      </c>
      <c r="C102" s="13"/>
      <c r="D102" s="1">
        <f>SUM(OSRRefD22_9x_0)</f>
        <v>23.52</v>
      </c>
      <c r="E102" s="1"/>
      <c r="F102" s="5">
        <f t="shared" si="46"/>
        <v>1.2711252971768804E-3</v>
      </c>
      <c r="G102" s="1"/>
      <c r="H102" s="1">
        <f>SUM(OSRRefH22_9x_0)</f>
        <v>140</v>
      </c>
      <c r="I102" s="1"/>
      <c r="J102" s="5">
        <f t="shared" si="47"/>
        <v>4.3582479843103069E-3</v>
      </c>
      <c r="K102" s="1"/>
      <c r="L102" s="1">
        <f t="shared" si="48"/>
        <v>-116.48</v>
      </c>
      <c r="M102" s="1"/>
      <c r="N102" s="5">
        <f t="shared" si="49"/>
        <v>-0.83200000000000007</v>
      </c>
      <c r="O102" s="13"/>
      <c r="P102" s="1">
        <f>SUM(OSRRefP22_9x_0)</f>
        <v>210.3</v>
      </c>
      <c r="Q102" s="1"/>
      <c r="R102" s="5">
        <f t="shared" si="50"/>
        <v>4.3487611034101835E-5</v>
      </c>
      <c r="S102" s="1"/>
      <c r="T102" s="1">
        <f>SUM(OSRRefT22_9x_0)</f>
        <v>3260</v>
      </c>
      <c r="U102" s="1"/>
      <c r="V102" s="5">
        <f t="shared" si="51"/>
        <v>6.0882516352838464E-4</v>
      </c>
      <c r="W102" s="1"/>
      <c r="X102" s="1">
        <f t="shared" si="52"/>
        <v>-3049.7</v>
      </c>
      <c r="Y102" s="1"/>
      <c r="Z102" s="5">
        <f t="shared" si="53"/>
        <v>-0.93549079754601216</v>
      </c>
    </row>
    <row r="103" spans="1:26" s="24" customFormat="1" hidden="1" outlineLevel="2" x14ac:dyDescent="0.25">
      <c r="A103" s="25"/>
      <c r="B103" s="11" t="str">
        <f>CONCATENATE("          ", "6372", " - ", "COMPUTER HARDWARE MAINTENANCE")</f>
        <v xml:space="preserve">          6372 - COMPUTER HARDWARE MAINTENANCE</v>
      </c>
      <c r="C103" s="11"/>
      <c r="D103" s="6"/>
      <c r="E103" s="2"/>
      <c r="F103" s="7">
        <f t="shared" si="46"/>
        <v>0</v>
      </c>
      <c r="G103" s="2"/>
      <c r="H103" s="6"/>
      <c r="I103" s="2"/>
      <c r="J103" s="7">
        <f t="shared" si="47"/>
        <v>0</v>
      </c>
      <c r="K103" s="2"/>
      <c r="L103" s="6">
        <f t="shared" si="48"/>
        <v>0</v>
      </c>
      <c r="M103" s="2"/>
      <c r="N103" s="7">
        <f t="shared" si="49"/>
        <v>0</v>
      </c>
      <c r="O103" s="11"/>
      <c r="P103" s="6"/>
      <c r="Q103" s="2"/>
      <c r="R103" s="7">
        <f t="shared" si="50"/>
        <v>0</v>
      </c>
      <c r="S103" s="2"/>
      <c r="T103" s="6">
        <v>2000</v>
      </c>
      <c r="U103" s="2"/>
      <c r="V103" s="7">
        <f t="shared" si="51"/>
        <v>3.7351237026281265E-4</v>
      </c>
      <c r="W103" s="2"/>
      <c r="X103" s="6">
        <f t="shared" si="52"/>
        <v>-2000</v>
      </c>
      <c r="Y103" s="2"/>
      <c r="Z103" s="7">
        <f t="shared" si="53"/>
        <v>-1</v>
      </c>
    </row>
    <row r="104" spans="1:26" s="24" customFormat="1" hidden="1" outlineLevel="2" x14ac:dyDescent="0.25">
      <c r="A104" s="25"/>
      <c r="B104" s="11" t="str">
        <f>CONCATENATE("          ", "6373", " - ", "MAINTENANCE CONTRACTS")</f>
        <v xml:space="preserve">          6373 - MAINTENANCE CONTRACTS</v>
      </c>
      <c r="C104" s="11"/>
      <c r="D104" s="6">
        <v>23.52</v>
      </c>
      <c r="E104" s="2"/>
      <c r="F104" s="7">
        <f t="shared" si="46"/>
        <v>1.2711252971768804E-3</v>
      </c>
      <c r="G104" s="2"/>
      <c r="H104" s="6">
        <v>40</v>
      </c>
      <c r="I104" s="2"/>
      <c r="J104" s="7">
        <f t="shared" si="47"/>
        <v>1.2452137098029449E-3</v>
      </c>
      <c r="K104" s="2"/>
      <c r="L104" s="6">
        <f t="shared" si="48"/>
        <v>-16.48</v>
      </c>
      <c r="M104" s="2"/>
      <c r="N104" s="7">
        <f t="shared" si="49"/>
        <v>-0.41200000000000003</v>
      </c>
      <c r="O104" s="11"/>
      <c r="P104" s="6">
        <v>210.3</v>
      </c>
      <c r="Q104" s="2"/>
      <c r="R104" s="7">
        <f t="shared" si="50"/>
        <v>4.3487611034101835E-5</v>
      </c>
      <c r="S104" s="2"/>
      <c r="T104" s="6">
        <v>360</v>
      </c>
      <c r="U104" s="2"/>
      <c r="V104" s="7">
        <f t="shared" si="51"/>
        <v>6.7232226647306279E-5</v>
      </c>
      <c r="W104" s="2"/>
      <c r="X104" s="6">
        <f t="shared" si="52"/>
        <v>-149.69999999999999</v>
      </c>
      <c r="Y104" s="2"/>
      <c r="Z104" s="7">
        <f t="shared" si="53"/>
        <v>-0.41583333333333328</v>
      </c>
    </row>
    <row r="105" spans="1:26" s="24" customFormat="1" hidden="1" outlineLevel="2" x14ac:dyDescent="0.25">
      <c r="A105" s="25"/>
      <c r="B105" s="11" t="str">
        <f>CONCATENATE("          ", "6375", " - ", "OUTSIDE REPAIRS &amp; MAINTENANCE")</f>
        <v xml:space="preserve">          6375 - OUTSIDE REPAIRS &amp; MAINTENANCE</v>
      </c>
      <c r="C105" s="11"/>
      <c r="D105" s="6"/>
      <c r="E105" s="2"/>
      <c r="F105" s="7">
        <f t="shared" si="46"/>
        <v>0</v>
      </c>
      <c r="G105" s="2"/>
      <c r="H105" s="6">
        <v>100</v>
      </c>
      <c r="I105" s="2"/>
      <c r="J105" s="7">
        <f t="shared" si="47"/>
        <v>3.1130342745073624E-3</v>
      </c>
      <c r="K105" s="2"/>
      <c r="L105" s="6">
        <f t="shared" si="48"/>
        <v>-100</v>
      </c>
      <c r="M105" s="2"/>
      <c r="N105" s="7">
        <f t="shared" si="49"/>
        <v>-1</v>
      </c>
      <c r="O105" s="11"/>
      <c r="P105" s="6"/>
      <c r="Q105" s="2"/>
      <c r="R105" s="7">
        <f t="shared" si="50"/>
        <v>0</v>
      </c>
      <c r="S105" s="2"/>
      <c r="T105" s="6">
        <v>900</v>
      </c>
      <c r="U105" s="2"/>
      <c r="V105" s="7">
        <f t="shared" si="51"/>
        <v>1.6808056661826568E-4</v>
      </c>
      <c r="W105" s="2"/>
      <c r="X105" s="6">
        <f t="shared" si="52"/>
        <v>-900</v>
      </c>
      <c r="Y105" s="2"/>
      <c r="Z105" s="7">
        <f t="shared" si="53"/>
        <v>-1</v>
      </c>
    </row>
    <row r="106" spans="1:26" s="27" customFormat="1" outlineLevel="1" collapsed="1" x14ac:dyDescent="0.25">
      <c r="A106" s="26"/>
      <c r="B106" s="13" t="str">
        <f>CONCATENATE("     ","Subscriptions &amp; Dues                              ")</f>
        <v xml:space="preserve">     Subscriptions &amp; Dues                              </v>
      </c>
      <c r="C106" s="13"/>
      <c r="D106" s="1">
        <f>SUM(OSRRefD22_10x_0)</f>
        <v>626.54</v>
      </c>
      <c r="E106" s="1"/>
      <c r="F106" s="5">
        <f t="shared" ref="F106:F111" si="54">IF(D$12=0,0,D106/D$12)</f>
        <v>3.3861005259064735E-2</v>
      </c>
      <c r="G106" s="1"/>
      <c r="H106" s="1">
        <f>SUM(OSRRefH22_10x_0)</f>
        <v>300</v>
      </c>
      <c r="I106" s="1"/>
      <c r="J106" s="5">
        <f t="shared" ref="J106:J111" si="55">IF(H$12=0,0,H106/H$12)</f>
        <v>9.3391028235220875E-3</v>
      </c>
      <c r="K106" s="1"/>
      <c r="L106" s="1">
        <f t="shared" ref="L106:L111" si="56">+D106-H106</f>
        <v>326.53999999999996</v>
      </c>
      <c r="M106" s="1"/>
      <c r="N106" s="5">
        <f t="shared" ref="N106:N111" si="57">IF(H106=0,0,L106/H106)</f>
        <v>1.0884666666666665</v>
      </c>
      <c r="O106" s="13"/>
      <c r="P106" s="1">
        <f>SUM(OSRRefP22_10x_0)</f>
        <v>2948.48</v>
      </c>
      <c r="Q106" s="1"/>
      <c r="R106" s="5">
        <f t="shared" ref="R106:R111" si="58">IF(P$12=0,0,P106/P$12)</f>
        <v>6.0971160904340737E-4</v>
      </c>
      <c r="S106" s="1"/>
      <c r="T106" s="1">
        <f>SUM(OSRRefT22_10x_0)</f>
        <v>7000</v>
      </c>
      <c r="U106" s="1"/>
      <c r="V106" s="5">
        <f t="shared" ref="V106:V111" si="59">IF(T$12=0,0,T106/T$12)</f>
        <v>1.3072932959198441E-3</v>
      </c>
      <c r="W106" s="1"/>
      <c r="X106" s="1">
        <f t="shared" ref="X106:X111" si="60">+P106-T106</f>
        <v>-4051.52</v>
      </c>
      <c r="Y106" s="1"/>
      <c r="Z106" s="5">
        <f t="shared" ref="Z106:Z111" si="61">IF(T106=0,0,X106/T106)</f>
        <v>-0.57878857142857143</v>
      </c>
    </row>
    <row r="107" spans="1:26" s="24" customFormat="1" hidden="1" outlineLevel="2" x14ac:dyDescent="0.25">
      <c r="A107" s="25"/>
      <c r="B107" s="11" t="str">
        <f>CONCATENATE("          ", "6258", " - ", "MEMBERSHIP DUES")</f>
        <v xml:space="preserve">          6258 - MEMBERSHIP DUES</v>
      </c>
      <c r="C107" s="11"/>
      <c r="D107" s="6">
        <v>626.54</v>
      </c>
      <c r="E107" s="2"/>
      <c r="F107" s="7">
        <f t="shared" si="54"/>
        <v>3.3861005259064735E-2</v>
      </c>
      <c r="G107" s="2"/>
      <c r="H107" s="6">
        <v>300</v>
      </c>
      <c r="I107" s="2"/>
      <c r="J107" s="7">
        <f t="shared" si="55"/>
        <v>9.3391028235220875E-3</v>
      </c>
      <c r="K107" s="2"/>
      <c r="L107" s="6">
        <f t="shared" si="56"/>
        <v>326.53999999999996</v>
      </c>
      <c r="M107" s="2"/>
      <c r="N107" s="7">
        <f t="shared" si="57"/>
        <v>1.0884666666666665</v>
      </c>
      <c r="O107" s="11"/>
      <c r="P107" s="6">
        <v>2948.48</v>
      </c>
      <c r="Q107" s="2"/>
      <c r="R107" s="7">
        <f t="shared" si="58"/>
        <v>6.0971160904340737E-4</v>
      </c>
      <c r="S107" s="2"/>
      <c r="T107" s="6">
        <v>7000</v>
      </c>
      <c r="U107" s="2"/>
      <c r="V107" s="7">
        <f t="shared" si="59"/>
        <v>1.3072932959198441E-3</v>
      </c>
      <c r="W107" s="2"/>
      <c r="X107" s="6">
        <f t="shared" si="60"/>
        <v>-4051.52</v>
      </c>
      <c r="Y107" s="2"/>
      <c r="Z107" s="7">
        <f t="shared" si="61"/>
        <v>-0.57878857142857143</v>
      </c>
    </row>
    <row r="108" spans="1:26" s="27" customFormat="1" outlineLevel="1" collapsed="1" x14ac:dyDescent="0.25">
      <c r="A108" s="26"/>
      <c r="B108" s="13" t="str">
        <f>CONCATENATE("     ","Supplies                                          ")</f>
        <v xml:space="preserve">     Supplies                                          </v>
      </c>
      <c r="C108" s="13"/>
      <c r="D108" s="1">
        <f>SUM(OSRRefD22_11x_0)</f>
        <v>82.71</v>
      </c>
      <c r="E108" s="1"/>
      <c r="F108" s="5">
        <f t="shared" si="54"/>
        <v>4.470015872852881E-3</v>
      </c>
      <c r="G108" s="1"/>
      <c r="H108" s="1">
        <f>SUM(OSRRefH22_11x_0)</f>
        <v>1200</v>
      </c>
      <c r="I108" s="1"/>
      <c r="J108" s="5">
        <f t="shared" si="55"/>
        <v>3.735641129408835E-2</v>
      </c>
      <c r="K108" s="1"/>
      <c r="L108" s="1">
        <f t="shared" si="56"/>
        <v>-1117.29</v>
      </c>
      <c r="M108" s="1"/>
      <c r="N108" s="5">
        <f t="shared" si="57"/>
        <v>-0.93107499999999999</v>
      </c>
      <c r="O108" s="13"/>
      <c r="P108" s="1">
        <f>SUM(OSRRefP22_11x_0)</f>
        <v>11119.900000000001</v>
      </c>
      <c r="Q108" s="1"/>
      <c r="R108" s="5">
        <f t="shared" si="58"/>
        <v>2.2994668851075086E-3</v>
      </c>
      <c r="S108" s="1"/>
      <c r="T108" s="1">
        <f>SUM(OSRRefT22_11x_0)</f>
        <v>18050</v>
      </c>
      <c r="U108" s="1"/>
      <c r="V108" s="5">
        <f t="shared" si="59"/>
        <v>3.3709491416218842E-3</v>
      </c>
      <c r="W108" s="1"/>
      <c r="X108" s="1">
        <f t="shared" si="60"/>
        <v>-6930.0999999999985</v>
      </c>
      <c r="Y108" s="1"/>
      <c r="Z108" s="5">
        <f t="shared" si="61"/>
        <v>-0.38393905817174506</v>
      </c>
    </row>
    <row r="109" spans="1:26" s="24" customFormat="1" hidden="1" outlineLevel="2" x14ac:dyDescent="0.25">
      <c r="A109" s="25"/>
      <c r="B109" s="11" t="str">
        <f>CONCATENATE("          ", "6241", " - ", "OFFICE EXPENSE")</f>
        <v xml:space="preserve">          6241 - OFFICE EXPENSE</v>
      </c>
      <c r="C109" s="11"/>
      <c r="D109" s="6">
        <v>82.71</v>
      </c>
      <c r="E109" s="2"/>
      <c r="F109" s="7">
        <f t="shared" si="54"/>
        <v>4.470015872852881E-3</v>
      </c>
      <c r="G109" s="2"/>
      <c r="H109" s="6">
        <v>300</v>
      </c>
      <c r="I109" s="2"/>
      <c r="J109" s="7">
        <f t="shared" si="55"/>
        <v>9.3391028235220875E-3</v>
      </c>
      <c r="K109" s="2"/>
      <c r="L109" s="6">
        <f t="shared" si="56"/>
        <v>-217.29000000000002</v>
      </c>
      <c r="M109" s="2"/>
      <c r="N109" s="7">
        <f t="shared" si="57"/>
        <v>-0.72430000000000005</v>
      </c>
      <c r="O109" s="11"/>
      <c r="P109" s="6">
        <v>4027.86</v>
      </c>
      <c r="Q109" s="2"/>
      <c r="R109" s="7">
        <f t="shared" si="58"/>
        <v>8.3291492619979755E-4</v>
      </c>
      <c r="S109" s="2"/>
      <c r="T109" s="6">
        <v>7250</v>
      </c>
      <c r="U109" s="2"/>
      <c r="V109" s="7">
        <f t="shared" si="59"/>
        <v>1.3539823422026958E-3</v>
      </c>
      <c r="W109" s="2"/>
      <c r="X109" s="6">
        <f t="shared" si="60"/>
        <v>-3222.14</v>
      </c>
      <c r="Y109" s="2"/>
      <c r="Z109" s="7">
        <f t="shared" si="61"/>
        <v>-0.44443310344827586</v>
      </c>
    </row>
    <row r="110" spans="1:26" s="24" customFormat="1" hidden="1" outlineLevel="2" x14ac:dyDescent="0.25">
      <c r="A110" s="25"/>
      <c r="B110" s="11" t="str">
        <f>CONCATENATE("          ", "6245", " - ", "PRINTING")</f>
        <v xml:space="preserve">          6245 - PRINTING</v>
      </c>
      <c r="C110" s="11"/>
      <c r="D110" s="6"/>
      <c r="E110" s="2"/>
      <c r="F110" s="7">
        <f t="shared" si="54"/>
        <v>0</v>
      </c>
      <c r="G110" s="2"/>
      <c r="H110" s="6">
        <v>100</v>
      </c>
      <c r="I110" s="2"/>
      <c r="J110" s="7">
        <f t="shared" si="55"/>
        <v>3.1130342745073624E-3</v>
      </c>
      <c r="K110" s="2"/>
      <c r="L110" s="6">
        <f t="shared" si="56"/>
        <v>-100</v>
      </c>
      <c r="M110" s="2"/>
      <c r="N110" s="7">
        <f t="shared" si="57"/>
        <v>-1</v>
      </c>
      <c r="O110" s="11"/>
      <c r="P110" s="6">
        <v>4978.08</v>
      </c>
      <c r="Q110" s="2"/>
      <c r="R110" s="7">
        <f t="shared" si="58"/>
        <v>1.0294094471547392E-3</v>
      </c>
      <c r="S110" s="2"/>
      <c r="T110" s="6">
        <v>2100</v>
      </c>
      <c r="U110" s="2"/>
      <c r="V110" s="7">
        <f t="shared" si="59"/>
        <v>3.9218798877595326E-4</v>
      </c>
      <c r="W110" s="2"/>
      <c r="X110" s="6">
        <f t="shared" si="60"/>
        <v>2878.08</v>
      </c>
      <c r="Y110" s="2"/>
      <c r="Z110" s="7">
        <f t="shared" si="61"/>
        <v>1.3705142857142856</v>
      </c>
    </row>
    <row r="111" spans="1:26" s="24" customFormat="1" hidden="1" outlineLevel="2" x14ac:dyDescent="0.25">
      <c r="A111" s="25"/>
      <c r="B111" s="11" t="str">
        <f>CONCATENATE("          ", "6247", " - ", "STORE SUPPLIES")</f>
        <v xml:space="preserve">          6247 - STORE SUPPLIES</v>
      </c>
      <c r="C111" s="11"/>
      <c r="D111" s="6"/>
      <c r="E111" s="2"/>
      <c r="F111" s="7">
        <f t="shared" si="54"/>
        <v>0</v>
      </c>
      <c r="G111" s="2"/>
      <c r="H111" s="6">
        <v>800</v>
      </c>
      <c r="I111" s="2"/>
      <c r="J111" s="7">
        <f t="shared" si="55"/>
        <v>2.4904274196058899E-2</v>
      </c>
      <c r="K111" s="2"/>
      <c r="L111" s="6">
        <f t="shared" si="56"/>
        <v>-800</v>
      </c>
      <c r="M111" s="2"/>
      <c r="N111" s="7">
        <f t="shared" si="57"/>
        <v>-1</v>
      </c>
      <c r="O111" s="11"/>
      <c r="P111" s="6">
        <v>2113.96</v>
      </c>
      <c r="Q111" s="2"/>
      <c r="R111" s="7">
        <f t="shared" si="58"/>
        <v>4.3714251175297155E-4</v>
      </c>
      <c r="S111" s="2"/>
      <c r="T111" s="6">
        <v>8700</v>
      </c>
      <c r="U111" s="2"/>
      <c r="V111" s="7">
        <f t="shared" si="59"/>
        <v>1.6247788106432349E-3</v>
      </c>
      <c r="W111" s="2"/>
      <c r="X111" s="6">
        <f t="shared" si="60"/>
        <v>-6586.04</v>
      </c>
      <c r="Y111" s="2"/>
      <c r="Z111" s="7">
        <f t="shared" si="61"/>
        <v>-0.75701609195402297</v>
      </c>
    </row>
    <row r="112" spans="1:26" s="27" customFormat="1" outlineLevel="1" collapsed="1" x14ac:dyDescent="0.25">
      <c r="A112" s="26"/>
      <c r="B112" s="13" t="str">
        <f>CONCATENATE("     ","Telephone/Data Lines                              ")</f>
        <v xml:space="preserve">     Telephone/Data Lines                              </v>
      </c>
      <c r="C112" s="13"/>
      <c r="D112" s="1">
        <f>SUM(OSRRefD22_12x_0)</f>
        <v>471.4</v>
      </c>
      <c r="E112" s="1"/>
      <c r="F112" s="5">
        <f t="shared" ref="F112:F114" si="62">IF(D$12=0,0,D112/D$12)</f>
        <v>2.5476550386444786E-2</v>
      </c>
      <c r="G112" s="1"/>
      <c r="H112" s="1">
        <f>SUM(OSRRefH22_12x_0)</f>
        <v>600</v>
      </c>
      <c r="I112" s="1"/>
      <c r="J112" s="5">
        <f t="shared" ref="J112:J114" si="63">IF(H$12=0,0,H112/H$12)</f>
        <v>1.8678205647044175E-2</v>
      </c>
      <c r="K112" s="1"/>
      <c r="L112" s="1">
        <f t="shared" ref="L112:L114" si="64">+D112-H112</f>
        <v>-128.60000000000002</v>
      </c>
      <c r="M112" s="1"/>
      <c r="N112" s="5">
        <f t="shared" ref="N112:N114" si="65">IF(H112=0,0,L112/H112)</f>
        <v>-0.21433333333333338</v>
      </c>
      <c r="O112" s="13"/>
      <c r="P112" s="1">
        <f>SUM(OSRRefP22_12x_0)</f>
        <v>6671.64</v>
      </c>
      <c r="Q112" s="1"/>
      <c r="R112" s="5">
        <f t="shared" ref="R112:R114" si="66">IF(P$12=0,0,P112/P$12)</f>
        <v>1.3796180945295064E-3</v>
      </c>
      <c r="S112" s="1"/>
      <c r="T112" s="1">
        <f>SUM(OSRRefT22_12x_0)</f>
        <v>7700</v>
      </c>
      <c r="U112" s="1"/>
      <c r="V112" s="5">
        <f t="shared" ref="V112:V114" si="67">IF(T$12=0,0,T112/T$12)</f>
        <v>1.4380226255118287E-3</v>
      </c>
      <c r="W112" s="1"/>
      <c r="X112" s="1">
        <f t="shared" ref="X112:X114" si="68">+P112-T112</f>
        <v>-1028.3599999999997</v>
      </c>
      <c r="Y112" s="1"/>
      <c r="Z112" s="5">
        <f t="shared" ref="Z112:Z114" si="69">IF(T112=0,0,X112/T112)</f>
        <v>-0.1335532467532467</v>
      </c>
    </row>
    <row r="113" spans="1:26" s="24" customFormat="1" hidden="1" outlineLevel="2" x14ac:dyDescent="0.25">
      <c r="A113" s="25"/>
      <c r="B113" s="11" t="str">
        <f>CONCATENATE("          ", "6303", " - ", "DATA PHONE LINES")</f>
        <v xml:space="preserve">          6303 - DATA PHONE LINES</v>
      </c>
      <c r="C113" s="11"/>
      <c r="D113" s="6"/>
      <c r="E113" s="2"/>
      <c r="F113" s="7">
        <f t="shared" si="62"/>
        <v>0</v>
      </c>
      <c r="G113" s="2"/>
      <c r="H113" s="6">
        <v>300</v>
      </c>
      <c r="I113" s="2"/>
      <c r="J113" s="7">
        <f t="shared" si="63"/>
        <v>9.3391028235220875E-3</v>
      </c>
      <c r="K113" s="2"/>
      <c r="L113" s="6">
        <f t="shared" si="64"/>
        <v>-300</v>
      </c>
      <c r="M113" s="2"/>
      <c r="N113" s="7">
        <f t="shared" si="65"/>
        <v>-1</v>
      </c>
      <c r="O113" s="11"/>
      <c r="P113" s="6">
        <v>2360</v>
      </c>
      <c r="Q113" s="2"/>
      <c r="R113" s="7">
        <f t="shared" si="66"/>
        <v>4.8802074198992071E-4</v>
      </c>
      <c r="S113" s="2"/>
      <c r="T113" s="6">
        <v>2700</v>
      </c>
      <c r="U113" s="2"/>
      <c r="V113" s="7">
        <f t="shared" si="67"/>
        <v>5.0424169985479705E-4</v>
      </c>
      <c r="W113" s="2"/>
      <c r="X113" s="6">
        <f t="shared" si="68"/>
        <v>-340</v>
      </c>
      <c r="Y113" s="2"/>
      <c r="Z113" s="7">
        <f t="shared" si="69"/>
        <v>-0.12592592592592591</v>
      </c>
    </row>
    <row r="114" spans="1:26" s="24" customFormat="1" hidden="1" outlineLevel="2" x14ac:dyDescent="0.25">
      <c r="A114" s="25"/>
      <c r="B114" s="11" t="str">
        <f>CONCATENATE("          ", "6309", " - ", "TELEPHONE")</f>
        <v xml:space="preserve">          6309 - TELEPHONE</v>
      </c>
      <c r="C114" s="11"/>
      <c r="D114" s="6">
        <v>471.4</v>
      </c>
      <c r="E114" s="2"/>
      <c r="F114" s="7">
        <f t="shared" si="62"/>
        <v>2.5476550386444786E-2</v>
      </c>
      <c r="G114" s="2"/>
      <c r="H114" s="6">
        <v>300</v>
      </c>
      <c r="I114" s="2"/>
      <c r="J114" s="7">
        <f t="shared" si="63"/>
        <v>9.3391028235220875E-3</v>
      </c>
      <c r="K114" s="2"/>
      <c r="L114" s="6">
        <f t="shared" si="64"/>
        <v>171.39999999999998</v>
      </c>
      <c r="M114" s="2"/>
      <c r="N114" s="7">
        <f t="shared" si="65"/>
        <v>0.57133333333333325</v>
      </c>
      <c r="O114" s="11"/>
      <c r="P114" s="6">
        <v>4311.6400000000003</v>
      </c>
      <c r="Q114" s="2"/>
      <c r="R114" s="7">
        <f t="shared" si="66"/>
        <v>8.9159735253958557E-4</v>
      </c>
      <c r="S114" s="2"/>
      <c r="T114" s="6">
        <v>5000</v>
      </c>
      <c r="U114" s="2"/>
      <c r="V114" s="7">
        <f t="shared" si="67"/>
        <v>9.3378092565703165E-4</v>
      </c>
      <c r="W114" s="2"/>
      <c r="X114" s="6">
        <f t="shared" si="68"/>
        <v>-688.35999999999967</v>
      </c>
      <c r="Y114" s="2"/>
      <c r="Z114" s="7">
        <f t="shared" si="69"/>
        <v>-0.13767199999999993</v>
      </c>
    </row>
    <row r="115" spans="1:26" s="27" customFormat="1" outlineLevel="1" collapsed="1" x14ac:dyDescent="0.25">
      <c r="A115" s="26"/>
      <c r="B115" s="13" t="str">
        <f>CONCATENATE("     ","Training                                          ")</f>
        <v xml:space="preserve">     Training                                          </v>
      </c>
      <c r="C115" s="13"/>
      <c r="D115" s="1">
        <f>SUM(OSRRefD22_13x_0)</f>
        <v>896.8</v>
      </c>
      <c r="E115" s="1"/>
      <c r="F115" s="5">
        <f t="shared" ref="F115:F119" si="70">IF(D$12=0,0,D115/D$12)</f>
        <v>4.8467056399159276E-2</v>
      </c>
      <c r="G115" s="1"/>
      <c r="H115" s="1">
        <f>SUM(OSRRefH22_13x_0)</f>
        <v>1100</v>
      </c>
      <c r="I115" s="1"/>
      <c r="J115" s="5">
        <f t="shared" ref="J115:J119" si="71">IF(H$12=0,0,H115/H$12)</f>
        <v>3.4243377019580988E-2</v>
      </c>
      <c r="K115" s="1"/>
      <c r="L115" s="1">
        <f t="shared" ref="L115:L119" si="72">+D115-H115</f>
        <v>-203.20000000000005</v>
      </c>
      <c r="M115" s="1"/>
      <c r="N115" s="5">
        <f t="shared" ref="N115:N119" si="73">IF(H115=0,0,L115/H115)</f>
        <v>-0.18472727272727277</v>
      </c>
      <c r="O115" s="13"/>
      <c r="P115" s="1">
        <f>SUM(OSRRefP22_13x_0)</f>
        <v>4157.1499999999996</v>
      </c>
      <c r="Q115" s="1"/>
      <c r="R115" s="5">
        <f t="shared" ref="R115:R119" si="74">IF(P$12=0,0,P115/P$12)</f>
        <v>8.596506048997452E-4</v>
      </c>
      <c r="S115" s="1"/>
      <c r="T115" s="1">
        <f>SUM(OSRRefT22_13x_0)</f>
        <v>5000</v>
      </c>
      <c r="U115" s="1"/>
      <c r="V115" s="5">
        <f t="shared" ref="V115:V119" si="75">IF(T$12=0,0,T115/T$12)</f>
        <v>9.3378092565703165E-4</v>
      </c>
      <c r="W115" s="1"/>
      <c r="X115" s="1">
        <f t="shared" ref="X115:X119" si="76">+P115-T115</f>
        <v>-842.85000000000036</v>
      </c>
      <c r="Y115" s="1"/>
      <c r="Z115" s="5">
        <f t="shared" ref="Z115:Z119" si="77">IF(T115=0,0,X115/T115)</f>
        <v>-0.16857000000000008</v>
      </c>
    </row>
    <row r="116" spans="1:26" s="24" customFormat="1" hidden="1" outlineLevel="2" x14ac:dyDescent="0.25">
      <c r="A116" s="25"/>
      <c r="B116" s="11" t="str">
        <f>CONCATENATE("          ", "6376", " - ", "TRAINING")</f>
        <v xml:space="preserve">          6376 - TRAINING</v>
      </c>
      <c r="C116" s="11"/>
      <c r="D116" s="6">
        <v>896.8</v>
      </c>
      <c r="E116" s="2"/>
      <c r="F116" s="7">
        <f t="shared" si="70"/>
        <v>4.8467056399159276E-2</v>
      </c>
      <c r="G116" s="2"/>
      <c r="H116" s="6">
        <v>1100</v>
      </c>
      <c r="I116" s="2"/>
      <c r="J116" s="7">
        <f t="shared" si="71"/>
        <v>3.4243377019580988E-2</v>
      </c>
      <c r="K116" s="2"/>
      <c r="L116" s="6">
        <f t="shared" si="72"/>
        <v>-203.20000000000005</v>
      </c>
      <c r="M116" s="2"/>
      <c r="N116" s="7">
        <f t="shared" si="73"/>
        <v>-0.18472727272727277</v>
      </c>
      <c r="O116" s="11"/>
      <c r="P116" s="6">
        <v>4157.1499999999996</v>
      </c>
      <c r="Q116" s="2"/>
      <c r="R116" s="7">
        <f t="shared" si="74"/>
        <v>8.596506048997452E-4</v>
      </c>
      <c r="S116" s="2"/>
      <c r="T116" s="6">
        <v>5000</v>
      </c>
      <c r="U116" s="2"/>
      <c r="V116" s="7">
        <f t="shared" si="75"/>
        <v>9.3378092565703165E-4</v>
      </c>
      <c r="W116" s="2"/>
      <c r="X116" s="6">
        <f t="shared" si="76"/>
        <v>-842.85000000000036</v>
      </c>
      <c r="Y116" s="2"/>
      <c r="Z116" s="7">
        <f t="shared" si="77"/>
        <v>-0.16857000000000008</v>
      </c>
    </row>
    <row r="117" spans="1:26" s="27" customFormat="1" outlineLevel="1" collapsed="1" x14ac:dyDescent="0.25">
      <c r="A117" s="26"/>
      <c r="B117" s="13" t="str">
        <f>CONCATENATE("     ","Travel                                            ")</f>
        <v xml:space="preserve">     Travel                                            </v>
      </c>
      <c r="C117" s="13"/>
      <c r="D117" s="1">
        <f>SUM(OSRRefD22_14x_0)</f>
        <v>0</v>
      </c>
      <c r="E117" s="1"/>
      <c r="F117" s="5">
        <f t="shared" si="70"/>
        <v>0</v>
      </c>
      <c r="G117" s="1"/>
      <c r="H117" s="1">
        <f>SUM(OSRRefH22_14x_0)</f>
        <v>0</v>
      </c>
      <c r="I117" s="1"/>
      <c r="J117" s="5">
        <f t="shared" si="71"/>
        <v>0</v>
      </c>
      <c r="K117" s="1"/>
      <c r="L117" s="1">
        <f t="shared" si="72"/>
        <v>0</v>
      </c>
      <c r="M117" s="1"/>
      <c r="N117" s="5">
        <f t="shared" si="73"/>
        <v>0</v>
      </c>
      <c r="O117" s="13"/>
      <c r="P117" s="1">
        <f>SUM(OSRRefP22_14x_0)</f>
        <v>83.93</v>
      </c>
      <c r="Q117" s="1"/>
      <c r="R117" s="5">
        <f t="shared" si="74"/>
        <v>1.7355754608141546E-5</v>
      </c>
      <c r="S117" s="1"/>
      <c r="T117" s="1">
        <f>SUM(OSRRefT22_14x_0)</f>
        <v>550</v>
      </c>
      <c r="U117" s="1"/>
      <c r="V117" s="5">
        <f t="shared" si="75"/>
        <v>1.0271590182227348E-4</v>
      </c>
      <c r="W117" s="1"/>
      <c r="X117" s="1">
        <f t="shared" si="76"/>
        <v>-466.07</v>
      </c>
      <c r="Y117" s="1"/>
      <c r="Z117" s="5">
        <f t="shared" si="77"/>
        <v>-0.84740000000000004</v>
      </c>
    </row>
    <row r="118" spans="1:26" s="24" customFormat="1" hidden="1" outlineLevel="2" x14ac:dyDescent="0.25">
      <c r="A118" s="25"/>
      <c r="B118" s="11" t="str">
        <f>CONCATENATE("          ", "6292", " - ", "TRAVEL/CONFERENCE")</f>
        <v xml:space="preserve">          6292 - TRAVEL/CONFERENCE</v>
      </c>
      <c r="C118" s="11"/>
      <c r="D118" s="6"/>
      <c r="E118" s="2"/>
      <c r="F118" s="7">
        <f t="shared" si="70"/>
        <v>0</v>
      </c>
      <c r="G118" s="2"/>
      <c r="H118" s="6"/>
      <c r="I118" s="2"/>
      <c r="J118" s="7">
        <f t="shared" si="71"/>
        <v>0</v>
      </c>
      <c r="K118" s="2"/>
      <c r="L118" s="6">
        <f t="shared" si="72"/>
        <v>0</v>
      </c>
      <c r="M118" s="2"/>
      <c r="N118" s="7">
        <f t="shared" si="73"/>
        <v>0</v>
      </c>
      <c r="O118" s="11"/>
      <c r="P118" s="6">
        <v>83.93</v>
      </c>
      <c r="Q118" s="2"/>
      <c r="R118" s="7">
        <f t="shared" si="74"/>
        <v>1.7355754608141546E-5</v>
      </c>
      <c r="S118" s="2"/>
      <c r="T118" s="6"/>
      <c r="U118" s="2"/>
      <c r="V118" s="7">
        <f t="shared" si="75"/>
        <v>0</v>
      </c>
      <c r="W118" s="2"/>
      <c r="X118" s="6">
        <f t="shared" si="76"/>
        <v>83.93</v>
      </c>
      <c r="Y118" s="2"/>
      <c r="Z118" s="7">
        <f t="shared" si="77"/>
        <v>0</v>
      </c>
    </row>
    <row r="119" spans="1:26" s="24" customFormat="1" hidden="1" outlineLevel="2" x14ac:dyDescent="0.25">
      <c r="A119" s="25"/>
      <c r="B119" s="11" t="str">
        <f>CONCATENATE("          ", "6298", " - ", "VEHICLE MILEAGE")</f>
        <v xml:space="preserve">          6298 - VEHICLE MILEAGE</v>
      </c>
      <c r="C119" s="11"/>
      <c r="D119" s="6"/>
      <c r="E119" s="2"/>
      <c r="F119" s="7">
        <f t="shared" si="70"/>
        <v>0</v>
      </c>
      <c r="G119" s="2"/>
      <c r="H119" s="6"/>
      <c r="I119" s="2"/>
      <c r="J119" s="7">
        <f t="shared" si="71"/>
        <v>0</v>
      </c>
      <c r="K119" s="2"/>
      <c r="L119" s="6">
        <f t="shared" si="72"/>
        <v>0</v>
      </c>
      <c r="M119" s="2"/>
      <c r="N119" s="7">
        <f t="shared" si="73"/>
        <v>0</v>
      </c>
      <c r="O119" s="11"/>
      <c r="P119" s="6"/>
      <c r="Q119" s="2"/>
      <c r="R119" s="7">
        <f t="shared" si="74"/>
        <v>0</v>
      </c>
      <c r="S119" s="2"/>
      <c r="T119" s="6">
        <v>550</v>
      </c>
      <c r="U119" s="2"/>
      <c r="V119" s="7">
        <f t="shared" si="75"/>
        <v>1.0271590182227348E-4</v>
      </c>
      <c r="W119" s="2"/>
      <c r="X119" s="6">
        <f t="shared" si="76"/>
        <v>-550</v>
      </c>
      <c r="Y119" s="2"/>
      <c r="Z119" s="7">
        <f t="shared" si="77"/>
        <v>-1</v>
      </c>
    </row>
    <row r="120" spans="1:26" s="56" customFormat="1" x14ac:dyDescent="0.25">
      <c r="A120" s="36"/>
      <c r="B120" s="36"/>
      <c r="C120" s="36"/>
      <c r="D120" s="1"/>
      <c r="E120" s="1"/>
      <c r="F120" s="5"/>
      <c r="G120" s="1"/>
      <c r="H120" s="1"/>
      <c r="I120" s="1"/>
      <c r="J120" s="5"/>
      <c r="K120" s="1"/>
      <c r="L120" s="1"/>
      <c r="M120" s="1"/>
      <c r="N120" s="5"/>
      <c r="O120" s="36"/>
      <c r="P120" s="1"/>
      <c r="Q120" s="1"/>
      <c r="R120" s="5"/>
      <c r="S120" s="1"/>
      <c r="T120" s="1"/>
      <c r="U120" s="1"/>
      <c r="V120" s="5"/>
      <c r="W120" s="1"/>
      <c r="X120" s="1"/>
      <c r="Y120" s="1"/>
      <c r="Z120" s="5"/>
    </row>
    <row r="121" spans="1:26" s="23" customFormat="1" collapsed="1" x14ac:dyDescent="0.25">
      <c r="A121" s="10"/>
      <c r="B121" s="29" t="s">
        <v>0</v>
      </c>
      <c r="C121" s="10"/>
      <c r="D121" s="4">
        <f>SUM(OSRRefD25x_0)</f>
        <v>117.11</v>
      </c>
      <c r="E121" s="4"/>
      <c r="F121" s="12">
        <f t="shared" ref="F121:F125" si="78">IF(D$12=0,0,D121/D$12)</f>
        <v>6.3291447088598832E-3</v>
      </c>
      <c r="G121" s="4"/>
      <c r="H121" s="4">
        <f>SUM(OSRRefH25x_0)</f>
        <v>600</v>
      </c>
      <c r="I121" s="4"/>
      <c r="J121" s="12">
        <f t="shared" ref="J121:J125" si="79">IF(H$12=0,0,H121/H$12)</f>
        <v>1.8678205647044175E-2</v>
      </c>
      <c r="K121" s="4"/>
      <c r="L121" s="4">
        <f t="shared" ref="L121:L125" si="80">+D121-H121</f>
        <v>-482.89</v>
      </c>
      <c r="M121" s="4"/>
      <c r="N121" s="12">
        <f t="shared" ref="N121:N125" si="81">IF(H121=0,0,L121/H121)</f>
        <v>-0.80481666666666662</v>
      </c>
      <c r="O121" s="10"/>
      <c r="P121" s="4">
        <f>SUM(OSRRefP25x_0)</f>
        <v>187856.39999999997</v>
      </c>
      <c r="Q121" s="4"/>
      <c r="R121" s="12">
        <f t="shared" ref="R121:R125" si="82">IF(P$12=0,0,P121/P$12)</f>
        <v>3.8846533777777678E-2</v>
      </c>
      <c r="S121" s="4"/>
      <c r="T121" s="4">
        <f>SUM(OSRRefT25x_0)</f>
        <v>173750</v>
      </c>
      <c r="U121" s="4"/>
      <c r="V121" s="12">
        <f t="shared" ref="V121:V125" si="83">IF(T$12=0,0,T121/T$12)</f>
        <v>3.2448887166581848E-2</v>
      </c>
      <c r="W121" s="4"/>
      <c r="X121" s="4">
        <f t="shared" ref="X121:X125" si="84">+P121-T121</f>
        <v>14106.399999999965</v>
      </c>
      <c r="Y121" s="4"/>
      <c r="Z121" s="12">
        <f t="shared" ref="Z121:Z125" si="85">IF(T121=0,0,X121/T121)</f>
        <v>8.118791366906454E-2</v>
      </c>
    </row>
    <row r="122" spans="1:26" s="24" customFormat="1" hidden="1" outlineLevel="1" x14ac:dyDescent="0.25">
      <c r="A122" s="44"/>
      <c r="B122" s="11" t="str">
        <f>CONCATENATE("          ", "9150", " - ", "MISC. INCOME")</f>
        <v xml:space="preserve">          9150 - MISC. INCOME</v>
      </c>
      <c r="C122" s="11"/>
      <c r="D122" s="2">
        <f>--117.11</f>
        <v>117.11</v>
      </c>
      <c r="E122" s="2"/>
      <c r="F122" s="19">
        <f t="shared" si="78"/>
        <v>6.3291447088598832E-3</v>
      </c>
      <c r="G122" s="2"/>
      <c r="H122" s="2"/>
      <c r="I122" s="2"/>
      <c r="J122" s="19">
        <f t="shared" si="79"/>
        <v>0</v>
      </c>
      <c r="K122" s="2"/>
      <c r="L122" s="2">
        <f t="shared" si="80"/>
        <v>117.11</v>
      </c>
      <c r="M122" s="2"/>
      <c r="N122" s="19">
        <f t="shared" si="81"/>
        <v>0</v>
      </c>
      <c r="O122" s="11"/>
      <c r="P122" s="2">
        <f>--20412.24</f>
        <v>20412.240000000002</v>
      </c>
      <c r="Q122" s="2"/>
      <c r="R122" s="19">
        <f t="shared" si="82"/>
        <v>4.2210154705408223E-3</v>
      </c>
      <c r="S122" s="2"/>
      <c r="T122" s="2"/>
      <c r="U122" s="2"/>
      <c r="V122" s="19">
        <f t="shared" si="83"/>
        <v>0</v>
      </c>
      <c r="W122" s="2"/>
      <c r="X122" s="2">
        <f t="shared" si="84"/>
        <v>20412.240000000002</v>
      </c>
      <c r="Y122" s="2"/>
      <c r="Z122" s="19">
        <f t="shared" si="85"/>
        <v>0</v>
      </c>
    </row>
    <row r="123" spans="1:26" s="24" customFormat="1" hidden="1" outlineLevel="1" x14ac:dyDescent="0.25">
      <c r="A123" s="44"/>
      <c r="B123" s="11" t="str">
        <f>CONCATENATE("          ", "9151", " - ", "MISC. INCOME")</f>
        <v xml:space="preserve">          9151 - MISC. INCOME</v>
      </c>
      <c r="C123" s="11"/>
      <c r="D123" s="2">
        <f t="shared" ref="D123:D125" si="86">0</f>
        <v>0</v>
      </c>
      <c r="E123" s="2"/>
      <c r="F123" s="19">
        <f t="shared" si="78"/>
        <v>0</v>
      </c>
      <c r="G123" s="2"/>
      <c r="H123" s="2"/>
      <c r="I123" s="2"/>
      <c r="J123" s="19">
        <f t="shared" si="79"/>
        <v>0</v>
      </c>
      <c r="K123" s="2"/>
      <c r="L123" s="2">
        <f t="shared" si="80"/>
        <v>0</v>
      </c>
      <c r="M123" s="2"/>
      <c r="N123" s="19">
        <f t="shared" si="81"/>
        <v>0</v>
      </c>
      <c r="O123" s="11"/>
      <c r="P123" s="2">
        <f>--162744.3</f>
        <v>162744.29999999999</v>
      </c>
      <c r="Q123" s="2"/>
      <c r="R123" s="19">
        <f t="shared" si="82"/>
        <v>3.3653641542639938E-2</v>
      </c>
      <c r="S123" s="2"/>
      <c r="T123" s="2"/>
      <c r="U123" s="2"/>
      <c r="V123" s="19">
        <f t="shared" si="83"/>
        <v>0</v>
      </c>
      <c r="W123" s="2"/>
      <c r="X123" s="2">
        <f t="shared" si="84"/>
        <v>162744.29999999999</v>
      </c>
      <c r="Y123" s="2"/>
      <c r="Z123" s="19">
        <f t="shared" si="85"/>
        <v>0</v>
      </c>
    </row>
    <row r="124" spans="1:26" s="24" customFormat="1" hidden="1" outlineLevel="1" x14ac:dyDescent="0.25">
      <c r="A124" s="44"/>
      <c r="B124" s="11" t="str">
        <f>CONCATENATE("          ", "9152", " - ", "MISC. INCOME")</f>
        <v xml:space="preserve">          9152 - MISC. INCOME</v>
      </c>
      <c r="C124" s="11"/>
      <c r="D124" s="2">
        <f t="shared" si="86"/>
        <v>0</v>
      </c>
      <c r="E124" s="2"/>
      <c r="F124" s="19">
        <f t="shared" si="78"/>
        <v>0</v>
      </c>
      <c r="G124" s="2"/>
      <c r="H124" s="2"/>
      <c r="I124" s="2"/>
      <c r="J124" s="19">
        <f t="shared" si="79"/>
        <v>0</v>
      </c>
      <c r="K124" s="2"/>
      <c r="L124" s="2">
        <f t="shared" si="80"/>
        <v>0</v>
      </c>
      <c r="M124" s="2"/>
      <c r="N124" s="19">
        <f t="shared" si="81"/>
        <v>0</v>
      </c>
      <c r="O124" s="11"/>
      <c r="P124" s="2">
        <f>--4699.86</f>
        <v>4699.8599999999997</v>
      </c>
      <c r="Q124" s="2"/>
      <c r="R124" s="19">
        <f t="shared" si="82"/>
        <v>9.7187676459692743E-4</v>
      </c>
      <c r="S124" s="2"/>
      <c r="T124" s="2"/>
      <c r="U124" s="2"/>
      <c r="V124" s="19">
        <f t="shared" si="83"/>
        <v>0</v>
      </c>
      <c r="W124" s="2"/>
      <c r="X124" s="2">
        <f t="shared" si="84"/>
        <v>4699.8599999999997</v>
      </c>
      <c r="Y124" s="2"/>
      <c r="Z124" s="19">
        <f t="shared" si="85"/>
        <v>0</v>
      </c>
    </row>
    <row r="125" spans="1:26" s="24" customFormat="1" hidden="1" outlineLevel="1" x14ac:dyDescent="0.25">
      <c r="A125" s="44"/>
      <c r="B125" s="11" t="str">
        <f>CONCATENATE("          ", "9160", " - ", "MISC. INCOME")</f>
        <v xml:space="preserve">          9160 - MISC. INCOME</v>
      </c>
      <c r="C125" s="11"/>
      <c r="D125" s="2">
        <f t="shared" si="86"/>
        <v>0</v>
      </c>
      <c r="E125" s="2"/>
      <c r="F125" s="19">
        <f t="shared" si="78"/>
        <v>0</v>
      </c>
      <c r="G125" s="2"/>
      <c r="H125" s="2">
        <v>600</v>
      </c>
      <c r="I125" s="2"/>
      <c r="J125" s="19">
        <f t="shared" si="79"/>
        <v>1.8678205647044175E-2</v>
      </c>
      <c r="K125" s="2"/>
      <c r="L125" s="2">
        <f t="shared" si="80"/>
        <v>-600</v>
      </c>
      <c r="M125" s="2"/>
      <c r="N125" s="19">
        <f t="shared" si="81"/>
        <v>-1</v>
      </c>
      <c r="O125" s="11"/>
      <c r="P125" s="2">
        <f>0</f>
        <v>0</v>
      </c>
      <c r="Q125" s="2"/>
      <c r="R125" s="19">
        <f t="shared" si="82"/>
        <v>0</v>
      </c>
      <c r="S125" s="2"/>
      <c r="T125" s="2">
        <v>173750</v>
      </c>
      <c r="U125" s="2"/>
      <c r="V125" s="19">
        <f t="shared" si="83"/>
        <v>3.2448887166581848E-2</v>
      </c>
      <c r="W125" s="2"/>
      <c r="X125" s="2">
        <f t="shared" si="84"/>
        <v>-173750</v>
      </c>
      <c r="Y125" s="2"/>
      <c r="Z125" s="19">
        <f t="shared" si="85"/>
        <v>-1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x14ac:dyDescent="0.25">
      <c r="A127" s="10"/>
      <c r="B127" s="28" t="s">
        <v>3</v>
      </c>
      <c r="C127" s="28"/>
      <c r="D127" s="20">
        <f>+D61-D63+D121</f>
        <v>-36175.550000000061</v>
      </c>
      <c r="E127" s="14"/>
      <c r="F127" s="22">
        <f>IF(D$12=0,0,D127/D$12)</f>
        <v>-1.9550874466108492</v>
      </c>
      <c r="G127" s="14"/>
      <c r="H127" s="20">
        <f>+H61-H63+H121</f>
        <v>-36708.345163297869</v>
      </c>
      <c r="I127" s="14"/>
      <c r="J127" s="22">
        <f>IF(H$12=0,0,H127/H$12)</f>
        <v>-1.1427433665379283</v>
      </c>
      <c r="K127" s="16"/>
      <c r="L127" s="20">
        <f>+D127-H127</f>
        <v>532.79516329780745</v>
      </c>
      <c r="M127" s="16"/>
      <c r="N127" s="22">
        <f>IF(H127=0,0,L127/H127)</f>
        <v>-1.4514278999166446E-2</v>
      </c>
      <c r="O127" s="29"/>
      <c r="P127" s="20">
        <f>+P61-P63+P121</f>
        <v>1140197.6099999994</v>
      </c>
      <c r="Q127" s="14"/>
      <c r="R127" s="22">
        <f>IF(P$12=0,0,P127/P$12)</f>
        <v>0.23577969646073474</v>
      </c>
      <c r="S127" s="14"/>
      <c r="T127" s="20">
        <f>+T61-T63+T121</f>
        <v>1159485.3260106957</v>
      </c>
      <c r="U127" s="14"/>
      <c r="V127" s="22">
        <f>IF(T$12=0,0,T127/T$12)</f>
        <v>0.21654105620160249</v>
      </c>
      <c r="W127" s="16"/>
      <c r="X127" s="20">
        <f>+P127-T127</f>
        <v>-19287.716010696255</v>
      </c>
      <c r="Y127" s="16"/>
      <c r="Z127" s="22">
        <f>IF(T127=0,0,X127/T127)</f>
        <v>-1.6634721956384928E-2</v>
      </c>
    </row>
    <row r="128" spans="1:26" x14ac:dyDescent="0.25">
      <c r="A128" s="9"/>
      <c r="B128" s="10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25">
      <c r="A129" s="52"/>
      <c r="B129" s="10" t="s">
        <v>14</v>
      </c>
      <c r="C129" s="10"/>
      <c r="D129" s="4">
        <v>27190.21</v>
      </c>
      <c r="E129" s="4"/>
      <c r="F129" s="12">
        <f>IF(D$12=0,0,D129/D$12)</f>
        <v>1.4694797519792424</v>
      </c>
      <c r="G129" s="4"/>
      <c r="H129" s="4">
        <v>-14130</v>
      </c>
      <c r="I129" s="4"/>
      <c r="J129" s="12">
        <f>IF(H$12=0,0,H129/H$12)</f>
        <v>-0.43987174298789028</v>
      </c>
      <c r="K129" s="4"/>
      <c r="L129" s="4">
        <f>+D129-H129</f>
        <v>41320.21</v>
      </c>
      <c r="M129" s="4"/>
      <c r="N129" s="12">
        <f>IF(H129=0,0,L129/H129)</f>
        <v>-2.9242894550601557</v>
      </c>
      <c r="O129" s="10"/>
      <c r="P129" s="4">
        <v>518174.12000000005</v>
      </c>
      <c r="Q129" s="4"/>
      <c r="R129" s="12">
        <f>IF(P$12=0,0,P129/P$12)</f>
        <v>0.10715242310270096</v>
      </c>
      <c r="S129" s="4"/>
      <c r="T129" s="4">
        <v>625899</v>
      </c>
      <c r="U129" s="4"/>
      <c r="V129" s="12">
        <f>IF(T$12=0,0,T129/T$12)</f>
        <v>0.11689050951756208</v>
      </c>
      <c r="W129" s="4"/>
      <c r="X129" s="4">
        <f>+P129-T129</f>
        <v>-107724.87999999995</v>
      </c>
      <c r="Y129" s="4"/>
      <c r="Z129" s="12">
        <f>IF(T129=0,0,X129/T129)</f>
        <v>-0.17211224175146461</v>
      </c>
    </row>
    <row r="130" spans="1:26" x14ac:dyDescent="0.25">
      <c r="A130" s="9"/>
      <c r="B130" s="10"/>
      <c r="C130" s="10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O130" s="10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8" t="s">
        <v>4</v>
      </c>
      <c r="C131" s="28"/>
      <c r="D131" s="31">
        <f>+D127-D129</f>
        <v>-63365.76000000006</v>
      </c>
      <c r="E131" s="14"/>
      <c r="F131" s="34">
        <f>IF(D$12=0,0,D131/D$12)</f>
        <v>-3.4245671985900916</v>
      </c>
      <c r="G131" s="14"/>
      <c r="H131" s="31">
        <f>+H127-H129</f>
        <v>-22578.345163297869</v>
      </c>
      <c r="I131" s="14"/>
      <c r="J131" s="34">
        <f>IF(H$12=0,0,H131/H$12)</f>
        <v>-0.70287162355003796</v>
      </c>
      <c r="K131" s="16"/>
      <c r="L131" s="31">
        <f>D131-H131</f>
        <v>-40787.414836702192</v>
      </c>
      <c r="M131" s="16"/>
      <c r="N131" s="34">
        <f>IF(H131=0,0,L131/H131)</f>
        <v>1.8064838030292847</v>
      </c>
      <c r="O131" s="29"/>
      <c r="P131" s="31">
        <f>+P127-P129</f>
        <v>622023.48999999929</v>
      </c>
      <c r="Q131" s="14"/>
      <c r="R131" s="34">
        <f>IF(P$12=0,0,P131/P$12)</f>
        <v>0.12862727335803376</v>
      </c>
      <c r="S131" s="14"/>
      <c r="T131" s="31">
        <f>+T127-T129</f>
        <v>533586.32601069566</v>
      </c>
      <c r="U131" s="14"/>
      <c r="V131" s="34">
        <f>IF(T$12=0,0,T131/T$12)</f>
        <v>9.96505466840404E-2</v>
      </c>
      <c r="W131" s="16"/>
      <c r="X131" s="31">
        <f>P131-T131</f>
        <v>88437.163989303634</v>
      </c>
      <c r="Y131" s="16"/>
      <c r="Z131" s="34">
        <f>IF(T131=0,0,X131/T131)</f>
        <v>0.1657410613395871</v>
      </c>
    </row>
    <row r="132" spans="1:26" ht="15.75" thickTop="1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8" t="s">
        <v>5</v>
      </c>
      <c r="C134" s="28"/>
      <c r="D134" s="32">
        <f>SUM(D131:D133)</f>
        <v>-63365.76000000006</v>
      </c>
      <c r="E134" s="14"/>
      <c r="F134" s="35">
        <f>IF(D$12=0,0,D134/D$12)</f>
        <v>-3.4245671985900916</v>
      </c>
      <c r="G134" s="14"/>
      <c r="H134" s="32">
        <f>SUM(H131:H133)</f>
        <v>-22578.345163297869</v>
      </c>
      <c r="I134" s="14"/>
      <c r="J134" s="35">
        <f>IF(H$12=0,0,H134/H$12)</f>
        <v>-0.70287162355003796</v>
      </c>
      <c r="K134" s="16"/>
      <c r="L134" s="32">
        <f>+D134-H134</f>
        <v>-40787.414836702192</v>
      </c>
      <c r="M134" s="16"/>
      <c r="N134" s="35">
        <f>IF(H134=0,0,L134/H134)</f>
        <v>1.8064838030292847</v>
      </c>
      <c r="O134" s="29"/>
      <c r="P134" s="32">
        <f>SUM(P131:P133)</f>
        <v>622023.48999999929</v>
      </c>
      <c r="Q134" s="14"/>
      <c r="R134" s="35">
        <f>IF(P$12=0,0,P134/P$12)</f>
        <v>0.12862727335803376</v>
      </c>
      <c r="S134" s="14"/>
      <c r="T134" s="32">
        <f>SUM(T131:T133)</f>
        <v>533586.32601069566</v>
      </c>
      <c r="U134" s="14"/>
      <c r="V134" s="35">
        <f>IF(T$12=0,0,T134/T$12)</f>
        <v>9.96505466840404E-2</v>
      </c>
      <c r="W134" s="16"/>
      <c r="X134" s="32">
        <f>+P134-T134</f>
        <v>88437.163989303634</v>
      </c>
      <c r="Y134" s="16"/>
      <c r="Z134" s="35">
        <f>IF(T134=0,0,X134/T134)</f>
        <v>0.1657410613395871</v>
      </c>
    </row>
    <row r="135" spans="1:26" ht="15.75" thickTop="1" x14ac:dyDescent="0.25">
      <c r="A135" s="9"/>
      <c r="C135" s="9"/>
      <c r="D135" s="18"/>
      <c r="E135" s="18"/>
      <c r="G135" s="18"/>
      <c r="H135" s="18"/>
      <c r="I135" s="18"/>
      <c r="J135" s="42"/>
      <c r="K135" s="18"/>
      <c r="L135" s="18"/>
      <c r="M135" s="18"/>
      <c r="P135" s="18"/>
      <c r="Q135" s="18"/>
      <c r="R135" s="42"/>
      <c r="S135" s="18"/>
      <c r="T135" s="18"/>
      <c r="U135" s="18"/>
      <c r="V135" s="42"/>
      <c r="W135" s="18"/>
      <c r="X135" s="18"/>
    </row>
    <row r="136" spans="1:26" x14ac:dyDescent="0.25">
      <c r="A136" s="9"/>
      <c r="B136" s="57">
        <v>43934.465969675926</v>
      </c>
      <c r="D136" s="18"/>
      <c r="E136" s="18"/>
      <c r="G136" s="18"/>
      <c r="H136" s="18"/>
      <c r="I136" s="18"/>
      <c r="J136" s="42"/>
      <c r="K136" s="18"/>
      <c r="L136" s="18"/>
      <c r="M136" s="18"/>
      <c r="P136" s="18"/>
      <c r="Q136" s="18"/>
      <c r="R136" s="42"/>
      <c r="S136" s="18"/>
      <c r="T136" s="18"/>
      <c r="U136" s="18"/>
      <c r="V136" s="42"/>
      <c r="W136" s="18"/>
      <c r="X136" s="18"/>
    </row>
    <row r="137" spans="1:26" x14ac:dyDescent="0.25">
      <c r="A137" s="9"/>
      <c r="B137" s="62" t="s">
        <v>314</v>
      </c>
      <c r="D137" s="18"/>
      <c r="E137" s="18"/>
      <c r="G137" s="18"/>
      <c r="H137" s="18"/>
      <c r="I137" s="18"/>
      <c r="J137" s="42"/>
      <c r="K137" s="18"/>
      <c r="L137" s="18"/>
      <c r="M137" s="18"/>
      <c r="P137" s="18"/>
      <c r="Q137" s="18"/>
      <c r="R137" s="42"/>
      <c r="S137" s="18"/>
      <c r="T137" s="18"/>
      <c r="U137" s="18"/>
      <c r="V137" s="42"/>
      <c r="W137" s="18"/>
      <c r="X137" s="18"/>
    </row>
    <row r="138" spans="1:26" x14ac:dyDescent="0.25">
      <c r="A138" s="9"/>
      <c r="B138" s="60"/>
      <c r="D138" s="18"/>
      <c r="E138" s="18"/>
      <c r="G138" s="18"/>
      <c r="H138" s="18"/>
      <c r="I138" s="18"/>
      <c r="J138" s="42"/>
      <c r="K138" s="18"/>
      <c r="L138" s="18"/>
      <c r="M138" s="18"/>
      <c r="P138" s="18"/>
      <c r="Q138" s="18"/>
      <c r="R138" s="42"/>
      <c r="S138" s="18"/>
      <c r="T138" s="18"/>
      <c r="U138" s="18"/>
      <c r="V138" s="42"/>
      <c r="W138" s="18"/>
      <c r="X138" s="18"/>
    </row>
    <row r="139" spans="1:26" x14ac:dyDescent="0.25">
      <c r="D139" s="18"/>
      <c r="E139" s="18"/>
      <c r="G139" s="18"/>
      <c r="H139" s="18"/>
      <c r="I139" s="18"/>
      <c r="J139" s="42"/>
      <c r="K139" s="18"/>
      <c r="L139" s="18"/>
      <c r="M139" s="18"/>
      <c r="P139" s="18"/>
      <c r="Q139" s="18"/>
      <c r="R139" s="42"/>
      <c r="S139" s="18"/>
      <c r="T139" s="18"/>
      <c r="U139" s="18"/>
      <c r="V139" s="42"/>
      <c r="W139" s="18"/>
      <c r="X139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","311", " - ", "Textbooks")</f>
        <v>Department 311 - Textbooks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14579.810000000001</v>
      </c>
      <c r="E12" s="4"/>
      <c r="F12" s="12"/>
      <c r="G12" s="4"/>
      <c r="H12" s="4">
        <f>SUM(OSRRefH13x_0)</f>
        <v>23486</v>
      </c>
      <c r="I12" s="4"/>
      <c r="J12" s="12"/>
      <c r="K12" s="4"/>
      <c r="L12" s="4">
        <f t="shared" ref="L12:L40" si="0">+D12-H12</f>
        <v>-8906.1899999999987</v>
      </c>
      <c r="M12" s="4"/>
      <c r="N12" s="12">
        <f t="shared" ref="N12:N40" si="1">IF(H12=0,0,L12/H12)</f>
        <v>-0.37921272247296256</v>
      </c>
      <c r="O12" s="10"/>
      <c r="P12" s="4">
        <f>SUM(OSRRefP13x_0)</f>
        <v>3288304.4299999997</v>
      </c>
      <c r="Q12" s="4"/>
      <c r="R12" s="12"/>
      <c r="S12" s="4"/>
      <c r="T12" s="4">
        <f>SUM(OSRRefT13x_0)</f>
        <v>3325968</v>
      </c>
      <c r="U12" s="4"/>
      <c r="V12" s="12"/>
      <c r="W12" s="4"/>
      <c r="X12" s="4">
        <f t="shared" ref="X12:X40" si="2">+P12-T12</f>
        <v>-37663.570000000298</v>
      </c>
      <c r="Y12" s="4"/>
      <c r="Z12" s="12">
        <f t="shared" ref="Z12:Z40" si="3">IF(T12=0,0,X12/T12)</f>
        <v>-1.1324092715263736E-2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--4855.96</f>
        <v>4855.96</v>
      </c>
      <c r="E13" s="2"/>
      <c r="F13" s="19"/>
      <c r="G13" s="2"/>
      <c r="H13" s="2"/>
      <c r="I13" s="2"/>
      <c r="J13" s="19"/>
      <c r="K13" s="2"/>
      <c r="L13" s="2">
        <f t="shared" si="0"/>
        <v>4855.96</v>
      </c>
      <c r="M13" s="2"/>
      <c r="N13" s="19">
        <f t="shared" si="1"/>
        <v>0</v>
      </c>
      <c r="O13" s="11"/>
      <c r="P13" s="2">
        <f>--1988621.52</f>
        <v>1988621.52</v>
      </c>
      <c r="Q13" s="2"/>
      <c r="R13" s="19"/>
      <c r="S13" s="2"/>
      <c r="T13" s="2"/>
      <c r="U13" s="2"/>
      <c r="V13" s="19"/>
      <c r="W13" s="2"/>
      <c r="X13" s="2">
        <f t="shared" si="2"/>
        <v>1988621.52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--3266.15</f>
        <v>3266.15</v>
      </c>
      <c r="E14" s="2"/>
      <c r="F14" s="19"/>
      <c r="G14" s="2"/>
      <c r="H14" s="2"/>
      <c r="I14" s="2"/>
      <c r="J14" s="19"/>
      <c r="K14" s="2"/>
      <c r="L14" s="2">
        <f t="shared" si="0"/>
        <v>3266.15</v>
      </c>
      <c r="M14" s="2"/>
      <c r="N14" s="19">
        <f t="shared" si="1"/>
        <v>0</v>
      </c>
      <c r="O14" s="11"/>
      <c r="P14" s="2">
        <f>--679343.5</f>
        <v>679343.5</v>
      </c>
      <c r="Q14" s="2"/>
      <c r="R14" s="19"/>
      <c r="S14" s="2"/>
      <c r="T14" s="2"/>
      <c r="U14" s="2"/>
      <c r="V14" s="19"/>
      <c r="W14" s="2"/>
      <c r="X14" s="2">
        <f t="shared" si="2"/>
        <v>679343.5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--78</f>
        <v>78</v>
      </c>
      <c r="E15" s="2"/>
      <c r="F15" s="19"/>
      <c r="G15" s="2"/>
      <c r="H15" s="2"/>
      <c r="I15" s="2"/>
      <c r="J15" s="19"/>
      <c r="K15" s="2"/>
      <c r="L15" s="2">
        <f t="shared" si="0"/>
        <v>78</v>
      </c>
      <c r="M15" s="2"/>
      <c r="N15" s="19">
        <f t="shared" si="1"/>
        <v>0</v>
      </c>
      <c r="O15" s="11"/>
      <c r="P15" s="2">
        <f>--33694.89</f>
        <v>33694.89</v>
      </c>
      <c r="Q15" s="2"/>
      <c r="R15" s="19"/>
      <c r="S15" s="2"/>
      <c r="T15" s="2"/>
      <c r="U15" s="2"/>
      <c r="V15" s="19"/>
      <c r="W15" s="2"/>
      <c r="X15" s="2">
        <f t="shared" si="2"/>
        <v>33694.89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--42195.3</f>
        <v>42195.3</v>
      </c>
      <c r="Q16" s="2"/>
      <c r="R16" s="19"/>
      <c r="S16" s="2"/>
      <c r="T16" s="2"/>
      <c r="U16" s="2"/>
      <c r="V16" s="19"/>
      <c r="W16" s="2"/>
      <c r="X16" s="2">
        <f t="shared" si="2"/>
        <v>42195.3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--253.6</f>
        <v>253.6</v>
      </c>
      <c r="E17" s="2"/>
      <c r="F17" s="19"/>
      <c r="G17" s="2"/>
      <c r="H17" s="2"/>
      <c r="I17" s="2"/>
      <c r="J17" s="19"/>
      <c r="K17" s="2"/>
      <c r="L17" s="2">
        <f t="shared" si="0"/>
        <v>253.6</v>
      </c>
      <c r="M17" s="2"/>
      <c r="N17" s="19">
        <f t="shared" si="1"/>
        <v>0</v>
      </c>
      <c r="O17" s="11"/>
      <c r="P17" s="2">
        <f>--1052.48</f>
        <v>1052.48</v>
      </c>
      <c r="Q17" s="2"/>
      <c r="R17" s="19"/>
      <c r="S17" s="2"/>
      <c r="T17" s="2"/>
      <c r="U17" s="2"/>
      <c r="V17" s="19"/>
      <c r="W17" s="2"/>
      <c r="X17" s="2">
        <f t="shared" si="2"/>
        <v>1052.48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--412.75</f>
        <v>412.75</v>
      </c>
      <c r="E18" s="2"/>
      <c r="F18" s="19"/>
      <c r="G18" s="2"/>
      <c r="H18" s="2"/>
      <c r="I18" s="2"/>
      <c r="J18" s="19"/>
      <c r="K18" s="2"/>
      <c r="L18" s="2">
        <f t="shared" si="0"/>
        <v>412.75</v>
      </c>
      <c r="M18" s="2"/>
      <c r="N18" s="19">
        <f t="shared" si="1"/>
        <v>0</v>
      </c>
      <c r="O18" s="11"/>
      <c r="P18" s="2">
        <f>--2695</f>
        <v>2695</v>
      </c>
      <c r="Q18" s="2"/>
      <c r="R18" s="19"/>
      <c r="S18" s="2"/>
      <c r="T18" s="2"/>
      <c r="U18" s="2"/>
      <c r="V18" s="19"/>
      <c r="W18" s="2"/>
      <c r="X18" s="2">
        <f t="shared" si="2"/>
        <v>2695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--67.24</f>
        <v>67.239999999999995</v>
      </c>
      <c r="E19" s="2"/>
      <c r="F19" s="19"/>
      <c r="G19" s="2"/>
      <c r="H19" s="2"/>
      <c r="I19" s="2"/>
      <c r="J19" s="19"/>
      <c r="K19" s="2"/>
      <c r="L19" s="2">
        <f t="shared" si="0"/>
        <v>67.239999999999995</v>
      </c>
      <c r="M19" s="2"/>
      <c r="N19" s="19">
        <f t="shared" si="1"/>
        <v>0</v>
      </c>
      <c r="O19" s="11"/>
      <c r="P19" s="2">
        <f>--1219.18</f>
        <v>1219.18</v>
      </c>
      <c r="Q19" s="2"/>
      <c r="R19" s="19"/>
      <c r="S19" s="2"/>
      <c r="T19" s="2"/>
      <c r="U19" s="2"/>
      <c r="V19" s="19"/>
      <c r="W19" s="2"/>
      <c r="X19" s="2">
        <f t="shared" si="2"/>
        <v>1219.18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--56.6</f>
        <v>56.6</v>
      </c>
      <c r="E20" s="2"/>
      <c r="F20" s="19"/>
      <c r="G20" s="2"/>
      <c r="H20" s="2"/>
      <c r="I20" s="2"/>
      <c r="J20" s="19"/>
      <c r="K20" s="2"/>
      <c r="L20" s="2">
        <f t="shared" si="0"/>
        <v>56.6</v>
      </c>
      <c r="M20" s="2"/>
      <c r="N20" s="19">
        <f t="shared" si="1"/>
        <v>0</v>
      </c>
      <c r="O20" s="11"/>
      <c r="P20" s="2">
        <f>--4154.31</f>
        <v>4154.3100000000004</v>
      </c>
      <c r="Q20" s="2"/>
      <c r="R20" s="19"/>
      <c r="S20" s="2"/>
      <c r="T20" s="2"/>
      <c r="U20" s="2"/>
      <c r="V20" s="19"/>
      <c r="W20" s="2"/>
      <c r="X20" s="2">
        <f t="shared" si="2"/>
        <v>4154.3100000000004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23486</v>
      </c>
      <c r="I21" s="2"/>
      <c r="J21" s="19"/>
      <c r="K21" s="2"/>
      <c r="L21" s="2">
        <f t="shared" si="0"/>
        <v>-23486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3325968</v>
      </c>
      <c r="U21" s="2"/>
      <c r="V21" s="19"/>
      <c r="W21" s="2"/>
      <c r="X21" s="2">
        <f t="shared" si="2"/>
        <v>-3325968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--2453.65</f>
        <v>2453.65</v>
      </c>
      <c r="E22" s="2"/>
      <c r="F22" s="19"/>
      <c r="G22" s="2"/>
      <c r="H22" s="2"/>
      <c r="I22" s="2"/>
      <c r="J22" s="19"/>
      <c r="K22" s="2"/>
      <c r="L22" s="2">
        <f t="shared" si="0"/>
        <v>2453.65</v>
      </c>
      <c r="M22" s="2"/>
      <c r="N22" s="19">
        <f t="shared" si="1"/>
        <v>0</v>
      </c>
      <c r="O22" s="11"/>
      <c r="P22" s="2">
        <f>--142191.42</f>
        <v>142191.42000000001</v>
      </c>
      <c r="Q22" s="2"/>
      <c r="R22" s="19"/>
      <c r="S22" s="2"/>
      <c r="T22" s="2"/>
      <c r="U22" s="2"/>
      <c r="V22" s="19"/>
      <c r="W22" s="2"/>
      <c r="X22" s="2">
        <f t="shared" si="2"/>
        <v>142191.42000000001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--388.84</f>
        <v>388.84</v>
      </c>
      <c r="E23" s="2"/>
      <c r="F23" s="19"/>
      <c r="G23" s="2"/>
      <c r="H23" s="2"/>
      <c r="I23" s="2"/>
      <c r="J23" s="19"/>
      <c r="K23" s="2"/>
      <c r="L23" s="2">
        <f t="shared" si="0"/>
        <v>388.84</v>
      </c>
      <c r="M23" s="2"/>
      <c r="N23" s="19">
        <f t="shared" si="1"/>
        <v>0</v>
      </c>
      <c r="O23" s="11"/>
      <c r="P23" s="2">
        <f>--68855.7</f>
        <v>68855.7</v>
      </c>
      <c r="Q23" s="2"/>
      <c r="R23" s="19"/>
      <c r="S23" s="2"/>
      <c r="T23" s="2"/>
      <c r="U23" s="2"/>
      <c r="V23" s="19"/>
      <c r="W23" s="2"/>
      <c r="X23" s="2">
        <f t="shared" si="2"/>
        <v>68855.7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--664.97</f>
        <v>664.97</v>
      </c>
      <c r="Q24" s="2"/>
      <c r="R24" s="19"/>
      <c r="S24" s="2"/>
      <c r="T24" s="2"/>
      <c r="U24" s="2"/>
      <c r="V24" s="19"/>
      <c r="W24" s="2"/>
      <c r="X24" s="2">
        <f t="shared" si="2"/>
        <v>664.97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--961.31</f>
        <v>961.31</v>
      </c>
      <c r="E25" s="2"/>
      <c r="F25" s="19"/>
      <c r="G25" s="2"/>
      <c r="H25" s="2"/>
      <c r="I25" s="2"/>
      <c r="J25" s="19"/>
      <c r="K25" s="2"/>
      <c r="L25" s="2">
        <f t="shared" si="0"/>
        <v>961.31</v>
      </c>
      <c r="M25" s="2"/>
      <c r="N25" s="19">
        <f t="shared" si="1"/>
        <v>0</v>
      </c>
      <c r="O25" s="11"/>
      <c r="P25" s="2">
        <f>--524351.65</f>
        <v>524351.65</v>
      </c>
      <c r="Q25" s="2"/>
      <c r="R25" s="19"/>
      <c r="S25" s="2"/>
      <c r="T25" s="2"/>
      <c r="U25" s="2"/>
      <c r="V25" s="19"/>
      <c r="W25" s="2"/>
      <c r="X25" s="2">
        <f t="shared" si="2"/>
        <v>524351.65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--369.34</f>
        <v>369.34</v>
      </c>
      <c r="E26" s="2"/>
      <c r="F26" s="19"/>
      <c r="G26" s="2"/>
      <c r="H26" s="2"/>
      <c r="I26" s="2"/>
      <c r="J26" s="19"/>
      <c r="K26" s="2"/>
      <c r="L26" s="2">
        <f t="shared" si="0"/>
        <v>369.34</v>
      </c>
      <c r="M26" s="2"/>
      <c r="N26" s="19">
        <f t="shared" si="1"/>
        <v>0</v>
      </c>
      <c r="O26" s="11"/>
      <c r="P26" s="2">
        <f>--14729.33</f>
        <v>14729.33</v>
      </c>
      <c r="Q26" s="2"/>
      <c r="R26" s="19"/>
      <c r="S26" s="2"/>
      <c r="T26" s="2"/>
      <c r="U26" s="2"/>
      <c r="V26" s="19"/>
      <c r="W26" s="2"/>
      <c r="X26" s="2">
        <f t="shared" si="2"/>
        <v>14729.33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>--2440</f>
        <v>2440</v>
      </c>
      <c r="E27" s="2"/>
      <c r="F27" s="19"/>
      <c r="G27" s="2"/>
      <c r="H27" s="2"/>
      <c r="I27" s="2"/>
      <c r="J27" s="19"/>
      <c r="K27" s="2"/>
      <c r="L27" s="2">
        <f t="shared" si="0"/>
        <v>2440</v>
      </c>
      <c r="M27" s="2"/>
      <c r="N27" s="19">
        <f t="shared" si="1"/>
        <v>0</v>
      </c>
      <c r="O27" s="11"/>
      <c r="P27" s="2">
        <f>--5801.92</f>
        <v>5801.92</v>
      </c>
      <c r="Q27" s="2"/>
      <c r="R27" s="19"/>
      <c r="S27" s="2"/>
      <c r="T27" s="2"/>
      <c r="U27" s="2"/>
      <c r="V27" s="19"/>
      <c r="W27" s="2"/>
      <c r="X27" s="2">
        <f t="shared" si="2"/>
        <v>5801.92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>--7.02</f>
        <v>7.02</v>
      </c>
      <c r="E28" s="2"/>
      <c r="F28" s="19"/>
      <c r="G28" s="2"/>
      <c r="H28" s="2"/>
      <c r="I28" s="2"/>
      <c r="J28" s="19"/>
      <c r="K28" s="2"/>
      <c r="L28" s="2">
        <f t="shared" si="0"/>
        <v>7.02</v>
      </c>
      <c r="M28" s="2"/>
      <c r="N28" s="19">
        <f t="shared" si="1"/>
        <v>0</v>
      </c>
      <c r="O28" s="11"/>
      <c r="P28" s="2">
        <f>--68.92</f>
        <v>68.92</v>
      </c>
      <c r="Q28" s="2"/>
      <c r="R28" s="19"/>
      <c r="S28" s="2"/>
      <c r="T28" s="2"/>
      <c r="U28" s="2"/>
      <c r="V28" s="19"/>
      <c r="W28" s="2"/>
      <c r="X28" s="2">
        <f t="shared" si="2"/>
        <v>68.92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-420.3</f>
        <v>-420.3</v>
      </c>
      <c r="E29" s="2"/>
      <c r="F29" s="19"/>
      <c r="G29" s="2"/>
      <c r="H29" s="2"/>
      <c r="I29" s="2"/>
      <c r="J29" s="19"/>
      <c r="K29" s="2"/>
      <c r="L29" s="2">
        <f t="shared" si="0"/>
        <v>-420.3</v>
      </c>
      <c r="M29" s="2"/>
      <c r="N29" s="19">
        <f t="shared" si="1"/>
        <v>0</v>
      </c>
      <c r="O29" s="11"/>
      <c r="P29" s="2">
        <f>-121160.71</f>
        <v>-121160.71</v>
      </c>
      <c r="Q29" s="2"/>
      <c r="R29" s="19"/>
      <c r="S29" s="2"/>
      <c r="T29" s="2"/>
      <c r="U29" s="2"/>
      <c r="V29" s="19"/>
      <c r="W29" s="2"/>
      <c r="X29" s="2">
        <f t="shared" si="2"/>
        <v>-121160.71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-133.45</f>
        <v>-133.44999999999999</v>
      </c>
      <c r="E30" s="2"/>
      <c r="F30" s="19"/>
      <c r="G30" s="2"/>
      <c r="H30" s="2"/>
      <c r="I30" s="2"/>
      <c r="J30" s="19"/>
      <c r="K30" s="2"/>
      <c r="L30" s="2">
        <f t="shared" si="0"/>
        <v>-133.44999999999999</v>
      </c>
      <c r="M30" s="2"/>
      <c r="N30" s="19">
        <f t="shared" si="1"/>
        <v>0</v>
      </c>
      <c r="O30" s="11"/>
      <c r="P30" s="2">
        <f>-45520.76</f>
        <v>-45520.76</v>
      </c>
      <c r="Q30" s="2"/>
      <c r="R30" s="19"/>
      <c r="S30" s="2"/>
      <c r="T30" s="2"/>
      <c r="U30" s="2"/>
      <c r="V30" s="19"/>
      <c r="W30" s="2"/>
      <c r="X30" s="2">
        <f t="shared" si="2"/>
        <v>-45520.76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"4203", " - ", "SALES RETURN TAXABLE-RENTAL TE")</f>
        <v xml:space="preserve">          4203 - SALES RETURN TAXABLE-RENTAL TE</v>
      </c>
      <c r="C31" s="11"/>
      <c r="D31" s="2">
        <f t="shared" ref="D31:D32" si="4">0</f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-144.99</f>
        <v>-144.99</v>
      </c>
      <c r="Q31" s="2"/>
      <c r="R31" s="19"/>
      <c r="S31" s="2"/>
      <c r="T31" s="2"/>
      <c r="U31" s="2"/>
      <c r="V31" s="19"/>
      <c r="W31" s="2"/>
      <c r="X31" s="2">
        <f t="shared" si="2"/>
        <v>-144.99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"4204", " - ", "SALES RETURN TAXABLE-DIGITAL T")</f>
        <v xml:space="preserve">          4204 - SALES RETURN TAXABLE-DIGITAL T</v>
      </c>
      <c r="C32" s="11"/>
      <c r="D32" s="2">
        <f t="shared" si="4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-17255.33</f>
        <v>-17255.330000000002</v>
      </c>
      <c r="Q32" s="2"/>
      <c r="R32" s="19"/>
      <c r="S32" s="2"/>
      <c r="T32" s="2"/>
      <c r="U32" s="2"/>
      <c r="V32" s="19"/>
      <c r="W32" s="2"/>
      <c r="X32" s="2">
        <f t="shared" si="2"/>
        <v>-17255.330000000002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"4213", " - ", "NON-TAXABLE SALES-TRADE BOOKS")</f>
        <v xml:space="preserve">          4213 - NON-TAXABLE SALES-TRADE BOOKS</v>
      </c>
      <c r="C33" s="11"/>
      <c r="D33" s="2">
        <f>-374.85</f>
        <v>-374.85</v>
      </c>
      <c r="E33" s="2"/>
      <c r="F33" s="19"/>
      <c r="G33" s="2"/>
      <c r="H33" s="2"/>
      <c r="I33" s="2"/>
      <c r="J33" s="19"/>
      <c r="K33" s="2"/>
      <c r="L33" s="2">
        <f t="shared" si="0"/>
        <v>-374.85</v>
      </c>
      <c r="M33" s="2"/>
      <c r="N33" s="19">
        <f t="shared" si="1"/>
        <v>0</v>
      </c>
      <c r="O33" s="11"/>
      <c r="P33" s="2">
        <f>-594.91</f>
        <v>-594.91</v>
      </c>
      <c r="Q33" s="2"/>
      <c r="R33" s="19"/>
      <c r="S33" s="2"/>
      <c r="T33" s="2"/>
      <c r="U33" s="2"/>
      <c r="V33" s="19"/>
      <c r="W33" s="2"/>
      <c r="X33" s="2">
        <f t="shared" si="2"/>
        <v>-594.91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"4214", " - ", "SALES RETURN TAXABLE-REMAINDER")</f>
        <v xml:space="preserve">          4214 - SALES RETURN TAXABLE-REMAINDER</v>
      </c>
      <c r="C34" s="11"/>
      <c r="D34" s="2">
        <f t="shared" ref="D34:D38" si="5">0</f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-11.94</f>
        <v>-11.94</v>
      </c>
      <c r="Q34" s="2"/>
      <c r="R34" s="19"/>
      <c r="S34" s="2"/>
      <c r="T34" s="2"/>
      <c r="U34" s="2"/>
      <c r="V34" s="19"/>
      <c r="W34" s="2"/>
      <c r="X34" s="2">
        <f t="shared" si="2"/>
        <v>-11.94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"4218", " - ", "SALES RETURN TAXABLE-STUDY GUI")</f>
        <v xml:space="preserve">          4218 - SALES RETURN TAXABLE-STUDY GUI</v>
      </c>
      <c r="C35" s="11"/>
      <c r="D35" s="2">
        <f t="shared" si="5"/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-39.25</f>
        <v>-39.25</v>
      </c>
      <c r="Q35" s="2"/>
      <c r="R35" s="19"/>
      <c r="S35" s="2"/>
      <c r="T35" s="2"/>
      <c r="U35" s="2"/>
      <c r="V35" s="19"/>
      <c r="W35" s="2"/>
      <c r="X35" s="2">
        <f t="shared" si="2"/>
        <v>-39.25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"4301", " - ", "SALES RETURN NON TAXABLE-NEW T")</f>
        <v xml:space="preserve">          4301 - SALES RETURN NON TAXABLE-NEW T</v>
      </c>
      <c r="C36" s="11"/>
      <c r="D36" s="2">
        <f t="shared" si="5"/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-15221.62</f>
        <v>-15221.62</v>
      </c>
      <c r="Q36" s="2"/>
      <c r="R36" s="19"/>
      <c r="S36" s="2"/>
      <c r="T36" s="2"/>
      <c r="U36" s="2"/>
      <c r="V36" s="19"/>
      <c r="W36" s="2"/>
      <c r="X36" s="2">
        <f t="shared" si="2"/>
        <v>-15221.62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"4302", " - ", "SALES RETURN NON TAXABLE-TEXT")</f>
        <v xml:space="preserve">          4302 - SALES RETURN NON TAXABLE-TEXT</v>
      </c>
      <c r="C37" s="11"/>
      <c r="D37" s="2">
        <f t="shared" si="5"/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-1312.37</f>
        <v>-1312.37</v>
      </c>
      <c r="Q37" s="2"/>
      <c r="R37" s="19"/>
      <c r="S37" s="2"/>
      <c r="T37" s="2"/>
      <c r="U37" s="2"/>
      <c r="V37" s="19"/>
      <c r="W37" s="2"/>
      <c r="X37" s="2">
        <f t="shared" si="2"/>
        <v>-1312.37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"4303", " - ", "SALES RETURN NON-TAXABLE-RENTA")</f>
        <v xml:space="preserve">          4303 - SALES RETURN NON-TAXABLE-RENTA</v>
      </c>
      <c r="C38" s="11"/>
      <c r="D38" s="2">
        <f t="shared" si="5"/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-184.99</f>
        <v>-184.99</v>
      </c>
      <c r="Q38" s="2"/>
      <c r="R38" s="19"/>
      <c r="S38" s="2"/>
      <c r="T38" s="2"/>
      <c r="U38" s="2"/>
      <c r="V38" s="19"/>
      <c r="W38" s="2"/>
      <c r="X38" s="2">
        <f t="shared" si="2"/>
        <v>-184.99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"4304", " - ", "SALES RETURN NON TAXABLE-DIGIT")</f>
        <v xml:space="preserve">          4304 - SALES RETURN NON TAXABLE-DIGIT</v>
      </c>
      <c r="C39" s="11"/>
      <c r="D39" s="2">
        <f>-44.15</f>
        <v>-44.15</v>
      </c>
      <c r="E39" s="2"/>
      <c r="F39" s="19"/>
      <c r="G39" s="2"/>
      <c r="H39" s="2"/>
      <c r="I39" s="2"/>
      <c r="J39" s="19"/>
      <c r="K39" s="2"/>
      <c r="L39" s="2">
        <f t="shared" si="0"/>
        <v>-44.15</v>
      </c>
      <c r="M39" s="2"/>
      <c r="N39" s="19">
        <f t="shared" si="1"/>
        <v>0</v>
      </c>
      <c r="O39" s="11"/>
      <c r="P39" s="2">
        <f>-19036.13</f>
        <v>-19036.13</v>
      </c>
      <c r="Q39" s="2"/>
      <c r="R39" s="19"/>
      <c r="S39" s="2"/>
      <c r="T39" s="2"/>
      <c r="U39" s="2"/>
      <c r="V39" s="19"/>
      <c r="W39" s="2"/>
      <c r="X39" s="2">
        <f t="shared" si="2"/>
        <v>-19036.13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"4311", " - ", "SALES RETURN NON TAXABLE-NO VA")</f>
        <v xml:space="preserve">          4311 - SALES RETURN NON TAXABLE-NO VA</v>
      </c>
      <c r="C40" s="11"/>
      <c r="D40" s="2">
        <f>-57.9</f>
        <v>-57.9</v>
      </c>
      <c r="E40" s="2"/>
      <c r="F40" s="19"/>
      <c r="G40" s="2"/>
      <c r="H40" s="2"/>
      <c r="I40" s="2"/>
      <c r="J40" s="19"/>
      <c r="K40" s="2"/>
      <c r="L40" s="2">
        <f t="shared" si="0"/>
        <v>-57.9</v>
      </c>
      <c r="M40" s="2"/>
      <c r="N40" s="19">
        <f t="shared" si="1"/>
        <v>0</v>
      </c>
      <c r="O40" s="11"/>
      <c r="P40" s="2">
        <f>-852.66</f>
        <v>-852.66</v>
      </c>
      <c r="Q40" s="2"/>
      <c r="R40" s="19"/>
      <c r="S40" s="2"/>
      <c r="T40" s="2"/>
      <c r="U40" s="2"/>
      <c r="V40" s="19"/>
      <c r="W40" s="2"/>
      <c r="X40" s="2">
        <f t="shared" si="2"/>
        <v>-852.66</v>
      </c>
      <c r="Y40" s="2"/>
      <c r="Z40" s="19">
        <f t="shared" si="3"/>
        <v>0</v>
      </c>
    </row>
    <row r="41" spans="1:26" x14ac:dyDescent="0.25">
      <c r="A41" s="9"/>
      <c r="B41" s="10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collapsed="1" x14ac:dyDescent="0.25">
      <c r="A42" s="10"/>
      <c r="B42" s="29" t="s">
        <v>8</v>
      </c>
      <c r="C42" s="10"/>
      <c r="D42" s="4">
        <f>SUM(OSRRefD16x_0)</f>
        <v>9891.8800000000319</v>
      </c>
      <c r="E42" s="4"/>
      <c r="F42" s="12">
        <f t="shared" ref="F42:F59" si="6">IF(D$12=0,0,D42/D$12)</f>
        <v>0.67846425982231806</v>
      </c>
      <c r="G42" s="4"/>
      <c r="H42" s="4">
        <f>SUM(OSRRefH16x_0)</f>
        <v>16940</v>
      </c>
      <c r="I42" s="4"/>
      <c r="J42" s="12">
        <f t="shared" ref="J42:J59" si="7">IF(H$12=0,0,H42/H$12)</f>
        <v>0.72128076300774935</v>
      </c>
      <c r="K42" s="4"/>
      <c r="L42" s="4">
        <f t="shared" ref="L42:L59" si="8">+D42-H42</f>
        <v>-7048.1199999999681</v>
      </c>
      <c r="M42" s="4"/>
      <c r="N42" s="12">
        <f t="shared" ref="N42:N59" si="9">IF(H42=0,0,L42/H42)</f>
        <v>-0.41606375442738891</v>
      </c>
      <c r="O42" s="10"/>
      <c r="P42" s="4">
        <f>SUM(OSRRefP16x_0)</f>
        <v>2314246.1800000002</v>
      </c>
      <c r="Q42" s="4"/>
      <c r="R42" s="12">
        <f t="shared" ref="R42:R59" si="10">IF(P$12=0,0,P42/P$12)</f>
        <v>0.70378099998484644</v>
      </c>
      <c r="S42" s="4"/>
      <c r="T42" s="4">
        <f>SUM(OSRRefT16x_0)</f>
        <v>2391248</v>
      </c>
      <c r="U42" s="4"/>
      <c r="V42" s="12">
        <f t="shared" ref="V42:V59" si="11">IF(T$12=0,0,T42/T$12)</f>
        <v>0.71896302069051776</v>
      </c>
      <c r="W42" s="4"/>
      <c r="X42" s="4">
        <f t="shared" ref="X42:X59" si="12">+P42-T42</f>
        <v>-77001.819999999832</v>
      </c>
      <c r="Y42" s="4"/>
      <c r="Z42" s="12">
        <f t="shared" ref="Z42:Z59" si="13">IF(T42=0,0,X42/T42)</f>
        <v>-3.2201519875813732E-2</v>
      </c>
    </row>
    <row r="43" spans="1:26" s="24" customFormat="1" hidden="1" outlineLevel="1" x14ac:dyDescent="0.25">
      <c r="A43" s="44"/>
      <c r="B43" s="11" t="str">
        <f>CONCATENATE("          ", "5000", " - ", "PURCHASES @ COST")</f>
        <v xml:space="preserve">          5000 - PURCHASES @ COST</v>
      </c>
      <c r="C43" s="11"/>
      <c r="D43" s="2"/>
      <c r="E43" s="2"/>
      <c r="F43" s="19">
        <f t="shared" si="6"/>
        <v>0</v>
      </c>
      <c r="G43" s="2"/>
      <c r="H43" s="2">
        <v>16940</v>
      </c>
      <c r="I43" s="2"/>
      <c r="J43" s="19">
        <f t="shared" si="7"/>
        <v>0.72128076300774935</v>
      </c>
      <c r="K43" s="2"/>
      <c r="L43" s="2">
        <f t="shared" si="8"/>
        <v>-16940</v>
      </c>
      <c r="M43" s="2"/>
      <c r="N43" s="19">
        <f t="shared" si="9"/>
        <v>-1</v>
      </c>
      <c r="O43" s="11"/>
      <c r="P43" s="2"/>
      <c r="Q43" s="2"/>
      <c r="R43" s="19">
        <f t="shared" si="10"/>
        <v>0</v>
      </c>
      <c r="S43" s="2"/>
      <c r="T43" s="2">
        <v>2391248</v>
      </c>
      <c r="U43" s="2"/>
      <c r="V43" s="19">
        <f t="shared" si="11"/>
        <v>0.71896302069051776</v>
      </c>
      <c r="W43" s="2"/>
      <c r="X43" s="2">
        <f t="shared" si="12"/>
        <v>-2391248</v>
      </c>
      <c r="Y43" s="2"/>
      <c r="Z43" s="19">
        <f t="shared" si="13"/>
        <v>-1</v>
      </c>
    </row>
    <row r="44" spans="1:26" s="24" customFormat="1" hidden="1" outlineLevel="1" x14ac:dyDescent="0.25">
      <c r="A44" s="44"/>
      <c r="B44" s="11" t="str">
        <f>CONCATENATE("          ", "5001", " - ", "PURCHASES @ COST-NEW TEXT")</f>
        <v xml:space="preserve">          5001 - PURCHASES @ COST-NEW TEXT</v>
      </c>
      <c r="C44" s="11"/>
      <c r="D44" s="2">
        <v>-923386.3</v>
      </c>
      <c r="E44" s="2"/>
      <c r="F44" s="19">
        <f t="shared" si="6"/>
        <v>-63.333219020000946</v>
      </c>
      <c r="G44" s="2"/>
      <c r="H44" s="2"/>
      <c r="I44" s="2"/>
      <c r="J44" s="19">
        <f t="shared" si="7"/>
        <v>0</v>
      </c>
      <c r="K44" s="2"/>
      <c r="L44" s="2">
        <f t="shared" si="8"/>
        <v>-923386.3</v>
      </c>
      <c r="M44" s="2"/>
      <c r="N44" s="19">
        <f t="shared" si="9"/>
        <v>0</v>
      </c>
      <c r="O44" s="11"/>
      <c r="P44" s="2">
        <v>1117443.2</v>
      </c>
      <c r="Q44" s="2"/>
      <c r="R44" s="19">
        <f t="shared" si="10"/>
        <v>0.33982352418629319</v>
      </c>
      <c r="S44" s="2"/>
      <c r="T44" s="2"/>
      <c r="U44" s="2"/>
      <c r="V44" s="19">
        <f t="shared" si="11"/>
        <v>0</v>
      </c>
      <c r="W44" s="2"/>
      <c r="X44" s="2">
        <f t="shared" si="12"/>
        <v>1117443.2</v>
      </c>
      <c r="Y44" s="2"/>
      <c r="Z44" s="19">
        <f t="shared" si="13"/>
        <v>0</v>
      </c>
    </row>
    <row r="45" spans="1:26" s="24" customFormat="1" hidden="1" outlineLevel="1" x14ac:dyDescent="0.25">
      <c r="A45" s="44"/>
      <c r="B45" s="11" t="str">
        <f>CONCATENATE("          ", "5002", " - ", "PURCHASES @ COST-USED TEXT")</f>
        <v xml:space="preserve">          5002 - PURCHASES @ COST-USED TEXT</v>
      </c>
      <c r="C45" s="11"/>
      <c r="D45" s="2">
        <v>72685.539999999994</v>
      </c>
      <c r="E45" s="2"/>
      <c r="F45" s="19">
        <f t="shared" si="6"/>
        <v>4.9853557762412537</v>
      </c>
      <c r="G45" s="2"/>
      <c r="H45" s="2"/>
      <c r="I45" s="2"/>
      <c r="J45" s="19">
        <f t="shared" si="7"/>
        <v>0</v>
      </c>
      <c r="K45" s="2"/>
      <c r="L45" s="2">
        <f t="shared" si="8"/>
        <v>72685.539999999994</v>
      </c>
      <c r="M45" s="2"/>
      <c r="N45" s="19">
        <f t="shared" si="9"/>
        <v>0</v>
      </c>
      <c r="O45" s="11"/>
      <c r="P45" s="2">
        <v>-74215.010000000009</v>
      </c>
      <c r="Q45" s="2"/>
      <c r="R45" s="19">
        <f t="shared" si="10"/>
        <v>-2.2569385402068754E-2</v>
      </c>
      <c r="S45" s="2"/>
      <c r="T45" s="2"/>
      <c r="U45" s="2"/>
      <c r="V45" s="19">
        <f t="shared" si="11"/>
        <v>0</v>
      </c>
      <c r="W45" s="2"/>
      <c r="X45" s="2">
        <f t="shared" si="12"/>
        <v>-74215.010000000009</v>
      </c>
      <c r="Y45" s="2"/>
      <c r="Z45" s="19">
        <f t="shared" si="13"/>
        <v>0</v>
      </c>
    </row>
    <row r="46" spans="1:26" s="24" customFormat="1" hidden="1" outlineLevel="1" x14ac:dyDescent="0.25">
      <c r="A46" s="44"/>
      <c r="B46" s="11" t="str">
        <f>CONCATENATE("          ", "5003", " - ", "PURCHASES @ COST-RENTAL TEXT")</f>
        <v xml:space="preserve">          5003 - PURCHASES @ COST-RENTAL TEXT</v>
      </c>
      <c r="C46" s="11"/>
      <c r="D46" s="2"/>
      <c r="E46" s="2"/>
      <c r="F46" s="19">
        <f t="shared" si="6"/>
        <v>0</v>
      </c>
      <c r="G46" s="2"/>
      <c r="H46" s="2"/>
      <c r="I46" s="2"/>
      <c r="J46" s="19">
        <f t="shared" si="7"/>
        <v>0</v>
      </c>
      <c r="K46" s="2"/>
      <c r="L46" s="2">
        <f t="shared" si="8"/>
        <v>0</v>
      </c>
      <c r="M46" s="2"/>
      <c r="N46" s="19">
        <f t="shared" si="9"/>
        <v>0</v>
      </c>
      <c r="O46" s="11"/>
      <c r="P46" s="2">
        <v>-78.400000000000006</v>
      </c>
      <c r="Q46" s="2"/>
      <c r="R46" s="19">
        <f t="shared" si="10"/>
        <v>-2.3842074743669648E-5</v>
      </c>
      <c r="S46" s="2"/>
      <c r="T46" s="2"/>
      <c r="U46" s="2"/>
      <c r="V46" s="19">
        <f t="shared" si="11"/>
        <v>0</v>
      </c>
      <c r="W46" s="2"/>
      <c r="X46" s="2">
        <f t="shared" si="12"/>
        <v>-78.400000000000006</v>
      </c>
      <c r="Y46" s="2"/>
      <c r="Z46" s="19">
        <f t="shared" si="13"/>
        <v>0</v>
      </c>
    </row>
    <row r="47" spans="1:26" s="24" customFormat="1" hidden="1" outlineLevel="1" x14ac:dyDescent="0.25">
      <c r="A47" s="44"/>
      <c r="B47" s="11" t="str">
        <f>CONCATENATE("          ", "5004", " - ", "PURCHASES @ COST-DIGITAL TEXT")</f>
        <v xml:space="preserve">          5004 - PURCHASES @ COST-DIGITAL TEXT</v>
      </c>
      <c r="C47" s="11"/>
      <c r="D47" s="2">
        <v>-96834.95</v>
      </c>
      <c r="E47" s="2"/>
      <c r="F47" s="19">
        <f t="shared" si="6"/>
        <v>-6.6417154956065945</v>
      </c>
      <c r="G47" s="2"/>
      <c r="H47" s="2"/>
      <c r="I47" s="2"/>
      <c r="J47" s="19">
        <f t="shared" si="7"/>
        <v>0</v>
      </c>
      <c r="K47" s="2"/>
      <c r="L47" s="2">
        <f t="shared" si="8"/>
        <v>-96834.95</v>
      </c>
      <c r="M47" s="2"/>
      <c r="N47" s="19">
        <f t="shared" si="9"/>
        <v>0</v>
      </c>
      <c r="O47" s="11"/>
      <c r="P47" s="2">
        <v>438322.88</v>
      </c>
      <c r="Q47" s="2"/>
      <c r="R47" s="19">
        <f t="shared" si="10"/>
        <v>0.13329753656658852</v>
      </c>
      <c r="S47" s="2"/>
      <c r="T47" s="2"/>
      <c r="U47" s="2"/>
      <c r="V47" s="19">
        <f t="shared" si="11"/>
        <v>0</v>
      </c>
      <c r="W47" s="2"/>
      <c r="X47" s="2">
        <f t="shared" si="12"/>
        <v>438322.88</v>
      </c>
      <c r="Y47" s="2"/>
      <c r="Z47" s="19">
        <f t="shared" si="13"/>
        <v>0</v>
      </c>
    </row>
    <row r="48" spans="1:26" s="24" customFormat="1" hidden="1" outlineLevel="1" x14ac:dyDescent="0.25">
      <c r="A48" s="44"/>
      <c r="B48" s="11" t="str">
        <f>CONCATENATE("          ", "5011", " - ", "PURCHASES @ COST-NO VALUE TEXT")</f>
        <v xml:space="preserve">          5011 - PURCHASES @ COST-NO VALUE TEXT</v>
      </c>
      <c r="C48" s="11"/>
      <c r="D48" s="2">
        <v>588</v>
      </c>
      <c r="E48" s="2"/>
      <c r="F48" s="19">
        <f t="shared" si="6"/>
        <v>4.0329743666069721E-2</v>
      </c>
      <c r="G48" s="2"/>
      <c r="H48" s="2"/>
      <c r="I48" s="2"/>
      <c r="J48" s="19">
        <f t="shared" si="7"/>
        <v>0</v>
      </c>
      <c r="K48" s="2"/>
      <c r="L48" s="2">
        <f t="shared" si="8"/>
        <v>588</v>
      </c>
      <c r="M48" s="2"/>
      <c r="N48" s="19">
        <f t="shared" si="9"/>
        <v>0</v>
      </c>
      <c r="O48" s="11"/>
      <c r="P48" s="2">
        <v>6321</v>
      </c>
      <c r="Q48" s="2"/>
      <c r="R48" s="19">
        <f t="shared" si="10"/>
        <v>1.9222672762083651E-3</v>
      </c>
      <c r="S48" s="2"/>
      <c r="T48" s="2"/>
      <c r="U48" s="2"/>
      <c r="V48" s="19">
        <f t="shared" si="11"/>
        <v>0</v>
      </c>
      <c r="W48" s="2"/>
      <c r="X48" s="2">
        <f t="shared" si="12"/>
        <v>6321</v>
      </c>
      <c r="Y48" s="2"/>
      <c r="Z48" s="19">
        <f t="shared" si="13"/>
        <v>0</v>
      </c>
    </row>
    <row r="49" spans="1:26" s="24" customFormat="1" hidden="1" outlineLevel="1" x14ac:dyDescent="0.25">
      <c r="A49" s="44"/>
      <c r="B49" s="11" t="str">
        <f>CONCATENATE("          ", "5013", " - ", "PURCHASES @ COST-TRADE BOOKS")</f>
        <v xml:space="preserve">          5013 - PURCHASES @ COST-TRADE BOOKS</v>
      </c>
      <c r="C49" s="11"/>
      <c r="D49" s="2">
        <v>3297.82</v>
      </c>
      <c r="E49" s="2"/>
      <c r="F49" s="19">
        <f t="shared" si="6"/>
        <v>0.22619087628713955</v>
      </c>
      <c r="G49" s="2"/>
      <c r="H49" s="2"/>
      <c r="I49" s="2"/>
      <c r="J49" s="19">
        <f t="shared" si="7"/>
        <v>0</v>
      </c>
      <c r="K49" s="2"/>
      <c r="L49" s="2">
        <f t="shared" si="8"/>
        <v>3297.82</v>
      </c>
      <c r="M49" s="2"/>
      <c r="N49" s="19">
        <f t="shared" si="9"/>
        <v>0</v>
      </c>
      <c r="O49" s="11"/>
      <c r="P49" s="2">
        <v>6348.54</v>
      </c>
      <c r="Q49" s="2"/>
      <c r="R49" s="19">
        <f t="shared" si="10"/>
        <v>1.9306424131782715E-3</v>
      </c>
      <c r="S49" s="2"/>
      <c r="T49" s="2"/>
      <c r="U49" s="2"/>
      <c r="V49" s="19">
        <f t="shared" si="11"/>
        <v>0</v>
      </c>
      <c r="W49" s="2"/>
      <c r="X49" s="2">
        <f t="shared" si="12"/>
        <v>6348.54</v>
      </c>
      <c r="Y49" s="2"/>
      <c r="Z49" s="19">
        <f t="shared" si="13"/>
        <v>0</v>
      </c>
    </row>
    <row r="50" spans="1:26" s="24" customFormat="1" hidden="1" outlineLevel="1" x14ac:dyDescent="0.25">
      <c r="A50" s="44"/>
      <c r="B50" s="11" t="str">
        <f>CONCATENATE("          ", "5014", " - ", "PURCHASES @ COST-REMAINDERS")</f>
        <v xml:space="preserve">          5014 - PURCHASES @ COST-REMAINDERS</v>
      </c>
      <c r="C50" s="11"/>
      <c r="D50" s="2">
        <v>13.9</v>
      </c>
      <c r="E50" s="2"/>
      <c r="F50" s="19">
        <f t="shared" si="6"/>
        <v>9.5337319210606986E-4</v>
      </c>
      <c r="G50" s="2"/>
      <c r="H50" s="2"/>
      <c r="I50" s="2"/>
      <c r="J50" s="19">
        <f t="shared" si="7"/>
        <v>0</v>
      </c>
      <c r="K50" s="2"/>
      <c r="L50" s="2">
        <f t="shared" si="8"/>
        <v>13.9</v>
      </c>
      <c r="M50" s="2"/>
      <c r="N50" s="19">
        <f t="shared" si="9"/>
        <v>0</v>
      </c>
      <c r="O50" s="11"/>
      <c r="P50" s="2">
        <v>600.61</v>
      </c>
      <c r="Q50" s="2"/>
      <c r="R50" s="19">
        <f t="shared" si="10"/>
        <v>1.8265036367086002E-4</v>
      </c>
      <c r="S50" s="2"/>
      <c r="T50" s="2"/>
      <c r="U50" s="2"/>
      <c r="V50" s="19">
        <f t="shared" si="11"/>
        <v>0</v>
      </c>
      <c r="W50" s="2"/>
      <c r="X50" s="2">
        <f t="shared" si="12"/>
        <v>600.61</v>
      </c>
      <c r="Y50" s="2"/>
      <c r="Z50" s="19">
        <f t="shared" si="13"/>
        <v>0</v>
      </c>
    </row>
    <row r="51" spans="1:26" s="24" customFormat="1" hidden="1" outlineLevel="1" x14ac:dyDescent="0.25">
      <c r="A51" s="44"/>
      <c r="B51" s="11" t="str">
        <f>CONCATENATE("          ", "5018", " - ", "PURCHASES @ COST-STUDY GUIDES")</f>
        <v xml:space="preserve">          5018 - PURCHASES @ COST-STUDY GUIDES</v>
      </c>
      <c r="C51" s="11"/>
      <c r="D51" s="2">
        <v>108.9</v>
      </c>
      <c r="E51" s="2"/>
      <c r="F51" s="19">
        <f t="shared" si="6"/>
        <v>7.4692331381547494E-3</v>
      </c>
      <c r="G51" s="2"/>
      <c r="H51" s="2"/>
      <c r="I51" s="2"/>
      <c r="J51" s="19">
        <f t="shared" si="7"/>
        <v>0</v>
      </c>
      <c r="K51" s="2"/>
      <c r="L51" s="2">
        <f t="shared" si="8"/>
        <v>108.9</v>
      </c>
      <c r="M51" s="2"/>
      <c r="N51" s="19">
        <f t="shared" si="9"/>
        <v>0</v>
      </c>
      <c r="O51" s="11"/>
      <c r="P51" s="2">
        <v>2377.33</v>
      </c>
      <c r="Q51" s="2"/>
      <c r="R51" s="19">
        <f t="shared" si="10"/>
        <v>7.2296530038734889E-4</v>
      </c>
      <c r="S51" s="2"/>
      <c r="T51" s="2"/>
      <c r="U51" s="2"/>
      <c r="V51" s="19">
        <f t="shared" si="11"/>
        <v>0</v>
      </c>
      <c r="W51" s="2"/>
      <c r="X51" s="2">
        <f t="shared" si="12"/>
        <v>2377.33</v>
      </c>
      <c r="Y51" s="2"/>
      <c r="Z51" s="19">
        <f t="shared" si="13"/>
        <v>0</v>
      </c>
    </row>
    <row r="52" spans="1:26" s="24" customFormat="1" hidden="1" outlineLevel="1" x14ac:dyDescent="0.25">
      <c r="A52" s="44"/>
      <c r="B52" s="11" t="str">
        <f>CONCATENATE("          ", "5200", " - ", "PURCHASES OFFSET")</f>
        <v xml:space="preserve">          5200 - PURCHASES OFFSET</v>
      </c>
      <c r="C52" s="11"/>
      <c r="D52" s="2">
        <v>941682</v>
      </c>
      <c r="E52" s="2"/>
      <c r="F52" s="19">
        <f t="shared" si="6"/>
        <v>64.588084481210657</v>
      </c>
      <c r="G52" s="2"/>
      <c r="H52" s="2"/>
      <c r="I52" s="2"/>
      <c r="J52" s="19">
        <f t="shared" si="7"/>
        <v>0</v>
      </c>
      <c r="K52" s="2"/>
      <c r="L52" s="2">
        <f t="shared" si="8"/>
        <v>941682</v>
      </c>
      <c r="M52" s="2"/>
      <c r="N52" s="19">
        <f t="shared" si="9"/>
        <v>0</v>
      </c>
      <c r="O52" s="11"/>
      <c r="P52" s="2">
        <v>-1579900</v>
      </c>
      <c r="Q52" s="2"/>
      <c r="R52" s="19">
        <f t="shared" si="10"/>
        <v>-0.48046038121841417</v>
      </c>
      <c r="S52" s="2"/>
      <c r="T52" s="2"/>
      <c r="U52" s="2"/>
      <c r="V52" s="19">
        <f t="shared" si="11"/>
        <v>0</v>
      </c>
      <c r="W52" s="2"/>
      <c r="X52" s="2">
        <f t="shared" si="12"/>
        <v>-1579900</v>
      </c>
      <c r="Y52" s="2"/>
      <c r="Z52" s="19">
        <f t="shared" si="13"/>
        <v>0</v>
      </c>
    </row>
    <row r="53" spans="1:26" s="24" customFormat="1" hidden="1" outlineLevel="1" x14ac:dyDescent="0.25">
      <c r="A53" s="44"/>
      <c r="B53" s="11" t="str">
        <f>CONCATENATE("          ", "5300", " - ", "COG$ OFFSET")</f>
        <v xml:space="preserve">          5300 - COG$ OFFSET</v>
      </c>
      <c r="C53" s="11"/>
      <c r="D53" s="2">
        <v>9893</v>
      </c>
      <c r="E53" s="2"/>
      <c r="F53" s="19">
        <f t="shared" si="6"/>
        <v>0.67854107838167976</v>
      </c>
      <c r="G53" s="2"/>
      <c r="H53" s="2"/>
      <c r="I53" s="2"/>
      <c r="J53" s="19">
        <f t="shared" si="7"/>
        <v>0</v>
      </c>
      <c r="K53" s="2"/>
      <c r="L53" s="2">
        <f t="shared" si="8"/>
        <v>9893</v>
      </c>
      <c r="M53" s="2"/>
      <c r="N53" s="19">
        <f t="shared" si="9"/>
        <v>0</v>
      </c>
      <c r="O53" s="11"/>
      <c r="P53" s="2">
        <v>2314209.4699999997</v>
      </c>
      <c r="Q53" s="2"/>
      <c r="R53" s="19">
        <f t="shared" si="10"/>
        <v>0.70376983617663402</v>
      </c>
      <c r="S53" s="2"/>
      <c r="T53" s="2"/>
      <c r="U53" s="2"/>
      <c r="V53" s="19">
        <f t="shared" si="11"/>
        <v>0</v>
      </c>
      <c r="W53" s="2"/>
      <c r="X53" s="2">
        <f t="shared" si="12"/>
        <v>2314209.4699999997</v>
      </c>
      <c r="Y53" s="2"/>
      <c r="Z53" s="19">
        <f t="shared" si="13"/>
        <v>0</v>
      </c>
    </row>
    <row r="54" spans="1:26" s="24" customFormat="1" hidden="1" outlineLevel="1" x14ac:dyDescent="0.25">
      <c r="A54" s="44"/>
      <c r="B54" s="11" t="str">
        <f>CONCATENATE("          ", "5500", " - ", "FREIGHT-IN")</f>
        <v xml:space="preserve">          5500 - FREIGHT-IN</v>
      </c>
      <c r="C54" s="11"/>
      <c r="D54" s="2"/>
      <c r="E54" s="2"/>
      <c r="F54" s="19">
        <f t="shared" si="6"/>
        <v>0</v>
      </c>
      <c r="G54" s="2"/>
      <c r="H54" s="2"/>
      <c r="I54" s="2"/>
      <c r="J54" s="19">
        <f t="shared" si="7"/>
        <v>0</v>
      </c>
      <c r="K54" s="2"/>
      <c r="L54" s="2">
        <f t="shared" si="8"/>
        <v>0</v>
      </c>
      <c r="M54" s="2"/>
      <c r="N54" s="19">
        <f t="shared" si="9"/>
        <v>0</v>
      </c>
      <c r="O54" s="11"/>
      <c r="P54" s="2">
        <v>41.25</v>
      </c>
      <c r="Q54" s="2"/>
      <c r="R54" s="19">
        <f t="shared" si="10"/>
        <v>1.2544458969086389E-5</v>
      </c>
      <c r="S54" s="2"/>
      <c r="T54" s="2"/>
      <c r="U54" s="2"/>
      <c r="V54" s="19">
        <f t="shared" si="11"/>
        <v>0</v>
      </c>
      <c r="W54" s="2"/>
      <c r="X54" s="2">
        <f t="shared" si="12"/>
        <v>41.25</v>
      </c>
      <c r="Y54" s="2"/>
      <c r="Z54" s="19">
        <f t="shared" si="13"/>
        <v>0</v>
      </c>
    </row>
    <row r="55" spans="1:26" s="24" customFormat="1" hidden="1" outlineLevel="1" x14ac:dyDescent="0.25">
      <c r="A55" s="44"/>
      <c r="B55" s="11" t="str">
        <f>CONCATENATE("          ", "5501", " - ", "FREIGHT-IN-NEW TEXT")</f>
        <v xml:space="preserve">          5501 - FREIGHT-IN-NEW TEXT</v>
      </c>
      <c r="C55" s="11"/>
      <c r="D55" s="2">
        <v>1315.81</v>
      </c>
      <c r="E55" s="2"/>
      <c r="F55" s="19">
        <f t="shared" si="6"/>
        <v>9.0248775532740133E-2</v>
      </c>
      <c r="G55" s="2"/>
      <c r="H55" s="2"/>
      <c r="I55" s="2"/>
      <c r="J55" s="19">
        <f t="shared" si="7"/>
        <v>0</v>
      </c>
      <c r="K55" s="2"/>
      <c r="L55" s="2">
        <f t="shared" si="8"/>
        <v>1315.81</v>
      </c>
      <c r="M55" s="2"/>
      <c r="N55" s="19">
        <f t="shared" si="9"/>
        <v>0</v>
      </c>
      <c r="O55" s="11"/>
      <c r="P55" s="2">
        <v>67340.55</v>
      </c>
      <c r="Q55" s="2"/>
      <c r="R55" s="19">
        <f t="shared" si="10"/>
        <v>2.0478806458926312E-2</v>
      </c>
      <c r="S55" s="2"/>
      <c r="T55" s="2"/>
      <c r="U55" s="2"/>
      <c r="V55" s="19">
        <f t="shared" si="11"/>
        <v>0</v>
      </c>
      <c r="W55" s="2"/>
      <c r="X55" s="2">
        <f t="shared" si="12"/>
        <v>67340.55</v>
      </c>
      <c r="Y55" s="2"/>
      <c r="Z55" s="19">
        <f t="shared" si="13"/>
        <v>0</v>
      </c>
    </row>
    <row r="56" spans="1:26" s="24" customFormat="1" hidden="1" outlineLevel="1" x14ac:dyDescent="0.25">
      <c r="A56" s="44"/>
      <c r="B56" s="11" t="str">
        <f>CONCATENATE("          ", "5502", " - ", "FREIGHT-IN-USED TEXT")</f>
        <v xml:space="preserve">          5502 - FREIGHT-IN-USED TEXT</v>
      </c>
      <c r="C56" s="11"/>
      <c r="D56" s="2">
        <v>506.55</v>
      </c>
      <c r="E56" s="2"/>
      <c r="F56" s="19">
        <f t="shared" si="6"/>
        <v>3.4743251112325881E-2</v>
      </c>
      <c r="G56" s="2"/>
      <c r="H56" s="2"/>
      <c r="I56" s="2"/>
      <c r="J56" s="19">
        <f t="shared" si="7"/>
        <v>0</v>
      </c>
      <c r="K56" s="2"/>
      <c r="L56" s="2">
        <f t="shared" si="8"/>
        <v>506.55</v>
      </c>
      <c r="M56" s="2"/>
      <c r="N56" s="19">
        <f t="shared" si="9"/>
        <v>0</v>
      </c>
      <c r="O56" s="11"/>
      <c r="P56" s="2">
        <v>15264.64</v>
      </c>
      <c r="Q56" s="2"/>
      <c r="R56" s="19">
        <f t="shared" si="10"/>
        <v>4.6421006098878751E-3</v>
      </c>
      <c r="S56" s="2"/>
      <c r="T56" s="2"/>
      <c r="U56" s="2"/>
      <c r="V56" s="19">
        <f t="shared" si="11"/>
        <v>0</v>
      </c>
      <c r="W56" s="2"/>
      <c r="X56" s="2">
        <f t="shared" si="12"/>
        <v>15264.64</v>
      </c>
      <c r="Y56" s="2"/>
      <c r="Z56" s="19">
        <f t="shared" si="13"/>
        <v>0</v>
      </c>
    </row>
    <row r="57" spans="1:26" s="24" customFormat="1" hidden="1" outlineLevel="1" x14ac:dyDescent="0.25">
      <c r="A57" s="44"/>
      <c r="B57" s="11" t="str">
        <f>CONCATENATE("          ", "5504", " - ", "FREIGHT-IN-DIGITAL TEXT")</f>
        <v xml:space="preserve">          5504 - FREIGHT-IN-DIGITAL TEXT</v>
      </c>
      <c r="C57" s="11"/>
      <c r="D57" s="2">
        <v>12.78</v>
      </c>
      <c r="E57" s="2"/>
      <c r="F57" s="19">
        <f t="shared" si="6"/>
        <v>8.7655463274212756E-4</v>
      </c>
      <c r="G57" s="2"/>
      <c r="H57" s="2"/>
      <c r="I57" s="2"/>
      <c r="J57" s="19">
        <f t="shared" si="7"/>
        <v>0</v>
      </c>
      <c r="K57" s="2"/>
      <c r="L57" s="2">
        <f t="shared" si="8"/>
        <v>12.78</v>
      </c>
      <c r="M57" s="2"/>
      <c r="N57" s="19">
        <f t="shared" si="9"/>
        <v>0</v>
      </c>
      <c r="O57" s="11"/>
      <c r="P57" s="2">
        <v>118.75</v>
      </c>
      <c r="Q57" s="2"/>
      <c r="R57" s="19">
        <f t="shared" si="10"/>
        <v>3.6112836426157783E-5</v>
      </c>
      <c r="S57" s="2"/>
      <c r="T57" s="2"/>
      <c r="U57" s="2"/>
      <c r="V57" s="19">
        <f t="shared" si="11"/>
        <v>0</v>
      </c>
      <c r="W57" s="2"/>
      <c r="X57" s="2">
        <f t="shared" si="12"/>
        <v>118.75</v>
      </c>
      <c r="Y57" s="2"/>
      <c r="Z57" s="19">
        <f t="shared" si="13"/>
        <v>0</v>
      </c>
    </row>
    <row r="58" spans="1:26" s="24" customFormat="1" hidden="1" outlineLevel="1" x14ac:dyDescent="0.25">
      <c r="A58" s="44"/>
      <c r="B58" s="11" t="str">
        <f>CONCATENATE("          ", "5513", " - ", "FREIGHT-IN-TRADE BOOKS")</f>
        <v xml:space="preserve">          5513 - FREIGHT-IN-TRADE BOOKS</v>
      </c>
      <c r="C58" s="11"/>
      <c r="D58" s="2">
        <v>8.83</v>
      </c>
      <c r="E58" s="2"/>
      <c r="F58" s="19">
        <f t="shared" si="6"/>
        <v>6.0563203498536675E-4</v>
      </c>
      <c r="G58" s="2"/>
      <c r="H58" s="2"/>
      <c r="I58" s="2"/>
      <c r="J58" s="19">
        <f t="shared" si="7"/>
        <v>0</v>
      </c>
      <c r="K58" s="2"/>
      <c r="L58" s="2">
        <f t="shared" si="8"/>
        <v>8.83</v>
      </c>
      <c r="M58" s="2"/>
      <c r="N58" s="19">
        <f t="shared" si="9"/>
        <v>0</v>
      </c>
      <c r="O58" s="11"/>
      <c r="P58" s="2">
        <v>30.24</v>
      </c>
      <c r="Q58" s="2"/>
      <c r="R58" s="19">
        <f t="shared" si="10"/>
        <v>9.1962288297011489E-6</v>
      </c>
      <c r="S58" s="2"/>
      <c r="T58" s="2"/>
      <c r="U58" s="2"/>
      <c r="V58" s="19">
        <f t="shared" si="11"/>
        <v>0</v>
      </c>
      <c r="W58" s="2"/>
      <c r="X58" s="2">
        <f t="shared" si="12"/>
        <v>30.24</v>
      </c>
      <c r="Y58" s="2"/>
      <c r="Z58" s="19">
        <f t="shared" si="13"/>
        <v>0</v>
      </c>
    </row>
    <row r="59" spans="1:26" s="24" customFormat="1" hidden="1" outlineLevel="1" x14ac:dyDescent="0.25">
      <c r="A59" s="44"/>
      <c r="B59" s="11" t="str">
        <f>CONCATENATE("          ", "5518", " - ", "FREIGHT-IN-STUDY GUIDES")</f>
        <v xml:space="preserve">          5518 - FREIGHT-IN-STUDY GUIDES</v>
      </c>
      <c r="C59" s="11"/>
      <c r="D59" s="2"/>
      <c r="E59" s="2"/>
      <c r="F59" s="19">
        <f t="shared" si="6"/>
        <v>0</v>
      </c>
      <c r="G59" s="2"/>
      <c r="H59" s="2"/>
      <c r="I59" s="2"/>
      <c r="J59" s="19">
        <f t="shared" si="7"/>
        <v>0</v>
      </c>
      <c r="K59" s="2"/>
      <c r="L59" s="2">
        <f t="shared" si="8"/>
        <v>0</v>
      </c>
      <c r="M59" s="2"/>
      <c r="N59" s="19">
        <f t="shared" si="9"/>
        <v>0</v>
      </c>
      <c r="O59" s="11"/>
      <c r="P59" s="2">
        <v>21.13</v>
      </c>
      <c r="Q59" s="2"/>
      <c r="R59" s="19">
        <f t="shared" si="10"/>
        <v>6.4258040731344337E-6</v>
      </c>
      <c r="S59" s="2"/>
      <c r="T59" s="2"/>
      <c r="U59" s="2"/>
      <c r="V59" s="19">
        <f t="shared" si="11"/>
        <v>0</v>
      </c>
      <c r="W59" s="2"/>
      <c r="X59" s="2">
        <f t="shared" si="12"/>
        <v>21.13</v>
      </c>
      <c r="Y59" s="2"/>
      <c r="Z59" s="19">
        <f t="shared" si="13"/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8" t="s">
        <v>6</v>
      </c>
      <c r="C61" s="28"/>
      <c r="D61" s="20">
        <f>D12-D42</f>
        <v>4687.9299999999694</v>
      </c>
      <c r="E61" s="14"/>
      <c r="F61" s="22">
        <f>IF(D$12=0,0,D61/D$12)</f>
        <v>0.32153574017768194</v>
      </c>
      <c r="G61" s="14"/>
      <c r="H61" s="20">
        <f>H12-H42</f>
        <v>6546</v>
      </c>
      <c r="I61" s="14"/>
      <c r="J61" s="22">
        <f>IF(H$12=0,0,H61/H$12)</f>
        <v>0.27871923699225071</v>
      </c>
      <c r="K61" s="16"/>
      <c r="L61" s="20">
        <f>+D61-H61</f>
        <v>-1858.0700000000306</v>
      </c>
      <c r="M61" s="16"/>
      <c r="N61" s="22">
        <f>IF(H61=0,0,L61/H61)</f>
        <v>-0.28384815154293164</v>
      </c>
      <c r="O61" s="29"/>
      <c r="P61" s="20">
        <f>P12-P42</f>
        <v>974058.24999999953</v>
      </c>
      <c r="Q61" s="14"/>
      <c r="R61" s="22">
        <f>IF(P$12=0,0,P61/P$12)</f>
        <v>0.29621900001515361</v>
      </c>
      <c r="S61" s="14"/>
      <c r="T61" s="20">
        <f>T12-T42</f>
        <v>934720</v>
      </c>
      <c r="U61" s="14"/>
      <c r="V61" s="22">
        <f>IF(T$12=0,0,T61/T$12)</f>
        <v>0.28103697930948224</v>
      </c>
      <c r="W61" s="16"/>
      <c r="X61" s="20">
        <f>+P61-T61</f>
        <v>39338.249999999534</v>
      </c>
      <c r="Y61" s="16"/>
      <c r="Z61" s="22">
        <f>IF(T61=0,0,X61/T61)</f>
        <v>4.2085597826086459E-2</v>
      </c>
    </row>
    <row r="62" spans="1:26" x14ac:dyDescent="0.25">
      <c r="A62" s="9"/>
      <c r="B62" s="10"/>
      <c r="C62" s="9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6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9" t="s">
        <v>9</v>
      </c>
      <c r="C63" s="10"/>
      <c r="D63" s="21">
        <f>SUM(OSRRefD22x_0)</f>
        <v>41992.920000000006</v>
      </c>
      <c r="E63" s="21"/>
      <c r="F63" s="30">
        <f t="shared" ref="F63:F74" si="14">IF(D$12=0,0,D63/D$12)</f>
        <v>2.8802103731118582</v>
      </c>
      <c r="G63" s="21"/>
      <c r="H63" s="21">
        <f>SUM(OSRRefH22x_0)</f>
        <v>46218.635163297869</v>
      </c>
      <c r="I63" s="21"/>
      <c r="J63" s="30">
        <f t="shared" ref="J63:J74" si="15">IF(H$12=0,0,H63/H$12)</f>
        <v>1.9679228120283518</v>
      </c>
      <c r="K63" s="4"/>
      <c r="L63" s="21">
        <f t="shared" ref="L63:L74" si="16">+D63-H63</f>
        <v>-4225.7151632978639</v>
      </c>
      <c r="M63" s="4"/>
      <c r="N63" s="30">
        <f t="shared" ref="N63:N74" si="17">IF(H63=0,0,L63/H63)</f>
        <v>-9.1428817583378064E-2</v>
      </c>
      <c r="O63" s="10"/>
      <c r="P63" s="21">
        <f>SUM(OSRRefP22x_0)</f>
        <v>419135.60000000009</v>
      </c>
      <c r="Q63" s="21"/>
      <c r="R63" s="30">
        <f t="shared" ref="R63:R74" si="18">IF(P$12=0,0,P63/P$12)</f>
        <v>0.12746252937414318</v>
      </c>
      <c r="S63" s="21"/>
      <c r="T63" s="21">
        <f>SUM(OSRRefT22x_0)</f>
        <v>506671.79398930399</v>
      </c>
      <c r="U63" s="21"/>
      <c r="V63" s="30">
        <f t="shared" ref="V63:V74" si="19">IF(T$12=0,0,T63/T$12)</f>
        <v>0.15233814456101322</v>
      </c>
      <c r="W63" s="4"/>
      <c r="X63" s="21">
        <f t="shared" ref="X63:X74" si="20">+P63-T63</f>
        <v>-87536.193989303894</v>
      </c>
      <c r="Y63" s="4"/>
      <c r="Z63" s="30">
        <f t="shared" ref="Z63:Z74" si="21">IF(T63=0,0,X63/T63)</f>
        <v>-0.1727670555727675</v>
      </c>
    </row>
    <row r="64" spans="1:26" s="27" customFormat="1" outlineLevel="1" collapsed="1" x14ac:dyDescent="0.25">
      <c r="A64" s="26"/>
      <c r="B64" s="13" t="str">
        <f>CONCATENATE("     ","*Benefits                                         ")</f>
        <v xml:space="preserve">     *Benefits                                         </v>
      </c>
      <c r="C64" s="13"/>
      <c r="D64" s="1">
        <f>SUM(OSRRefD22_0x_0)</f>
        <v>12490.220000000001</v>
      </c>
      <c r="E64" s="1"/>
      <c r="F64" s="5">
        <f t="shared" si="14"/>
        <v>0.85667920226669625</v>
      </c>
      <c r="G64" s="1"/>
      <c r="H64" s="1">
        <f>SUM(OSRRefH22_0x_0)</f>
        <v>11949.125447574772</v>
      </c>
      <c r="I64" s="1"/>
      <c r="J64" s="5">
        <f t="shared" si="15"/>
        <v>0.50877652420909358</v>
      </c>
      <c r="K64" s="1"/>
      <c r="L64" s="1">
        <f t="shared" si="16"/>
        <v>541.09455242522927</v>
      </c>
      <c r="M64" s="1"/>
      <c r="N64" s="5">
        <f t="shared" si="17"/>
        <v>4.5283192882961266E-2</v>
      </c>
      <c r="O64" s="13"/>
      <c r="P64" s="1">
        <f>SUM(OSRRefP22_0x_0)</f>
        <v>94155.520000000004</v>
      </c>
      <c r="Q64" s="1"/>
      <c r="R64" s="5">
        <f t="shared" si="18"/>
        <v>2.8633455935830131E-2</v>
      </c>
      <c r="S64" s="1"/>
      <c r="T64" s="1">
        <f>SUM(OSRRefT22_0x_0)</f>
        <v>115001.634636004</v>
      </c>
      <c r="U64" s="1"/>
      <c r="V64" s="5">
        <f t="shared" si="19"/>
        <v>3.4576891490238029E-2</v>
      </c>
      <c r="W64" s="1"/>
      <c r="X64" s="1">
        <f t="shared" si="20"/>
        <v>-20846.114636004</v>
      </c>
      <c r="Y64" s="1"/>
      <c r="Z64" s="5">
        <f t="shared" si="21"/>
        <v>-0.18126798546807463</v>
      </c>
    </row>
    <row r="65" spans="1:26" s="24" customFormat="1" hidden="1" outlineLevel="2" x14ac:dyDescent="0.25">
      <c r="A65" s="25"/>
      <c r="B65" s="11" t="str">
        <f>CONCATENATE("          ", "6111", " - ", "F.I.C.A.")</f>
        <v xml:space="preserve">          6111 - F.I.C.A.</v>
      </c>
      <c r="C65" s="11"/>
      <c r="D65" s="6">
        <v>1726.4</v>
      </c>
      <c r="E65" s="2"/>
      <c r="F65" s="7">
        <f t="shared" si="14"/>
        <v>0.11841032221956253</v>
      </c>
      <c r="G65" s="2"/>
      <c r="H65" s="6">
        <v>1602.9579046486201</v>
      </c>
      <c r="I65" s="2"/>
      <c r="J65" s="7">
        <f t="shared" si="15"/>
        <v>6.8251635214537171E-2</v>
      </c>
      <c r="K65" s="2"/>
      <c r="L65" s="6">
        <f t="shared" si="16"/>
        <v>123.44209535137998</v>
      </c>
      <c r="M65" s="2"/>
      <c r="N65" s="7">
        <f t="shared" si="17"/>
        <v>7.7008943898897564E-2</v>
      </c>
      <c r="O65" s="11"/>
      <c r="P65" s="6">
        <v>15759.3</v>
      </c>
      <c r="Q65" s="2"/>
      <c r="R65" s="7">
        <f t="shared" si="18"/>
        <v>4.7925307207641963E-3</v>
      </c>
      <c r="S65" s="2"/>
      <c r="T65" s="6">
        <v>16530.439500324032</v>
      </c>
      <c r="U65" s="2"/>
      <c r="V65" s="7">
        <f t="shared" si="19"/>
        <v>4.9701138135796949E-3</v>
      </c>
      <c r="W65" s="2"/>
      <c r="X65" s="6">
        <f t="shared" si="20"/>
        <v>-771.13950032403227</v>
      </c>
      <c r="Y65" s="2"/>
      <c r="Z65" s="7">
        <f t="shared" si="21"/>
        <v>-4.6649667137338743E-2</v>
      </c>
    </row>
    <row r="66" spans="1:26" s="24" customFormat="1" hidden="1" outlineLevel="2" x14ac:dyDescent="0.25">
      <c r="A66" s="25"/>
      <c r="B66" s="11" t="str">
        <f>CONCATENATE("          ", "6112", " - ", "COMPENSATION INSURANCE")</f>
        <v xml:space="preserve">          6112 - COMPENSATION INSURANCE</v>
      </c>
      <c r="C66" s="11"/>
      <c r="D66" s="6">
        <v>153.57</v>
      </c>
      <c r="E66" s="2"/>
      <c r="F66" s="7">
        <f t="shared" si="14"/>
        <v>1.0533059072786269E-2</v>
      </c>
      <c r="G66" s="2"/>
      <c r="H66" s="6">
        <v>520.96188700769198</v>
      </c>
      <c r="I66" s="2"/>
      <c r="J66" s="7">
        <f t="shared" si="15"/>
        <v>2.2181805629212806E-2</v>
      </c>
      <c r="K66" s="2"/>
      <c r="L66" s="6">
        <f t="shared" si="16"/>
        <v>-367.39188700769199</v>
      </c>
      <c r="M66" s="2"/>
      <c r="N66" s="7">
        <f t="shared" si="17"/>
        <v>-0.70521835890514473</v>
      </c>
      <c r="O66" s="11"/>
      <c r="P66" s="6">
        <v>710.35</v>
      </c>
      <c r="Q66" s="2"/>
      <c r="R66" s="7">
        <f t="shared" si="18"/>
        <v>2.1602318615007311E-4</v>
      </c>
      <c r="S66" s="2"/>
      <c r="T66" s="6">
        <v>5516.686001199997</v>
      </c>
      <c r="U66" s="2"/>
      <c r="V66" s="7">
        <f t="shared" si="19"/>
        <v>1.6586707993582611E-3</v>
      </c>
      <c r="W66" s="2"/>
      <c r="X66" s="6">
        <f t="shared" si="20"/>
        <v>-4806.3360011999966</v>
      </c>
      <c r="Y66" s="2"/>
      <c r="Z66" s="7">
        <f t="shared" si="21"/>
        <v>-0.87123610083200598</v>
      </c>
    </row>
    <row r="67" spans="1:26" s="24" customFormat="1" hidden="1" outlineLevel="2" x14ac:dyDescent="0.25">
      <c r="A67" s="25"/>
      <c r="B67" s="11" t="str">
        <f>CONCATENATE("          ", "6113", " - ", "GROUP INSURANCE")</f>
        <v xml:space="preserve">          6113 - GROUP INSURANCE</v>
      </c>
      <c r="C67" s="11"/>
      <c r="D67" s="6">
        <v>4248.21</v>
      </c>
      <c r="E67" s="2"/>
      <c r="F67" s="7">
        <f t="shared" si="14"/>
        <v>0.29137622506740485</v>
      </c>
      <c r="G67" s="2"/>
      <c r="H67" s="6">
        <v>5311.7692307692296</v>
      </c>
      <c r="I67" s="2"/>
      <c r="J67" s="7">
        <f t="shared" si="15"/>
        <v>0.22616747129222642</v>
      </c>
      <c r="K67" s="2"/>
      <c r="L67" s="6">
        <f t="shared" si="16"/>
        <v>-1063.5592307692295</v>
      </c>
      <c r="M67" s="2"/>
      <c r="N67" s="7">
        <f t="shared" si="17"/>
        <v>-0.20022692714291901</v>
      </c>
      <c r="O67" s="11"/>
      <c r="P67" s="6">
        <v>37756.049999999996</v>
      </c>
      <c r="Q67" s="2"/>
      <c r="R67" s="7">
        <f t="shared" si="18"/>
        <v>1.1481920486297554E-2</v>
      </c>
      <c r="S67" s="2"/>
      <c r="T67" s="6">
        <v>49221</v>
      </c>
      <c r="U67" s="2"/>
      <c r="V67" s="7">
        <f t="shared" si="19"/>
        <v>1.4798999870113001E-2</v>
      </c>
      <c r="W67" s="2"/>
      <c r="X67" s="6">
        <f t="shared" si="20"/>
        <v>-11464.950000000004</v>
      </c>
      <c r="Y67" s="2"/>
      <c r="Z67" s="7">
        <f t="shared" si="21"/>
        <v>-0.23292801852867687</v>
      </c>
    </row>
    <row r="68" spans="1:26" s="24" customFormat="1" hidden="1" outlineLevel="2" x14ac:dyDescent="0.25">
      <c r="A68" s="25"/>
      <c r="B68" s="11" t="str">
        <f>CONCATENATE("          ", "6114", " - ", "STATE UNEMPLOYMENT INSURANCE")</f>
        <v xml:space="preserve">          6114 - STATE UNEMPLOYMENT INSURANCE</v>
      </c>
      <c r="C68" s="11"/>
      <c r="D68" s="6">
        <v>65.510000000000005</v>
      </c>
      <c r="E68" s="2"/>
      <c r="F68" s="7">
        <f t="shared" si="14"/>
        <v>4.4931998427963056E-3</v>
      </c>
      <c r="G68" s="2"/>
      <c r="H68" s="6">
        <v>71.289521379999996</v>
      </c>
      <c r="I68" s="2"/>
      <c r="J68" s="7">
        <f t="shared" si="15"/>
        <v>3.0354049808396489E-3</v>
      </c>
      <c r="K68" s="2"/>
      <c r="L68" s="6">
        <f t="shared" si="16"/>
        <v>-5.7795213799999914</v>
      </c>
      <c r="M68" s="2"/>
      <c r="N68" s="7">
        <f t="shared" si="17"/>
        <v>-8.1071120525455148E-2</v>
      </c>
      <c r="O68" s="11"/>
      <c r="P68" s="6">
        <v>589.73</v>
      </c>
      <c r="Q68" s="2"/>
      <c r="R68" s="7">
        <f t="shared" si="18"/>
        <v>1.7934166758398342E-4</v>
      </c>
      <c r="S68" s="2"/>
      <c r="T68" s="6">
        <v>754.91492647999996</v>
      </c>
      <c r="U68" s="2"/>
      <c r="V68" s="7">
        <f t="shared" si="19"/>
        <v>2.2697600412270951E-4</v>
      </c>
      <c r="W68" s="2"/>
      <c r="X68" s="6">
        <f t="shared" si="20"/>
        <v>-165.18492647999994</v>
      </c>
      <c r="Y68" s="2"/>
      <c r="Z68" s="7">
        <f t="shared" si="21"/>
        <v>-0.2188126379355359</v>
      </c>
    </row>
    <row r="69" spans="1:26" s="24" customFormat="1" hidden="1" outlineLevel="2" x14ac:dyDescent="0.25">
      <c r="A69" s="25"/>
      <c r="B69" s="11" t="str">
        <f>CONCATENATE("          ", "6115", " - ", "P.E.R.S.")</f>
        <v xml:space="preserve">          6115 - P.E.R.S.</v>
      </c>
      <c r="C69" s="11"/>
      <c r="D69" s="6">
        <v>1348.87</v>
      </c>
      <c r="E69" s="2"/>
      <c r="F69" s="7">
        <f t="shared" si="14"/>
        <v>9.2516294793965059E-2</v>
      </c>
      <c r="G69" s="2"/>
      <c r="H69" s="6">
        <v>1235.9586478769202</v>
      </c>
      <c r="I69" s="2"/>
      <c r="J69" s="7">
        <f t="shared" si="15"/>
        <v>5.2625336280206089E-2</v>
      </c>
      <c r="K69" s="2"/>
      <c r="L69" s="6">
        <f t="shared" si="16"/>
        <v>112.91135212307972</v>
      </c>
      <c r="M69" s="2"/>
      <c r="N69" s="7">
        <f t="shared" si="17"/>
        <v>9.1355283056625144E-2</v>
      </c>
      <c r="O69" s="11"/>
      <c r="P69" s="6">
        <v>13112.89</v>
      </c>
      <c r="Q69" s="2"/>
      <c r="R69" s="7">
        <f t="shared" si="18"/>
        <v>3.9877360138458962E-3</v>
      </c>
      <c r="S69" s="2"/>
      <c r="T69" s="6">
        <v>12050.596816799971</v>
      </c>
      <c r="U69" s="2"/>
      <c r="V69" s="7">
        <f t="shared" si="19"/>
        <v>3.6231848342497494E-3</v>
      </c>
      <c r="W69" s="2"/>
      <c r="X69" s="6">
        <f t="shared" si="20"/>
        <v>1062.2931832000286</v>
      </c>
      <c r="Y69" s="2"/>
      <c r="Z69" s="7">
        <f t="shared" si="21"/>
        <v>8.8152744577684738E-2</v>
      </c>
    </row>
    <row r="70" spans="1:26" s="24" customFormat="1" hidden="1" outlineLevel="2" x14ac:dyDescent="0.25">
      <c r="A70" s="25"/>
      <c r="B70" s="11" t="str">
        <f>CONCATENATE("          ", "6116", " - ", "EDUCATIONAL BENEFITS")</f>
        <v xml:space="preserve">          6116 - EDUCATIONAL BENEFITS</v>
      </c>
      <c r="C70" s="11"/>
      <c r="D70" s="6"/>
      <c r="E70" s="2"/>
      <c r="F70" s="7">
        <f t="shared" si="14"/>
        <v>0</v>
      </c>
      <c r="G70" s="2"/>
      <c r="H70" s="6">
        <v>0</v>
      </c>
      <c r="I70" s="2"/>
      <c r="J70" s="7">
        <f t="shared" si="15"/>
        <v>0</v>
      </c>
      <c r="K70" s="2"/>
      <c r="L70" s="6">
        <f t="shared" si="16"/>
        <v>0</v>
      </c>
      <c r="M70" s="2"/>
      <c r="N70" s="7">
        <f t="shared" si="17"/>
        <v>0</v>
      </c>
      <c r="O70" s="11"/>
      <c r="P70" s="6"/>
      <c r="Q70" s="2"/>
      <c r="R70" s="7">
        <f t="shared" si="18"/>
        <v>0</v>
      </c>
      <c r="S70" s="2"/>
      <c r="T70" s="6">
        <v>0</v>
      </c>
      <c r="U70" s="2"/>
      <c r="V70" s="7">
        <f t="shared" si="19"/>
        <v>0</v>
      </c>
      <c r="W70" s="2"/>
      <c r="X70" s="6">
        <f t="shared" si="20"/>
        <v>0</v>
      </c>
      <c r="Y70" s="2"/>
      <c r="Z70" s="7">
        <f t="shared" si="21"/>
        <v>0</v>
      </c>
    </row>
    <row r="71" spans="1:26" s="24" customFormat="1" hidden="1" outlineLevel="2" x14ac:dyDescent="0.25">
      <c r="A71" s="25"/>
      <c r="B71" s="11" t="str">
        <f>CONCATENATE("          ", "6117", " - ", "RETIREMENT STAFF HOURLY")</f>
        <v xml:space="preserve">          6117 - RETIREMENT STAFF HOURLY</v>
      </c>
      <c r="C71" s="11"/>
      <c r="D71" s="6">
        <v>110.54</v>
      </c>
      <c r="E71" s="2"/>
      <c r="F71" s="7">
        <f t="shared" si="14"/>
        <v>7.5817174572233789E-3</v>
      </c>
      <c r="G71" s="2"/>
      <c r="H71" s="6"/>
      <c r="I71" s="2"/>
      <c r="J71" s="7">
        <f t="shared" si="15"/>
        <v>0</v>
      </c>
      <c r="K71" s="2"/>
      <c r="L71" s="6">
        <f t="shared" si="16"/>
        <v>110.54</v>
      </c>
      <c r="M71" s="2"/>
      <c r="N71" s="7">
        <f t="shared" si="17"/>
        <v>0</v>
      </c>
      <c r="O71" s="11"/>
      <c r="P71" s="6">
        <v>1174.1099999999999</v>
      </c>
      <c r="Q71" s="2"/>
      <c r="R71" s="7">
        <f t="shared" si="18"/>
        <v>3.5705635685318829E-4</v>
      </c>
      <c r="S71" s="2"/>
      <c r="T71" s="6"/>
      <c r="U71" s="2"/>
      <c r="V71" s="7">
        <f t="shared" si="19"/>
        <v>0</v>
      </c>
      <c r="W71" s="2"/>
      <c r="X71" s="6">
        <f t="shared" si="20"/>
        <v>1174.1099999999999</v>
      </c>
      <c r="Y71" s="2"/>
      <c r="Z71" s="7">
        <f t="shared" si="21"/>
        <v>0</v>
      </c>
    </row>
    <row r="72" spans="1:26" s="24" customFormat="1" hidden="1" outlineLevel="2" x14ac:dyDescent="0.25">
      <c r="A72" s="25"/>
      <c r="B72" s="11" t="str">
        <f>CONCATENATE("          ", "6118", " - ", "VACATION")</f>
        <v xml:space="preserve">          6118 - VACATION</v>
      </c>
      <c r="C72" s="11"/>
      <c r="D72" s="6">
        <v>1777.06</v>
      </c>
      <c r="E72" s="2"/>
      <c r="F72" s="7">
        <f t="shared" si="14"/>
        <v>0.12188499027079226</v>
      </c>
      <c r="G72" s="2"/>
      <c r="H72" s="6">
        <v>1427.9603583999999</v>
      </c>
      <c r="I72" s="2"/>
      <c r="J72" s="7">
        <f t="shared" si="15"/>
        <v>6.0800492139998295E-2</v>
      </c>
      <c r="K72" s="2"/>
      <c r="L72" s="6">
        <f t="shared" si="16"/>
        <v>349.09964160000004</v>
      </c>
      <c r="M72" s="2"/>
      <c r="N72" s="7">
        <f t="shared" si="17"/>
        <v>0.24447432279643883</v>
      </c>
      <c r="O72" s="11"/>
      <c r="P72" s="6">
        <v>8823.7800000000007</v>
      </c>
      <c r="Q72" s="2"/>
      <c r="R72" s="7">
        <f t="shared" si="18"/>
        <v>2.683382937266548E-3</v>
      </c>
      <c r="S72" s="2"/>
      <c r="T72" s="6">
        <v>13922.6134944</v>
      </c>
      <c r="U72" s="2"/>
      <c r="V72" s="7">
        <f t="shared" si="19"/>
        <v>4.1860335079591865E-3</v>
      </c>
      <c r="W72" s="2"/>
      <c r="X72" s="6">
        <f t="shared" si="20"/>
        <v>-5098.8334943999998</v>
      </c>
      <c r="Y72" s="2"/>
      <c r="Z72" s="7">
        <f t="shared" si="21"/>
        <v>-0.36622675020396633</v>
      </c>
    </row>
    <row r="73" spans="1:26" s="24" customFormat="1" hidden="1" outlineLevel="2" x14ac:dyDescent="0.25">
      <c r="A73" s="25"/>
      <c r="B73" s="11" t="str">
        <f>CONCATENATE("          ", "6119", " - ", "SICK LEAVE")</f>
        <v xml:space="preserve">          6119 - SICK LEAVE</v>
      </c>
      <c r="C73" s="11"/>
      <c r="D73" s="6">
        <v>2626.44</v>
      </c>
      <c r="E73" s="2"/>
      <c r="F73" s="7">
        <f t="shared" si="14"/>
        <v>0.18014226522842203</v>
      </c>
      <c r="G73" s="2"/>
      <c r="H73" s="6">
        <v>1028.2278974923099</v>
      </c>
      <c r="I73" s="2"/>
      <c r="J73" s="7">
        <f t="shared" si="15"/>
        <v>4.3780460593217656E-2</v>
      </c>
      <c r="K73" s="2"/>
      <c r="L73" s="6">
        <f t="shared" si="16"/>
        <v>1598.2121025076901</v>
      </c>
      <c r="M73" s="2"/>
      <c r="N73" s="7">
        <f t="shared" si="17"/>
        <v>1.5543364524591137</v>
      </c>
      <c r="O73" s="11"/>
      <c r="P73" s="6">
        <v>10597.39</v>
      </c>
      <c r="Q73" s="2"/>
      <c r="R73" s="7">
        <f t="shared" si="18"/>
        <v>3.2227520978037913E-3</v>
      </c>
      <c r="S73" s="2"/>
      <c r="T73" s="6">
        <v>10255.3838968</v>
      </c>
      <c r="U73" s="2"/>
      <c r="V73" s="7">
        <f t="shared" si="19"/>
        <v>3.0834283122387228E-3</v>
      </c>
      <c r="W73" s="2"/>
      <c r="X73" s="6">
        <f t="shared" si="20"/>
        <v>342.00610319999942</v>
      </c>
      <c r="Y73" s="2"/>
      <c r="Z73" s="7">
        <f t="shared" si="21"/>
        <v>3.3348932291722012E-2</v>
      </c>
    </row>
    <row r="74" spans="1:26" s="24" customFormat="1" hidden="1" outlineLevel="2" x14ac:dyDescent="0.25">
      <c r="A74" s="25"/>
      <c r="B74" s="11" t="str">
        <f>CONCATENATE("          ", "6156", " - ", "EMPLOYEE MEALS")</f>
        <v xml:space="preserve">          6156 - EMPLOYEE MEALS</v>
      </c>
      <c r="C74" s="11"/>
      <c r="D74" s="6">
        <v>433.62</v>
      </c>
      <c r="E74" s="2"/>
      <c r="F74" s="7">
        <f t="shared" si="14"/>
        <v>2.9741128313743457E-2</v>
      </c>
      <c r="G74" s="2"/>
      <c r="H74" s="6">
        <v>750</v>
      </c>
      <c r="I74" s="2"/>
      <c r="J74" s="7">
        <f t="shared" si="15"/>
        <v>3.193391807885549E-2</v>
      </c>
      <c r="K74" s="2"/>
      <c r="L74" s="6">
        <f t="shared" si="16"/>
        <v>-316.38</v>
      </c>
      <c r="M74" s="2"/>
      <c r="N74" s="7">
        <f t="shared" si="17"/>
        <v>-0.42183999999999999</v>
      </c>
      <c r="O74" s="11"/>
      <c r="P74" s="6">
        <v>5631.92</v>
      </c>
      <c r="Q74" s="2"/>
      <c r="R74" s="7">
        <f t="shared" si="18"/>
        <v>1.7127124692648973E-3</v>
      </c>
      <c r="S74" s="2"/>
      <c r="T74" s="6">
        <v>6750</v>
      </c>
      <c r="U74" s="2"/>
      <c r="V74" s="7">
        <f t="shared" si="19"/>
        <v>2.0294843486167034E-3</v>
      </c>
      <c r="W74" s="2"/>
      <c r="X74" s="6">
        <f t="shared" si="20"/>
        <v>-1118.08</v>
      </c>
      <c r="Y74" s="2"/>
      <c r="Z74" s="7">
        <f t="shared" si="21"/>
        <v>-0.16564148148148147</v>
      </c>
    </row>
    <row r="75" spans="1:26" s="27" customFormat="1" outlineLevel="1" collapsed="1" x14ac:dyDescent="0.25">
      <c r="A75" s="26"/>
      <c r="B75" s="13" t="str">
        <f>CONCATENATE("     ","*Payroll                                          ")</f>
        <v xml:space="preserve">     *Payroll                                          </v>
      </c>
      <c r="C75" s="13"/>
      <c r="D75" s="1">
        <f>SUM(OSRRefD22_1x_0)</f>
        <v>23850.33</v>
      </c>
      <c r="E75" s="1"/>
      <c r="F75" s="5">
        <f t="shared" ref="F75:F85" si="22">IF(D$12=0,0,D75/D$12)</f>
        <v>1.6358464204951917</v>
      </c>
      <c r="G75" s="1"/>
      <c r="H75" s="1">
        <f>SUM(OSRRefH22_1x_0)</f>
        <v>25104.509715723099</v>
      </c>
      <c r="I75" s="1"/>
      <c r="J75" s="5">
        <f t="shared" ref="J75:J85" si="23">IF(H$12=0,0,H75/H$12)</f>
        <v>1.0689138088956442</v>
      </c>
      <c r="K75" s="1"/>
      <c r="L75" s="1">
        <f t="shared" ref="L75:L85" si="24">+D75-H75</f>
        <v>-1254.1797157230976</v>
      </c>
      <c r="M75" s="1"/>
      <c r="N75" s="5">
        <f t="shared" ref="N75:N85" si="25">IF(H75=0,0,L75/H75)</f>
        <v>-4.9958343338511707E-2</v>
      </c>
      <c r="O75" s="13"/>
      <c r="P75" s="1">
        <f>SUM(OSRRefP22_1x_0)</f>
        <v>256814.09000000003</v>
      </c>
      <c r="Q75" s="1"/>
      <c r="R75" s="5">
        <f t="shared" ref="R75:R85" si="26">IF(P$12=0,0,P75/P$12)</f>
        <v>7.8099243992442655E-2</v>
      </c>
      <c r="S75" s="1"/>
      <c r="T75" s="1">
        <f>SUM(OSRRefT22_1x_0)</f>
        <v>267785.1593533</v>
      </c>
      <c r="U75" s="1"/>
      <c r="V75" s="5">
        <f t="shared" ref="V75:V85" si="27">IF(T$12=0,0,T75/T$12)</f>
        <v>8.0513450325829947E-2</v>
      </c>
      <c r="W75" s="1"/>
      <c r="X75" s="1">
        <f t="shared" ref="X75:X85" si="28">+P75-T75</f>
        <v>-10971.069353299972</v>
      </c>
      <c r="Y75" s="1"/>
      <c r="Z75" s="5">
        <f t="shared" ref="Z75:Z85" si="29">IF(T75=0,0,X75/T75)</f>
        <v>-4.0969669042881456E-2</v>
      </c>
    </row>
    <row r="76" spans="1:26" s="24" customFormat="1" hidden="1" outlineLevel="2" x14ac:dyDescent="0.25">
      <c r="A76" s="25"/>
      <c r="B76" s="11" t="str">
        <f>CONCATENATE("          ", "6001", " - ", "ADMINISTRATIVE SALARIES")</f>
        <v xml:space="preserve">          6001 - ADMINISTRATIVE SALARIES</v>
      </c>
      <c r="C76" s="11"/>
      <c r="D76" s="6"/>
      <c r="E76" s="2"/>
      <c r="F76" s="7">
        <f t="shared" si="22"/>
        <v>0</v>
      </c>
      <c r="G76" s="2"/>
      <c r="H76" s="6">
        <v>0</v>
      </c>
      <c r="I76" s="2"/>
      <c r="J76" s="7">
        <f t="shared" si="23"/>
        <v>0</v>
      </c>
      <c r="K76" s="2"/>
      <c r="L76" s="6">
        <f t="shared" si="24"/>
        <v>0</v>
      </c>
      <c r="M76" s="2"/>
      <c r="N76" s="7">
        <f t="shared" si="25"/>
        <v>0</v>
      </c>
      <c r="O76" s="11"/>
      <c r="P76" s="6"/>
      <c r="Q76" s="2"/>
      <c r="R76" s="7">
        <f t="shared" si="26"/>
        <v>0</v>
      </c>
      <c r="S76" s="2"/>
      <c r="T76" s="6">
        <v>0</v>
      </c>
      <c r="U76" s="2"/>
      <c r="V76" s="7">
        <f t="shared" si="27"/>
        <v>0</v>
      </c>
      <c r="W76" s="2"/>
      <c r="X76" s="6">
        <f t="shared" si="28"/>
        <v>0</v>
      </c>
      <c r="Y76" s="2"/>
      <c r="Z76" s="7">
        <f t="shared" si="29"/>
        <v>0</v>
      </c>
    </row>
    <row r="77" spans="1:26" s="24" customFormat="1" hidden="1" outlineLevel="2" x14ac:dyDescent="0.25">
      <c r="A77" s="25"/>
      <c r="B77" s="11" t="str">
        <f>CONCATENATE("          ", "6002", " - ", "STAFF SALARIES")</f>
        <v xml:space="preserve">          6002 - STAFF SALARIES</v>
      </c>
      <c r="C77" s="11"/>
      <c r="D77" s="6">
        <v>12572.28</v>
      </c>
      <c r="E77" s="2"/>
      <c r="F77" s="7">
        <f t="shared" si="22"/>
        <v>0.86230753350009359</v>
      </c>
      <c r="G77" s="2"/>
      <c r="H77" s="6">
        <v>12765.0123437231</v>
      </c>
      <c r="I77" s="2"/>
      <c r="J77" s="7">
        <f t="shared" si="23"/>
        <v>0.54351581128004345</v>
      </c>
      <c r="K77" s="2"/>
      <c r="L77" s="6">
        <f t="shared" si="24"/>
        <v>-192.73234372309889</v>
      </c>
      <c r="M77" s="2"/>
      <c r="N77" s="7">
        <f t="shared" si="25"/>
        <v>-1.5098484712227528E-2</v>
      </c>
      <c r="O77" s="11"/>
      <c r="P77" s="6">
        <v>142536.42000000001</v>
      </c>
      <c r="Q77" s="2"/>
      <c r="R77" s="7">
        <f t="shared" si="26"/>
        <v>4.3346479328253688E-2</v>
      </c>
      <c r="S77" s="2"/>
      <c r="T77" s="6">
        <v>124458.87035130001</v>
      </c>
      <c r="U77" s="2"/>
      <c r="V77" s="7">
        <f t="shared" si="27"/>
        <v>3.7420345099922793E-2</v>
      </c>
      <c r="W77" s="2"/>
      <c r="X77" s="6">
        <f t="shared" si="28"/>
        <v>18077.549648700005</v>
      </c>
      <c r="Y77" s="2"/>
      <c r="Z77" s="7">
        <f t="shared" si="29"/>
        <v>0.14524918631893383</v>
      </c>
    </row>
    <row r="78" spans="1:26" s="24" customFormat="1" hidden="1" outlineLevel="2" x14ac:dyDescent="0.25">
      <c r="A78" s="25"/>
      <c r="B78" s="11" t="str">
        <f>CONCATENATE("          ", "6003", " - ", "STAFF HOURLY-9 MONTH")</f>
        <v xml:space="preserve">          6003 - STAFF HOURLY-9 MONTH</v>
      </c>
      <c r="C78" s="11"/>
      <c r="D78" s="6"/>
      <c r="E78" s="2"/>
      <c r="F78" s="7">
        <f t="shared" si="22"/>
        <v>0</v>
      </c>
      <c r="G78" s="2"/>
      <c r="H78" s="6">
        <v>0</v>
      </c>
      <c r="I78" s="2"/>
      <c r="J78" s="7">
        <f t="shared" si="23"/>
        <v>0</v>
      </c>
      <c r="K78" s="2"/>
      <c r="L78" s="6">
        <f t="shared" si="24"/>
        <v>0</v>
      </c>
      <c r="M78" s="2"/>
      <c r="N78" s="7">
        <f t="shared" si="25"/>
        <v>0</v>
      </c>
      <c r="O78" s="11"/>
      <c r="P78" s="6"/>
      <c r="Q78" s="2"/>
      <c r="R78" s="7">
        <f t="shared" si="26"/>
        <v>0</v>
      </c>
      <c r="S78" s="2"/>
      <c r="T78" s="6">
        <v>0</v>
      </c>
      <c r="U78" s="2"/>
      <c r="V78" s="7">
        <f t="shared" si="27"/>
        <v>0</v>
      </c>
      <c r="W78" s="2"/>
      <c r="X78" s="6">
        <f t="shared" si="28"/>
        <v>0</v>
      </c>
      <c r="Y78" s="2"/>
      <c r="Z78" s="7">
        <f t="shared" si="29"/>
        <v>0</v>
      </c>
    </row>
    <row r="79" spans="1:26" s="24" customFormat="1" hidden="1" outlineLevel="2" x14ac:dyDescent="0.25">
      <c r="A79" s="25"/>
      <c r="B79" s="11" t="str">
        <f>CONCATENATE("          ", "6004", " - ", "STAFF HOURLY")</f>
        <v xml:space="preserve">          6004 - STAFF HOURLY</v>
      </c>
      <c r="C79" s="11"/>
      <c r="D79" s="6">
        <v>5563.51</v>
      </c>
      <c r="E79" s="2"/>
      <c r="F79" s="7">
        <f t="shared" si="22"/>
        <v>0.38159002072043463</v>
      </c>
      <c r="G79" s="2"/>
      <c r="H79" s="6">
        <v>5865.9348719999998</v>
      </c>
      <c r="I79" s="2"/>
      <c r="J79" s="7">
        <f t="shared" si="23"/>
        <v>0.24976304487779954</v>
      </c>
      <c r="K79" s="2"/>
      <c r="L79" s="6">
        <f t="shared" si="24"/>
        <v>-302.4248719999996</v>
      </c>
      <c r="M79" s="2"/>
      <c r="N79" s="7">
        <f t="shared" si="25"/>
        <v>-5.1556125084779088E-2</v>
      </c>
      <c r="O79" s="11"/>
      <c r="P79" s="6">
        <v>31860.780000000002</v>
      </c>
      <c r="Q79" s="2"/>
      <c r="R79" s="7">
        <f t="shared" si="26"/>
        <v>9.6891211498930478E-3</v>
      </c>
      <c r="S79" s="2"/>
      <c r="T79" s="6">
        <v>57192.865001999999</v>
      </c>
      <c r="U79" s="2"/>
      <c r="V79" s="7">
        <f t="shared" si="27"/>
        <v>1.7195855462830669E-2</v>
      </c>
      <c r="W79" s="2"/>
      <c r="X79" s="6">
        <f t="shared" si="28"/>
        <v>-25332.085001999996</v>
      </c>
      <c r="Y79" s="2"/>
      <c r="Z79" s="7">
        <f t="shared" si="29"/>
        <v>-0.44292386823276209</v>
      </c>
    </row>
    <row r="80" spans="1:26" s="24" customFormat="1" hidden="1" outlineLevel="2" x14ac:dyDescent="0.25">
      <c r="A80" s="25"/>
      <c r="B80" s="11" t="str">
        <f>CONCATENATE("          ", "6005", " - ", "TEMPORARY WAGES-HOURLY")</f>
        <v xml:space="preserve">          6005 - TEMPORARY WAGES-HOURLY</v>
      </c>
      <c r="C80" s="11"/>
      <c r="D80" s="6">
        <v>1613.95</v>
      </c>
      <c r="E80" s="2"/>
      <c r="F80" s="7">
        <f t="shared" si="22"/>
        <v>0.11069760168342385</v>
      </c>
      <c r="G80" s="2"/>
      <c r="H80" s="6">
        <v>2792</v>
      </c>
      <c r="I80" s="2"/>
      <c r="J80" s="7">
        <f t="shared" si="23"/>
        <v>0.11887933236821936</v>
      </c>
      <c r="K80" s="2"/>
      <c r="L80" s="6">
        <f t="shared" si="24"/>
        <v>-1178.05</v>
      </c>
      <c r="M80" s="2"/>
      <c r="N80" s="7">
        <f t="shared" si="25"/>
        <v>-0.42193767908309454</v>
      </c>
      <c r="O80" s="11"/>
      <c r="P80" s="6">
        <v>22392.289999999997</v>
      </c>
      <c r="Q80" s="2"/>
      <c r="R80" s="7">
        <f t="shared" si="26"/>
        <v>6.809676681912325E-3</v>
      </c>
      <c r="S80" s="2"/>
      <c r="T80" s="6">
        <v>30125.68</v>
      </c>
      <c r="U80" s="2"/>
      <c r="V80" s="7">
        <f t="shared" si="27"/>
        <v>9.0577179335459626E-3</v>
      </c>
      <c r="W80" s="2"/>
      <c r="X80" s="6">
        <f t="shared" si="28"/>
        <v>-7733.3900000000031</v>
      </c>
      <c r="Y80" s="2"/>
      <c r="Z80" s="7">
        <f t="shared" si="29"/>
        <v>-0.25670424700786848</v>
      </c>
    </row>
    <row r="81" spans="1:26" s="24" customFormat="1" hidden="1" outlineLevel="2" x14ac:dyDescent="0.25">
      <c r="A81" s="25"/>
      <c r="B81" s="11" t="str">
        <f>CONCATENATE("          ", "6006", " - ", "TEMPORARY PART TIME")</f>
        <v xml:space="preserve">          6006 - TEMPORARY PART TIME</v>
      </c>
      <c r="C81" s="11"/>
      <c r="D81" s="6">
        <v>1482.33</v>
      </c>
      <c r="E81" s="2"/>
      <c r="F81" s="7">
        <f t="shared" si="22"/>
        <v>0.10167004919817198</v>
      </c>
      <c r="G81" s="2"/>
      <c r="H81" s="6">
        <v>0</v>
      </c>
      <c r="I81" s="2"/>
      <c r="J81" s="7">
        <f t="shared" si="23"/>
        <v>0</v>
      </c>
      <c r="K81" s="2"/>
      <c r="L81" s="6">
        <f t="shared" si="24"/>
        <v>1482.33</v>
      </c>
      <c r="M81" s="2"/>
      <c r="N81" s="7">
        <f t="shared" si="25"/>
        <v>0</v>
      </c>
      <c r="O81" s="11"/>
      <c r="P81" s="6">
        <v>2309.21</v>
      </c>
      <c r="Q81" s="2"/>
      <c r="R81" s="7">
        <f t="shared" si="26"/>
        <v>7.022494568728237E-4</v>
      </c>
      <c r="S81" s="2"/>
      <c r="T81" s="6">
        <v>0</v>
      </c>
      <c r="U81" s="2"/>
      <c r="V81" s="7">
        <f t="shared" si="27"/>
        <v>0</v>
      </c>
      <c r="W81" s="2"/>
      <c r="X81" s="6">
        <f t="shared" si="28"/>
        <v>2309.21</v>
      </c>
      <c r="Y81" s="2"/>
      <c r="Z81" s="7">
        <f t="shared" si="29"/>
        <v>0</v>
      </c>
    </row>
    <row r="82" spans="1:26" s="24" customFormat="1" hidden="1" outlineLevel="2" x14ac:dyDescent="0.25">
      <c r="A82" s="25"/>
      <c r="B82" s="11" t="str">
        <f>CONCATENATE("          ", "6007", " - ", "STUDENT HOURLY")</f>
        <v xml:space="preserve">          6007 - STUDENT HOURLY</v>
      </c>
      <c r="C82" s="11"/>
      <c r="D82" s="6">
        <v>2618.2600000000002</v>
      </c>
      <c r="E82" s="2"/>
      <c r="F82" s="7">
        <f t="shared" si="22"/>
        <v>0.17958121539306754</v>
      </c>
      <c r="G82" s="2"/>
      <c r="H82" s="6">
        <v>0</v>
      </c>
      <c r="I82" s="2"/>
      <c r="J82" s="7">
        <f t="shared" si="23"/>
        <v>0</v>
      </c>
      <c r="K82" s="2"/>
      <c r="L82" s="6">
        <f t="shared" si="24"/>
        <v>2618.2600000000002</v>
      </c>
      <c r="M82" s="2"/>
      <c r="N82" s="7">
        <f t="shared" si="25"/>
        <v>0</v>
      </c>
      <c r="O82" s="11"/>
      <c r="P82" s="6">
        <v>57715.39</v>
      </c>
      <c r="Q82" s="2"/>
      <c r="R82" s="7">
        <f t="shared" si="26"/>
        <v>1.7551717375510759E-2</v>
      </c>
      <c r="S82" s="2"/>
      <c r="T82" s="6">
        <v>11781</v>
      </c>
      <c r="U82" s="2"/>
      <c r="V82" s="7">
        <f t="shared" si="27"/>
        <v>3.5421266831190197E-3</v>
      </c>
      <c r="W82" s="2"/>
      <c r="X82" s="6">
        <f t="shared" si="28"/>
        <v>45934.39</v>
      </c>
      <c r="Y82" s="2"/>
      <c r="Z82" s="7">
        <f t="shared" si="29"/>
        <v>3.8990230031406501</v>
      </c>
    </row>
    <row r="83" spans="1:26" s="24" customFormat="1" hidden="1" outlineLevel="2" x14ac:dyDescent="0.25">
      <c r="A83" s="25"/>
      <c r="B83" s="11" t="str">
        <f>CONCATENATE("          ", "6008", " - ", "STUDENT HOURLY-FICA EXEMPT")</f>
        <v xml:space="preserve">          6008 - STUDENT HOURLY-FICA EXEMPT</v>
      </c>
      <c r="C83" s="11"/>
      <c r="D83" s="6"/>
      <c r="E83" s="2"/>
      <c r="F83" s="7">
        <f t="shared" si="22"/>
        <v>0</v>
      </c>
      <c r="G83" s="2"/>
      <c r="H83" s="6">
        <v>3681.5625</v>
      </c>
      <c r="I83" s="2"/>
      <c r="J83" s="7">
        <f t="shared" si="23"/>
        <v>0.15675562036958188</v>
      </c>
      <c r="K83" s="2"/>
      <c r="L83" s="6">
        <f t="shared" si="24"/>
        <v>-3681.5625</v>
      </c>
      <c r="M83" s="2"/>
      <c r="N83" s="7">
        <f t="shared" si="25"/>
        <v>-1</v>
      </c>
      <c r="O83" s="11"/>
      <c r="P83" s="6"/>
      <c r="Q83" s="2"/>
      <c r="R83" s="7">
        <f t="shared" si="26"/>
        <v>0</v>
      </c>
      <c r="S83" s="2"/>
      <c r="T83" s="6">
        <v>44226.743999999999</v>
      </c>
      <c r="U83" s="2"/>
      <c r="V83" s="7">
        <f t="shared" si="27"/>
        <v>1.329740514641151E-2</v>
      </c>
      <c r="W83" s="2"/>
      <c r="X83" s="6">
        <f t="shared" si="28"/>
        <v>-44226.743999999999</v>
      </c>
      <c r="Y83" s="2"/>
      <c r="Z83" s="7">
        <f t="shared" si="29"/>
        <v>-1</v>
      </c>
    </row>
    <row r="84" spans="1:26" s="24" customFormat="1" hidden="1" outlineLevel="2" x14ac:dyDescent="0.25">
      <c r="A84" s="25"/>
      <c r="B84" s="11" t="str">
        <f>CONCATENATE("          ", "6009", " - ", "TEMPORARY-SEASONAL")</f>
        <v xml:space="preserve">          6009 - TEMPORARY-SEASONAL</v>
      </c>
      <c r="C84" s="11"/>
      <c r="D84" s="6"/>
      <c r="E84" s="2"/>
      <c r="F84" s="7">
        <f t="shared" si="22"/>
        <v>0</v>
      </c>
      <c r="G84" s="2"/>
      <c r="H84" s="6">
        <v>0</v>
      </c>
      <c r="I84" s="2"/>
      <c r="J84" s="7">
        <f t="shared" si="23"/>
        <v>0</v>
      </c>
      <c r="K84" s="2"/>
      <c r="L84" s="6">
        <f t="shared" si="24"/>
        <v>0</v>
      </c>
      <c r="M84" s="2"/>
      <c r="N84" s="7">
        <f t="shared" si="25"/>
        <v>0</v>
      </c>
      <c r="O84" s="11"/>
      <c r="P84" s="6"/>
      <c r="Q84" s="2"/>
      <c r="R84" s="7">
        <f t="shared" si="26"/>
        <v>0</v>
      </c>
      <c r="S84" s="2"/>
      <c r="T84" s="6">
        <v>0</v>
      </c>
      <c r="U84" s="2"/>
      <c r="V84" s="7">
        <f t="shared" si="27"/>
        <v>0</v>
      </c>
      <c r="W84" s="2"/>
      <c r="X84" s="6">
        <f t="shared" si="28"/>
        <v>0</v>
      </c>
      <c r="Y84" s="2"/>
      <c r="Z84" s="7">
        <f t="shared" si="29"/>
        <v>0</v>
      </c>
    </row>
    <row r="85" spans="1:26" s="24" customFormat="1" hidden="1" outlineLevel="2" x14ac:dyDescent="0.25">
      <c r="A85" s="25"/>
      <c r="B85" s="11" t="str">
        <f>CONCATENATE("          ", "6010", " - ", "GRATUITY")</f>
        <v xml:space="preserve">          6010 - GRATUITY</v>
      </c>
      <c r="C85" s="11"/>
      <c r="D85" s="6"/>
      <c r="E85" s="2"/>
      <c r="F85" s="7">
        <f t="shared" si="22"/>
        <v>0</v>
      </c>
      <c r="G85" s="2"/>
      <c r="H85" s="6">
        <v>0</v>
      </c>
      <c r="I85" s="2"/>
      <c r="J85" s="7">
        <f t="shared" si="23"/>
        <v>0</v>
      </c>
      <c r="K85" s="2"/>
      <c r="L85" s="6">
        <f t="shared" si="24"/>
        <v>0</v>
      </c>
      <c r="M85" s="2"/>
      <c r="N85" s="7">
        <f t="shared" si="25"/>
        <v>0</v>
      </c>
      <c r="O85" s="11"/>
      <c r="P85" s="6"/>
      <c r="Q85" s="2"/>
      <c r="R85" s="7">
        <f t="shared" si="26"/>
        <v>0</v>
      </c>
      <c r="S85" s="2"/>
      <c r="T85" s="6">
        <v>0</v>
      </c>
      <c r="U85" s="2"/>
      <c r="V85" s="7">
        <f t="shared" si="27"/>
        <v>0</v>
      </c>
      <c r="W85" s="2"/>
      <c r="X85" s="6">
        <f t="shared" si="28"/>
        <v>0</v>
      </c>
      <c r="Y85" s="2"/>
      <c r="Z85" s="7">
        <f t="shared" si="29"/>
        <v>0</v>
      </c>
    </row>
    <row r="86" spans="1:26" s="27" customFormat="1" outlineLevel="1" collapsed="1" x14ac:dyDescent="0.25">
      <c r="A86" s="26"/>
      <c r="B86" s="13" t="str">
        <f>CONCATENATE("     ","Advertising/Promo                                 ")</f>
        <v xml:space="preserve">     Advertising/Promo                                 </v>
      </c>
      <c r="C86" s="13"/>
      <c r="D86" s="1">
        <f>SUM(OSRRefD22_2x_0)</f>
        <v>0</v>
      </c>
      <c r="E86" s="1"/>
      <c r="F86" s="5">
        <f t="shared" ref="F86:F90" si="30">IF(D$12=0,0,D86/D$12)</f>
        <v>0</v>
      </c>
      <c r="G86" s="1"/>
      <c r="H86" s="1">
        <f>SUM(OSRRefH22_2x_0)</f>
        <v>200</v>
      </c>
      <c r="I86" s="1"/>
      <c r="J86" s="5">
        <f t="shared" ref="J86:J90" si="31">IF(H$12=0,0,H86/H$12)</f>
        <v>8.5157114876947965E-3</v>
      </c>
      <c r="K86" s="1"/>
      <c r="L86" s="1">
        <f t="shared" ref="L86:L90" si="32">+D86-H86</f>
        <v>-200</v>
      </c>
      <c r="M86" s="1"/>
      <c r="N86" s="5">
        <f t="shared" ref="N86:N90" si="33">IF(H86=0,0,L86/H86)</f>
        <v>-1</v>
      </c>
      <c r="O86" s="13"/>
      <c r="P86" s="1">
        <f>SUM(OSRRefP22_2x_0)</f>
        <v>3981.59</v>
      </c>
      <c r="Q86" s="1"/>
      <c r="R86" s="5">
        <f t="shared" ref="R86:R90" si="34">IF(P$12=0,0,P86/P$12)</f>
        <v>1.2108337548296891E-3</v>
      </c>
      <c r="S86" s="1"/>
      <c r="T86" s="1">
        <f>SUM(OSRRefT22_2x_0)</f>
        <v>4800</v>
      </c>
      <c r="U86" s="1"/>
      <c r="V86" s="5">
        <f t="shared" ref="V86:V90" si="35">IF(T$12=0,0,T86/T$12)</f>
        <v>1.4431888701274336E-3</v>
      </c>
      <c r="W86" s="1"/>
      <c r="X86" s="1">
        <f t="shared" ref="X86:X90" si="36">+P86-T86</f>
        <v>-818.40999999999985</v>
      </c>
      <c r="Y86" s="1"/>
      <c r="Z86" s="5">
        <f t="shared" ref="Z86:Z90" si="37">IF(T86=0,0,X86/T86)</f>
        <v>-0.1705020833333333</v>
      </c>
    </row>
    <row r="87" spans="1:26" s="24" customFormat="1" hidden="1" outlineLevel="2" x14ac:dyDescent="0.25">
      <c r="A87" s="25"/>
      <c r="B87" s="11" t="str">
        <f>CONCATENATE("          ", "6362", " - ", "ADVERTISING EXPENSE")</f>
        <v xml:space="preserve">          6362 - ADVERTISING EXPENSE</v>
      </c>
      <c r="C87" s="11"/>
      <c r="D87" s="6"/>
      <c r="E87" s="2"/>
      <c r="F87" s="7">
        <f t="shared" si="30"/>
        <v>0</v>
      </c>
      <c r="G87" s="2"/>
      <c r="H87" s="6">
        <v>200</v>
      </c>
      <c r="I87" s="2"/>
      <c r="J87" s="7">
        <f t="shared" si="31"/>
        <v>8.5157114876947965E-3</v>
      </c>
      <c r="K87" s="2"/>
      <c r="L87" s="6">
        <f t="shared" si="32"/>
        <v>-200</v>
      </c>
      <c r="M87" s="2"/>
      <c r="N87" s="7">
        <f t="shared" si="33"/>
        <v>-1</v>
      </c>
      <c r="O87" s="11"/>
      <c r="P87" s="6">
        <v>3981.59</v>
      </c>
      <c r="Q87" s="2"/>
      <c r="R87" s="7">
        <f t="shared" si="34"/>
        <v>1.2108337548296891E-3</v>
      </c>
      <c r="S87" s="2"/>
      <c r="T87" s="6">
        <v>4800</v>
      </c>
      <c r="U87" s="2"/>
      <c r="V87" s="7">
        <f t="shared" si="35"/>
        <v>1.4431888701274336E-3</v>
      </c>
      <c r="W87" s="2"/>
      <c r="X87" s="6">
        <f t="shared" si="36"/>
        <v>-818.40999999999985</v>
      </c>
      <c r="Y87" s="2"/>
      <c r="Z87" s="7">
        <f t="shared" si="37"/>
        <v>-0.1705020833333333</v>
      </c>
    </row>
    <row r="88" spans="1:26" s="27" customFormat="1" outlineLevel="1" collapsed="1" x14ac:dyDescent="0.25">
      <c r="A88" s="26"/>
      <c r="B88" s="13" t="str">
        <f>CONCATENATE("     ","Discounts and Markdowns                           ")</f>
        <v xml:space="preserve">     Discounts and Markdowns                           </v>
      </c>
      <c r="C88" s="13"/>
      <c r="D88" s="1">
        <f>SUM(OSRRefD22_3x_0)</f>
        <v>-581.66</v>
      </c>
      <c r="E88" s="1"/>
      <c r="F88" s="5">
        <f t="shared" si="30"/>
        <v>-3.9894895749670256E-2</v>
      </c>
      <c r="G88" s="1"/>
      <c r="H88" s="1">
        <f>SUM(OSRRefH22_3x_0)</f>
        <v>2425</v>
      </c>
      <c r="I88" s="1"/>
      <c r="J88" s="5">
        <f t="shared" si="31"/>
        <v>0.10325300178829941</v>
      </c>
      <c r="K88" s="1"/>
      <c r="L88" s="1">
        <f t="shared" si="32"/>
        <v>-3006.66</v>
      </c>
      <c r="M88" s="1"/>
      <c r="N88" s="5">
        <f t="shared" si="33"/>
        <v>-1.2398597938144329</v>
      </c>
      <c r="O88" s="13"/>
      <c r="P88" s="1">
        <f>SUM(OSRRefP22_3x_0)</f>
        <v>-249.98</v>
      </c>
      <c r="Q88" s="1"/>
      <c r="R88" s="5">
        <f t="shared" si="34"/>
        <v>-7.6020941893144609E-5</v>
      </c>
      <c r="S88" s="1"/>
      <c r="T88" s="1">
        <f>SUM(OSRRefT22_3x_0)</f>
        <v>23125</v>
      </c>
      <c r="U88" s="1"/>
      <c r="V88" s="5">
        <f t="shared" si="35"/>
        <v>6.9528630461868548E-3</v>
      </c>
      <c r="W88" s="1"/>
      <c r="X88" s="1">
        <f t="shared" si="36"/>
        <v>-23374.98</v>
      </c>
      <c r="Y88" s="1"/>
      <c r="Z88" s="5">
        <f t="shared" si="37"/>
        <v>-1.0108099459459459</v>
      </c>
    </row>
    <row r="89" spans="1:26" s="24" customFormat="1" hidden="1" outlineLevel="2" x14ac:dyDescent="0.25">
      <c r="A89" s="25"/>
      <c r="B89" s="11" t="str">
        <f>CONCATENATE("          ", "6382", " - ", "DISCOUNTS/MARK DOWNS")</f>
        <v xml:space="preserve">          6382 - DISCOUNTS/MARK DOWNS</v>
      </c>
      <c r="C89" s="11"/>
      <c r="D89" s="6">
        <v>-581.66</v>
      </c>
      <c r="E89" s="2"/>
      <c r="F89" s="7">
        <f t="shared" si="30"/>
        <v>-3.9894895749670256E-2</v>
      </c>
      <c r="G89" s="2"/>
      <c r="H89" s="6">
        <v>2425</v>
      </c>
      <c r="I89" s="2"/>
      <c r="J89" s="7">
        <f t="shared" si="31"/>
        <v>0.10325300178829941</v>
      </c>
      <c r="K89" s="2"/>
      <c r="L89" s="6">
        <f t="shared" si="32"/>
        <v>-3006.66</v>
      </c>
      <c r="M89" s="2"/>
      <c r="N89" s="7">
        <f t="shared" si="33"/>
        <v>-1.2398597938144329</v>
      </c>
      <c r="O89" s="11"/>
      <c r="P89" s="6">
        <v>202.29</v>
      </c>
      <c r="Q89" s="2"/>
      <c r="R89" s="7">
        <f t="shared" si="34"/>
        <v>6.1518026784399652E-5</v>
      </c>
      <c r="S89" s="2"/>
      <c r="T89" s="6">
        <v>23125</v>
      </c>
      <c r="U89" s="2"/>
      <c r="V89" s="7">
        <f t="shared" si="35"/>
        <v>6.9528630461868548E-3</v>
      </c>
      <c r="W89" s="2"/>
      <c r="X89" s="6">
        <f t="shared" si="36"/>
        <v>-22922.71</v>
      </c>
      <c r="Y89" s="2"/>
      <c r="Z89" s="7">
        <f t="shared" si="37"/>
        <v>-0.99125232432432431</v>
      </c>
    </row>
    <row r="90" spans="1:26" s="24" customFormat="1" hidden="1" outlineLevel="2" x14ac:dyDescent="0.25">
      <c r="A90" s="25"/>
      <c r="B90" s="11" t="str">
        <f>CONCATENATE("          ", "9175", " - ", "EARNED DISCOUNTS")</f>
        <v xml:space="preserve">          9175 - EARNED DISCOUNTS</v>
      </c>
      <c r="C90" s="11"/>
      <c r="D90" s="6"/>
      <c r="E90" s="2"/>
      <c r="F90" s="7">
        <f t="shared" si="30"/>
        <v>0</v>
      </c>
      <c r="G90" s="2"/>
      <c r="H90" s="6"/>
      <c r="I90" s="2"/>
      <c r="J90" s="7">
        <f t="shared" si="31"/>
        <v>0</v>
      </c>
      <c r="K90" s="2"/>
      <c r="L90" s="6">
        <f t="shared" si="32"/>
        <v>0</v>
      </c>
      <c r="M90" s="2"/>
      <c r="N90" s="7">
        <f t="shared" si="33"/>
        <v>0</v>
      </c>
      <c r="O90" s="11"/>
      <c r="P90" s="6">
        <v>-452.27</v>
      </c>
      <c r="Q90" s="2"/>
      <c r="R90" s="7">
        <f t="shared" si="34"/>
        <v>-1.3753896867754425E-4</v>
      </c>
      <c r="S90" s="2"/>
      <c r="T90" s="6"/>
      <c r="U90" s="2"/>
      <c r="V90" s="7">
        <f t="shared" si="35"/>
        <v>0</v>
      </c>
      <c r="W90" s="2"/>
      <c r="X90" s="6">
        <f t="shared" si="36"/>
        <v>-452.27</v>
      </c>
      <c r="Y90" s="2"/>
      <c r="Z90" s="7">
        <f t="shared" si="37"/>
        <v>0</v>
      </c>
    </row>
    <row r="91" spans="1:26" s="27" customFormat="1" outlineLevel="1" collapsed="1" x14ac:dyDescent="0.25">
      <c r="A91" s="26"/>
      <c r="B91" s="13" t="str">
        <f>CONCATENATE("     ","Employees' Appreciation                           ")</f>
        <v xml:space="preserve">     Employees' Appreciation                           </v>
      </c>
      <c r="C91" s="13"/>
      <c r="D91" s="1">
        <f>SUM(OSRRefD22_4x_0)</f>
        <v>82.3</v>
      </c>
      <c r="E91" s="1"/>
      <c r="F91" s="5">
        <f t="shared" ref="F91:F97" si="38">IF(D$12=0,0,D91/D$12)</f>
        <v>5.6447923532611183E-3</v>
      </c>
      <c r="G91" s="1"/>
      <c r="H91" s="1">
        <f>SUM(OSRRefH22_4x_0)</f>
        <v>100</v>
      </c>
      <c r="I91" s="1"/>
      <c r="J91" s="5">
        <f t="shared" ref="J91:J97" si="39">IF(H$12=0,0,H91/H$12)</f>
        <v>4.2578557438473982E-3</v>
      </c>
      <c r="K91" s="1"/>
      <c r="L91" s="1">
        <f t="shared" ref="L91:L97" si="40">+D91-H91</f>
        <v>-17.700000000000003</v>
      </c>
      <c r="M91" s="1"/>
      <c r="N91" s="5">
        <f t="shared" ref="N91:N97" si="41">IF(H91=0,0,L91/H91)</f>
        <v>-0.17700000000000002</v>
      </c>
      <c r="O91" s="13"/>
      <c r="P91" s="1">
        <f>SUM(OSRRefP22_4x_0)</f>
        <v>120.18</v>
      </c>
      <c r="Q91" s="1"/>
      <c r="R91" s="5">
        <f t="shared" ref="R91:R97" si="42">IF(P$12=0,0,P91/P$12)</f>
        <v>3.6547711003752782E-5</v>
      </c>
      <c r="S91" s="1"/>
      <c r="T91" s="1">
        <f>SUM(OSRRefT22_4x_0)</f>
        <v>900</v>
      </c>
      <c r="U91" s="1"/>
      <c r="V91" s="5">
        <f t="shared" ref="V91:V97" si="43">IF(T$12=0,0,T91/T$12)</f>
        <v>2.7059791314889382E-4</v>
      </c>
      <c r="W91" s="1"/>
      <c r="X91" s="1">
        <f t="shared" ref="X91:X97" si="44">+P91-T91</f>
        <v>-779.81999999999994</v>
      </c>
      <c r="Y91" s="1"/>
      <c r="Z91" s="5">
        <f t="shared" ref="Z91:Z97" si="45">IF(T91=0,0,X91/T91)</f>
        <v>-0.86646666666666661</v>
      </c>
    </row>
    <row r="92" spans="1:26" s="24" customFormat="1" hidden="1" outlineLevel="2" x14ac:dyDescent="0.25">
      <c r="A92" s="25"/>
      <c r="B92" s="11" t="str">
        <f>CONCATENATE("          ", "6277", " - ", "EMPLOYEE APPRECIATION")</f>
        <v xml:space="preserve">          6277 - EMPLOYEE APPRECIATION</v>
      </c>
      <c r="C92" s="11"/>
      <c r="D92" s="6">
        <v>82.3</v>
      </c>
      <c r="E92" s="2"/>
      <c r="F92" s="7">
        <f t="shared" si="38"/>
        <v>5.6447923532611183E-3</v>
      </c>
      <c r="G92" s="2"/>
      <c r="H92" s="6">
        <v>100</v>
      </c>
      <c r="I92" s="2"/>
      <c r="J92" s="7">
        <f t="shared" si="39"/>
        <v>4.2578557438473982E-3</v>
      </c>
      <c r="K92" s="2"/>
      <c r="L92" s="6">
        <f t="shared" si="40"/>
        <v>-17.700000000000003</v>
      </c>
      <c r="M92" s="2"/>
      <c r="N92" s="7">
        <f t="shared" si="41"/>
        <v>-0.17700000000000002</v>
      </c>
      <c r="O92" s="11"/>
      <c r="P92" s="6">
        <v>120.18</v>
      </c>
      <c r="Q92" s="2"/>
      <c r="R92" s="7">
        <f t="shared" si="42"/>
        <v>3.6547711003752782E-5</v>
      </c>
      <c r="S92" s="2"/>
      <c r="T92" s="6">
        <v>900</v>
      </c>
      <c r="U92" s="2"/>
      <c r="V92" s="7">
        <f t="shared" si="43"/>
        <v>2.7059791314889382E-4</v>
      </c>
      <c r="W92" s="2"/>
      <c r="X92" s="6">
        <f t="shared" si="44"/>
        <v>-779.81999999999994</v>
      </c>
      <c r="Y92" s="2"/>
      <c r="Z92" s="7">
        <f t="shared" si="45"/>
        <v>-0.86646666666666661</v>
      </c>
    </row>
    <row r="93" spans="1:26" s="27" customFormat="1" outlineLevel="1" collapsed="1" x14ac:dyDescent="0.25">
      <c r="A93" s="26"/>
      <c r="B93" s="13" t="str">
        <f>CONCATENATE("     ","Equipment Rental                                  ")</f>
        <v xml:space="preserve">     Equipment Rental                                  </v>
      </c>
      <c r="C93" s="13"/>
      <c r="D93" s="1">
        <f>SUM(OSRRefD22_5x_0)</f>
        <v>91.26</v>
      </c>
      <c r="E93" s="1"/>
      <c r="F93" s="5">
        <f t="shared" si="38"/>
        <v>6.2593408281726576E-3</v>
      </c>
      <c r="G93" s="1"/>
      <c r="H93" s="1">
        <f>SUM(OSRRefH22_5x_0)</f>
        <v>100</v>
      </c>
      <c r="I93" s="1"/>
      <c r="J93" s="5">
        <f t="shared" si="39"/>
        <v>4.2578557438473982E-3</v>
      </c>
      <c r="K93" s="1"/>
      <c r="L93" s="1">
        <f t="shared" si="40"/>
        <v>-8.7399999999999949</v>
      </c>
      <c r="M93" s="1"/>
      <c r="N93" s="5">
        <f t="shared" si="41"/>
        <v>-8.739999999999995E-2</v>
      </c>
      <c r="O93" s="13"/>
      <c r="P93" s="1">
        <f>SUM(OSRRefP22_5x_0)</f>
        <v>821.34</v>
      </c>
      <c r="Q93" s="1"/>
      <c r="R93" s="5">
        <f t="shared" si="42"/>
        <v>2.4977614374956157E-4</v>
      </c>
      <c r="S93" s="1"/>
      <c r="T93" s="1">
        <f>SUM(OSRRefT22_5x_0)</f>
        <v>900</v>
      </c>
      <c r="U93" s="1"/>
      <c r="V93" s="5">
        <f t="shared" si="43"/>
        <v>2.7059791314889382E-4</v>
      </c>
      <c r="W93" s="1"/>
      <c r="X93" s="1">
        <f t="shared" si="44"/>
        <v>-78.659999999999968</v>
      </c>
      <c r="Y93" s="1"/>
      <c r="Z93" s="5">
        <f t="shared" si="45"/>
        <v>-8.7399999999999964E-2</v>
      </c>
    </row>
    <row r="94" spans="1:26" s="24" customFormat="1" hidden="1" outlineLevel="2" x14ac:dyDescent="0.25">
      <c r="A94" s="25"/>
      <c r="B94" s="11" t="str">
        <f>CONCATENATE("          ", "6351", " - ", "EQUIPMENT RENTAL")</f>
        <v xml:space="preserve">          6351 - EQUIPMENT RENTAL</v>
      </c>
      <c r="C94" s="11"/>
      <c r="D94" s="6">
        <v>91.26</v>
      </c>
      <c r="E94" s="2"/>
      <c r="F94" s="7">
        <f t="shared" si="38"/>
        <v>6.2593408281726576E-3</v>
      </c>
      <c r="G94" s="2"/>
      <c r="H94" s="6">
        <v>100</v>
      </c>
      <c r="I94" s="2"/>
      <c r="J94" s="7">
        <f t="shared" si="39"/>
        <v>4.2578557438473982E-3</v>
      </c>
      <c r="K94" s="2"/>
      <c r="L94" s="6">
        <f t="shared" si="40"/>
        <v>-8.7399999999999949</v>
      </c>
      <c r="M94" s="2"/>
      <c r="N94" s="7">
        <f t="shared" si="41"/>
        <v>-8.739999999999995E-2</v>
      </c>
      <c r="O94" s="11"/>
      <c r="P94" s="6">
        <v>821.34</v>
      </c>
      <c r="Q94" s="2"/>
      <c r="R94" s="7">
        <f t="shared" si="42"/>
        <v>2.4977614374956157E-4</v>
      </c>
      <c r="S94" s="2"/>
      <c r="T94" s="6">
        <v>900</v>
      </c>
      <c r="U94" s="2"/>
      <c r="V94" s="7">
        <f t="shared" si="43"/>
        <v>2.7059791314889382E-4</v>
      </c>
      <c r="W94" s="2"/>
      <c r="X94" s="6">
        <f t="shared" si="44"/>
        <v>-78.659999999999968</v>
      </c>
      <c r="Y94" s="2"/>
      <c r="Z94" s="7">
        <f t="shared" si="45"/>
        <v>-8.7399999999999964E-2</v>
      </c>
    </row>
    <row r="95" spans="1:26" s="27" customFormat="1" outlineLevel="1" collapsed="1" x14ac:dyDescent="0.25">
      <c r="A95" s="26"/>
      <c r="B95" s="13" t="str">
        <f>CONCATENATE("     ","Freight out/Postage                               ")</f>
        <v xml:space="preserve">     Freight out/Postage                               </v>
      </c>
      <c r="C95" s="13"/>
      <c r="D95" s="1">
        <f>SUM(OSRRefD22_6x_0)</f>
        <v>2959.5</v>
      </c>
      <c r="E95" s="1"/>
      <c r="F95" s="5">
        <f t="shared" si="38"/>
        <v>0.20298618431927437</v>
      </c>
      <c r="G95" s="1"/>
      <c r="H95" s="1">
        <f>SUM(OSRRefH22_6x_0)</f>
        <v>2000</v>
      </c>
      <c r="I95" s="1"/>
      <c r="J95" s="5">
        <f t="shared" si="39"/>
        <v>8.5157114876947965E-2</v>
      </c>
      <c r="K95" s="1"/>
      <c r="L95" s="1">
        <f t="shared" si="40"/>
        <v>959.5</v>
      </c>
      <c r="M95" s="1"/>
      <c r="N95" s="5">
        <f t="shared" si="41"/>
        <v>0.47975000000000001</v>
      </c>
      <c r="O95" s="13"/>
      <c r="P95" s="1">
        <f>SUM(OSRRefP22_6x_0)</f>
        <v>15248.4</v>
      </c>
      <c r="Q95" s="1"/>
      <c r="R95" s="5">
        <f t="shared" si="42"/>
        <v>4.6371618944052581E-3</v>
      </c>
      <c r="S95" s="1"/>
      <c r="T95" s="1">
        <f>SUM(OSRRefT22_6x_0)</f>
        <v>24800</v>
      </c>
      <c r="U95" s="1"/>
      <c r="V95" s="5">
        <f t="shared" si="43"/>
        <v>7.4564758289917404E-3</v>
      </c>
      <c r="W95" s="1"/>
      <c r="X95" s="1">
        <f t="shared" si="44"/>
        <v>-9551.6</v>
      </c>
      <c r="Y95" s="1"/>
      <c r="Z95" s="5">
        <f t="shared" si="45"/>
        <v>-0.38514516129032261</v>
      </c>
    </row>
    <row r="96" spans="1:26" s="24" customFormat="1" hidden="1" outlineLevel="2" x14ac:dyDescent="0.25">
      <c r="A96" s="25"/>
      <c r="B96" s="11" t="str">
        <f>CONCATENATE("          ", "6305", " - ", "FREIGHT OUT")</f>
        <v xml:space="preserve">          6305 - FREIGHT OUT</v>
      </c>
      <c r="C96" s="11"/>
      <c r="D96" s="6">
        <v>2959</v>
      </c>
      <c r="E96" s="2"/>
      <c r="F96" s="7">
        <f t="shared" si="38"/>
        <v>0.20295189031955832</v>
      </c>
      <c r="G96" s="2"/>
      <c r="H96" s="6">
        <v>2000</v>
      </c>
      <c r="I96" s="2"/>
      <c r="J96" s="7">
        <f t="shared" si="39"/>
        <v>8.5157114876947965E-2</v>
      </c>
      <c r="K96" s="2"/>
      <c r="L96" s="6">
        <f t="shared" si="40"/>
        <v>959</v>
      </c>
      <c r="M96" s="2"/>
      <c r="N96" s="7">
        <f t="shared" si="41"/>
        <v>0.47949999999999998</v>
      </c>
      <c r="O96" s="11"/>
      <c r="P96" s="6">
        <v>15246.449999999999</v>
      </c>
      <c r="Q96" s="2"/>
      <c r="R96" s="7">
        <f t="shared" si="42"/>
        <v>4.6365688836176276E-3</v>
      </c>
      <c r="S96" s="2"/>
      <c r="T96" s="6">
        <v>24800</v>
      </c>
      <c r="U96" s="2"/>
      <c r="V96" s="7">
        <f t="shared" si="43"/>
        <v>7.4564758289917404E-3</v>
      </c>
      <c r="W96" s="2"/>
      <c r="X96" s="6">
        <f t="shared" si="44"/>
        <v>-9553.5500000000011</v>
      </c>
      <c r="Y96" s="2"/>
      <c r="Z96" s="7">
        <f t="shared" si="45"/>
        <v>-0.38522379032258069</v>
      </c>
    </row>
    <row r="97" spans="1:26" s="24" customFormat="1" hidden="1" outlineLevel="2" x14ac:dyDescent="0.25">
      <c r="A97" s="25"/>
      <c r="B97" s="11" t="str">
        <f>CONCATENATE("          ", "6307", " - ", "POSTAGE")</f>
        <v xml:space="preserve">          6307 - POSTAGE</v>
      </c>
      <c r="C97" s="11"/>
      <c r="D97" s="6">
        <v>0.5</v>
      </c>
      <c r="E97" s="2"/>
      <c r="F97" s="7">
        <f t="shared" si="38"/>
        <v>3.4293999716045676E-5</v>
      </c>
      <c r="G97" s="2"/>
      <c r="H97" s="6"/>
      <c r="I97" s="2"/>
      <c r="J97" s="7">
        <f t="shared" si="39"/>
        <v>0</v>
      </c>
      <c r="K97" s="2"/>
      <c r="L97" s="6">
        <f t="shared" si="40"/>
        <v>0.5</v>
      </c>
      <c r="M97" s="2"/>
      <c r="N97" s="7">
        <f t="shared" si="41"/>
        <v>0</v>
      </c>
      <c r="O97" s="11"/>
      <c r="P97" s="6">
        <v>1.95</v>
      </c>
      <c r="Q97" s="2"/>
      <c r="R97" s="7">
        <f t="shared" si="42"/>
        <v>5.9301078762953832E-7</v>
      </c>
      <c r="S97" s="2"/>
      <c r="T97" s="6"/>
      <c r="U97" s="2"/>
      <c r="V97" s="7">
        <f t="shared" si="43"/>
        <v>0</v>
      </c>
      <c r="W97" s="2"/>
      <c r="X97" s="6">
        <f t="shared" si="44"/>
        <v>1.95</v>
      </c>
      <c r="Y97" s="2"/>
      <c r="Z97" s="7">
        <f t="shared" si="45"/>
        <v>0</v>
      </c>
    </row>
    <row r="98" spans="1:26" s="27" customFormat="1" outlineLevel="1" collapsed="1" x14ac:dyDescent="0.25">
      <c r="A98" s="26"/>
      <c r="B98" s="13" t="str">
        <f>CONCATENATE("     ","General                                           ")</f>
        <v xml:space="preserve">     General                                           </v>
      </c>
      <c r="C98" s="13"/>
      <c r="D98" s="1">
        <f>SUM(OSRRefD22_7x_0)</f>
        <v>0</v>
      </c>
      <c r="E98" s="1"/>
      <c r="F98" s="5">
        <f t="shared" ref="F98:F105" si="46">IF(D$12=0,0,D98/D$12)</f>
        <v>0</v>
      </c>
      <c r="G98" s="1"/>
      <c r="H98" s="1">
        <f>SUM(OSRRefH22_7x_0)</f>
        <v>0</v>
      </c>
      <c r="I98" s="1"/>
      <c r="J98" s="5">
        <f t="shared" ref="J98:J105" si="47">IF(H$12=0,0,H98/H$12)</f>
        <v>0</v>
      </c>
      <c r="K98" s="1"/>
      <c r="L98" s="1">
        <f t="shared" ref="L98:L105" si="48">+D98-H98</f>
        <v>0</v>
      </c>
      <c r="M98" s="1"/>
      <c r="N98" s="5">
        <f t="shared" ref="N98:N105" si="49">IF(H98=0,0,L98/H98)</f>
        <v>0</v>
      </c>
      <c r="O98" s="13"/>
      <c r="P98" s="1">
        <f>SUM(OSRRefP22_7x_0)</f>
        <v>8253.06</v>
      </c>
      <c r="Q98" s="1"/>
      <c r="R98" s="5">
        <f t="shared" ref="R98:R105" si="50">IF(P$12=0,0,P98/P$12)</f>
        <v>2.5098223645917115E-3</v>
      </c>
      <c r="S98" s="1"/>
      <c r="T98" s="1">
        <f>SUM(OSRRefT22_7x_0)</f>
        <v>13000</v>
      </c>
      <c r="U98" s="1"/>
      <c r="V98" s="5">
        <f t="shared" ref="V98:V105" si="51">IF(T$12=0,0,T98/T$12)</f>
        <v>3.9086365232617994E-3</v>
      </c>
      <c r="W98" s="1"/>
      <c r="X98" s="1">
        <f t="shared" ref="X98:X105" si="52">+P98-T98</f>
        <v>-4746.9400000000005</v>
      </c>
      <c r="Y98" s="1"/>
      <c r="Z98" s="5">
        <f t="shared" ref="Z98:Z105" si="53">IF(T98=0,0,X98/T98)</f>
        <v>-0.36514923076923078</v>
      </c>
    </row>
    <row r="99" spans="1:26" s="24" customFormat="1" hidden="1" outlineLevel="2" x14ac:dyDescent="0.25">
      <c r="A99" s="25"/>
      <c r="B99" s="11" t="str">
        <f>CONCATENATE("          ", "6279", " - ", "GENERAL EXPENSE")</f>
        <v xml:space="preserve">          6279 - GENERAL EXPENSE</v>
      </c>
      <c r="C99" s="11"/>
      <c r="D99" s="6"/>
      <c r="E99" s="2"/>
      <c r="F99" s="7">
        <f t="shared" si="46"/>
        <v>0</v>
      </c>
      <c r="G99" s="2"/>
      <c r="H99" s="6"/>
      <c r="I99" s="2"/>
      <c r="J99" s="7">
        <f t="shared" si="47"/>
        <v>0</v>
      </c>
      <c r="K99" s="2"/>
      <c r="L99" s="6">
        <f t="shared" si="48"/>
        <v>0</v>
      </c>
      <c r="M99" s="2"/>
      <c r="N99" s="7">
        <f t="shared" si="49"/>
        <v>0</v>
      </c>
      <c r="O99" s="11"/>
      <c r="P99" s="6">
        <v>8253.06</v>
      </c>
      <c r="Q99" s="2"/>
      <c r="R99" s="7">
        <f t="shared" si="50"/>
        <v>2.5098223645917115E-3</v>
      </c>
      <c r="S99" s="2"/>
      <c r="T99" s="6">
        <v>13000</v>
      </c>
      <c r="U99" s="2"/>
      <c r="V99" s="7">
        <f t="shared" si="51"/>
        <v>3.9086365232617994E-3</v>
      </c>
      <c r="W99" s="2"/>
      <c r="X99" s="6">
        <f t="shared" si="52"/>
        <v>-4746.9400000000005</v>
      </c>
      <c r="Y99" s="2"/>
      <c r="Z99" s="7">
        <f t="shared" si="53"/>
        <v>-0.36514923076923078</v>
      </c>
    </row>
    <row r="100" spans="1:26" s="27" customFormat="1" outlineLevel="1" collapsed="1" x14ac:dyDescent="0.25">
      <c r="A100" s="26"/>
      <c r="B100" s="13" t="str">
        <f>CONCATENATE("     ","Inventory Adjustment                              ")</f>
        <v xml:space="preserve">     Inventory Adjustment                              </v>
      </c>
      <c r="C100" s="13"/>
      <c r="D100" s="1">
        <f>SUM(OSRRefD22_8x_0)</f>
        <v>1000</v>
      </c>
      <c r="E100" s="1"/>
      <c r="F100" s="5">
        <f t="shared" si="46"/>
        <v>6.8587999432091359E-2</v>
      </c>
      <c r="G100" s="1"/>
      <c r="H100" s="1">
        <f>SUM(OSRRefH22_8x_0)</f>
        <v>1000</v>
      </c>
      <c r="I100" s="1"/>
      <c r="J100" s="5">
        <f t="shared" si="47"/>
        <v>4.2578557438473982E-2</v>
      </c>
      <c r="K100" s="1"/>
      <c r="L100" s="1">
        <f t="shared" si="48"/>
        <v>0</v>
      </c>
      <c r="M100" s="1"/>
      <c r="N100" s="5">
        <f t="shared" si="49"/>
        <v>0</v>
      </c>
      <c r="O100" s="13"/>
      <c r="P100" s="1">
        <f>SUM(OSRRefP22_8x_0)</f>
        <v>14800</v>
      </c>
      <c r="Q100" s="1"/>
      <c r="R100" s="5">
        <f t="shared" si="50"/>
        <v>4.5007998240600856E-3</v>
      </c>
      <c r="S100" s="1"/>
      <c r="T100" s="1">
        <f>SUM(OSRRefT22_8x_0)</f>
        <v>14800</v>
      </c>
      <c r="U100" s="1"/>
      <c r="V100" s="5">
        <f t="shared" si="51"/>
        <v>4.4498323495595869E-3</v>
      </c>
      <c r="W100" s="1"/>
      <c r="X100" s="1">
        <f t="shared" si="52"/>
        <v>0</v>
      </c>
      <c r="Y100" s="1"/>
      <c r="Z100" s="5">
        <f t="shared" si="53"/>
        <v>0</v>
      </c>
    </row>
    <row r="101" spans="1:26" s="24" customFormat="1" hidden="1" outlineLevel="2" x14ac:dyDescent="0.25">
      <c r="A101" s="25"/>
      <c r="B101" s="11" t="str">
        <f>CONCATENATE("          ", "6408", " - ", "INVENTORY ADJUSTMENT")</f>
        <v xml:space="preserve">          6408 - INVENTORY ADJUSTMENT</v>
      </c>
      <c r="C101" s="11"/>
      <c r="D101" s="6">
        <v>1000</v>
      </c>
      <c r="E101" s="2"/>
      <c r="F101" s="7">
        <f t="shared" si="46"/>
        <v>6.8587999432091359E-2</v>
      </c>
      <c r="G101" s="2"/>
      <c r="H101" s="6">
        <v>1000</v>
      </c>
      <c r="I101" s="2"/>
      <c r="J101" s="7">
        <f t="shared" si="47"/>
        <v>4.2578557438473982E-2</v>
      </c>
      <c r="K101" s="2"/>
      <c r="L101" s="6">
        <f t="shared" si="48"/>
        <v>0</v>
      </c>
      <c r="M101" s="2"/>
      <c r="N101" s="7">
        <f t="shared" si="49"/>
        <v>0</v>
      </c>
      <c r="O101" s="11"/>
      <c r="P101" s="6">
        <v>14800</v>
      </c>
      <c r="Q101" s="2"/>
      <c r="R101" s="7">
        <f t="shared" si="50"/>
        <v>4.5007998240600856E-3</v>
      </c>
      <c r="S101" s="2"/>
      <c r="T101" s="6">
        <v>14800</v>
      </c>
      <c r="U101" s="2"/>
      <c r="V101" s="7">
        <f t="shared" si="51"/>
        <v>4.4498323495595869E-3</v>
      </c>
      <c r="W101" s="2"/>
      <c r="X101" s="6">
        <f t="shared" si="52"/>
        <v>0</v>
      </c>
      <c r="Y101" s="2"/>
      <c r="Z101" s="7">
        <f t="shared" si="53"/>
        <v>0</v>
      </c>
    </row>
    <row r="102" spans="1:26" s="27" customFormat="1" outlineLevel="1" collapsed="1" x14ac:dyDescent="0.25">
      <c r="A102" s="26"/>
      <c r="B102" s="13" t="str">
        <f>CONCATENATE("     ","Repair and Maintenance                            ")</f>
        <v xml:space="preserve">     Repair and Maintenance                            </v>
      </c>
      <c r="C102" s="13"/>
      <c r="D102" s="1">
        <f>SUM(OSRRefD22_9x_0)</f>
        <v>23.52</v>
      </c>
      <c r="E102" s="1"/>
      <c r="F102" s="5">
        <f t="shared" si="46"/>
        <v>1.6131897466427887E-3</v>
      </c>
      <c r="G102" s="1"/>
      <c r="H102" s="1">
        <f>SUM(OSRRefH22_9x_0)</f>
        <v>140</v>
      </c>
      <c r="I102" s="1"/>
      <c r="J102" s="5">
        <f t="shared" si="47"/>
        <v>5.9609980413863582E-3</v>
      </c>
      <c r="K102" s="1"/>
      <c r="L102" s="1">
        <f t="shared" si="48"/>
        <v>-116.48</v>
      </c>
      <c r="M102" s="1"/>
      <c r="N102" s="5">
        <f t="shared" si="49"/>
        <v>-0.83200000000000007</v>
      </c>
      <c r="O102" s="13"/>
      <c r="P102" s="1">
        <f>SUM(OSRRefP22_9x_0)</f>
        <v>210.3</v>
      </c>
      <c r="Q102" s="1"/>
      <c r="R102" s="5">
        <f t="shared" si="50"/>
        <v>6.3953932635124066E-5</v>
      </c>
      <c r="S102" s="1"/>
      <c r="T102" s="1">
        <f>SUM(OSRRefT22_9x_0)</f>
        <v>3260</v>
      </c>
      <c r="U102" s="1"/>
      <c r="V102" s="5">
        <f t="shared" si="51"/>
        <v>9.8016577429488197E-4</v>
      </c>
      <c r="W102" s="1"/>
      <c r="X102" s="1">
        <f t="shared" si="52"/>
        <v>-3049.7</v>
      </c>
      <c r="Y102" s="1"/>
      <c r="Z102" s="5">
        <f t="shared" si="53"/>
        <v>-0.93549079754601216</v>
      </c>
    </row>
    <row r="103" spans="1:26" s="24" customFormat="1" hidden="1" outlineLevel="2" x14ac:dyDescent="0.25">
      <c r="A103" s="25"/>
      <c r="B103" s="11" t="str">
        <f>CONCATENATE("          ", "6372", " - ", "COMPUTER HARDWARE MAINTENANCE")</f>
        <v xml:space="preserve">          6372 - COMPUTER HARDWARE MAINTENANCE</v>
      </c>
      <c r="C103" s="11"/>
      <c r="D103" s="6"/>
      <c r="E103" s="2"/>
      <c r="F103" s="7">
        <f t="shared" si="46"/>
        <v>0</v>
      </c>
      <c r="G103" s="2"/>
      <c r="H103" s="6"/>
      <c r="I103" s="2"/>
      <c r="J103" s="7">
        <f t="shared" si="47"/>
        <v>0</v>
      </c>
      <c r="K103" s="2"/>
      <c r="L103" s="6">
        <f t="shared" si="48"/>
        <v>0</v>
      </c>
      <c r="M103" s="2"/>
      <c r="N103" s="7">
        <f t="shared" si="49"/>
        <v>0</v>
      </c>
      <c r="O103" s="11"/>
      <c r="P103" s="6"/>
      <c r="Q103" s="2"/>
      <c r="R103" s="7">
        <f t="shared" si="50"/>
        <v>0</v>
      </c>
      <c r="S103" s="2"/>
      <c r="T103" s="6">
        <v>2000</v>
      </c>
      <c r="U103" s="2"/>
      <c r="V103" s="7">
        <f t="shared" si="51"/>
        <v>6.0132869588643066E-4</v>
      </c>
      <c r="W103" s="2"/>
      <c r="X103" s="6">
        <f t="shared" si="52"/>
        <v>-2000</v>
      </c>
      <c r="Y103" s="2"/>
      <c r="Z103" s="7">
        <f t="shared" si="53"/>
        <v>-1</v>
      </c>
    </row>
    <row r="104" spans="1:26" s="24" customFormat="1" hidden="1" outlineLevel="2" x14ac:dyDescent="0.25">
      <c r="A104" s="25"/>
      <c r="B104" s="11" t="str">
        <f>CONCATENATE("          ", "6373", " - ", "MAINTENANCE CONTRACTS")</f>
        <v xml:space="preserve">          6373 - MAINTENANCE CONTRACTS</v>
      </c>
      <c r="C104" s="11"/>
      <c r="D104" s="6">
        <v>23.52</v>
      </c>
      <c r="E104" s="2"/>
      <c r="F104" s="7">
        <f t="shared" si="46"/>
        <v>1.6131897466427887E-3</v>
      </c>
      <c r="G104" s="2"/>
      <c r="H104" s="6">
        <v>40</v>
      </c>
      <c r="I104" s="2"/>
      <c r="J104" s="7">
        <f t="shared" si="47"/>
        <v>1.7031422975389593E-3</v>
      </c>
      <c r="K104" s="2"/>
      <c r="L104" s="6">
        <f t="shared" si="48"/>
        <v>-16.48</v>
      </c>
      <c r="M104" s="2"/>
      <c r="N104" s="7">
        <f t="shared" si="49"/>
        <v>-0.41200000000000003</v>
      </c>
      <c r="O104" s="11"/>
      <c r="P104" s="6">
        <v>210.3</v>
      </c>
      <c r="Q104" s="2"/>
      <c r="R104" s="7">
        <f t="shared" si="50"/>
        <v>6.3953932635124066E-5</v>
      </c>
      <c r="S104" s="2"/>
      <c r="T104" s="6">
        <v>360</v>
      </c>
      <c r="U104" s="2"/>
      <c r="V104" s="7">
        <f t="shared" si="51"/>
        <v>1.0823916525955752E-4</v>
      </c>
      <c r="W104" s="2"/>
      <c r="X104" s="6">
        <f t="shared" si="52"/>
        <v>-149.69999999999999</v>
      </c>
      <c r="Y104" s="2"/>
      <c r="Z104" s="7">
        <f t="shared" si="53"/>
        <v>-0.41583333333333328</v>
      </c>
    </row>
    <row r="105" spans="1:26" s="24" customFormat="1" hidden="1" outlineLevel="2" x14ac:dyDescent="0.25">
      <c r="A105" s="25"/>
      <c r="B105" s="11" t="str">
        <f>CONCATENATE("          ", "6375", " - ", "OUTSIDE REPAIRS &amp; MAINTENANCE")</f>
        <v xml:space="preserve">          6375 - OUTSIDE REPAIRS &amp; MAINTENANCE</v>
      </c>
      <c r="C105" s="11"/>
      <c r="D105" s="6"/>
      <c r="E105" s="2"/>
      <c r="F105" s="7">
        <f t="shared" si="46"/>
        <v>0</v>
      </c>
      <c r="G105" s="2"/>
      <c r="H105" s="6">
        <v>100</v>
      </c>
      <c r="I105" s="2"/>
      <c r="J105" s="7">
        <f t="shared" si="47"/>
        <v>4.2578557438473982E-3</v>
      </c>
      <c r="K105" s="2"/>
      <c r="L105" s="6">
        <f t="shared" si="48"/>
        <v>-100</v>
      </c>
      <c r="M105" s="2"/>
      <c r="N105" s="7">
        <f t="shared" si="49"/>
        <v>-1</v>
      </c>
      <c r="O105" s="11"/>
      <c r="P105" s="6"/>
      <c r="Q105" s="2"/>
      <c r="R105" s="7">
        <f t="shared" si="50"/>
        <v>0</v>
      </c>
      <c r="S105" s="2"/>
      <c r="T105" s="6">
        <v>900</v>
      </c>
      <c r="U105" s="2"/>
      <c r="V105" s="7">
        <f t="shared" si="51"/>
        <v>2.7059791314889382E-4</v>
      </c>
      <c r="W105" s="2"/>
      <c r="X105" s="6">
        <f t="shared" si="52"/>
        <v>-900</v>
      </c>
      <c r="Y105" s="2"/>
      <c r="Z105" s="7">
        <f t="shared" si="53"/>
        <v>-1</v>
      </c>
    </row>
    <row r="106" spans="1:26" s="27" customFormat="1" outlineLevel="1" collapsed="1" x14ac:dyDescent="0.25">
      <c r="A106" s="26"/>
      <c r="B106" s="13" t="str">
        <f>CONCATENATE("     ","Subscriptions &amp; Dues                              ")</f>
        <v xml:space="preserve">     Subscriptions &amp; Dues                              </v>
      </c>
      <c r="C106" s="13"/>
      <c r="D106" s="1">
        <f>SUM(OSRRefD22_10x_0)</f>
        <v>626.54</v>
      </c>
      <c r="E106" s="1"/>
      <c r="F106" s="5">
        <f t="shared" ref="F106:F111" si="54">IF(D$12=0,0,D106/D$12)</f>
        <v>4.2973125164182516E-2</v>
      </c>
      <c r="G106" s="1"/>
      <c r="H106" s="1">
        <f>SUM(OSRRefH22_10x_0)</f>
        <v>300</v>
      </c>
      <c r="I106" s="1"/>
      <c r="J106" s="5">
        <f t="shared" ref="J106:J111" si="55">IF(H$12=0,0,H106/H$12)</f>
        <v>1.2773567231542195E-2</v>
      </c>
      <c r="K106" s="1"/>
      <c r="L106" s="1">
        <f t="shared" ref="L106:L111" si="56">+D106-H106</f>
        <v>326.53999999999996</v>
      </c>
      <c r="M106" s="1"/>
      <c r="N106" s="5">
        <f t="shared" ref="N106:N111" si="57">IF(H106=0,0,L106/H106)</f>
        <v>1.0884666666666665</v>
      </c>
      <c r="O106" s="13"/>
      <c r="P106" s="1">
        <f>SUM(OSRRefP22_10x_0)</f>
        <v>2948.48</v>
      </c>
      <c r="Q106" s="1"/>
      <c r="R106" s="5">
        <f t="shared" ref="R106:R111" si="58">IF(P$12=0,0,P106/P$12)</f>
        <v>8.9665663954355962E-4</v>
      </c>
      <c r="S106" s="1"/>
      <c r="T106" s="1">
        <f>SUM(OSRRefT22_10x_0)</f>
        <v>7000</v>
      </c>
      <c r="U106" s="1"/>
      <c r="V106" s="5">
        <f t="shared" ref="V106:V111" si="59">IF(T$12=0,0,T106/T$12)</f>
        <v>2.1046504356025072E-3</v>
      </c>
      <c r="W106" s="1"/>
      <c r="X106" s="1">
        <f t="shared" ref="X106:X111" si="60">+P106-T106</f>
        <v>-4051.52</v>
      </c>
      <c r="Y106" s="1"/>
      <c r="Z106" s="5">
        <f t="shared" ref="Z106:Z111" si="61">IF(T106=0,0,X106/T106)</f>
        <v>-0.57878857142857143</v>
      </c>
    </row>
    <row r="107" spans="1:26" s="24" customFormat="1" hidden="1" outlineLevel="2" x14ac:dyDescent="0.25">
      <c r="A107" s="25"/>
      <c r="B107" s="11" t="str">
        <f>CONCATENATE("          ", "6258", " - ", "MEMBERSHIP DUES")</f>
        <v xml:space="preserve">          6258 - MEMBERSHIP DUES</v>
      </c>
      <c r="C107" s="11"/>
      <c r="D107" s="6">
        <v>626.54</v>
      </c>
      <c r="E107" s="2"/>
      <c r="F107" s="7">
        <f t="shared" si="54"/>
        <v>4.2973125164182516E-2</v>
      </c>
      <c r="G107" s="2"/>
      <c r="H107" s="6">
        <v>300</v>
      </c>
      <c r="I107" s="2"/>
      <c r="J107" s="7">
        <f t="shared" si="55"/>
        <v>1.2773567231542195E-2</v>
      </c>
      <c r="K107" s="2"/>
      <c r="L107" s="6">
        <f t="shared" si="56"/>
        <v>326.53999999999996</v>
      </c>
      <c r="M107" s="2"/>
      <c r="N107" s="7">
        <f t="shared" si="57"/>
        <v>1.0884666666666665</v>
      </c>
      <c r="O107" s="11"/>
      <c r="P107" s="6">
        <v>2948.48</v>
      </c>
      <c r="Q107" s="2"/>
      <c r="R107" s="7">
        <f t="shared" si="58"/>
        <v>8.9665663954355962E-4</v>
      </c>
      <c r="S107" s="2"/>
      <c r="T107" s="6">
        <v>7000</v>
      </c>
      <c r="U107" s="2"/>
      <c r="V107" s="7">
        <f t="shared" si="59"/>
        <v>2.1046504356025072E-3</v>
      </c>
      <c r="W107" s="2"/>
      <c r="X107" s="6">
        <f t="shared" si="60"/>
        <v>-4051.52</v>
      </c>
      <c r="Y107" s="2"/>
      <c r="Z107" s="7">
        <f t="shared" si="61"/>
        <v>-0.57878857142857143</v>
      </c>
    </row>
    <row r="108" spans="1:26" s="27" customFormat="1" outlineLevel="1" collapsed="1" x14ac:dyDescent="0.25">
      <c r="A108" s="26"/>
      <c r="B108" s="13" t="str">
        <f>CONCATENATE("     ","Supplies                                          ")</f>
        <v xml:space="preserve">     Supplies                                          </v>
      </c>
      <c r="C108" s="13"/>
      <c r="D108" s="1">
        <f>SUM(OSRRefD22_11x_0)</f>
        <v>82.71</v>
      </c>
      <c r="E108" s="1"/>
      <c r="F108" s="5">
        <f t="shared" si="54"/>
        <v>5.6729134330282755E-3</v>
      </c>
      <c r="G108" s="1"/>
      <c r="H108" s="1">
        <f>SUM(OSRRefH22_11x_0)</f>
        <v>1200</v>
      </c>
      <c r="I108" s="1"/>
      <c r="J108" s="5">
        <f t="shared" si="55"/>
        <v>5.1094268926168779E-2</v>
      </c>
      <c r="K108" s="1"/>
      <c r="L108" s="1">
        <f t="shared" si="56"/>
        <v>-1117.29</v>
      </c>
      <c r="M108" s="1"/>
      <c r="N108" s="5">
        <f t="shared" si="57"/>
        <v>-0.93107499999999999</v>
      </c>
      <c r="O108" s="13"/>
      <c r="P108" s="1">
        <f>SUM(OSRRefP22_11x_0)</f>
        <v>11119.900000000001</v>
      </c>
      <c r="Q108" s="1"/>
      <c r="R108" s="5">
        <f t="shared" si="58"/>
        <v>3.3816516191598482E-3</v>
      </c>
      <c r="S108" s="1"/>
      <c r="T108" s="1">
        <f>SUM(OSRRefT22_11x_0)</f>
        <v>18050</v>
      </c>
      <c r="U108" s="1"/>
      <c r="V108" s="5">
        <f t="shared" si="59"/>
        <v>5.4269914803750366E-3</v>
      </c>
      <c r="W108" s="1"/>
      <c r="X108" s="1">
        <f t="shared" si="60"/>
        <v>-6930.0999999999985</v>
      </c>
      <c r="Y108" s="1"/>
      <c r="Z108" s="5">
        <f t="shared" si="61"/>
        <v>-0.38393905817174506</v>
      </c>
    </row>
    <row r="109" spans="1:26" s="24" customFormat="1" hidden="1" outlineLevel="2" x14ac:dyDescent="0.25">
      <c r="A109" s="25"/>
      <c r="B109" s="11" t="str">
        <f>CONCATENATE("          ", "6241", " - ", "OFFICE EXPENSE")</f>
        <v xml:space="preserve">          6241 - OFFICE EXPENSE</v>
      </c>
      <c r="C109" s="11"/>
      <c r="D109" s="6">
        <v>82.71</v>
      </c>
      <c r="E109" s="2"/>
      <c r="F109" s="7">
        <f t="shared" si="54"/>
        <v>5.6729134330282755E-3</v>
      </c>
      <c r="G109" s="2"/>
      <c r="H109" s="6">
        <v>300</v>
      </c>
      <c r="I109" s="2"/>
      <c r="J109" s="7">
        <f t="shared" si="55"/>
        <v>1.2773567231542195E-2</v>
      </c>
      <c r="K109" s="2"/>
      <c r="L109" s="6">
        <f t="shared" si="56"/>
        <v>-217.29000000000002</v>
      </c>
      <c r="M109" s="2"/>
      <c r="N109" s="7">
        <f t="shared" si="57"/>
        <v>-0.72430000000000005</v>
      </c>
      <c r="O109" s="11"/>
      <c r="P109" s="6">
        <v>4027.86</v>
      </c>
      <c r="Q109" s="2"/>
      <c r="R109" s="7">
        <f t="shared" si="58"/>
        <v>1.2249048364418012E-3</v>
      </c>
      <c r="S109" s="2"/>
      <c r="T109" s="6">
        <v>7250</v>
      </c>
      <c r="U109" s="2"/>
      <c r="V109" s="7">
        <f t="shared" si="59"/>
        <v>2.179816522588311E-3</v>
      </c>
      <c r="W109" s="2"/>
      <c r="X109" s="6">
        <f t="shared" si="60"/>
        <v>-3222.14</v>
      </c>
      <c r="Y109" s="2"/>
      <c r="Z109" s="7">
        <f t="shared" si="61"/>
        <v>-0.44443310344827586</v>
      </c>
    </row>
    <row r="110" spans="1:26" s="24" customFormat="1" hidden="1" outlineLevel="2" x14ac:dyDescent="0.25">
      <c r="A110" s="25"/>
      <c r="B110" s="11" t="str">
        <f>CONCATENATE("          ", "6245", " - ", "PRINTING")</f>
        <v xml:space="preserve">          6245 - PRINTING</v>
      </c>
      <c r="C110" s="11"/>
      <c r="D110" s="6"/>
      <c r="E110" s="2"/>
      <c r="F110" s="7">
        <f t="shared" si="54"/>
        <v>0</v>
      </c>
      <c r="G110" s="2"/>
      <c r="H110" s="6">
        <v>100</v>
      </c>
      <c r="I110" s="2"/>
      <c r="J110" s="7">
        <f t="shared" si="55"/>
        <v>4.2578557438473982E-3</v>
      </c>
      <c r="K110" s="2"/>
      <c r="L110" s="6">
        <f t="shared" si="56"/>
        <v>-100</v>
      </c>
      <c r="M110" s="2"/>
      <c r="N110" s="7">
        <f t="shared" si="57"/>
        <v>-1</v>
      </c>
      <c r="O110" s="11"/>
      <c r="P110" s="6">
        <v>4978.08</v>
      </c>
      <c r="Q110" s="2"/>
      <c r="R110" s="7">
        <f t="shared" si="58"/>
        <v>1.513874431632232E-3</v>
      </c>
      <c r="S110" s="2"/>
      <c r="T110" s="6">
        <v>2100</v>
      </c>
      <c r="U110" s="2"/>
      <c r="V110" s="7">
        <f t="shared" si="59"/>
        <v>6.3139513068075223E-4</v>
      </c>
      <c r="W110" s="2"/>
      <c r="X110" s="6">
        <f t="shared" si="60"/>
        <v>2878.08</v>
      </c>
      <c r="Y110" s="2"/>
      <c r="Z110" s="7">
        <f t="shared" si="61"/>
        <v>1.3705142857142856</v>
      </c>
    </row>
    <row r="111" spans="1:26" s="24" customFormat="1" hidden="1" outlineLevel="2" x14ac:dyDescent="0.25">
      <c r="A111" s="25"/>
      <c r="B111" s="11" t="str">
        <f>CONCATENATE("          ", "6247", " - ", "STORE SUPPLIES")</f>
        <v xml:space="preserve">          6247 - STORE SUPPLIES</v>
      </c>
      <c r="C111" s="11"/>
      <c r="D111" s="6"/>
      <c r="E111" s="2"/>
      <c r="F111" s="7">
        <f t="shared" si="54"/>
        <v>0</v>
      </c>
      <c r="G111" s="2"/>
      <c r="H111" s="6">
        <v>800</v>
      </c>
      <c r="I111" s="2"/>
      <c r="J111" s="7">
        <f t="shared" si="55"/>
        <v>3.4062845950779186E-2</v>
      </c>
      <c r="K111" s="2"/>
      <c r="L111" s="6">
        <f t="shared" si="56"/>
        <v>-800</v>
      </c>
      <c r="M111" s="2"/>
      <c r="N111" s="7">
        <f t="shared" si="57"/>
        <v>-1</v>
      </c>
      <c r="O111" s="11"/>
      <c r="P111" s="6">
        <v>2113.96</v>
      </c>
      <c r="Q111" s="2"/>
      <c r="R111" s="7">
        <f t="shared" si="58"/>
        <v>6.4287235108581489E-4</v>
      </c>
      <c r="S111" s="2"/>
      <c r="T111" s="6">
        <v>8700</v>
      </c>
      <c r="U111" s="2"/>
      <c r="V111" s="7">
        <f t="shared" si="59"/>
        <v>2.6157798271059735E-3</v>
      </c>
      <c r="W111" s="2"/>
      <c r="X111" s="6">
        <f t="shared" si="60"/>
        <v>-6586.04</v>
      </c>
      <c r="Y111" s="2"/>
      <c r="Z111" s="7">
        <f t="shared" si="61"/>
        <v>-0.75701609195402297</v>
      </c>
    </row>
    <row r="112" spans="1:26" s="27" customFormat="1" outlineLevel="1" collapsed="1" x14ac:dyDescent="0.25">
      <c r="A112" s="26"/>
      <c r="B112" s="13" t="str">
        <f>CONCATENATE("     ","Telephone/Data Lines                              ")</f>
        <v xml:space="preserve">     Telephone/Data Lines                              </v>
      </c>
      <c r="C112" s="13"/>
      <c r="D112" s="1">
        <f>SUM(OSRRefD22_12x_0)</f>
        <v>471.4</v>
      </c>
      <c r="E112" s="1"/>
      <c r="F112" s="5">
        <f t="shared" ref="F112:F114" si="62">IF(D$12=0,0,D112/D$12)</f>
        <v>3.2332382932287865E-2</v>
      </c>
      <c r="G112" s="1"/>
      <c r="H112" s="1">
        <f>SUM(OSRRefH22_12x_0)</f>
        <v>600</v>
      </c>
      <c r="I112" s="1"/>
      <c r="J112" s="5">
        <f t="shared" ref="J112:J114" si="63">IF(H$12=0,0,H112/H$12)</f>
        <v>2.5547134463084389E-2</v>
      </c>
      <c r="K112" s="1"/>
      <c r="L112" s="1">
        <f t="shared" ref="L112:L114" si="64">+D112-H112</f>
        <v>-128.60000000000002</v>
      </c>
      <c r="M112" s="1"/>
      <c r="N112" s="5">
        <f t="shared" ref="N112:N114" si="65">IF(H112=0,0,L112/H112)</f>
        <v>-0.21433333333333338</v>
      </c>
      <c r="O112" s="13"/>
      <c r="P112" s="1">
        <f>SUM(OSRRefP22_12x_0)</f>
        <v>6671.64</v>
      </c>
      <c r="Q112" s="1"/>
      <c r="R112" s="5">
        <f t="shared" ref="R112:R114" si="66">IF(P$12=0,0,P112/P$12)</f>
        <v>2.0288997390670426E-3</v>
      </c>
      <c r="S112" s="1"/>
      <c r="T112" s="1">
        <f>SUM(OSRRefT22_12x_0)</f>
        <v>7700</v>
      </c>
      <c r="U112" s="1"/>
      <c r="V112" s="5">
        <f t="shared" ref="V112:V114" si="67">IF(T$12=0,0,T112/T$12)</f>
        <v>2.3151154791627581E-3</v>
      </c>
      <c r="W112" s="1"/>
      <c r="X112" s="1">
        <f t="shared" ref="X112:X114" si="68">+P112-T112</f>
        <v>-1028.3599999999997</v>
      </c>
      <c r="Y112" s="1"/>
      <c r="Z112" s="5">
        <f t="shared" ref="Z112:Z114" si="69">IF(T112=0,0,X112/T112)</f>
        <v>-0.1335532467532467</v>
      </c>
    </row>
    <row r="113" spans="1:26" s="24" customFormat="1" hidden="1" outlineLevel="2" x14ac:dyDescent="0.25">
      <c r="A113" s="25"/>
      <c r="B113" s="11" t="str">
        <f>CONCATENATE("          ", "6303", " - ", "DATA PHONE LINES")</f>
        <v xml:space="preserve">          6303 - DATA PHONE LINES</v>
      </c>
      <c r="C113" s="11"/>
      <c r="D113" s="6"/>
      <c r="E113" s="2"/>
      <c r="F113" s="7">
        <f t="shared" si="62"/>
        <v>0</v>
      </c>
      <c r="G113" s="2"/>
      <c r="H113" s="6">
        <v>300</v>
      </c>
      <c r="I113" s="2"/>
      <c r="J113" s="7">
        <f t="shared" si="63"/>
        <v>1.2773567231542195E-2</v>
      </c>
      <c r="K113" s="2"/>
      <c r="L113" s="6">
        <f t="shared" si="64"/>
        <v>-300</v>
      </c>
      <c r="M113" s="2"/>
      <c r="N113" s="7">
        <f t="shared" si="65"/>
        <v>-1</v>
      </c>
      <c r="O113" s="11"/>
      <c r="P113" s="6">
        <v>2360</v>
      </c>
      <c r="Q113" s="2"/>
      <c r="R113" s="7">
        <f t="shared" si="66"/>
        <v>7.1769510707985157E-4</v>
      </c>
      <c r="S113" s="2"/>
      <c r="T113" s="6">
        <v>2700</v>
      </c>
      <c r="U113" s="2"/>
      <c r="V113" s="7">
        <f t="shared" si="67"/>
        <v>8.117937394466814E-4</v>
      </c>
      <c r="W113" s="2"/>
      <c r="X113" s="6">
        <f t="shared" si="68"/>
        <v>-340</v>
      </c>
      <c r="Y113" s="2"/>
      <c r="Z113" s="7">
        <f t="shared" si="69"/>
        <v>-0.12592592592592591</v>
      </c>
    </row>
    <row r="114" spans="1:26" s="24" customFormat="1" hidden="1" outlineLevel="2" x14ac:dyDescent="0.25">
      <c r="A114" s="25"/>
      <c r="B114" s="11" t="str">
        <f>CONCATENATE("          ", "6309", " - ", "TELEPHONE")</f>
        <v xml:space="preserve">          6309 - TELEPHONE</v>
      </c>
      <c r="C114" s="11"/>
      <c r="D114" s="6">
        <v>471.4</v>
      </c>
      <c r="E114" s="2"/>
      <c r="F114" s="7">
        <f t="shared" si="62"/>
        <v>3.2332382932287865E-2</v>
      </c>
      <c r="G114" s="2"/>
      <c r="H114" s="6">
        <v>300</v>
      </c>
      <c r="I114" s="2"/>
      <c r="J114" s="7">
        <f t="shared" si="63"/>
        <v>1.2773567231542195E-2</v>
      </c>
      <c r="K114" s="2"/>
      <c r="L114" s="6">
        <f t="shared" si="64"/>
        <v>171.39999999999998</v>
      </c>
      <c r="M114" s="2"/>
      <c r="N114" s="7">
        <f t="shared" si="65"/>
        <v>0.57133333333333325</v>
      </c>
      <c r="O114" s="11"/>
      <c r="P114" s="6">
        <v>4311.6400000000003</v>
      </c>
      <c r="Q114" s="2"/>
      <c r="R114" s="7">
        <f t="shared" si="66"/>
        <v>1.3112046319871912E-3</v>
      </c>
      <c r="S114" s="2"/>
      <c r="T114" s="6">
        <v>5000</v>
      </c>
      <c r="U114" s="2"/>
      <c r="V114" s="7">
        <f t="shared" si="67"/>
        <v>1.5033217397160765E-3</v>
      </c>
      <c r="W114" s="2"/>
      <c r="X114" s="6">
        <f t="shared" si="68"/>
        <v>-688.35999999999967</v>
      </c>
      <c r="Y114" s="2"/>
      <c r="Z114" s="7">
        <f t="shared" si="69"/>
        <v>-0.13767199999999993</v>
      </c>
    </row>
    <row r="115" spans="1:26" s="27" customFormat="1" outlineLevel="1" collapsed="1" x14ac:dyDescent="0.25">
      <c r="A115" s="26"/>
      <c r="B115" s="13" t="str">
        <f>CONCATENATE("     ","Training                                          ")</f>
        <v xml:space="preserve">     Training                                          </v>
      </c>
      <c r="C115" s="13"/>
      <c r="D115" s="1">
        <f>SUM(OSRRefD22_13x_0)</f>
        <v>896.8</v>
      </c>
      <c r="E115" s="1"/>
      <c r="F115" s="5">
        <f t="shared" ref="F115:F119" si="70">IF(D$12=0,0,D115/D$12)</f>
        <v>6.1509717890699526E-2</v>
      </c>
      <c r="G115" s="1"/>
      <c r="H115" s="1">
        <f>SUM(OSRRefH22_13x_0)</f>
        <v>1100</v>
      </c>
      <c r="I115" s="1"/>
      <c r="J115" s="5">
        <f t="shared" ref="J115:J119" si="71">IF(H$12=0,0,H115/H$12)</f>
        <v>4.6836413182321381E-2</v>
      </c>
      <c r="K115" s="1"/>
      <c r="L115" s="1">
        <f t="shared" ref="L115:L119" si="72">+D115-H115</f>
        <v>-203.20000000000005</v>
      </c>
      <c r="M115" s="1"/>
      <c r="N115" s="5">
        <f t="shared" ref="N115:N119" si="73">IF(H115=0,0,L115/H115)</f>
        <v>-0.18472727272727277</v>
      </c>
      <c r="O115" s="13"/>
      <c r="P115" s="1">
        <f>SUM(OSRRefP22_13x_0)</f>
        <v>4157.1499999999996</v>
      </c>
      <c r="Q115" s="1"/>
      <c r="R115" s="5">
        <f t="shared" ref="R115:R119" si="74">IF(P$12=0,0,P115/P$12)</f>
        <v>1.2642229722021206E-3</v>
      </c>
      <c r="S115" s="1"/>
      <c r="T115" s="1">
        <f>SUM(OSRRefT22_13x_0)</f>
        <v>5000</v>
      </c>
      <c r="U115" s="1"/>
      <c r="V115" s="5">
        <f t="shared" ref="V115:V119" si="75">IF(T$12=0,0,T115/T$12)</f>
        <v>1.5033217397160765E-3</v>
      </c>
      <c r="W115" s="1"/>
      <c r="X115" s="1">
        <f t="shared" ref="X115:X119" si="76">+P115-T115</f>
        <v>-842.85000000000036</v>
      </c>
      <c r="Y115" s="1"/>
      <c r="Z115" s="5">
        <f t="shared" ref="Z115:Z119" si="77">IF(T115=0,0,X115/T115)</f>
        <v>-0.16857000000000008</v>
      </c>
    </row>
    <row r="116" spans="1:26" s="24" customFormat="1" hidden="1" outlineLevel="2" x14ac:dyDescent="0.25">
      <c r="A116" s="25"/>
      <c r="B116" s="11" t="str">
        <f>CONCATENATE("          ", "6376", " - ", "TRAINING")</f>
        <v xml:space="preserve">          6376 - TRAINING</v>
      </c>
      <c r="C116" s="11"/>
      <c r="D116" s="6">
        <v>896.8</v>
      </c>
      <c r="E116" s="2"/>
      <c r="F116" s="7">
        <f t="shared" si="70"/>
        <v>6.1509717890699526E-2</v>
      </c>
      <c r="G116" s="2"/>
      <c r="H116" s="6">
        <v>1100</v>
      </c>
      <c r="I116" s="2"/>
      <c r="J116" s="7">
        <f t="shared" si="71"/>
        <v>4.6836413182321381E-2</v>
      </c>
      <c r="K116" s="2"/>
      <c r="L116" s="6">
        <f t="shared" si="72"/>
        <v>-203.20000000000005</v>
      </c>
      <c r="M116" s="2"/>
      <c r="N116" s="7">
        <f t="shared" si="73"/>
        <v>-0.18472727272727277</v>
      </c>
      <c r="O116" s="11"/>
      <c r="P116" s="6">
        <v>4157.1499999999996</v>
      </c>
      <c r="Q116" s="2"/>
      <c r="R116" s="7">
        <f t="shared" si="74"/>
        <v>1.2642229722021206E-3</v>
      </c>
      <c r="S116" s="2"/>
      <c r="T116" s="6">
        <v>5000</v>
      </c>
      <c r="U116" s="2"/>
      <c r="V116" s="7">
        <f t="shared" si="75"/>
        <v>1.5033217397160765E-3</v>
      </c>
      <c r="W116" s="2"/>
      <c r="X116" s="6">
        <f t="shared" si="76"/>
        <v>-842.85000000000036</v>
      </c>
      <c r="Y116" s="2"/>
      <c r="Z116" s="7">
        <f t="shared" si="77"/>
        <v>-0.16857000000000008</v>
      </c>
    </row>
    <row r="117" spans="1:26" s="27" customFormat="1" outlineLevel="1" collapsed="1" x14ac:dyDescent="0.25">
      <c r="A117" s="26"/>
      <c r="B117" s="13" t="str">
        <f>CONCATENATE("     ","Travel                                            ")</f>
        <v xml:space="preserve">     Travel                                            </v>
      </c>
      <c r="C117" s="13"/>
      <c r="D117" s="1">
        <f>SUM(OSRRefD22_14x_0)</f>
        <v>0</v>
      </c>
      <c r="E117" s="1"/>
      <c r="F117" s="5">
        <f t="shared" si="70"/>
        <v>0</v>
      </c>
      <c r="G117" s="1"/>
      <c r="H117" s="1">
        <f>SUM(OSRRefH22_14x_0)</f>
        <v>0</v>
      </c>
      <c r="I117" s="1"/>
      <c r="J117" s="5">
        <f t="shared" si="71"/>
        <v>0</v>
      </c>
      <c r="K117" s="1"/>
      <c r="L117" s="1">
        <f t="shared" si="72"/>
        <v>0</v>
      </c>
      <c r="M117" s="1"/>
      <c r="N117" s="5">
        <f t="shared" si="73"/>
        <v>0</v>
      </c>
      <c r="O117" s="13"/>
      <c r="P117" s="1">
        <f>SUM(OSRRefP22_14x_0)</f>
        <v>83.93</v>
      </c>
      <c r="Q117" s="1"/>
      <c r="R117" s="5">
        <f t="shared" si="74"/>
        <v>2.5523792515767773E-5</v>
      </c>
      <c r="S117" s="1"/>
      <c r="T117" s="1">
        <f>SUM(OSRRefT22_14x_0)</f>
        <v>550</v>
      </c>
      <c r="U117" s="1"/>
      <c r="V117" s="5">
        <f t="shared" si="75"/>
        <v>1.6536539136876842E-4</v>
      </c>
      <c r="W117" s="1"/>
      <c r="X117" s="1">
        <f t="shared" si="76"/>
        <v>-466.07</v>
      </c>
      <c r="Y117" s="1"/>
      <c r="Z117" s="5">
        <f t="shared" si="77"/>
        <v>-0.84740000000000004</v>
      </c>
    </row>
    <row r="118" spans="1:26" s="24" customFormat="1" hidden="1" outlineLevel="2" x14ac:dyDescent="0.25">
      <c r="A118" s="25"/>
      <c r="B118" s="11" t="str">
        <f>CONCATENATE("          ", "6292", " - ", "TRAVEL/CONFERENCE")</f>
        <v xml:space="preserve">          6292 - TRAVEL/CONFERENCE</v>
      </c>
      <c r="C118" s="11"/>
      <c r="D118" s="6"/>
      <c r="E118" s="2"/>
      <c r="F118" s="7">
        <f t="shared" si="70"/>
        <v>0</v>
      </c>
      <c r="G118" s="2"/>
      <c r="H118" s="6"/>
      <c r="I118" s="2"/>
      <c r="J118" s="7">
        <f t="shared" si="71"/>
        <v>0</v>
      </c>
      <c r="K118" s="2"/>
      <c r="L118" s="6">
        <f t="shared" si="72"/>
        <v>0</v>
      </c>
      <c r="M118" s="2"/>
      <c r="N118" s="7">
        <f t="shared" si="73"/>
        <v>0</v>
      </c>
      <c r="O118" s="11"/>
      <c r="P118" s="6">
        <v>83.93</v>
      </c>
      <c r="Q118" s="2"/>
      <c r="R118" s="7">
        <f t="shared" si="74"/>
        <v>2.5523792515767773E-5</v>
      </c>
      <c r="S118" s="2"/>
      <c r="T118" s="6"/>
      <c r="U118" s="2"/>
      <c r="V118" s="7">
        <f t="shared" si="75"/>
        <v>0</v>
      </c>
      <c r="W118" s="2"/>
      <c r="X118" s="6">
        <f t="shared" si="76"/>
        <v>83.93</v>
      </c>
      <c r="Y118" s="2"/>
      <c r="Z118" s="7">
        <f t="shared" si="77"/>
        <v>0</v>
      </c>
    </row>
    <row r="119" spans="1:26" s="24" customFormat="1" hidden="1" outlineLevel="2" x14ac:dyDescent="0.25">
      <c r="A119" s="25"/>
      <c r="B119" s="11" t="str">
        <f>CONCATENATE("          ", "6298", " - ", "VEHICLE MILEAGE")</f>
        <v xml:space="preserve">          6298 - VEHICLE MILEAGE</v>
      </c>
      <c r="C119" s="11"/>
      <c r="D119" s="6"/>
      <c r="E119" s="2"/>
      <c r="F119" s="7">
        <f t="shared" si="70"/>
        <v>0</v>
      </c>
      <c r="G119" s="2"/>
      <c r="H119" s="6"/>
      <c r="I119" s="2"/>
      <c r="J119" s="7">
        <f t="shared" si="71"/>
        <v>0</v>
      </c>
      <c r="K119" s="2"/>
      <c r="L119" s="6">
        <f t="shared" si="72"/>
        <v>0</v>
      </c>
      <c r="M119" s="2"/>
      <c r="N119" s="7">
        <f t="shared" si="73"/>
        <v>0</v>
      </c>
      <c r="O119" s="11"/>
      <c r="P119" s="6"/>
      <c r="Q119" s="2"/>
      <c r="R119" s="7">
        <f t="shared" si="74"/>
        <v>0</v>
      </c>
      <c r="S119" s="2"/>
      <c r="T119" s="6">
        <v>550</v>
      </c>
      <c r="U119" s="2"/>
      <c r="V119" s="7">
        <f t="shared" si="75"/>
        <v>1.6536539136876842E-4</v>
      </c>
      <c r="W119" s="2"/>
      <c r="X119" s="6">
        <f t="shared" si="76"/>
        <v>-550</v>
      </c>
      <c r="Y119" s="2"/>
      <c r="Z119" s="7">
        <f t="shared" si="77"/>
        <v>-1</v>
      </c>
    </row>
    <row r="120" spans="1:26" s="56" customFormat="1" x14ac:dyDescent="0.25">
      <c r="A120" s="36"/>
      <c r="B120" s="36"/>
      <c r="C120" s="36"/>
      <c r="D120" s="1"/>
      <c r="E120" s="1"/>
      <c r="F120" s="5"/>
      <c r="G120" s="1"/>
      <c r="H120" s="1"/>
      <c r="I120" s="1"/>
      <c r="J120" s="5"/>
      <c r="K120" s="1"/>
      <c r="L120" s="1"/>
      <c r="M120" s="1"/>
      <c r="N120" s="5"/>
      <c r="O120" s="36"/>
      <c r="P120" s="1"/>
      <c r="Q120" s="1"/>
      <c r="R120" s="5"/>
      <c r="S120" s="1"/>
      <c r="T120" s="1"/>
      <c r="U120" s="1"/>
      <c r="V120" s="5"/>
      <c r="W120" s="1"/>
      <c r="X120" s="1"/>
      <c r="Y120" s="1"/>
      <c r="Z120" s="5"/>
    </row>
    <row r="121" spans="1:26" s="23" customFormat="1" collapsed="1" x14ac:dyDescent="0.25">
      <c r="A121" s="10"/>
      <c r="B121" s="29" t="s">
        <v>0</v>
      </c>
      <c r="C121" s="10"/>
      <c r="D121" s="4">
        <f>SUM(OSRRefD25x_0)</f>
        <v>117.11</v>
      </c>
      <c r="E121" s="4"/>
      <c r="F121" s="12">
        <f t="shared" ref="F121:F125" si="78">IF(D$12=0,0,D121/D$12)</f>
        <v>8.0323406134922195E-3</v>
      </c>
      <c r="G121" s="4"/>
      <c r="H121" s="4">
        <f>SUM(OSRRefH25x_0)</f>
        <v>600</v>
      </c>
      <c r="I121" s="4"/>
      <c r="J121" s="12">
        <f t="shared" ref="J121:J125" si="79">IF(H$12=0,0,H121/H$12)</f>
        <v>2.5547134463084389E-2</v>
      </c>
      <c r="K121" s="4"/>
      <c r="L121" s="4">
        <f t="shared" ref="L121:L125" si="80">+D121-H121</f>
        <v>-482.89</v>
      </c>
      <c r="M121" s="4"/>
      <c r="N121" s="12">
        <f t="shared" ref="N121:N125" si="81">IF(H121=0,0,L121/H121)</f>
        <v>-0.80481666666666662</v>
      </c>
      <c r="O121" s="10"/>
      <c r="P121" s="4">
        <f>SUM(OSRRefP25x_0)</f>
        <v>187856.39999999997</v>
      </c>
      <c r="Q121" s="4"/>
      <c r="R121" s="12">
        <f t="shared" ref="R121:R125" si="82">IF(P$12=0,0,P121/P$12)</f>
        <v>5.7128652166794663E-2</v>
      </c>
      <c r="S121" s="4"/>
      <c r="T121" s="4">
        <f>SUM(OSRRefT25x_0)</f>
        <v>173750</v>
      </c>
      <c r="U121" s="4"/>
      <c r="V121" s="12">
        <f t="shared" ref="V121:V125" si="83">IF(T$12=0,0,T121/T$12)</f>
        <v>5.2240430455133664E-2</v>
      </c>
      <c r="W121" s="4"/>
      <c r="X121" s="4">
        <f t="shared" ref="X121:X125" si="84">+P121-T121</f>
        <v>14106.399999999965</v>
      </c>
      <c r="Y121" s="4"/>
      <c r="Z121" s="12">
        <f t="shared" ref="Z121:Z125" si="85">IF(T121=0,0,X121/T121)</f>
        <v>8.118791366906454E-2</v>
      </c>
    </row>
    <row r="122" spans="1:26" s="24" customFormat="1" hidden="1" outlineLevel="1" x14ac:dyDescent="0.25">
      <c r="A122" s="44"/>
      <c r="B122" s="11" t="str">
        <f>CONCATENATE("          ", "9150", " - ", "MISC. INCOME")</f>
        <v xml:space="preserve">          9150 - MISC. INCOME</v>
      </c>
      <c r="C122" s="11"/>
      <c r="D122" s="2">
        <f>--117.11</f>
        <v>117.11</v>
      </c>
      <c r="E122" s="2"/>
      <c r="F122" s="19">
        <f t="shared" si="78"/>
        <v>8.0323406134922195E-3</v>
      </c>
      <c r="G122" s="2"/>
      <c r="H122" s="2"/>
      <c r="I122" s="2"/>
      <c r="J122" s="19">
        <f t="shared" si="79"/>
        <v>0</v>
      </c>
      <c r="K122" s="2"/>
      <c r="L122" s="2">
        <f t="shared" si="80"/>
        <v>117.11</v>
      </c>
      <c r="M122" s="2"/>
      <c r="N122" s="19">
        <f t="shared" si="81"/>
        <v>0</v>
      </c>
      <c r="O122" s="11"/>
      <c r="P122" s="2">
        <f>--20412.24</f>
        <v>20412.240000000002</v>
      </c>
      <c r="Q122" s="2"/>
      <c r="R122" s="19">
        <f t="shared" si="82"/>
        <v>6.2075274459913688E-3</v>
      </c>
      <c r="S122" s="2"/>
      <c r="T122" s="2"/>
      <c r="U122" s="2"/>
      <c r="V122" s="19">
        <f t="shared" si="83"/>
        <v>0</v>
      </c>
      <c r="W122" s="2"/>
      <c r="X122" s="2">
        <f t="shared" si="84"/>
        <v>20412.240000000002</v>
      </c>
      <c r="Y122" s="2"/>
      <c r="Z122" s="19">
        <f t="shared" si="85"/>
        <v>0</v>
      </c>
    </row>
    <row r="123" spans="1:26" s="24" customFormat="1" hidden="1" outlineLevel="1" x14ac:dyDescent="0.25">
      <c r="A123" s="44"/>
      <c r="B123" s="11" t="str">
        <f>CONCATENATE("          ", "9151", " - ", "MISC. INCOME")</f>
        <v xml:space="preserve">          9151 - MISC. INCOME</v>
      </c>
      <c r="C123" s="11"/>
      <c r="D123" s="2">
        <f t="shared" ref="D123:D125" si="86">0</f>
        <v>0</v>
      </c>
      <c r="E123" s="2"/>
      <c r="F123" s="19">
        <f t="shared" si="78"/>
        <v>0</v>
      </c>
      <c r="G123" s="2"/>
      <c r="H123" s="2"/>
      <c r="I123" s="2"/>
      <c r="J123" s="19">
        <f t="shared" si="79"/>
        <v>0</v>
      </c>
      <c r="K123" s="2"/>
      <c r="L123" s="2">
        <f t="shared" si="80"/>
        <v>0</v>
      </c>
      <c r="M123" s="2"/>
      <c r="N123" s="19">
        <f t="shared" si="81"/>
        <v>0</v>
      </c>
      <c r="O123" s="11"/>
      <c r="P123" s="2">
        <f>--162744.3</f>
        <v>162744.29999999999</v>
      </c>
      <c r="Q123" s="2"/>
      <c r="R123" s="19">
        <f t="shared" si="82"/>
        <v>4.9491859243701475E-2</v>
      </c>
      <c r="S123" s="2"/>
      <c r="T123" s="2"/>
      <c r="U123" s="2"/>
      <c r="V123" s="19">
        <f t="shared" si="83"/>
        <v>0</v>
      </c>
      <c r="W123" s="2"/>
      <c r="X123" s="2">
        <f t="shared" si="84"/>
        <v>162744.29999999999</v>
      </c>
      <c r="Y123" s="2"/>
      <c r="Z123" s="19">
        <f t="shared" si="85"/>
        <v>0</v>
      </c>
    </row>
    <row r="124" spans="1:26" s="24" customFormat="1" hidden="1" outlineLevel="1" x14ac:dyDescent="0.25">
      <c r="A124" s="44"/>
      <c r="B124" s="11" t="str">
        <f>CONCATENATE("          ", "9152", " - ", "MISC. INCOME")</f>
        <v xml:space="preserve">          9152 - MISC. INCOME</v>
      </c>
      <c r="C124" s="11"/>
      <c r="D124" s="2">
        <f t="shared" si="86"/>
        <v>0</v>
      </c>
      <c r="E124" s="2"/>
      <c r="F124" s="19">
        <f t="shared" si="78"/>
        <v>0</v>
      </c>
      <c r="G124" s="2"/>
      <c r="H124" s="2"/>
      <c r="I124" s="2"/>
      <c r="J124" s="19">
        <f t="shared" si="79"/>
        <v>0</v>
      </c>
      <c r="K124" s="2"/>
      <c r="L124" s="2">
        <f t="shared" si="80"/>
        <v>0</v>
      </c>
      <c r="M124" s="2"/>
      <c r="N124" s="19">
        <f t="shared" si="81"/>
        <v>0</v>
      </c>
      <c r="O124" s="11"/>
      <c r="P124" s="2">
        <f>--4699.86</f>
        <v>4699.8599999999997</v>
      </c>
      <c r="Q124" s="2"/>
      <c r="R124" s="19">
        <f t="shared" si="82"/>
        <v>1.4292654771018267E-3</v>
      </c>
      <c r="S124" s="2"/>
      <c r="T124" s="2"/>
      <c r="U124" s="2"/>
      <c r="V124" s="19">
        <f t="shared" si="83"/>
        <v>0</v>
      </c>
      <c r="W124" s="2"/>
      <c r="X124" s="2">
        <f t="shared" si="84"/>
        <v>4699.8599999999997</v>
      </c>
      <c r="Y124" s="2"/>
      <c r="Z124" s="19">
        <f t="shared" si="85"/>
        <v>0</v>
      </c>
    </row>
    <row r="125" spans="1:26" s="24" customFormat="1" hidden="1" outlineLevel="1" x14ac:dyDescent="0.25">
      <c r="A125" s="44"/>
      <c r="B125" s="11" t="str">
        <f>CONCATENATE("          ", "9160", " - ", "MISC. INCOME")</f>
        <v xml:space="preserve">          9160 - MISC. INCOME</v>
      </c>
      <c r="C125" s="11"/>
      <c r="D125" s="2">
        <f t="shared" si="86"/>
        <v>0</v>
      </c>
      <c r="E125" s="2"/>
      <c r="F125" s="19">
        <f t="shared" si="78"/>
        <v>0</v>
      </c>
      <c r="G125" s="2"/>
      <c r="H125" s="2">
        <v>600</v>
      </c>
      <c r="I125" s="2"/>
      <c r="J125" s="19">
        <f t="shared" si="79"/>
        <v>2.5547134463084389E-2</v>
      </c>
      <c r="K125" s="2"/>
      <c r="L125" s="2">
        <f t="shared" si="80"/>
        <v>-600</v>
      </c>
      <c r="M125" s="2"/>
      <c r="N125" s="19">
        <f t="shared" si="81"/>
        <v>-1</v>
      </c>
      <c r="O125" s="11"/>
      <c r="P125" s="2">
        <f>0</f>
        <v>0</v>
      </c>
      <c r="Q125" s="2"/>
      <c r="R125" s="19">
        <f t="shared" si="82"/>
        <v>0</v>
      </c>
      <c r="S125" s="2"/>
      <c r="T125" s="2">
        <v>173750</v>
      </c>
      <c r="U125" s="2"/>
      <c r="V125" s="19">
        <f t="shared" si="83"/>
        <v>5.2240430455133664E-2</v>
      </c>
      <c r="W125" s="2"/>
      <c r="X125" s="2">
        <f t="shared" si="84"/>
        <v>-173750</v>
      </c>
      <c r="Y125" s="2"/>
      <c r="Z125" s="19">
        <f t="shared" si="85"/>
        <v>-1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x14ac:dyDescent="0.25">
      <c r="A127" s="10"/>
      <c r="B127" s="28" t="s">
        <v>3</v>
      </c>
      <c r="C127" s="28"/>
      <c r="D127" s="20">
        <f>+D61-D63+D121</f>
        <v>-37187.880000000034</v>
      </c>
      <c r="E127" s="14"/>
      <c r="F127" s="22">
        <f>IF(D$12=0,0,D127/D$12)</f>
        <v>-2.550642292320684</v>
      </c>
      <c r="G127" s="14"/>
      <c r="H127" s="20">
        <f>+H61-H63+H121</f>
        <v>-39072.635163297869</v>
      </c>
      <c r="I127" s="14"/>
      <c r="J127" s="22">
        <f>IF(H$12=0,0,H127/H$12)</f>
        <v>-1.6636564405730168</v>
      </c>
      <c r="K127" s="16"/>
      <c r="L127" s="20">
        <f>+D127-H127</f>
        <v>1884.7551632978357</v>
      </c>
      <c r="M127" s="16"/>
      <c r="N127" s="22">
        <f>IF(H127=0,0,L127/H127)</f>
        <v>-4.8237216543516988E-2</v>
      </c>
      <c r="O127" s="29"/>
      <c r="P127" s="20">
        <f>+P61-P63+P121</f>
        <v>742779.04999999935</v>
      </c>
      <c r="Q127" s="14"/>
      <c r="R127" s="22">
        <f>IF(P$12=0,0,P127/P$12)</f>
        <v>0.22588512280780507</v>
      </c>
      <c r="S127" s="14"/>
      <c r="T127" s="20">
        <f>+T61-T63+T121</f>
        <v>601798.20601069601</v>
      </c>
      <c r="U127" s="14"/>
      <c r="V127" s="22">
        <f>IF(T$12=0,0,T127/T$12)</f>
        <v>0.18093926520360268</v>
      </c>
      <c r="W127" s="16"/>
      <c r="X127" s="20">
        <f>+P127-T127</f>
        <v>140980.84398930334</v>
      </c>
      <c r="Y127" s="16"/>
      <c r="Z127" s="22">
        <f>IF(T127=0,0,X127/T127)</f>
        <v>0.2342659758390799</v>
      </c>
    </row>
    <row r="128" spans="1:26" x14ac:dyDescent="0.25">
      <c r="A128" s="9"/>
      <c r="B128" s="10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25">
      <c r="A129" s="52"/>
      <c r="B129" s="10" t="s">
        <v>14</v>
      </c>
      <c r="C129" s="10"/>
      <c r="D129" s="4">
        <v>18692.52</v>
      </c>
      <c r="E129" s="4"/>
      <c r="F129" s="12">
        <f>IF(D$12=0,0,D129/D$12)</f>
        <v>1.2820825511443563</v>
      </c>
      <c r="G129" s="4"/>
      <c r="H129" s="4">
        <v>-8352</v>
      </c>
      <c r="I129" s="4"/>
      <c r="J129" s="12">
        <f>IF(H$12=0,0,H129/H$12)</f>
        <v>-0.35561611172613472</v>
      </c>
      <c r="K129" s="4"/>
      <c r="L129" s="4">
        <f>+D129-H129</f>
        <v>27044.52</v>
      </c>
      <c r="M129" s="4"/>
      <c r="N129" s="12">
        <f>IF(H129=0,0,L129/H129)</f>
        <v>-3.23808908045977</v>
      </c>
      <c r="O129" s="10"/>
      <c r="P129" s="4">
        <v>352349.79000000004</v>
      </c>
      <c r="Q129" s="4"/>
      <c r="R129" s="12">
        <f>IF(P$12=0,0,P129/P$12)</f>
        <v>0.10715242384051409</v>
      </c>
      <c r="S129" s="4"/>
      <c r="T129" s="4">
        <v>388775</v>
      </c>
      <c r="U129" s="4"/>
      <c r="V129" s="12">
        <f>IF(T$12=0,0,T129/T$12)</f>
        <v>0.11689078187162354</v>
      </c>
      <c r="W129" s="4"/>
      <c r="X129" s="4">
        <f>+P129-T129</f>
        <v>-36425.209999999963</v>
      </c>
      <c r="Y129" s="4"/>
      <c r="Z129" s="12">
        <f>IF(T129=0,0,X129/T129)</f>
        <v>-9.369226416307623E-2</v>
      </c>
    </row>
    <row r="130" spans="1:26" x14ac:dyDescent="0.25">
      <c r="A130" s="9"/>
      <c r="B130" s="10"/>
      <c r="C130" s="10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O130" s="10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8" t="s">
        <v>4</v>
      </c>
      <c r="C131" s="28"/>
      <c r="D131" s="31">
        <f>+D127-D129</f>
        <v>-55880.400000000038</v>
      </c>
      <c r="E131" s="14"/>
      <c r="F131" s="34">
        <f>IF(D$12=0,0,D131/D$12)</f>
        <v>-3.8327248434650407</v>
      </c>
      <c r="G131" s="14"/>
      <c r="H131" s="31">
        <f>+H127-H129</f>
        <v>-30720.635163297869</v>
      </c>
      <c r="I131" s="14"/>
      <c r="J131" s="34">
        <f>IF(H$12=0,0,H131/H$12)</f>
        <v>-1.308040328846882</v>
      </c>
      <c r="K131" s="16"/>
      <c r="L131" s="31">
        <f>D131-H131</f>
        <v>-25159.764836702168</v>
      </c>
      <c r="M131" s="16"/>
      <c r="N131" s="34">
        <f>IF(H131=0,0,L131/H131)</f>
        <v>0.81898582835164468</v>
      </c>
      <c r="O131" s="29"/>
      <c r="P131" s="31">
        <f>+P127-P129</f>
        <v>390429.25999999931</v>
      </c>
      <c r="Q131" s="14"/>
      <c r="R131" s="34">
        <f>IF(P$12=0,0,P131/P$12)</f>
        <v>0.11873269896729098</v>
      </c>
      <c r="S131" s="14"/>
      <c r="T131" s="31">
        <f>+T127-T129</f>
        <v>213023.20601069601</v>
      </c>
      <c r="U131" s="14"/>
      <c r="V131" s="34">
        <f>IF(T$12=0,0,T131/T$12)</f>
        <v>6.4048483331979142E-2</v>
      </c>
      <c r="W131" s="16"/>
      <c r="X131" s="31">
        <f>P131-T131</f>
        <v>177406.0539893033</v>
      </c>
      <c r="Y131" s="16"/>
      <c r="Z131" s="34">
        <f>IF(T131=0,0,X131/T131)</f>
        <v>0.83280153984911687</v>
      </c>
    </row>
    <row r="132" spans="1:26" ht="15.75" thickTop="1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8" t="s">
        <v>5</v>
      </c>
      <c r="C134" s="28"/>
      <c r="D134" s="32">
        <f>SUM(D131:D133)</f>
        <v>-55880.400000000038</v>
      </c>
      <c r="E134" s="14"/>
      <c r="F134" s="35">
        <f>IF(D$12=0,0,D134/D$12)</f>
        <v>-3.8327248434650407</v>
      </c>
      <c r="G134" s="14"/>
      <c r="H134" s="32">
        <f>SUM(H131:H133)</f>
        <v>-30720.635163297869</v>
      </c>
      <c r="I134" s="14"/>
      <c r="J134" s="35">
        <f>IF(H$12=0,0,H134/H$12)</f>
        <v>-1.308040328846882</v>
      </c>
      <c r="K134" s="16"/>
      <c r="L134" s="32">
        <f>+D134-H134</f>
        <v>-25159.764836702168</v>
      </c>
      <c r="M134" s="16"/>
      <c r="N134" s="35">
        <f>IF(H134=0,0,L134/H134)</f>
        <v>0.81898582835164468</v>
      </c>
      <c r="O134" s="29"/>
      <c r="P134" s="32">
        <f>SUM(P131:P133)</f>
        <v>390429.25999999931</v>
      </c>
      <c r="Q134" s="14"/>
      <c r="R134" s="35">
        <f>IF(P$12=0,0,P134/P$12)</f>
        <v>0.11873269896729098</v>
      </c>
      <c r="S134" s="14"/>
      <c r="T134" s="32">
        <f>SUM(T131:T133)</f>
        <v>213023.20601069601</v>
      </c>
      <c r="U134" s="14"/>
      <c r="V134" s="35">
        <f>IF(T$12=0,0,T134/T$12)</f>
        <v>6.4048483331979142E-2</v>
      </c>
      <c r="W134" s="16"/>
      <c r="X134" s="32">
        <f>+P134-T134</f>
        <v>177406.0539893033</v>
      </c>
      <c r="Y134" s="16"/>
      <c r="Z134" s="35">
        <f>IF(T134=0,0,X134/T134)</f>
        <v>0.83280153984911687</v>
      </c>
    </row>
    <row r="135" spans="1:26" ht="15.75" thickTop="1" x14ac:dyDescent="0.25">
      <c r="A135" s="9"/>
      <c r="C135" s="9"/>
      <c r="D135" s="18"/>
      <c r="E135" s="18"/>
      <c r="G135" s="18"/>
      <c r="H135" s="18"/>
      <c r="I135" s="18"/>
      <c r="J135" s="42"/>
      <c r="K135" s="18"/>
      <c r="L135" s="18"/>
      <c r="M135" s="18"/>
      <c r="P135" s="18"/>
      <c r="Q135" s="18"/>
      <c r="R135" s="42"/>
      <c r="S135" s="18"/>
      <c r="T135" s="18"/>
      <c r="U135" s="18"/>
      <c r="V135" s="42"/>
      <c r="W135" s="18"/>
      <c r="X135" s="18"/>
    </row>
    <row r="136" spans="1:26" x14ac:dyDescent="0.25">
      <c r="A136" s="9"/>
      <c r="B136" s="57">
        <v>43934.466410914349</v>
      </c>
      <c r="D136" s="18"/>
      <c r="E136" s="18"/>
      <c r="G136" s="18"/>
      <c r="H136" s="18"/>
      <c r="I136" s="18"/>
      <c r="J136" s="42"/>
      <c r="K136" s="18"/>
      <c r="L136" s="18"/>
      <c r="M136" s="18"/>
      <c r="P136" s="18"/>
      <c r="Q136" s="18"/>
      <c r="R136" s="42"/>
      <c r="S136" s="18"/>
      <c r="T136" s="18"/>
      <c r="U136" s="18"/>
      <c r="V136" s="42"/>
      <c r="W136" s="18"/>
      <c r="X136" s="18"/>
    </row>
    <row r="137" spans="1:26" x14ac:dyDescent="0.25">
      <c r="A137" s="9"/>
      <c r="B137" s="62" t="s">
        <v>314</v>
      </c>
      <c r="D137" s="18"/>
      <c r="E137" s="18"/>
      <c r="G137" s="18"/>
      <c r="H137" s="18"/>
      <c r="I137" s="18"/>
      <c r="J137" s="42"/>
      <c r="K137" s="18"/>
      <c r="L137" s="18"/>
      <c r="M137" s="18"/>
      <c r="P137" s="18"/>
      <c r="Q137" s="18"/>
      <c r="R137" s="42"/>
      <c r="S137" s="18"/>
      <c r="T137" s="18"/>
      <c r="U137" s="18"/>
      <c r="V137" s="42"/>
      <c r="W137" s="18"/>
      <c r="X137" s="18"/>
    </row>
    <row r="138" spans="1:26" x14ac:dyDescent="0.25">
      <c r="A138" s="9"/>
      <c r="B138" s="60"/>
      <c r="D138" s="18"/>
      <c r="E138" s="18"/>
      <c r="G138" s="18"/>
      <c r="H138" s="18"/>
      <c r="I138" s="18"/>
      <c r="J138" s="42"/>
      <c r="K138" s="18"/>
      <c r="L138" s="18"/>
      <c r="M138" s="18"/>
      <c r="P138" s="18"/>
      <c r="Q138" s="18"/>
      <c r="R138" s="42"/>
      <c r="S138" s="18"/>
      <c r="T138" s="18"/>
      <c r="U138" s="18"/>
      <c r="V138" s="42"/>
      <c r="W138" s="18"/>
      <c r="X138" s="18"/>
    </row>
    <row r="139" spans="1:26" x14ac:dyDescent="0.25">
      <c r="D139" s="18"/>
      <c r="E139" s="18"/>
      <c r="G139" s="18"/>
      <c r="H139" s="18"/>
      <c r="I139" s="18"/>
      <c r="J139" s="42"/>
      <c r="K139" s="18"/>
      <c r="L139" s="18"/>
      <c r="M139" s="18"/>
      <c r="P139" s="18"/>
      <c r="Q139" s="18"/>
      <c r="R139" s="42"/>
      <c r="S139" s="18"/>
      <c r="T139" s="18"/>
      <c r="U139" s="18"/>
      <c r="V139" s="42"/>
      <c r="W139" s="18"/>
      <c r="X139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","324", " - ", "Textbook Rental")</f>
        <v>Department 324 - Textbook Rental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3923.4799999999996</v>
      </c>
      <c r="E12" s="4"/>
      <c r="F12" s="12"/>
      <c r="G12" s="4"/>
      <c r="H12" s="4">
        <f>SUM(OSRRefH13x_0)</f>
        <v>8637</v>
      </c>
      <c r="I12" s="4"/>
      <c r="J12" s="12"/>
      <c r="K12" s="4"/>
      <c r="L12" s="4">
        <f t="shared" ref="L12:L15" si="0">+D12-H12</f>
        <v>-4713.5200000000004</v>
      </c>
      <c r="M12" s="4"/>
      <c r="N12" s="12">
        <f t="shared" ref="N12:N15" si="1">IF(H12=0,0,L12/H12)</f>
        <v>-0.54573578788931343</v>
      </c>
      <c r="O12" s="10"/>
      <c r="P12" s="4">
        <f>SUM(OSRRefP13x_0)</f>
        <v>1547555.6</v>
      </c>
      <c r="Q12" s="4"/>
      <c r="R12" s="12"/>
      <c r="S12" s="4"/>
      <c r="T12" s="4">
        <f>SUM(OSRRefT13x_0)</f>
        <v>2028607</v>
      </c>
      <c r="U12" s="4"/>
      <c r="V12" s="12"/>
      <c r="W12" s="4"/>
      <c r="X12" s="4">
        <f t="shared" ref="X12:X15" si="2">+P12-T12</f>
        <v>-481051.39999999991</v>
      </c>
      <c r="Y12" s="4"/>
      <c r="Z12" s="12">
        <f t="shared" ref="Z12:Z15" si="3">IF(T12=0,0,X12/T12)</f>
        <v>-0.23713385589224523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--1275.6</f>
        <v>1275.5999999999999</v>
      </c>
      <c r="E13" s="2"/>
      <c r="F13" s="19"/>
      <c r="G13" s="2"/>
      <c r="H13" s="2"/>
      <c r="I13" s="2"/>
      <c r="J13" s="19"/>
      <c r="K13" s="2"/>
      <c r="L13" s="2">
        <f t="shared" si="0"/>
        <v>1275.5999999999999</v>
      </c>
      <c r="M13" s="2"/>
      <c r="N13" s="19">
        <f t="shared" si="1"/>
        <v>0</v>
      </c>
      <c r="O13" s="11"/>
      <c r="P13" s="2">
        <f>--408271.76</f>
        <v>408271.76</v>
      </c>
      <c r="Q13" s="2"/>
      <c r="R13" s="19"/>
      <c r="S13" s="2"/>
      <c r="T13" s="2"/>
      <c r="U13" s="2"/>
      <c r="V13" s="19"/>
      <c r="W13" s="2"/>
      <c r="X13" s="2">
        <f t="shared" si="2"/>
        <v>408271.76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--1075.35</f>
        <v>1075.3499999999999</v>
      </c>
      <c r="E14" s="2"/>
      <c r="F14" s="19"/>
      <c r="G14" s="2"/>
      <c r="H14" s="2"/>
      <c r="I14" s="2"/>
      <c r="J14" s="19"/>
      <c r="K14" s="2"/>
      <c r="L14" s="2">
        <f t="shared" si="0"/>
        <v>1075.3499999999999</v>
      </c>
      <c r="M14" s="2"/>
      <c r="N14" s="19">
        <f t="shared" si="1"/>
        <v>0</v>
      </c>
      <c r="O14" s="11"/>
      <c r="P14" s="2">
        <f>--564971.19</f>
        <v>564971.18999999994</v>
      </c>
      <c r="Q14" s="2"/>
      <c r="R14" s="19"/>
      <c r="S14" s="2"/>
      <c r="T14" s="2"/>
      <c r="U14" s="2"/>
      <c r="V14" s="19"/>
      <c r="W14" s="2"/>
      <c r="X14" s="2">
        <f t="shared" si="2"/>
        <v>564971.18999999994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--1572.53</f>
        <v>1572.53</v>
      </c>
      <c r="E15" s="2"/>
      <c r="F15" s="19"/>
      <c r="G15" s="2"/>
      <c r="H15" s="2">
        <v>8637</v>
      </c>
      <c r="I15" s="2"/>
      <c r="J15" s="19"/>
      <c r="K15" s="2"/>
      <c r="L15" s="2">
        <f t="shared" si="0"/>
        <v>-7064.47</v>
      </c>
      <c r="M15" s="2"/>
      <c r="N15" s="19">
        <f t="shared" si="1"/>
        <v>-0.81793099455829577</v>
      </c>
      <c r="O15" s="11"/>
      <c r="P15" s="2">
        <f>--574312.65</f>
        <v>574312.65</v>
      </c>
      <c r="Q15" s="2"/>
      <c r="R15" s="19"/>
      <c r="S15" s="2"/>
      <c r="T15" s="2">
        <v>2028607</v>
      </c>
      <c r="U15" s="2"/>
      <c r="V15" s="19"/>
      <c r="W15" s="2"/>
      <c r="X15" s="2">
        <f t="shared" si="2"/>
        <v>-1454294.35</v>
      </c>
      <c r="Y15" s="2"/>
      <c r="Z15" s="19">
        <f t="shared" si="3"/>
        <v>-0.7168930946210873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2911.15</v>
      </c>
      <c r="E17" s="4"/>
      <c r="F17" s="12">
        <f t="shared" ref="F17:F20" si="4">IF(D$12=0,0,D17/D$12)</f>
        <v>0.74198160816418091</v>
      </c>
      <c r="G17" s="4"/>
      <c r="H17" s="4">
        <f>SUM(OSRRefH16x_0)</f>
        <v>6272.71</v>
      </c>
      <c r="I17" s="4"/>
      <c r="J17" s="12">
        <f t="shared" ref="J17:J20" si="5">IF(H$12=0,0,H17/H$12)</f>
        <v>0.72626027555864303</v>
      </c>
      <c r="K17" s="4"/>
      <c r="L17" s="4">
        <f t="shared" ref="L17:L20" si="6">+D17-H17</f>
        <v>-3361.56</v>
      </c>
      <c r="M17" s="4"/>
      <c r="N17" s="12">
        <f t="shared" ref="N17:N20" si="7">IF(H17=0,0,L17/H17)</f>
        <v>-0.5359023452383419</v>
      </c>
      <c r="O17" s="10"/>
      <c r="P17" s="4">
        <f>SUM(OSRRefP16x_0)</f>
        <v>1150137.04</v>
      </c>
      <c r="Q17" s="4"/>
      <c r="R17" s="12">
        <f t="shared" ref="R17:R20" si="8">IF(P$12=0,0,P17/P$12)</f>
        <v>0.74319594074681383</v>
      </c>
      <c r="S17" s="4"/>
      <c r="T17" s="4">
        <f>SUM(OSRRefT16x_0)</f>
        <v>1470919.88</v>
      </c>
      <c r="U17" s="4"/>
      <c r="V17" s="12">
        <f t="shared" ref="V17:V20" si="9">IF(T$12=0,0,T17/T$12)</f>
        <v>0.72508863471337714</v>
      </c>
      <c r="W17" s="4"/>
      <c r="X17" s="4">
        <f t="shared" ref="X17:X20" si="10">+P17-T17</f>
        <v>-320782.83999999985</v>
      </c>
      <c r="Y17" s="4"/>
      <c r="Z17" s="12">
        <f t="shared" ref="Z17:Z20" si="11">IF(T17=0,0,X17/T17)</f>
        <v>-0.21808314943707191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6272.71</v>
      </c>
      <c r="I18" s="2"/>
      <c r="J18" s="19">
        <f t="shared" si="5"/>
        <v>0.72626027555864303</v>
      </c>
      <c r="K18" s="2"/>
      <c r="L18" s="2">
        <f t="shared" si="6"/>
        <v>-6272.71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1470919.88</v>
      </c>
      <c r="U18" s="2"/>
      <c r="V18" s="19">
        <f t="shared" si="9"/>
        <v>0.72508863471337714</v>
      </c>
      <c r="W18" s="2"/>
      <c r="X18" s="2">
        <f t="shared" si="10"/>
        <v>-1470919.88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"5001", " - ", "PURCHASES @ COST-NEW TEXT")</f>
        <v xml:space="preserve">          5001 - PURCHASES @ COST-NEW TEXT</v>
      </c>
      <c r="C19" s="11"/>
      <c r="D19" s="2">
        <v>1451.95</v>
      </c>
      <c r="E19" s="2"/>
      <c r="F19" s="19">
        <f t="shared" si="4"/>
        <v>0.37006687940297905</v>
      </c>
      <c r="G19" s="2"/>
      <c r="H19" s="2"/>
      <c r="I19" s="2"/>
      <c r="J19" s="19">
        <f t="shared" si="5"/>
        <v>0</v>
      </c>
      <c r="K19" s="2"/>
      <c r="L19" s="2">
        <f t="shared" si="6"/>
        <v>1451.95</v>
      </c>
      <c r="M19" s="2"/>
      <c r="N19" s="19">
        <f t="shared" si="7"/>
        <v>0</v>
      </c>
      <c r="O19" s="11"/>
      <c r="P19" s="2">
        <v>477221.92</v>
      </c>
      <c r="Q19" s="2"/>
      <c r="R19" s="19">
        <f t="shared" si="8"/>
        <v>0.30837142135636353</v>
      </c>
      <c r="S19" s="2"/>
      <c r="T19" s="2"/>
      <c r="U19" s="2"/>
      <c r="V19" s="19">
        <f t="shared" si="9"/>
        <v>0</v>
      </c>
      <c r="W19" s="2"/>
      <c r="X19" s="2">
        <f t="shared" si="10"/>
        <v>477221.92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"5002", " - ", "PURCHASES @ COST-USED TEXT")</f>
        <v xml:space="preserve">          5002 - PURCHASES @ COST-USED TEXT</v>
      </c>
      <c r="C20" s="11"/>
      <c r="D20" s="2">
        <v>1459.2</v>
      </c>
      <c r="E20" s="2"/>
      <c r="F20" s="19">
        <f t="shared" si="4"/>
        <v>0.37191472876120185</v>
      </c>
      <c r="G20" s="2"/>
      <c r="H20" s="2"/>
      <c r="I20" s="2"/>
      <c r="J20" s="19">
        <f t="shared" si="5"/>
        <v>0</v>
      </c>
      <c r="K20" s="2"/>
      <c r="L20" s="2">
        <f t="shared" si="6"/>
        <v>1459.2</v>
      </c>
      <c r="M20" s="2"/>
      <c r="N20" s="19">
        <f t="shared" si="7"/>
        <v>0</v>
      </c>
      <c r="O20" s="11"/>
      <c r="P20" s="2">
        <v>672915.12</v>
      </c>
      <c r="Q20" s="2"/>
      <c r="R20" s="19">
        <f t="shared" si="8"/>
        <v>0.4348245193904503</v>
      </c>
      <c r="S20" s="2"/>
      <c r="T20" s="2"/>
      <c r="U20" s="2"/>
      <c r="V20" s="19">
        <f t="shared" si="9"/>
        <v>0</v>
      </c>
      <c r="W20" s="2"/>
      <c r="X20" s="2">
        <f t="shared" si="10"/>
        <v>672915.12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0">
        <f>D12-D17</f>
        <v>1012.3299999999995</v>
      </c>
      <c r="E22" s="14"/>
      <c r="F22" s="22">
        <f>IF(D$12=0,0,D22/D$12)</f>
        <v>0.25801839183581909</v>
      </c>
      <c r="G22" s="14"/>
      <c r="H22" s="20">
        <f>H12-H17</f>
        <v>2364.29</v>
      </c>
      <c r="I22" s="14"/>
      <c r="J22" s="22">
        <f>IF(H$12=0,0,H22/H$12)</f>
        <v>0.27373972444135697</v>
      </c>
      <c r="K22" s="16"/>
      <c r="L22" s="20">
        <f>+D22-H22</f>
        <v>-1351.9600000000005</v>
      </c>
      <c r="M22" s="16"/>
      <c r="N22" s="22">
        <f>IF(H22=0,0,L22/H22)</f>
        <v>-0.57182494533242556</v>
      </c>
      <c r="O22" s="29"/>
      <c r="P22" s="20">
        <f>P12-P17</f>
        <v>397418.56000000006</v>
      </c>
      <c r="Q22" s="14"/>
      <c r="R22" s="22">
        <f>IF(P$12=0,0,P22/P$12)</f>
        <v>0.25680405925318617</v>
      </c>
      <c r="S22" s="14"/>
      <c r="T22" s="20">
        <f>T12-T17</f>
        <v>557687.12000000011</v>
      </c>
      <c r="U22" s="14"/>
      <c r="V22" s="22">
        <f>IF(T$12=0,0,T22/T$12)</f>
        <v>0.27491136528662286</v>
      </c>
      <c r="W22" s="16"/>
      <c r="X22" s="20">
        <f>+P22-T22</f>
        <v>-160268.56000000006</v>
      </c>
      <c r="Y22" s="16"/>
      <c r="Z22" s="22">
        <f>IF(T22=0,0,X22/T22)</f>
        <v>-0.28738078082204949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1">
        <f>SUM(0)</f>
        <v>0</v>
      </c>
      <c r="E24" s="21"/>
      <c r="F24" s="30">
        <f>IF(D$12=0,0,D24/D$12)</f>
        <v>0</v>
      </c>
      <c r="G24" s="21"/>
      <c r="H24" s="21">
        <f>SUM(0)</f>
        <v>0</v>
      </c>
      <c r="I24" s="21"/>
      <c r="J24" s="30">
        <f>IF(H$12=0,0,H24/H$12)</f>
        <v>0</v>
      </c>
      <c r="K24" s="4"/>
      <c r="L24" s="21">
        <f>+D24-H24</f>
        <v>0</v>
      </c>
      <c r="M24" s="4"/>
      <c r="N24" s="30">
        <f>IF(H24=0,0,L24/H24)</f>
        <v>0</v>
      </c>
      <c r="O24" s="10"/>
      <c r="P24" s="21">
        <f>SUM(0)</f>
        <v>0</v>
      </c>
      <c r="Q24" s="21"/>
      <c r="R24" s="30">
        <f>IF(P$12=0,0,P24/P$12)</f>
        <v>0</v>
      </c>
      <c r="S24" s="21"/>
      <c r="T24" s="21">
        <f>SUM(0)</f>
        <v>0</v>
      </c>
      <c r="U24" s="21"/>
      <c r="V24" s="30">
        <f>IF(T$12=0,0,T24/T$12)</f>
        <v>0</v>
      </c>
      <c r="W24" s="4"/>
      <c r="X24" s="21">
        <f>+P24-T24</f>
        <v>0</v>
      </c>
      <c r="Y24" s="4"/>
      <c r="Z24" s="30">
        <f>IF(T24=0,0,X24/T24)</f>
        <v>0</v>
      </c>
    </row>
    <row r="25" spans="1:26" s="56" customFormat="1" x14ac:dyDescent="0.25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9" t="s">
        <v>0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8" t="s">
        <v>3</v>
      </c>
      <c r="C28" s="28"/>
      <c r="D28" s="20">
        <f>+D22-D24+D26</f>
        <v>1012.3299999999995</v>
      </c>
      <c r="E28" s="14"/>
      <c r="F28" s="22">
        <f>IF(D$12=0,0,D28/D$12)</f>
        <v>0.25801839183581909</v>
      </c>
      <c r="G28" s="14"/>
      <c r="H28" s="20">
        <f>+H22-H24+H26</f>
        <v>2364.29</v>
      </c>
      <c r="I28" s="14"/>
      <c r="J28" s="22">
        <f>IF(H$12=0,0,H28/H$12)</f>
        <v>0.27373972444135697</v>
      </c>
      <c r="K28" s="16"/>
      <c r="L28" s="20">
        <f>+D28-H28</f>
        <v>-1351.9600000000005</v>
      </c>
      <c r="M28" s="16"/>
      <c r="N28" s="22">
        <f>IF(H28=0,0,L28/H28)</f>
        <v>-0.57182494533242556</v>
      </c>
      <c r="O28" s="29"/>
      <c r="P28" s="20">
        <f>+P22-P24+P26</f>
        <v>397418.56000000006</v>
      </c>
      <c r="Q28" s="14"/>
      <c r="R28" s="22">
        <f>IF(P$12=0,0,P28/P$12)</f>
        <v>0.25680405925318617</v>
      </c>
      <c r="S28" s="14"/>
      <c r="T28" s="20">
        <f>+T22-T24+T26</f>
        <v>557687.12000000011</v>
      </c>
      <c r="U28" s="14"/>
      <c r="V28" s="22">
        <f>IF(T$12=0,0,T28/T$12)</f>
        <v>0.27491136528662286</v>
      </c>
      <c r="W28" s="16"/>
      <c r="X28" s="20">
        <f>+P28-T28</f>
        <v>-160268.56000000006</v>
      </c>
      <c r="Y28" s="16"/>
      <c r="Z28" s="22">
        <f>IF(T28=0,0,X28/T28)</f>
        <v>-0.28738078082204949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52"/>
      <c r="B30" s="10" t="s">
        <v>14</v>
      </c>
      <c r="C30" s="10"/>
      <c r="D30" s="4">
        <v>8497.69</v>
      </c>
      <c r="E30" s="4"/>
      <c r="F30" s="12">
        <f>IF(D$12=0,0,D30/D$12)</f>
        <v>2.1658553121208728</v>
      </c>
      <c r="G30" s="4"/>
      <c r="H30" s="4">
        <v>-5778</v>
      </c>
      <c r="I30" s="4"/>
      <c r="J30" s="12">
        <f>IF(H$12=0,0,H30/H$12)</f>
        <v>-0.66898228551580408</v>
      </c>
      <c r="K30" s="4"/>
      <c r="L30" s="4">
        <f>+D30-H30</f>
        <v>14275.69</v>
      </c>
      <c r="M30" s="4"/>
      <c r="N30" s="12">
        <f>IF(H30=0,0,L30/H30)</f>
        <v>-2.4706974731741087</v>
      </c>
      <c r="O30" s="10"/>
      <c r="P30" s="4">
        <v>165824.33000000002</v>
      </c>
      <c r="Q30" s="4"/>
      <c r="R30" s="12">
        <f>IF(P$12=0,0,P30/P$12)</f>
        <v>0.10715242153496779</v>
      </c>
      <c r="S30" s="4"/>
      <c r="T30" s="4">
        <v>237123.99999999997</v>
      </c>
      <c r="U30" s="4"/>
      <c r="V30" s="12">
        <f>IF(T$12=0,0,T30/T$12)</f>
        <v>0.11689006298410681</v>
      </c>
      <c r="W30" s="4"/>
      <c r="X30" s="4">
        <f>+P30-T30</f>
        <v>-71299.669999999955</v>
      </c>
      <c r="Y30" s="4"/>
      <c r="Z30" s="12">
        <f>IF(T30=0,0,X30/T30)</f>
        <v>-0.30068516894114455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8" t="s">
        <v>4</v>
      </c>
      <c r="C32" s="28"/>
      <c r="D32" s="31">
        <f>+D28-D30</f>
        <v>-7485.3600000000006</v>
      </c>
      <c r="E32" s="14"/>
      <c r="F32" s="34">
        <f>IF(D$12=0,0,D32/D$12)</f>
        <v>-1.9078369202850534</v>
      </c>
      <c r="G32" s="14"/>
      <c r="H32" s="31">
        <f>+H28-H30</f>
        <v>8142.29</v>
      </c>
      <c r="I32" s="14"/>
      <c r="J32" s="34">
        <f>IF(H$12=0,0,H32/H$12)</f>
        <v>0.94272200995716104</v>
      </c>
      <c r="K32" s="16"/>
      <c r="L32" s="31">
        <f>D32-H32</f>
        <v>-15627.650000000001</v>
      </c>
      <c r="M32" s="16"/>
      <c r="N32" s="34">
        <f>IF(H32=0,0,L32/H32)</f>
        <v>-1.9193187665877782</v>
      </c>
      <c r="O32" s="29"/>
      <c r="P32" s="31">
        <f>+P28-P30</f>
        <v>231594.23000000004</v>
      </c>
      <c r="Q32" s="14"/>
      <c r="R32" s="34">
        <f>IF(P$12=0,0,P32/P$12)</f>
        <v>0.14965163771821835</v>
      </c>
      <c r="S32" s="14"/>
      <c r="T32" s="31">
        <f>+T28-T30</f>
        <v>320563.12000000011</v>
      </c>
      <c r="U32" s="14"/>
      <c r="V32" s="34">
        <f>IF(T$12=0,0,T32/T$12)</f>
        <v>0.15802130230251601</v>
      </c>
      <c r="W32" s="16"/>
      <c r="X32" s="31">
        <f>P32-T32</f>
        <v>-88968.890000000072</v>
      </c>
      <c r="Y32" s="16"/>
      <c r="Z32" s="34">
        <f>IF(T32=0,0,X32/T32)</f>
        <v>-0.27753938132371569</v>
      </c>
    </row>
    <row r="33" spans="1:26" ht="15.75" thickTop="1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8" t="s">
        <v>5</v>
      </c>
      <c r="C35" s="28"/>
      <c r="D35" s="32">
        <f>SUM(D32:D34)</f>
        <v>-7485.3600000000006</v>
      </c>
      <c r="E35" s="14"/>
      <c r="F35" s="35">
        <f>IF(D$12=0,0,D35/D$12)</f>
        <v>-1.9078369202850534</v>
      </c>
      <c r="G35" s="14"/>
      <c r="H35" s="32">
        <f>SUM(H32:H34)</f>
        <v>8142.29</v>
      </c>
      <c r="I35" s="14"/>
      <c r="J35" s="35">
        <f>IF(H$12=0,0,H35/H$12)</f>
        <v>0.94272200995716104</v>
      </c>
      <c r="K35" s="16"/>
      <c r="L35" s="32">
        <f>+D35-H35</f>
        <v>-15627.650000000001</v>
      </c>
      <c r="M35" s="16"/>
      <c r="N35" s="35">
        <f>IF(H35=0,0,L35/H35)</f>
        <v>-1.9193187665877782</v>
      </c>
      <c r="O35" s="29"/>
      <c r="P35" s="32">
        <f>SUM(P32:P34)</f>
        <v>231594.23000000004</v>
      </c>
      <c r="Q35" s="14"/>
      <c r="R35" s="35">
        <f>IF(P$12=0,0,P35/P$12)</f>
        <v>0.14965163771821835</v>
      </c>
      <c r="S35" s="14"/>
      <c r="T35" s="32">
        <f>SUM(T32:T34)</f>
        <v>320563.12000000011</v>
      </c>
      <c r="U35" s="14"/>
      <c r="V35" s="35">
        <f>IF(T$12=0,0,T35/T$12)</f>
        <v>0.15802130230251601</v>
      </c>
      <c r="W35" s="16"/>
      <c r="X35" s="32">
        <f>+P35-T35</f>
        <v>-88968.890000000072</v>
      </c>
      <c r="Y35" s="16"/>
      <c r="Z35" s="35">
        <f>IF(T35=0,0,X35/T35)</f>
        <v>-0.27753938132371569</v>
      </c>
    </row>
    <row r="36" spans="1:26" ht="15.75" thickTop="1" x14ac:dyDescent="0.25">
      <c r="A36" s="9"/>
      <c r="C36" s="9"/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  <row r="37" spans="1:26" x14ac:dyDescent="0.25">
      <c r="A37" s="9"/>
      <c r="B37" s="57">
        <v>43934.466600150467</v>
      </c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s">
        <v>314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0"/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6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304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134841.88999999998</v>
      </c>
      <c r="E12" s="4"/>
      <c r="F12" s="12"/>
      <c r="G12" s="4"/>
      <c r="H12" s="4">
        <f>SUM(OSRRefH13x_0)</f>
        <v>394430.39104000002</v>
      </c>
      <c r="I12" s="4"/>
      <c r="J12" s="12"/>
      <c r="K12" s="4"/>
      <c r="L12" s="4">
        <f t="shared" ref="L12:L42" si="0">+D12-H12</f>
        <v>-259588.50104000003</v>
      </c>
      <c r="M12" s="4"/>
      <c r="N12" s="12">
        <f t="shared" ref="N12:N42" si="1">IF(H12=0,0,L12/H12)</f>
        <v>-0.65813514104615389</v>
      </c>
      <c r="O12" s="10"/>
      <c r="P12" s="4">
        <f>SUM(OSRRefP13x_0)</f>
        <v>2463327.7000000002</v>
      </c>
      <c r="Q12" s="4"/>
      <c r="R12" s="12"/>
      <c r="S12" s="4"/>
      <c r="T12" s="4">
        <f>SUM(OSRRefT13x_0)</f>
        <v>2737757.9981799996</v>
      </c>
      <c r="U12" s="4"/>
      <c r="V12" s="12"/>
      <c r="W12" s="4"/>
      <c r="X12" s="4">
        <f t="shared" ref="X12:X42" si="2">+P12-T12</f>
        <v>-274430.29817999946</v>
      </c>
      <c r="Y12" s="4"/>
      <c r="Z12" s="12">
        <f t="shared" ref="Z12:Z42" si="3">IF(T12=0,0,X12/T12)</f>
        <v>-0.10023906362886514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394430.39104000002</v>
      </c>
      <c r="I13" s="2"/>
      <c r="J13" s="19"/>
      <c r="K13" s="2"/>
      <c r="L13" s="2">
        <f t="shared" si="0"/>
        <v>-394430.39104000002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2737757.9981799996</v>
      </c>
      <c r="U13" s="2"/>
      <c r="V13" s="19"/>
      <c r="W13" s="2"/>
      <c r="X13" s="2">
        <f t="shared" si="2"/>
        <v>-2737757.9981799996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"4025", " - ", "TAXABLE SALES-TEST FORMS")</f>
        <v xml:space="preserve">          4025 - TAXABLE SALES-TEST FORMS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--13.62</f>
        <v>13.62</v>
      </c>
      <c r="Q14" s="2"/>
      <c r="R14" s="19"/>
      <c r="S14" s="2"/>
      <c r="T14" s="2"/>
      <c r="U14" s="2"/>
      <c r="V14" s="19"/>
      <c r="W14" s="2"/>
      <c r="X14" s="2">
        <f t="shared" si="2"/>
        <v>13.62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>--4.44</f>
        <v>4.4400000000000004</v>
      </c>
      <c r="E15" s="2"/>
      <c r="F15" s="19"/>
      <c r="G15" s="2"/>
      <c r="H15" s="2"/>
      <c r="I15" s="2"/>
      <c r="J15" s="19"/>
      <c r="K15" s="2"/>
      <c r="L15" s="2">
        <f t="shared" si="0"/>
        <v>4.4400000000000004</v>
      </c>
      <c r="M15" s="2"/>
      <c r="N15" s="19">
        <f t="shared" si="1"/>
        <v>0</v>
      </c>
      <c r="O15" s="11"/>
      <c r="P15" s="2">
        <f>--229.51</f>
        <v>229.51</v>
      </c>
      <c r="Q15" s="2"/>
      <c r="R15" s="19"/>
      <c r="S15" s="2"/>
      <c r="T15" s="2"/>
      <c r="U15" s="2"/>
      <c r="V15" s="19"/>
      <c r="W15" s="2"/>
      <c r="X15" s="2">
        <f t="shared" si="2"/>
        <v>229.51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--161.59</f>
        <v>161.59</v>
      </c>
      <c r="Q16" s="2"/>
      <c r="R16" s="19"/>
      <c r="S16" s="2"/>
      <c r="T16" s="2"/>
      <c r="U16" s="2"/>
      <c r="V16" s="19"/>
      <c r="W16" s="2"/>
      <c r="X16" s="2">
        <f t="shared" si="2"/>
        <v>161.59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"4040", " - ", "TAXABLE SALES-LOGO CLOTHING")</f>
        <v xml:space="preserve">          4040 - TAXABLE SALES-LOGO CLOTHING</v>
      </c>
      <c r="C17" s="11"/>
      <c r="D17" s="2">
        <f>--93833.27</f>
        <v>93833.27</v>
      </c>
      <c r="E17" s="2"/>
      <c r="F17" s="19"/>
      <c r="G17" s="2"/>
      <c r="H17" s="2"/>
      <c r="I17" s="2"/>
      <c r="J17" s="19"/>
      <c r="K17" s="2"/>
      <c r="L17" s="2">
        <f t="shared" si="0"/>
        <v>93833.27</v>
      </c>
      <c r="M17" s="2"/>
      <c r="N17" s="19">
        <f t="shared" si="1"/>
        <v>0</v>
      </c>
      <c r="O17" s="11"/>
      <c r="P17" s="2">
        <f>--1776128.49</f>
        <v>1776128.49</v>
      </c>
      <c r="Q17" s="2"/>
      <c r="R17" s="19"/>
      <c r="S17" s="2"/>
      <c r="T17" s="2"/>
      <c r="U17" s="2"/>
      <c r="V17" s="19"/>
      <c r="W17" s="2"/>
      <c r="X17" s="2">
        <f t="shared" si="2"/>
        <v>1776128.49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"4041", " - ", "TAXABLE SALES-LOGO GIFTS")</f>
        <v xml:space="preserve">          4041 - TAXABLE SALES-LOGO GIFTS</v>
      </c>
      <c r="C18" s="11"/>
      <c r="D18" s="2">
        <f>--24707.44</f>
        <v>24707.439999999999</v>
      </c>
      <c r="E18" s="2"/>
      <c r="F18" s="19"/>
      <c r="G18" s="2"/>
      <c r="H18" s="2"/>
      <c r="I18" s="2"/>
      <c r="J18" s="19"/>
      <c r="K18" s="2"/>
      <c r="L18" s="2">
        <f t="shared" si="0"/>
        <v>24707.439999999999</v>
      </c>
      <c r="M18" s="2"/>
      <c r="N18" s="19">
        <f t="shared" si="1"/>
        <v>0</v>
      </c>
      <c r="O18" s="11"/>
      <c r="P18" s="2">
        <f>--292340.97</f>
        <v>292340.96999999997</v>
      </c>
      <c r="Q18" s="2"/>
      <c r="R18" s="19"/>
      <c r="S18" s="2"/>
      <c r="T18" s="2"/>
      <c r="U18" s="2"/>
      <c r="V18" s="19"/>
      <c r="W18" s="2"/>
      <c r="X18" s="2">
        <f t="shared" si="2"/>
        <v>292340.96999999997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"4042", " - ", "TAXABLE SALES-EVERYDAY GIFTS")</f>
        <v xml:space="preserve">          4042 - TAXABLE SALES-EVERYDAY GIFTS</v>
      </c>
      <c r="C19" s="11"/>
      <c r="D19" s="2">
        <f>--5808.34</f>
        <v>5808.34</v>
      </c>
      <c r="E19" s="2"/>
      <c r="F19" s="19"/>
      <c r="G19" s="2"/>
      <c r="H19" s="2"/>
      <c r="I19" s="2"/>
      <c r="J19" s="19"/>
      <c r="K19" s="2"/>
      <c r="L19" s="2">
        <f t="shared" si="0"/>
        <v>5808.34</v>
      </c>
      <c r="M19" s="2"/>
      <c r="N19" s="19">
        <f t="shared" si="1"/>
        <v>0</v>
      </c>
      <c r="O19" s="11"/>
      <c r="P19" s="2">
        <f>--202812.3</f>
        <v>202812.3</v>
      </c>
      <c r="Q19" s="2"/>
      <c r="R19" s="19"/>
      <c r="S19" s="2"/>
      <c r="T19" s="2"/>
      <c r="U19" s="2"/>
      <c r="V19" s="19"/>
      <c r="W19" s="2"/>
      <c r="X19" s="2">
        <f t="shared" si="2"/>
        <v>202812.3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"4043", " - ", "TAXABLE SALES-CARDS")</f>
        <v xml:space="preserve">          4043 - TAXABLE SALES-CARDS</v>
      </c>
      <c r="C20" s="11"/>
      <c r="D20" s="2">
        <f>--645.59</f>
        <v>645.59</v>
      </c>
      <c r="E20" s="2"/>
      <c r="F20" s="19"/>
      <c r="G20" s="2"/>
      <c r="H20" s="2"/>
      <c r="I20" s="2"/>
      <c r="J20" s="19"/>
      <c r="K20" s="2"/>
      <c r="L20" s="2">
        <f t="shared" si="0"/>
        <v>645.59</v>
      </c>
      <c r="M20" s="2"/>
      <c r="N20" s="19">
        <f t="shared" si="1"/>
        <v>0</v>
      </c>
      <c r="O20" s="11"/>
      <c r="P20" s="2">
        <f>--76297.51</f>
        <v>76297.509999999995</v>
      </c>
      <c r="Q20" s="2"/>
      <c r="R20" s="19"/>
      <c r="S20" s="2"/>
      <c r="T20" s="2"/>
      <c r="U20" s="2"/>
      <c r="V20" s="19"/>
      <c r="W20" s="2"/>
      <c r="X20" s="2">
        <f t="shared" si="2"/>
        <v>76297.509999999995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"4044", " - ", "TAXABLE SALES-ACCESSORIES")</f>
        <v xml:space="preserve">          4044 - TAXABLE SALES-ACCESSORIES</v>
      </c>
      <c r="C21" s="11"/>
      <c r="D21" s="2">
        <f>--3712.29</f>
        <v>3712.29</v>
      </c>
      <c r="E21" s="2"/>
      <c r="F21" s="19"/>
      <c r="G21" s="2"/>
      <c r="H21" s="2"/>
      <c r="I21" s="2"/>
      <c r="J21" s="19"/>
      <c r="K21" s="2"/>
      <c r="L21" s="2">
        <f t="shared" si="0"/>
        <v>3712.29</v>
      </c>
      <c r="M21" s="2"/>
      <c r="N21" s="19">
        <f t="shared" si="1"/>
        <v>0</v>
      </c>
      <c r="O21" s="11"/>
      <c r="P21" s="2">
        <f>--66252.05</f>
        <v>66252.05</v>
      </c>
      <c r="Q21" s="2"/>
      <c r="R21" s="19"/>
      <c r="S21" s="2"/>
      <c r="T21" s="2"/>
      <c r="U21" s="2"/>
      <c r="V21" s="19"/>
      <c r="W21" s="2"/>
      <c r="X21" s="2">
        <f t="shared" si="2"/>
        <v>66252.05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"4045", " - ", "TAXABLE SALES-SPECIAL ORDERS")</f>
        <v xml:space="preserve">          4045 - TAXABLE SALES-SPECIAL ORDERS</v>
      </c>
      <c r="C22" s="11"/>
      <c r="D22" s="2">
        <f>--3847.78</f>
        <v>3847.78</v>
      </c>
      <c r="E22" s="2"/>
      <c r="F22" s="19"/>
      <c r="G22" s="2"/>
      <c r="H22" s="2"/>
      <c r="I22" s="2"/>
      <c r="J22" s="19"/>
      <c r="K22" s="2"/>
      <c r="L22" s="2">
        <f t="shared" si="0"/>
        <v>3847.78</v>
      </c>
      <c r="M22" s="2"/>
      <c r="N22" s="19">
        <f t="shared" si="1"/>
        <v>0</v>
      </c>
      <c r="O22" s="11"/>
      <c r="P22" s="2">
        <f>--74400.82</f>
        <v>74400.820000000007</v>
      </c>
      <c r="Q22" s="2"/>
      <c r="R22" s="19"/>
      <c r="S22" s="2"/>
      <c r="T22" s="2"/>
      <c r="U22" s="2"/>
      <c r="V22" s="19"/>
      <c r="W22" s="2"/>
      <c r="X22" s="2">
        <f t="shared" si="2"/>
        <v>74400.820000000007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"4092", " - ", "TAXABLE SALES-GRAD MERCH")</f>
        <v xml:space="preserve">          4092 - TAXABLE SALES-GRAD MERCH</v>
      </c>
      <c r="C23" s="11"/>
      <c r="D23" s="2">
        <f t="shared" ref="D23:D24" si="5"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-39.95</f>
        <v>-39.950000000000003</v>
      </c>
      <c r="Q23" s="2"/>
      <c r="R23" s="19"/>
      <c r="S23" s="2"/>
      <c r="T23" s="2"/>
      <c r="U23" s="2"/>
      <c r="V23" s="19"/>
      <c r="W23" s="2"/>
      <c r="X23" s="2">
        <f t="shared" si="2"/>
        <v>-39.950000000000003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"4095", " - ", "TAXABLE SALES-CUSTOMER SERVICE")</f>
        <v xml:space="preserve">          4095 - TAXABLE SALES-CUSTOMER SERVICE</v>
      </c>
      <c r="C24" s="11"/>
      <c r="D24" s="2">
        <f t="shared" si="5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--29.7</f>
        <v>29.7</v>
      </c>
      <c r="Q24" s="2"/>
      <c r="R24" s="19"/>
      <c r="S24" s="2"/>
      <c r="T24" s="2"/>
      <c r="U24" s="2"/>
      <c r="V24" s="19"/>
      <c r="W24" s="2"/>
      <c r="X24" s="2">
        <f t="shared" si="2"/>
        <v>29.7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"4137", " - ", "NON-TAXABLE SALES-WATER")</f>
        <v xml:space="preserve">          4137 - NON-TAXABLE SALES-WATER</v>
      </c>
      <c r="C25" s="11"/>
      <c r="D25" s="2">
        <f>--7.5</f>
        <v>7.5</v>
      </c>
      <c r="E25" s="2"/>
      <c r="F25" s="19"/>
      <c r="G25" s="2"/>
      <c r="H25" s="2"/>
      <c r="I25" s="2"/>
      <c r="J25" s="19"/>
      <c r="K25" s="2"/>
      <c r="L25" s="2">
        <f t="shared" si="0"/>
        <v>7.5</v>
      </c>
      <c r="M25" s="2"/>
      <c r="N25" s="19">
        <f t="shared" si="1"/>
        <v>0</v>
      </c>
      <c r="O25" s="11"/>
      <c r="P25" s="2">
        <f>--123</f>
        <v>123</v>
      </c>
      <c r="Q25" s="2"/>
      <c r="R25" s="19"/>
      <c r="S25" s="2"/>
      <c r="T25" s="2"/>
      <c r="U25" s="2"/>
      <c r="V25" s="19"/>
      <c r="W25" s="2"/>
      <c r="X25" s="2">
        <f t="shared" si="2"/>
        <v>123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"4140", " - ", "NON-TAXABLE SALES-LOGO CLOTHIN")</f>
        <v xml:space="preserve">          4140 - NON-TAXABLE SALES-LOGO CLOTHIN</v>
      </c>
      <c r="C26" s="11"/>
      <c r="D26" s="2">
        <f>--5466.31</f>
        <v>5466.31</v>
      </c>
      <c r="E26" s="2"/>
      <c r="F26" s="19"/>
      <c r="G26" s="2"/>
      <c r="H26" s="2"/>
      <c r="I26" s="2"/>
      <c r="J26" s="19"/>
      <c r="K26" s="2"/>
      <c r="L26" s="2">
        <f t="shared" si="0"/>
        <v>5466.31</v>
      </c>
      <c r="M26" s="2"/>
      <c r="N26" s="19">
        <f t="shared" si="1"/>
        <v>0</v>
      </c>
      <c r="O26" s="11"/>
      <c r="P26" s="2">
        <f>--48048.98</f>
        <v>48048.98</v>
      </c>
      <c r="Q26" s="2"/>
      <c r="R26" s="19"/>
      <c r="S26" s="2"/>
      <c r="T26" s="2"/>
      <c r="U26" s="2"/>
      <c r="V26" s="19"/>
      <c r="W26" s="2"/>
      <c r="X26" s="2">
        <f t="shared" si="2"/>
        <v>48048.98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"4141", " - ", "NON-TAXABLE SALES-LOGO GIFTS")</f>
        <v xml:space="preserve">          4141 - NON-TAXABLE SALES-LOGO GIFTS</v>
      </c>
      <c r="C27" s="11"/>
      <c r="D27" s="2">
        <f>--235.74</f>
        <v>235.74</v>
      </c>
      <c r="E27" s="2"/>
      <c r="F27" s="19"/>
      <c r="G27" s="2"/>
      <c r="H27" s="2"/>
      <c r="I27" s="2"/>
      <c r="J27" s="19"/>
      <c r="K27" s="2"/>
      <c r="L27" s="2">
        <f t="shared" si="0"/>
        <v>235.74</v>
      </c>
      <c r="M27" s="2"/>
      <c r="N27" s="19">
        <f t="shared" si="1"/>
        <v>0</v>
      </c>
      <c r="O27" s="11"/>
      <c r="P27" s="2">
        <f>--10049.96</f>
        <v>10049.959999999999</v>
      </c>
      <c r="Q27" s="2"/>
      <c r="R27" s="19"/>
      <c r="S27" s="2"/>
      <c r="T27" s="2"/>
      <c r="U27" s="2"/>
      <c r="V27" s="19"/>
      <c r="W27" s="2"/>
      <c r="X27" s="2">
        <f t="shared" si="2"/>
        <v>10049.959999999999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"4142", " - ", "NON-TAXABLE SALES-EVERYDAY GIF")</f>
        <v xml:space="preserve">          4142 - NON-TAXABLE SALES-EVERYDAY GIF</v>
      </c>
      <c r="C28" s="11"/>
      <c r="D28" s="2">
        <f>--48.58</f>
        <v>48.58</v>
      </c>
      <c r="E28" s="2"/>
      <c r="F28" s="19"/>
      <c r="G28" s="2"/>
      <c r="H28" s="2"/>
      <c r="I28" s="2"/>
      <c r="J28" s="19"/>
      <c r="K28" s="2"/>
      <c r="L28" s="2">
        <f t="shared" si="0"/>
        <v>48.58</v>
      </c>
      <c r="M28" s="2"/>
      <c r="N28" s="19">
        <f t="shared" si="1"/>
        <v>0</v>
      </c>
      <c r="O28" s="11"/>
      <c r="P28" s="2">
        <f>--4817.41</f>
        <v>4817.41</v>
      </c>
      <c r="Q28" s="2"/>
      <c r="R28" s="19"/>
      <c r="S28" s="2"/>
      <c r="T28" s="2"/>
      <c r="U28" s="2"/>
      <c r="V28" s="19"/>
      <c r="W28" s="2"/>
      <c r="X28" s="2">
        <f t="shared" si="2"/>
        <v>4817.41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"4143", " - ", "NON-TAXABLE SALES-CARDS")</f>
        <v xml:space="preserve">          4143 - NON-TAXABLE SALES-CARDS</v>
      </c>
      <c r="C29" s="11"/>
      <c r="D29" s="2">
        <f>0</f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--9.99</f>
        <v>9.99</v>
      </c>
      <c r="Q29" s="2"/>
      <c r="R29" s="19"/>
      <c r="S29" s="2"/>
      <c r="T29" s="2"/>
      <c r="U29" s="2"/>
      <c r="V29" s="19"/>
      <c r="W29" s="2"/>
      <c r="X29" s="2">
        <f t="shared" si="2"/>
        <v>9.99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"4144", " - ", "NON-TAXABLE SALES-ACCESSORIES")</f>
        <v xml:space="preserve">          4144 - NON-TAXABLE SALES-ACCESSORIES</v>
      </c>
      <c r="C30" s="11"/>
      <c r="D30" s="2">
        <f>--150</f>
        <v>150</v>
      </c>
      <c r="E30" s="2"/>
      <c r="F30" s="19"/>
      <c r="G30" s="2"/>
      <c r="H30" s="2"/>
      <c r="I30" s="2"/>
      <c r="J30" s="19"/>
      <c r="K30" s="2"/>
      <c r="L30" s="2">
        <f t="shared" si="0"/>
        <v>150</v>
      </c>
      <c r="M30" s="2"/>
      <c r="N30" s="19">
        <f t="shared" si="1"/>
        <v>0</v>
      </c>
      <c r="O30" s="11"/>
      <c r="P30" s="2">
        <f>--2040.27</f>
        <v>2040.27</v>
      </c>
      <c r="Q30" s="2"/>
      <c r="R30" s="19"/>
      <c r="S30" s="2"/>
      <c r="T30" s="2"/>
      <c r="U30" s="2"/>
      <c r="V30" s="19"/>
      <c r="W30" s="2"/>
      <c r="X30" s="2">
        <f t="shared" si="2"/>
        <v>2040.27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"4145", " - ", "NON-TAXABLE SALES-SPECIAL ORDE")</f>
        <v xml:space="preserve">          4145 - NON-TAXABLE SALES-SPECIAL ORDE</v>
      </c>
      <c r="C31" s="11"/>
      <c r="D31" s="2">
        <f t="shared" ref="D31:D32" si="6">0</f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--140</f>
        <v>140</v>
      </c>
      <c r="Q31" s="2"/>
      <c r="R31" s="19"/>
      <c r="S31" s="2"/>
      <c r="T31" s="2"/>
      <c r="U31" s="2"/>
      <c r="V31" s="19"/>
      <c r="W31" s="2"/>
      <c r="X31" s="2">
        <f t="shared" si="2"/>
        <v>140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"4226", " - ", "SALES RETURN TAXABLE-WRITING I")</f>
        <v xml:space="preserve">          4226 - SALES RETURN TAXABLE-WRITING I</v>
      </c>
      <c r="C32" s="11"/>
      <c r="D32" s="2">
        <f t="shared" si="6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-134.8</f>
        <v>-134.80000000000001</v>
      </c>
      <c r="Q32" s="2"/>
      <c r="R32" s="19"/>
      <c r="S32" s="2"/>
      <c r="T32" s="2"/>
      <c r="U32" s="2"/>
      <c r="V32" s="19"/>
      <c r="W32" s="2"/>
      <c r="X32" s="2">
        <f t="shared" si="2"/>
        <v>-134.80000000000001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"4240", " - ", "SALES RETURN TAXABLE-LOGO CLOT")</f>
        <v xml:space="preserve">          4240 - SALES RETURN TAXABLE-LOGO CLOT</v>
      </c>
      <c r="C33" s="11"/>
      <c r="D33" s="2">
        <f>-3000.56</f>
        <v>-3000.56</v>
      </c>
      <c r="E33" s="2"/>
      <c r="F33" s="19"/>
      <c r="G33" s="2"/>
      <c r="H33" s="2"/>
      <c r="I33" s="2"/>
      <c r="J33" s="19"/>
      <c r="K33" s="2"/>
      <c r="L33" s="2">
        <f t="shared" si="0"/>
        <v>-3000.56</v>
      </c>
      <c r="M33" s="2"/>
      <c r="N33" s="19">
        <f t="shared" si="1"/>
        <v>0</v>
      </c>
      <c r="O33" s="11"/>
      <c r="P33" s="2">
        <f>-72812.23</f>
        <v>-72812.23</v>
      </c>
      <c r="Q33" s="2"/>
      <c r="R33" s="19"/>
      <c r="S33" s="2"/>
      <c r="T33" s="2"/>
      <c r="U33" s="2"/>
      <c r="V33" s="19"/>
      <c r="W33" s="2"/>
      <c r="X33" s="2">
        <f t="shared" si="2"/>
        <v>-72812.23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"4241", " - ", "SALES RETURN TAXABLE-LOGO GIFT")</f>
        <v xml:space="preserve">          4241 - SALES RETURN TAXABLE-LOGO GIFT</v>
      </c>
      <c r="C34" s="11"/>
      <c r="D34" s="2">
        <f>-214.4</f>
        <v>-214.4</v>
      </c>
      <c r="E34" s="2"/>
      <c r="F34" s="19"/>
      <c r="G34" s="2"/>
      <c r="H34" s="2"/>
      <c r="I34" s="2"/>
      <c r="J34" s="19"/>
      <c r="K34" s="2"/>
      <c r="L34" s="2">
        <f t="shared" si="0"/>
        <v>-214.4</v>
      </c>
      <c r="M34" s="2"/>
      <c r="N34" s="19">
        <f t="shared" si="1"/>
        <v>0</v>
      </c>
      <c r="O34" s="11"/>
      <c r="P34" s="2">
        <f>-5081.98</f>
        <v>-5081.9799999999996</v>
      </c>
      <c r="Q34" s="2"/>
      <c r="R34" s="19"/>
      <c r="S34" s="2"/>
      <c r="T34" s="2"/>
      <c r="U34" s="2"/>
      <c r="V34" s="19"/>
      <c r="W34" s="2"/>
      <c r="X34" s="2">
        <f t="shared" si="2"/>
        <v>-5081.9799999999996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"4242", " - ", "SALES RETURN TAXABLE-EVERYDAY")</f>
        <v xml:space="preserve">          4242 - SALES RETURN TAXABLE-EVERYDAY</v>
      </c>
      <c r="C35" s="11"/>
      <c r="D35" s="2">
        <f>-126.83</f>
        <v>-126.83</v>
      </c>
      <c r="E35" s="2"/>
      <c r="F35" s="19"/>
      <c r="G35" s="2"/>
      <c r="H35" s="2"/>
      <c r="I35" s="2"/>
      <c r="J35" s="19"/>
      <c r="K35" s="2"/>
      <c r="L35" s="2">
        <f t="shared" si="0"/>
        <v>-126.83</v>
      </c>
      <c r="M35" s="2"/>
      <c r="N35" s="19">
        <f t="shared" si="1"/>
        <v>0</v>
      </c>
      <c r="O35" s="11"/>
      <c r="P35" s="2">
        <f>-3950.71</f>
        <v>-3950.71</v>
      </c>
      <c r="Q35" s="2"/>
      <c r="R35" s="19"/>
      <c r="S35" s="2"/>
      <c r="T35" s="2"/>
      <c r="U35" s="2"/>
      <c r="V35" s="19"/>
      <c r="W35" s="2"/>
      <c r="X35" s="2">
        <f t="shared" si="2"/>
        <v>-3950.71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"4243", " - ", "SALES RETURN TAXABLE-CARDS")</f>
        <v xml:space="preserve">          4243 - SALES RETURN TAXABLE-CARDS</v>
      </c>
      <c r="C36" s="11"/>
      <c r="D36" s="2">
        <f>-159.92</f>
        <v>-159.91999999999999</v>
      </c>
      <c r="E36" s="2"/>
      <c r="F36" s="19"/>
      <c r="G36" s="2"/>
      <c r="H36" s="2"/>
      <c r="I36" s="2"/>
      <c r="J36" s="19"/>
      <c r="K36" s="2"/>
      <c r="L36" s="2">
        <f t="shared" si="0"/>
        <v>-159.91999999999999</v>
      </c>
      <c r="M36" s="2"/>
      <c r="N36" s="19">
        <f t="shared" si="1"/>
        <v>0</v>
      </c>
      <c r="O36" s="11"/>
      <c r="P36" s="2">
        <f>-2993.31</f>
        <v>-2993.31</v>
      </c>
      <c r="Q36" s="2"/>
      <c r="R36" s="19"/>
      <c r="S36" s="2"/>
      <c r="T36" s="2"/>
      <c r="U36" s="2"/>
      <c r="V36" s="19"/>
      <c r="W36" s="2"/>
      <c r="X36" s="2">
        <f t="shared" si="2"/>
        <v>-2993.31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"4244", " - ", "SALES RETURN TAXABLE-ACCESSORI")</f>
        <v xml:space="preserve">          4244 - SALES RETURN TAXABLE-ACCESSORI</v>
      </c>
      <c r="C37" s="11"/>
      <c r="D37" s="2">
        <f>-39.9</f>
        <v>-39.9</v>
      </c>
      <c r="E37" s="2"/>
      <c r="F37" s="19"/>
      <c r="G37" s="2"/>
      <c r="H37" s="2"/>
      <c r="I37" s="2"/>
      <c r="J37" s="19"/>
      <c r="K37" s="2"/>
      <c r="L37" s="2">
        <f t="shared" si="0"/>
        <v>-39.9</v>
      </c>
      <c r="M37" s="2"/>
      <c r="N37" s="19">
        <f t="shared" si="1"/>
        <v>0</v>
      </c>
      <c r="O37" s="11"/>
      <c r="P37" s="2">
        <f>-2470.7</f>
        <v>-2470.6999999999998</v>
      </c>
      <c r="Q37" s="2"/>
      <c r="R37" s="19"/>
      <c r="S37" s="2"/>
      <c r="T37" s="2"/>
      <c r="U37" s="2"/>
      <c r="V37" s="19"/>
      <c r="W37" s="2"/>
      <c r="X37" s="2">
        <f t="shared" si="2"/>
        <v>-2470.6999999999998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"4245", " - ", "SALES RETURN TAXABLE-SPECIAL O")</f>
        <v xml:space="preserve">          4245 - SALES RETURN TAXABLE-SPECIAL O</v>
      </c>
      <c r="C38" s="11"/>
      <c r="D38" s="2">
        <f>-19.98</f>
        <v>-19.98</v>
      </c>
      <c r="E38" s="2"/>
      <c r="F38" s="19"/>
      <c r="G38" s="2"/>
      <c r="H38" s="2"/>
      <c r="I38" s="2"/>
      <c r="J38" s="19"/>
      <c r="K38" s="2"/>
      <c r="L38" s="2">
        <f t="shared" si="0"/>
        <v>-19.98</v>
      </c>
      <c r="M38" s="2"/>
      <c r="N38" s="19">
        <f t="shared" si="1"/>
        <v>0</v>
      </c>
      <c r="O38" s="11"/>
      <c r="P38" s="2">
        <f>-1735.03</f>
        <v>-1735.03</v>
      </c>
      <c r="Q38" s="2"/>
      <c r="R38" s="19"/>
      <c r="S38" s="2"/>
      <c r="T38" s="2"/>
      <c r="U38" s="2"/>
      <c r="V38" s="19"/>
      <c r="W38" s="2"/>
      <c r="X38" s="2">
        <f t="shared" si="2"/>
        <v>-1735.03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"4295", " - ", "SALES RETURN TAXABLE-CUSTOMER")</f>
        <v xml:space="preserve">          4295 - SALES RETURN TAXABLE-CUSTOMER</v>
      </c>
      <c r="C39" s="11"/>
      <c r="D39" s="2">
        <f>0</f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--0.99</f>
        <v>0.99</v>
      </c>
      <c r="Q39" s="2"/>
      <c r="R39" s="19"/>
      <c r="S39" s="2"/>
      <c r="T39" s="2"/>
      <c r="U39" s="2"/>
      <c r="V39" s="19"/>
      <c r="W39" s="2"/>
      <c r="X39" s="2">
        <f t="shared" si="2"/>
        <v>0.99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"4340", " - ", "SALES RETURN NON TAXABLE-LOGO")</f>
        <v xml:space="preserve">          4340 - SALES RETURN NON TAXABLE-LOGO</v>
      </c>
      <c r="C40" s="11"/>
      <c r="D40" s="2">
        <f>-63.8</f>
        <v>-63.8</v>
      </c>
      <c r="E40" s="2"/>
      <c r="F40" s="19"/>
      <c r="G40" s="2"/>
      <c r="H40" s="2"/>
      <c r="I40" s="2"/>
      <c r="J40" s="19"/>
      <c r="K40" s="2"/>
      <c r="L40" s="2">
        <f t="shared" si="0"/>
        <v>-63.8</v>
      </c>
      <c r="M40" s="2"/>
      <c r="N40" s="19">
        <f t="shared" si="1"/>
        <v>0</v>
      </c>
      <c r="O40" s="11"/>
      <c r="P40" s="2">
        <f>-995.45</f>
        <v>-995.45</v>
      </c>
      <c r="Q40" s="2"/>
      <c r="R40" s="19"/>
      <c r="S40" s="2"/>
      <c r="T40" s="2"/>
      <c r="U40" s="2"/>
      <c r="V40" s="19"/>
      <c r="W40" s="2"/>
      <c r="X40" s="2">
        <f t="shared" si="2"/>
        <v>-995.45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"4341", " - ", "SALES RETURN NON TAXABLE-LOGO")</f>
        <v xml:space="preserve">          4341 - SALES RETURN NON TAXABLE-LOGO</v>
      </c>
      <c r="C41" s="11"/>
      <c r="D41" s="2">
        <f t="shared" ref="D41:D42" si="7">0</f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-245.5</f>
        <v>-245.5</v>
      </c>
      <c r="Q41" s="2"/>
      <c r="R41" s="19"/>
      <c r="S41" s="2"/>
      <c r="T41" s="2"/>
      <c r="U41" s="2"/>
      <c r="V41" s="19"/>
      <c r="W41" s="2"/>
      <c r="X41" s="2">
        <f t="shared" si="2"/>
        <v>-245.5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"4342", " - ", "SALES RETURN NON TAXABLE-EVERY")</f>
        <v xml:space="preserve">          4342 - SALES RETURN NON TAXABLE-EVERY</v>
      </c>
      <c r="C42" s="11"/>
      <c r="D42" s="2">
        <f t="shared" si="7"/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-109.8</f>
        <v>-109.8</v>
      </c>
      <c r="Q42" s="2"/>
      <c r="R42" s="19"/>
      <c r="S42" s="2"/>
      <c r="T42" s="2"/>
      <c r="U42" s="2"/>
      <c r="V42" s="19"/>
      <c r="W42" s="2"/>
      <c r="X42" s="2">
        <f t="shared" si="2"/>
        <v>-109.8</v>
      </c>
      <c r="Y42" s="2"/>
      <c r="Z42" s="19">
        <f t="shared" si="3"/>
        <v>0</v>
      </c>
    </row>
    <row r="43" spans="1:26" x14ac:dyDescent="0.25">
      <c r="A43" s="9"/>
      <c r="B43" s="10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collapsed="1" x14ac:dyDescent="0.25">
      <c r="A44" s="10"/>
      <c r="B44" s="29" t="s">
        <v>8</v>
      </c>
      <c r="C44" s="10"/>
      <c r="D44" s="4">
        <f>SUM(OSRRefD16x_0)</f>
        <v>61280.409999999989</v>
      </c>
      <c r="E44" s="4"/>
      <c r="F44" s="12">
        <f t="shared" ref="F44:F67" si="8">IF(D$12=0,0,D44/D$12)</f>
        <v>0.45446122121248816</v>
      </c>
      <c r="G44" s="4"/>
      <c r="H44" s="4">
        <f>SUM(OSRRefH16x_0)</f>
        <v>172734.73277</v>
      </c>
      <c r="I44" s="4"/>
      <c r="J44" s="12">
        <f t="shared" ref="J44:J67" si="9">IF(H$12=0,0,H44/H$12)</f>
        <v>0.43793464371380708</v>
      </c>
      <c r="K44" s="4"/>
      <c r="L44" s="4">
        <f t="shared" ref="L44:L67" si="10">+D44-H44</f>
        <v>-111454.32277000001</v>
      </c>
      <c r="M44" s="4"/>
      <c r="N44" s="12">
        <f t="shared" ref="N44:N67" si="11">IF(H44=0,0,L44/H44)</f>
        <v>-0.645234001191896</v>
      </c>
      <c r="O44" s="10"/>
      <c r="P44" s="4">
        <f>SUM(OSRRefP16x_0)</f>
        <v>1132430.9699999997</v>
      </c>
      <c r="Q44" s="4"/>
      <c r="R44" s="12">
        <f t="shared" ref="R44:R67" si="12">IF(P$12=0,0,P44/P$12)</f>
        <v>0.45971592411354756</v>
      </c>
      <c r="S44" s="4"/>
      <c r="T44" s="4">
        <f>SUM(OSRRefT16x_0)</f>
        <v>1225430.017</v>
      </c>
      <c r="U44" s="4"/>
      <c r="V44" s="12">
        <f t="shared" ref="V44:V67" si="13">IF(T$12=0,0,T44/T$12)</f>
        <v>0.44760348351265472</v>
      </c>
      <c r="W44" s="4"/>
      <c r="X44" s="4">
        <f t="shared" ref="X44:X67" si="14">+P44-T44</f>
        <v>-92999.047000000253</v>
      </c>
      <c r="Y44" s="4"/>
      <c r="Z44" s="12">
        <f t="shared" ref="Z44:Z67" si="15">IF(T44=0,0,X44/T44)</f>
        <v>-7.5890949062658919E-2</v>
      </c>
    </row>
    <row r="45" spans="1:26" s="24" customFormat="1" hidden="1" outlineLevel="1" x14ac:dyDescent="0.25">
      <c r="A45" s="44"/>
      <c r="B45" s="11" t="str">
        <f>CONCATENATE("          ", "5000", " - ", "PURCHASES @ COST")</f>
        <v xml:space="preserve">          5000 - PURCHASES @ COST</v>
      </c>
      <c r="C45" s="11"/>
      <c r="D45" s="2"/>
      <c r="E45" s="2"/>
      <c r="F45" s="19">
        <f t="shared" si="8"/>
        <v>0</v>
      </c>
      <c r="G45" s="2"/>
      <c r="H45" s="2">
        <v>172734.73277</v>
      </c>
      <c r="I45" s="2"/>
      <c r="J45" s="19">
        <f t="shared" si="9"/>
        <v>0.43793464371380708</v>
      </c>
      <c r="K45" s="2"/>
      <c r="L45" s="2">
        <f t="shared" si="10"/>
        <v>-172734.73277</v>
      </c>
      <c r="M45" s="2"/>
      <c r="N45" s="19">
        <f t="shared" si="11"/>
        <v>-1</v>
      </c>
      <c r="O45" s="11"/>
      <c r="P45" s="2"/>
      <c r="Q45" s="2"/>
      <c r="R45" s="19">
        <f t="shared" si="12"/>
        <v>0</v>
      </c>
      <c r="S45" s="2"/>
      <c r="T45" s="2">
        <v>1225430.017</v>
      </c>
      <c r="U45" s="2"/>
      <c r="V45" s="19">
        <f t="shared" si="13"/>
        <v>0.44760348351265472</v>
      </c>
      <c r="W45" s="2"/>
      <c r="X45" s="2">
        <f t="shared" si="14"/>
        <v>-1225430.017</v>
      </c>
      <c r="Y45" s="2"/>
      <c r="Z45" s="19">
        <f t="shared" si="15"/>
        <v>-1</v>
      </c>
    </row>
    <row r="46" spans="1:26" s="24" customFormat="1" hidden="1" outlineLevel="1" x14ac:dyDescent="0.25">
      <c r="A46" s="44"/>
      <c r="B46" s="11" t="str">
        <f>CONCATENATE("          ", "5025", " - ", "PURCHASES @ COST-TEST FORMS")</f>
        <v xml:space="preserve">          5025 - PURCHASES @ COST-TEST FORMS</v>
      </c>
      <c r="C46" s="11"/>
      <c r="D46" s="2"/>
      <c r="E46" s="2"/>
      <c r="F46" s="19">
        <f t="shared" si="8"/>
        <v>0</v>
      </c>
      <c r="G46" s="2"/>
      <c r="H46" s="2"/>
      <c r="I46" s="2"/>
      <c r="J46" s="19">
        <f t="shared" si="9"/>
        <v>0</v>
      </c>
      <c r="K46" s="2"/>
      <c r="L46" s="2">
        <f t="shared" si="10"/>
        <v>0</v>
      </c>
      <c r="M46" s="2"/>
      <c r="N46" s="19">
        <f t="shared" si="11"/>
        <v>0</v>
      </c>
      <c r="O46" s="11"/>
      <c r="P46" s="2">
        <v>6.06</v>
      </c>
      <c r="Q46" s="2"/>
      <c r="R46" s="19">
        <f t="shared" si="12"/>
        <v>2.4600868167073343E-6</v>
      </c>
      <c r="S46" s="2"/>
      <c r="T46" s="2"/>
      <c r="U46" s="2"/>
      <c r="V46" s="19">
        <f t="shared" si="13"/>
        <v>0</v>
      </c>
      <c r="W46" s="2"/>
      <c r="X46" s="2">
        <f t="shared" si="14"/>
        <v>6.06</v>
      </c>
      <c r="Y46" s="2"/>
      <c r="Z46" s="19">
        <f t="shared" si="15"/>
        <v>0</v>
      </c>
    </row>
    <row r="47" spans="1:26" s="24" customFormat="1" hidden="1" outlineLevel="1" x14ac:dyDescent="0.25">
      <c r="A47" s="44"/>
      <c r="B47" s="11" t="str">
        <f>CONCATENATE("          ", "5026", " - ", "PURCHASES @ COST-WRITING INSTR")</f>
        <v xml:space="preserve">          5026 - PURCHASES @ COST-WRITING INSTR</v>
      </c>
      <c r="C47" s="11"/>
      <c r="D47" s="2"/>
      <c r="E47" s="2"/>
      <c r="F47" s="19">
        <f t="shared" si="8"/>
        <v>0</v>
      </c>
      <c r="G47" s="2"/>
      <c r="H47" s="2"/>
      <c r="I47" s="2"/>
      <c r="J47" s="19">
        <f t="shared" si="9"/>
        <v>0</v>
      </c>
      <c r="K47" s="2"/>
      <c r="L47" s="2">
        <f t="shared" si="10"/>
        <v>0</v>
      </c>
      <c r="M47" s="2"/>
      <c r="N47" s="19">
        <f t="shared" si="11"/>
        <v>0</v>
      </c>
      <c r="O47" s="11"/>
      <c r="P47" s="2">
        <v>1198.07</v>
      </c>
      <c r="Q47" s="2"/>
      <c r="R47" s="19">
        <f t="shared" si="12"/>
        <v>4.8636241130240197E-4</v>
      </c>
      <c r="S47" s="2"/>
      <c r="T47" s="2"/>
      <c r="U47" s="2"/>
      <c r="V47" s="19">
        <f t="shared" si="13"/>
        <v>0</v>
      </c>
      <c r="W47" s="2"/>
      <c r="X47" s="2">
        <f t="shared" si="14"/>
        <v>1198.07</v>
      </c>
      <c r="Y47" s="2"/>
      <c r="Z47" s="19">
        <f t="shared" si="15"/>
        <v>0</v>
      </c>
    </row>
    <row r="48" spans="1:26" s="24" customFormat="1" hidden="1" outlineLevel="1" x14ac:dyDescent="0.25">
      <c r="A48" s="44"/>
      <c r="B48" s="11" t="str">
        <f>CONCATENATE("          ", "5027", " - ", "PURCHASES @ COST-SCHOOL SUPPLI")</f>
        <v xml:space="preserve">          5027 - PURCHASES @ COST-SCHOOL SUPPLI</v>
      </c>
      <c r="C48" s="11"/>
      <c r="D48" s="2"/>
      <c r="E48" s="2"/>
      <c r="F48" s="19">
        <f t="shared" si="8"/>
        <v>0</v>
      </c>
      <c r="G48" s="2"/>
      <c r="H48" s="2"/>
      <c r="I48" s="2"/>
      <c r="J48" s="19">
        <f t="shared" si="9"/>
        <v>0</v>
      </c>
      <c r="K48" s="2"/>
      <c r="L48" s="2">
        <f t="shared" si="10"/>
        <v>0</v>
      </c>
      <c r="M48" s="2"/>
      <c r="N48" s="19">
        <f t="shared" si="11"/>
        <v>0</v>
      </c>
      <c r="O48" s="11"/>
      <c r="P48" s="2">
        <v>325.45</v>
      </c>
      <c r="Q48" s="2"/>
      <c r="R48" s="19">
        <f t="shared" si="12"/>
        <v>1.3211802879495082E-4</v>
      </c>
      <c r="S48" s="2"/>
      <c r="T48" s="2"/>
      <c r="U48" s="2"/>
      <c r="V48" s="19">
        <f t="shared" si="13"/>
        <v>0</v>
      </c>
      <c r="W48" s="2"/>
      <c r="X48" s="2">
        <f t="shared" si="14"/>
        <v>325.45</v>
      </c>
      <c r="Y48" s="2"/>
      <c r="Z48" s="19">
        <f t="shared" si="15"/>
        <v>0</v>
      </c>
    </row>
    <row r="49" spans="1:26" s="24" customFormat="1" hidden="1" outlineLevel="1" x14ac:dyDescent="0.25">
      <c r="A49" s="44"/>
      <c r="B49" s="11" t="str">
        <f>CONCATENATE("          ", "5037", " - ", "PURCHASES @ COST-WATER")</f>
        <v xml:space="preserve">          5037 - PURCHASES @ COST-WATER</v>
      </c>
      <c r="C49" s="11"/>
      <c r="D49" s="2"/>
      <c r="E49" s="2"/>
      <c r="F49" s="19">
        <f t="shared" si="8"/>
        <v>0</v>
      </c>
      <c r="G49" s="2"/>
      <c r="H49" s="2"/>
      <c r="I49" s="2"/>
      <c r="J49" s="19">
        <f t="shared" si="9"/>
        <v>0</v>
      </c>
      <c r="K49" s="2"/>
      <c r="L49" s="2">
        <f t="shared" si="10"/>
        <v>0</v>
      </c>
      <c r="M49" s="2"/>
      <c r="N49" s="19">
        <f t="shared" si="11"/>
        <v>0</v>
      </c>
      <c r="O49" s="11"/>
      <c r="P49" s="2">
        <v>29.76</v>
      </c>
      <c r="Q49" s="2"/>
      <c r="R49" s="19">
        <f t="shared" si="12"/>
        <v>1.2081218426602355E-5</v>
      </c>
      <c r="S49" s="2"/>
      <c r="T49" s="2"/>
      <c r="U49" s="2"/>
      <c r="V49" s="19">
        <f t="shared" si="13"/>
        <v>0</v>
      </c>
      <c r="W49" s="2"/>
      <c r="X49" s="2">
        <f t="shared" si="14"/>
        <v>29.76</v>
      </c>
      <c r="Y49" s="2"/>
      <c r="Z49" s="19">
        <f t="shared" si="15"/>
        <v>0</v>
      </c>
    </row>
    <row r="50" spans="1:26" s="24" customFormat="1" hidden="1" outlineLevel="1" x14ac:dyDescent="0.25">
      <c r="A50" s="44"/>
      <c r="B50" s="11" t="str">
        <f>CONCATENATE("          ", "5040", " - ", "PURCHASES @ COST-LOGO CLOTHING")</f>
        <v xml:space="preserve">          5040 - PURCHASES @ COST-LOGO CLOTHING</v>
      </c>
      <c r="C50" s="11"/>
      <c r="D50" s="2">
        <v>65352.979999999996</v>
      </c>
      <c r="E50" s="2"/>
      <c r="F50" s="19">
        <f t="shared" si="8"/>
        <v>0.48466377918612685</v>
      </c>
      <c r="G50" s="2"/>
      <c r="H50" s="2"/>
      <c r="I50" s="2"/>
      <c r="J50" s="19">
        <f t="shared" si="9"/>
        <v>0</v>
      </c>
      <c r="K50" s="2"/>
      <c r="L50" s="2">
        <f t="shared" si="10"/>
        <v>65352.979999999996</v>
      </c>
      <c r="M50" s="2"/>
      <c r="N50" s="19">
        <f t="shared" si="11"/>
        <v>0</v>
      </c>
      <c r="O50" s="11"/>
      <c r="P50" s="2">
        <v>966898.54</v>
      </c>
      <c r="Q50" s="2"/>
      <c r="R50" s="19">
        <f t="shared" si="12"/>
        <v>0.39251721969431835</v>
      </c>
      <c r="S50" s="2"/>
      <c r="T50" s="2"/>
      <c r="U50" s="2"/>
      <c r="V50" s="19">
        <f t="shared" si="13"/>
        <v>0</v>
      </c>
      <c r="W50" s="2"/>
      <c r="X50" s="2">
        <f t="shared" si="14"/>
        <v>966898.54</v>
      </c>
      <c r="Y50" s="2"/>
      <c r="Z50" s="19">
        <f t="shared" si="15"/>
        <v>0</v>
      </c>
    </row>
    <row r="51" spans="1:26" s="24" customFormat="1" hidden="1" outlineLevel="1" x14ac:dyDescent="0.25">
      <c r="A51" s="44"/>
      <c r="B51" s="11" t="str">
        <f>CONCATENATE("          ", "5041", " - ", "PURCHASES @ COST-LOGO GIFTS")</f>
        <v xml:space="preserve">          5041 - PURCHASES @ COST-LOGO GIFTS</v>
      </c>
      <c r="C51" s="11"/>
      <c r="D51" s="2">
        <v>15128.670000000002</v>
      </c>
      <c r="E51" s="2"/>
      <c r="F51" s="19">
        <f t="shared" si="8"/>
        <v>0.11219562407498147</v>
      </c>
      <c r="G51" s="2"/>
      <c r="H51" s="2"/>
      <c r="I51" s="2"/>
      <c r="J51" s="19">
        <f t="shared" si="9"/>
        <v>0</v>
      </c>
      <c r="K51" s="2"/>
      <c r="L51" s="2">
        <f t="shared" si="10"/>
        <v>15128.670000000002</v>
      </c>
      <c r="M51" s="2"/>
      <c r="N51" s="19">
        <f t="shared" si="11"/>
        <v>0</v>
      </c>
      <c r="O51" s="11"/>
      <c r="P51" s="2">
        <v>149510.73000000001</v>
      </c>
      <c r="Q51" s="2"/>
      <c r="R51" s="19">
        <f t="shared" si="12"/>
        <v>6.0694616473480165E-2</v>
      </c>
      <c r="S51" s="2"/>
      <c r="T51" s="2"/>
      <c r="U51" s="2"/>
      <c r="V51" s="19">
        <f t="shared" si="13"/>
        <v>0</v>
      </c>
      <c r="W51" s="2"/>
      <c r="X51" s="2">
        <f t="shared" si="14"/>
        <v>149510.73000000001</v>
      </c>
      <c r="Y51" s="2"/>
      <c r="Z51" s="19">
        <f t="shared" si="15"/>
        <v>0</v>
      </c>
    </row>
    <row r="52" spans="1:26" s="24" customFormat="1" hidden="1" outlineLevel="1" x14ac:dyDescent="0.25">
      <c r="A52" s="44"/>
      <c r="B52" s="11" t="str">
        <f>CONCATENATE("          ", "5042", " - ", "PURCHASES @ COST-EVERYDAY GIFT")</f>
        <v xml:space="preserve">          5042 - PURCHASES @ COST-EVERYDAY GIFT</v>
      </c>
      <c r="C52" s="11"/>
      <c r="D52" s="2">
        <v>15355.270000000002</v>
      </c>
      <c r="E52" s="2"/>
      <c r="F52" s="19">
        <f t="shared" si="8"/>
        <v>0.11387611075460306</v>
      </c>
      <c r="G52" s="2"/>
      <c r="H52" s="2"/>
      <c r="I52" s="2"/>
      <c r="J52" s="19">
        <f t="shared" si="9"/>
        <v>0</v>
      </c>
      <c r="K52" s="2"/>
      <c r="L52" s="2">
        <f t="shared" si="10"/>
        <v>15355.270000000002</v>
      </c>
      <c r="M52" s="2"/>
      <c r="N52" s="19">
        <f t="shared" si="11"/>
        <v>0</v>
      </c>
      <c r="O52" s="11"/>
      <c r="P52" s="2">
        <v>115363.23999999999</v>
      </c>
      <c r="Q52" s="2"/>
      <c r="R52" s="19">
        <f t="shared" si="12"/>
        <v>4.6832274893835679E-2</v>
      </c>
      <c r="S52" s="2"/>
      <c r="T52" s="2"/>
      <c r="U52" s="2"/>
      <c r="V52" s="19">
        <f t="shared" si="13"/>
        <v>0</v>
      </c>
      <c r="W52" s="2"/>
      <c r="X52" s="2">
        <f t="shared" si="14"/>
        <v>115363.23999999999</v>
      </c>
      <c r="Y52" s="2"/>
      <c r="Z52" s="19">
        <f t="shared" si="15"/>
        <v>0</v>
      </c>
    </row>
    <row r="53" spans="1:26" s="24" customFormat="1" hidden="1" outlineLevel="1" x14ac:dyDescent="0.25">
      <c r="A53" s="44"/>
      <c r="B53" s="11" t="str">
        <f>CONCATENATE("          ", "5043", " - ", "PURCHASES @ COST-CARDS")</f>
        <v xml:space="preserve">          5043 - PURCHASES @ COST-CARDS</v>
      </c>
      <c r="C53" s="11"/>
      <c r="D53" s="2">
        <v>-4258.25</v>
      </c>
      <c r="E53" s="2"/>
      <c r="F53" s="19">
        <f t="shared" si="8"/>
        <v>-3.1579578126648924E-2</v>
      </c>
      <c r="G53" s="2"/>
      <c r="H53" s="2"/>
      <c r="I53" s="2"/>
      <c r="J53" s="19">
        <f t="shared" si="9"/>
        <v>0</v>
      </c>
      <c r="K53" s="2"/>
      <c r="L53" s="2">
        <f t="shared" si="10"/>
        <v>-4258.25</v>
      </c>
      <c r="M53" s="2"/>
      <c r="N53" s="19">
        <f t="shared" si="11"/>
        <v>0</v>
      </c>
      <c r="O53" s="11"/>
      <c r="P53" s="2">
        <v>24776.91</v>
      </c>
      <c r="Q53" s="2"/>
      <c r="R53" s="19">
        <f t="shared" si="12"/>
        <v>1.0058308523060085E-2</v>
      </c>
      <c r="S53" s="2"/>
      <c r="T53" s="2"/>
      <c r="U53" s="2"/>
      <c r="V53" s="19">
        <f t="shared" si="13"/>
        <v>0</v>
      </c>
      <c r="W53" s="2"/>
      <c r="X53" s="2">
        <f t="shared" si="14"/>
        <v>24776.91</v>
      </c>
      <c r="Y53" s="2"/>
      <c r="Z53" s="19">
        <f t="shared" si="15"/>
        <v>0</v>
      </c>
    </row>
    <row r="54" spans="1:26" s="24" customFormat="1" hidden="1" outlineLevel="1" x14ac:dyDescent="0.25">
      <c r="A54" s="44"/>
      <c r="B54" s="11" t="str">
        <f>CONCATENATE("          ", "5044", " - ", "PURCHASES @ COST-ACCESSORIES")</f>
        <v xml:space="preserve">          5044 - PURCHASES @ COST-ACCESSORIES</v>
      </c>
      <c r="C54" s="11"/>
      <c r="D54" s="2">
        <v>-1305.4100000000001</v>
      </c>
      <c r="E54" s="2"/>
      <c r="F54" s="19">
        <f t="shared" si="8"/>
        <v>-9.6810419966673576E-3</v>
      </c>
      <c r="G54" s="2"/>
      <c r="H54" s="2"/>
      <c r="I54" s="2"/>
      <c r="J54" s="19">
        <f t="shared" si="9"/>
        <v>0</v>
      </c>
      <c r="K54" s="2"/>
      <c r="L54" s="2">
        <f t="shared" si="10"/>
        <v>-1305.4100000000001</v>
      </c>
      <c r="M54" s="2"/>
      <c r="N54" s="19">
        <f t="shared" si="11"/>
        <v>0</v>
      </c>
      <c r="O54" s="11"/>
      <c r="P54" s="2">
        <v>32094.030000000002</v>
      </c>
      <c r="Q54" s="2"/>
      <c r="R54" s="19">
        <f t="shared" si="12"/>
        <v>1.302872938911051E-2</v>
      </c>
      <c r="S54" s="2"/>
      <c r="T54" s="2"/>
      <c r="U54" s="2"/>
      <c r="V54" s="19">
        <f t="shared" si="13"/>
        <v>0</v>
      </c>
      <c r="W54" s="2"/>
      <c r="X54" s="2">
        <f t="shared" si="14"/>
        <v>32094.030000000002</v>
      </c>
      <c r="Y54" s="2"/>
      <c r="Z54" s="19">
        <f t="shared" si="15"/>
        <v>0</v>
      </c>
    </row>
    <row r="55" spans="1:26" s="24" customFormat="1" hidden="1" outlineLevel="1" x14ac:dyDescent="0.25">
      <c r="A55" s="44"/>
      <c r="B55" s="11" t="str">
        <f>CONCATENATE("          ", "5045", " - ", "PURCHASES @ COST-SPECIAL ORDER")</f>
        <v xml:space="preserve">          5045 - PURCHASES @ COST-SPECIAL ORDER</v>
      </c>
      <c r="C55" s="11"/>
      <c r="D55" s="2">
        <v>6736.47</v>
      </c>
      <c r="E55" s="2"/>
      <c r="F55" s="19">
        <f t="shared" si="8"/>
        <v>4.995828818477701E-2</v>
      </c>
      <c r="G55" s="2"/>
      <c r="H55" s="2"/>
      <c r="I55" s="2"/>
      <c r="J55" s="19">
        <f t="shared" si="9"/>
        <v>0</v>
      </c>
      <c r="K55" s="2"/>
      <c r="L55" s="2">
        <f t="shared" si="10"/>
        <v>6736.47</v>
      </c>
      <c r="M55" s="2"/>
      <c r="N55" s="19">
        <f t="shared" si="11"/>
        <v>0</v>
      </c>
      <c r="O55" s="11"/>
      <c r="P55" s="2">
        <v>57701.25</v>
      </c>
      <c r="Q55" s="2"/>
      <c r="R55" s="19">
        <f t="shared" si="12"/>
        <v>2.3424106342002322E-2</v>
      </c>
      <c r="S55" s="2"/>
      <c r="T55" s="2"/>
      <c r="U55" s="2"/>
      <c r="V55" s="19">
        <f t="shared" si="13"/>
        <v>0</v>
      </c>
      <c r="W55" s="2"/>
      <c r="X55" s="2">
        <f t="shared" si="14"/>
        <v>57701.25</v>
      </c>
      <c r="Y55" s="2"/>
      <c r="Z55" s="19">
        <f t="shared" si="15"/>
        <v>0</v>
      </c>
    </row>
    <row r="56" spans="1:26" s="24" customFormat="1" hidden="1" outlineLevel="1" x14ac:dyDescent="0.25">
      <c r="A56" s="44"/>
      <c r="B56" s="11" t="str">
        <f>CONCATENATE("          ", "5083", " - ", "PURCHASES @ COST-COMPUTER EQUI")</f>
        <v xml:space="preserve">          5083 - PURCHASES @ COST-COMPUTER EQUI</v>
      </c>
      <c r="C56" s="11"/>
      <c r="D56" s="2"/>
      <c r="E56" s="2"/>
      <c r="F56" s="19">
        <f t="shared" si="8"/>
        <v>0</v>
      </c>
      <c r="G56" s="2"/>
      <c r="H56" s="2"/>
      <c r="I56" s="2"/>
      <c r="J56" s="19">
        <f t="shared" si="9"/>
        <v>0</v>
      </c>
      <c r="K56" s="2"/>
      <c r="L56" s="2">
        <f t="shared" si="10"/>
        <v>0</v>
      </c>
      <c r="M56" s="2"/>
      <c r="N56" s="19">
        <f t="shared" si="11"/>
        <v>0</v>
      </c>
      <c r="O56" s="11"/>
      <c r="P56" s="2">
        <v>90.35</v>
      </c>
      <c r="Q56" s="2"/>
      <c r="R56" s="19">
        <f t="shared" si="12"/>
        <v>3.6678027044473211E-5</v>
      </c>
      <c r="S56" s="2"/>
      <c r="T56" s="2"/>
      <c r="U56" s="2"/>
      <c r="V56" s="19">
        <f t="shared" si="13"/>
        <v>0</v>
      </c>
      <c r="W56" s="2"/>
      <c r="X56" s="2">
        <f t="shared" si="14"/>
        <v>90.35</v>
      </c>
      <c r="Y56" s="2"/>
      <c r="Z56" s="19">
        <f t="shared" si="15"/>
        <v>0</v>
      </c>
    </row>
    <row r="57" spans="1:26" s="24" customFormat="1" hidden="1" outlineLevel="1" x14ac:dyDescent="0.25">
      <c r="A57" s="44"/>
      <c r="B57" s="11" t="str">
        <f>CONCATENATE("          ", "5092", " - ", "PURCHASES @ COST-GRAD MERCH")</f>
        <v xml:space="preserve">          5092 - PURCHASES @ COST-GRAD MERCH</v>
      </c>
      <c r="C57" s="11"/>
      <c r="D57" s="2"/>
      <c r="E57" s="2"/>
      <c r="F57" s="19">
        <f t="shared" si="8"/>
        <v>0</v>
      </c>
      <c r="G57" s="2"/>
      <c r="H57" s="2"/>
      <c r="I57" s="2"/>
      <c r="J57" s="19">
        <f t="shared" si="9"/>
        <v>0</v>
      </c>
      <c r="K57" s="2"/>
      <c r="L57" s="2">
        <f t="shared" si="10"/>
        <v>0</v>
      </c>
      <c r="M57" s="2"/>
      <c r="N57" s="19">
        <f t="shared" si="11"/>
        <v>0</v>
      </c>
      <c r="O57" s="11"/>
      <c r="P57" s="2">
        <v>-60.35</v>
      </c>
      <c r="Q57" s="2"/>
      <c r="R57" s="19">
        <f t="shared" si="12"/>
        <v>-2.4499379437011159E-5</v>
      </c>
      <c r="S57" s="2"/>
      <c r="T57" s="2"/>
      <c r="U57" s="2"/>
      <c r="V57" s="19">
        <f t="shared" si="13"/>
        <v>0</v>
      </c>
      <c r="W57" s="2"/>
      <c r="X57" s="2">
        <f t="shared" si="14"/>
        <v>-60.35</v>
      </c>
      <c r="Y57" s="2"/>
      <c r="Z57" s="19">
        <f t="shared" si="15"/>
        <v>0</v>
      </c>
    </row>
    <row r="58" spans="1:26" s="24" customFormat="1" hidden="1" outlineLevel="1" x14ac:dyDescent="0.25">
      <c r="A58" s="44"/>
      <c r="B58" s="11" t="str">
        <f>CONCATENATE("          ", "5095", " - ", "PURCHASES @ COST-CUSTOMER SERV")</f>
        <v xml:space="preserve">          5095 - PURCHASES @ COST-CUSTOMER SERV</v>
      </c>
      <c r="C58" s="11"/>
      <c r="D58" s="2"/>
      <c r="E58" s="2"/>
      <c r="F58" s="19">
        <f t="shared" si="8"/>
        <v>0</v>
      </c>
      <c r="G58" s="2"/>
      <c r="H58" s="2"/>
      <c r="I58" s="2"/>
      <c r="J58" s="19">
        <f t="shared" si="9"/>
        <v>0</v>
      </c>
      <c r="K58" s="2"/>
      <c r="L58" s="2">
        <f t="shared" si="10"/>
        <v>0</v>
      </c>
      <c r="M58" s="2"/>
      <c r="N58" s="19">
        <f t="shared" si="11"/>
        <v>0</v>
      </c>
      <c r="O58" s="11"/>
      <c r="P58" s="2">
        <v>-11.85</v>
      </c>
      <c r="Q58" s="2"/>
      <c r="R58" s="19">
        <f t="shared" si="12"/>
        <v>-4.8105658049475099E-6</v>
      </c>
      <c r="S58" s="2"/>
      <c r="T58" s="2"/>
      <c r="U58" s="2"/>
      <c r="V58" s="19">
        <f t="shared" si="13"/>
        <v>0</v>
      </c>
      <c r="W58" s="2"/>
      <c r="X58" s="2">
        <f t="shared" si="14"/>
        <v>-11.85</v>
      </c>
      <c r="Y58" s="2"/>
      <c r="Z58" s="19">
        <f t="shared" si="15"/>
        <v>0</v>
      </c>
    </row>
    <row r="59" spans="1:26" s="24" customFormat="1" hidden="1" outlineLevel="1" x14ac:dyDescent="0.25">
      <c r="A59" s="44"/>
      <c r="B59" s="11" t="str">
        <f>CONCATENATE("          ", "5200", " - ", "PURCHASES OFFSET")</f>
        <v xml:space="preserve">          5200 - PURCHASES OFFSET</v>
      </c>
      <c r="C59" s="11"/>
      <c r="D59" s="2">
        <v>-99905</v>
      </c>
      <c r="E59" s="2"/>
      <c r="F59" s="19">
        <f t="shared" si="8"/>
        <v>-0.74090477373166463</v>
      </c>
      <c r="G59" s="2"/>
      <c r="H59" s="2"/>
      <c r="I59" s="2"/>
      <c r="J59" s="19">
        <f t="shared" si="9"/>
        <v>0</v>
      </c>
      <c r="K59" s="2"/>
      <c r="L59" s="2">
        <f t="shared" si="10"/>
        <v>-99905</v>
      </c>
      <c r="M59" s="2"/>
      <c r="N59" s="19">
        <f t="shared" si="11"/>
        <v>0</v>
      </c>
      <c r="O59" s="11"/>
      <c r="P59" s="2">
        <v>-1351231</v>
      </c>
      <c r="Q59" s="2"/>
      <c r="R59" s="19">
        <f t="shared" si="12"/>
        <v>-0.54853887284261849</v>
      </c>
      <c r="S59" s="2"/>
      <c r="T59" s="2"/>
      <c r="U59" s="2"/>
      <c r="V59" s="19">
        <f t="shared" si="13"/>
        <v>0</v>
      </c>
      <c r="W59" s="2"/>
      <c r="X59" s="2">
        <f t="shared" si="14"/>
        <v>-1351231</v>
      </c>
      <c r="Y59" s="2"/>
      <c r="Z59" s="19">
        <f t="shared" si="15"/>
        <v>0</v>
      </c>
    </row>
    <row r="60" spans="1:26" s="24" customFormat="1" hidden="1" outlineLevel="1" x14ac:dyDescent="0.25">
      <c r="A60" s="44"/>
      <c r="B60" s="11" t="str">
        <f>CONCATENATE("          ", "5300", " - ", "COG$ OFFSET")</f>
        <v xml:space="preserve">          5300 - COG$ OFFSET</v>
      </c>
      <c r="C60" s="11"/>
      <c r="D60" s="2">
        <v>61280</v>
      </c>
      <c r="E60" s="2"/>
      <c r="F60" s="19">
        <f t="shared" si="8"/>
        <v>0.45445818061434773</v>
      </c>
      <c r="G60" s="2"/>
      <c r="H60" s="2"/>
      <c r="I60" s="2"/>
      <c r="J60" s="19">
        <f t="shared" si="9"/>
        <v>0</v>
      </c>
      <c r="K60" s="2"/>
      <c r="L60" s="2">
        <f t="shared" si="10"/>
        <v>61280</v>
      </c>
      <c r="M60" s="2"/>
      <c r="N60" s="19">
        <f t="shared" si="11"/>
        <v>0</v>
      </c>
      <c r="O60" s="11"/>
      <c r="P60" s="2">
        <v>1094277</v>
      </c>
      <c r="Q60" s="2"/>
      <c r="R60" s="19">
        <f t="shared" si="12"/>
        <v>0.44422713226502503</v>
      </c>
      <c r="S60" s="2"/>
      <c r="T60" s="2"/>
      <c r="U60" s="2"/>
      <c r="V60" s="19">
        <f t="shared" si="13"/>
        <v>0</v>
      </c>
      <c r="W60" s="2"/>
      <c r="X60" s="2">
        <f t="shared" si="14"/>
        <v>1094277</v>
      </c>
      <c r="Y60" s="2"/>
      <c r="Z60" s="19">
        <f t="shared" si="15"/>
        <v>0</v>
      </c>
    </row>
    <row r="61" spans="1:26" s="24" customFormat="1" hidden="1" outlineLevel="1" x14ac:dyDescent="0.25">
      <c r="A61" s="44"/>
      <c r="B61" s="11" t="str">
        <f>CONCATENATE("          ", "5500", " - ", "FREIGHT-IN")</f>
        <v xml:space="preserve">          5500 - FREIGHT-IN</v>
      </c>
      <c r="C61" s="11"/>
      <c r="D61" s="2"/>
      <c r="E61" s="2"/>
      <c r="F61" s="19">
        <f t="shared" si="8"/>
        <v>0</v>
      </c>
      <c r="G61" s="2"/>
      <c r="H61" s="2"/>
      <c r="I61" s="2"/>
      <c r="J61" s="19">
        <f t="shared" si="9"/>
        <v>0</v>
      </c>
      <c r="K61" s="2"/>
      <c r="L61" s="2">
        <f t="shared" si="10"/>
        <v>0</v>
      </c>
      <c r="M61" s="2"/>
      <c r="N61" s="19">
        <f t="shared" si="11"/>
        <v>0</v>
      </c>
      <c r="O61" s="11"/>
      <c r="P61" s="2">
        <v>29.23</v>
      </c>
      <c r="Q61" s="2"/>
      <c r="R61" s="19">
        <f t="shared" si="12"/>
        <v>1.1866062318870526E-5</v>
      </c>
      <c r="S61" s="2"/>
      <c r="T61" s="2"/>
      <c r="U61" s="2"/>
      <c r="V61" s="19">
        <f t="shared" si="13"/>
        <v>0</v>
      </c>
      <c r="W61" s="2"/>
      <c r="X61" s="2">
        <f t="shared" si="14"/>
        <v>29.23</v>
      </c>
      <c r="Y61" s="2"/>
      <c r="Z61" s="19">
        <f t="shared" si="15"/>
        <v>0</v>
      </c>
    </row>
    <row r="62" spans="1:26" s="24" customFormat="1" hidden="1" outlineLevel="1" x14ac:dyDescent="0.25">
      <c r="A62" s="44"/>
      <c r="B62" s="11" t="str">
        <f>CONCATENATE("          ", "5540", " - ", "FREIGHT-IN-LOGO CLOTHING")</f>
        <v xml:space="preserve">          5540 - FREIGHT-IN-LOGO CLOTHING</v>
      </c>
      <c r="C62" s="11"/>
      <c r="D62" s="2">
        <v>2177.09</v>
      </c>
      <c r="E62" s="2"/>
      <c r="F62" s="19">
        <f t="shared" si="8"/>
        <v>1.6145501965301734E-2</v>
      </c>
      <c r="G62" s="2"/>
      <c r="H62" s="2"/>
      <c r="I62" s="2"/>
      <c r="J62" s="19">
        <f t="shared" si="9"/>
        <v>0</v>
      </c>
      <c r="K62" s="2"/>
      <c r="L62" s="2">
        <f t="shared" si="10"/>
        <v>2177.09</v>
      </c>
      <c r="M62" s="2"/>
      <c r="N62" s="19">
        <f t="shared" si="11"/>
        <v>0</v>
      </c>
      <c r="O62" s="11"/>
      <c r="P62" s="2">
        <v>30658.390000000003</v>
      </c>
      <c r="Q62" s="2"/>
      <c r="R62" s="19">
        <f t="shared" si="12"/>
        <v>1.2445924267404616E-2</v>
      </c>
      <c r="S62" s="2"/>
      <c r="T62" s="2"/>
      <c r="U62" s="2"/>
      <c r="V62" s="19">
        <f t="shared" si="13"/>
        <v>0</v>
      </c>
      <c r="W62" s="2"/>
      <c r="X62" s="2">
        <f t="shared" si="14"/>
        <v>30658.390000000003</v>
      </c>
      <c r="Y62" s="2"/>
      <c r="Z62" s="19">
        <f t="shared" si="15"/>
        <v>0</v>
      </c>
    </row>
    <row r="63" spans="1:26" s="24" customFormat="1" hidden="1" outlineLevel="1" x14ac:dyDescent="0.25">
      <c r="A63" s="44"/>
      <c r="B63" s="11" t="str">
        <f>CONCATENATE("          ", "5541", " - ", "FREIGHT-IN-LOGO GIFTS")</f>
        <v xml:space="preserve">          5541 - FREIGHT-IN-LOGO GIFTS</v>
      </c>
      <c r="C63" s="11"/>
      <c r="D63" s="2">
        <v>622.03</v>
      </c>
      <c r="E63" s="2"/>
      <c r="F63" s="19">
        <f t="shared" si="8"/>
        <v>4.6130323447706057E-3</v>
      </c>
      <c r="G63" s="2"/>
      <c r="H63" s="2"/>
      <c r="I63" s="2"/>
      <c r="J63" s="19">
        <f t="shared" si="9"/>
        <v>0</v>
      </c>
      <c r="K63" s="2"/>
      <c r="L63" s="2">
        <f t="shared" si="10"/>
        <v>622.03</v>
      </c>
      <c r="M63" s="2"/>
      <c r="N63" s="19">
        <f t="shared" si="11"/>
        <v>0</v>
      </c>
      <c r="O63" s="11"/>
      <c r="P63" s="2">
        <v>4695.95</v>
      </c>
      <c r="Q63" s="2"/>
      <c r="R63" s="19">
        <f t="shared" si="12"/>
        <v>1.9063440077420472E-3</v>
      </c>
      <c r="S63" s="2"/>
      <c r="T63" s="2"/>
      <c r="U63" s="2"/>
      <c r="V63" s="19">
        <f t="shared" si="13"/>
        <v>0</v>
      </c>
      <c r="W63" s="2"/>
      <c r="X63" s="2">
        <f t="shared" si="14"/>
        <v>4695.95</v>
      </c>
      <c r="Y63" s="2"/>
      <c r="Z63" s="19">
        <f t="shared" si="15"/>
        <v>0</v>
      </c>
    </row>
    <row r="64" spans="1:26" s="24" customFormat="1" hidden="1" outlineLevel="1" x14ac:dyDescent="0.25">
      <c r="A64" s="44"/>
      <c r="B64" s="11" t="str">
        <f>CONCATENATE("          ", "5542", " - ", "FREIGHT-IN-EVERYDAY GIFTS")</f>
        <v xml:space="preserve">          5542 - FREIGHT-IN-EVERYDAY GIFTS</v>
      </c>
      <c r="C64" s="11"/>
      <c r="D64" s="2">
        <v>42.24</v>
      </c>
      <c r="E64" s="2"/>
      <c r="F64" s="19">
        <f t="shared" si="8"/>
        <v>3.1325576940519008E-4</v>
      </c>
      <c r="G64" s="2"/>
      <c r="H64" s="2"/>
      <c r="I64" s="2"/>
      <c r="J64" s="19">
        <f t="shared" si="9"/>
        <v>0</v>
      </c>
      <c r="K64" s="2"/>
      <c r="L64" s="2">
        <f t="shared" si="10"/>
        <v>42.24</v>
      </c>
      <c r="M64" s="2"/>
      <c r="N64" s="19">
        <f t="shared" si="11"/>
        <v>0</v>
      </c>
      <c r="O64" s="11"/>
      <c r="P64" s="2">
        <v>1793.94</v>
      </c>
      <c r="Q64" s="2"/>
      <c r="R64" s="19">
        <f t="shared" si="12"/>
        <v>7.2825876963101578E-4</v>
      </c>
      <c r="S64" s="2"/>
      <c r="T64" s="2"/>
      <c r="U64" s="2"/>
      <c r="V64" s="19">
        <f t="shared" si="13"/>
        <v>0</v>
      </c>
      <c r="W64" s="2"/>
      <c r="X64" s="2">
        <f t="shared" si="14"/>
        <v>1793.94</v>
      </c>
      <c r="Y64" s="2"/>
      <c r="Z64" s="19">
        <f t="shared" si="15"/>
        <v>0</v>
      </c>
    </row>
    <row r="65" spans="1:26" s="24" customFormat="1" hidden="1" outlineLevel="1" x14ac:dyDescent="0.25">
      <c r="A65" s="44"/>
      <c r="B65" s="11" t="str">
        <f>CONCATENATE("          ", "5543", " - ", "FREIGHT-IN-CARDS")</f>
        <v xml:space="preserve">          5543 - FREIGHT-IN-CARDS</v>
      </c>
      <c r="C65" s="11"/>
      <c r="D65" s="2">
        <v>25.64</v>
      </c>
      <c r="E65" s="2"/>
      <c r="F65" s="19">
        <f t="shared" si="8"/>
        <v>1.9014862517871859E-4</v>
      </c>
      <c r="G65" s="2"/>
      <c r="H65" s="2"/>
      <c r="I65" s="2"/>
      <c r="J65" s="19">
        <f t="shared" si="9"/>
        <v>0</v>
      </c>
      <c r="K65" s="2"/>
      <c r="L65" s="2">
        <f t="shared" si="10"/>
        <v>25.64</v>
      </c>
      <c r="M65" s="2"/>
      <c r="N65" s="19">
        <f t="shared" si="11"/>
        <v>0</v>
      </c>
      <c r="O65" s="11"/>
      <c r="P65" s="2">
        <v>2926.76</v>
      </c>
      <c r="Q65" s="2"/>
      <c r="R65" s="19">
        <f t="shared" si="12"/>
        <v>1.188132622387188E-3</v>
      </c>
      <c r="S65" s="2"/>
      <c r="T65" s="2"/>
      <c r="U65" s="2"/>
      <c r="V65" s="19">
        <f t="shared" si="13"/>
        <v>0</v>
      </c>
      <c r="W65" s="2"/>
      <c r="X65" s="2">
        <f t="shared" si="14"/>
        <v>2926.76</v>
      </c>
      <c r="Y65" s="2"/>
      <c r="Z65" s="19">
        <f t="shared" si="15"/>
        <v>0</v>
      </c>
    </row>
    <row r="66" spans="1:26" s="24" customFormat="1" hidden="1" outlineLevel="1" x14ac:dyDescent="0.25">
      <c r="A66" s="44"/>
      <c r="B66" s="11" t="str">
        <f>CONCATENATE("          ", "5544", " - ", "FREIGHT-IN-ACCESSORIES")</f>
        <v xml:space="preserve">          5544 - FREIGHT-IN-ACCESSORIES</v>
      </c>
      <c r="C66" s="11"/>
      <c r="D66" s="2"/>
      <c r="E66" s="2"/>
      <c r="F66" s="19">
        <f t="shared" si="8"/>
        <v>0</v>
      </c>
      <c r="G66" s="2"/>
      <c r="H66" s="2"/>
      <c r="I66" s="2"/>
      <c r="J66" s="19">
        <f t="shared" si="9"/>
        <v>0</v>
      </c>
      <c r="K66" s="2"/>
      <c r="L66" s="2">
        <f t="shared" si="10"/>
        <v>0</v>
      </c>
      <c r="M66" s="2"/>
      <c r="N66" s="19">
        <f t="shared" si="11"/>
        <v>0</v>
      </c>
      <c r="O66" s="11"/>
      <c r="P66" s="2">
        <v>483.44</v>
      </c>
      <c r="Q66" s="2"/>
      <c r="R66" s="19">
        <f t="shared" si="12"/>
        <v>1.9625484664504846E-4</v>
      </c>
      <c r="S66" s="2"/>
      <c r="T66" s="2"/>
      <c r="U66" s="2"/>
      <c r="V66" s="19">
        <f t="shared" si="13"/>
        <v>0</v>
      </c>
      <c r="W66" s="2"/>
      <c r="X66" s="2">
        <f t="shared" si="14"/>
        <v>483.44</v>
      </c>
      <c r="Y66" s="2"/>
      <c r="Z66" s="19">
        <f t="shared" si="15"/>
        <v>0</v>
      </c>
    </row>
    <row r="67" spans="1:26" s="24" customFormat="1" hidden="1" outlineLevel="1" x14ac:dyDescent="0.25">
      <c r="A67" s="44"/>
      <c r="B67" s="11" t="str">
        <f>CONCATENATE("          ", "5545", " - ", "FREIGHT-IN-SPECIAL ORDERS")</f>
        <v xml:space="preserve">          5545 - FREIGHT-IN-SPECIAL ORDERS</v>
      </c>
      <c r="C67" s="11"/>
      <c r="D67" s="2">
        <v>28.68</v>
      </c>
      <c r="E67" s="2"/>
      <c r="F67" s="19">
        <f t="shared" si="8"/>
        <v>2.126935479768194E-4</v>
      </c>
      <c r="G67" s="2"/>
      <c r="H67" s="2"/>
      <c r="I67" s="2"/>
      <c r="J67" s="19">
        <f t="shared" si="9"/>
        <v>0</v>
      </c>
      <c r="K67" s="2"/>
      <c r="L67" s="2">
        <f t="shared" si="10"/>
        <v>28.68</v>
      </c>
      <c r="M67" s="2"/>
      <c r="N67" s="19">
        <f t="shared" si="11"/>
        <v>0</v>
      </c>
      <c r="O67" s="11"/>
      <c r="P67" s="2">
        <v>875.07</v>
      </c>
      <c r="Q67" s="2"/>
      <c r="R67" s="19">
        <f t="shared" si="12"/>
        <v>3.5523897206206058E-4</v>
      </c>
      <c r="S67" s="2"/>
      <c r="T67" s="2"/>
      <c r="U67" s="2"/>
      <c r="V67" s="19">
        <f t="shared" si="13"/>
        <v>0</v>
      </c>
      <c r="W67" s="2"/>
      <c r="X67" s="2">
        <f t="shared" si="14"/>
        <v>875.07</v>
      </c>
      <c r="Y67" s="2"/>
      <c r="Z67" s="19">
        <f t="shared" si="15"/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8" t="s">
        <v>6</v>
      </c>
      <c r="C69" s="28"/>
      <c r="D69" s="20">
        <f>D12-D44</f>
        <v>73561.48</v>
      </c>
      <c r="E69" s="14"/>
      <c r="F69" s="22">
        <f>IF(D$12=0,0,D69/D$12)</f>
        <v>0.54553877878751178</v>
      </c>
      <c r="G69" s="14"/>
      <c r="H69" s="20">
        <f>H12-H44</f>
        <v>221695.65827000001</v>
      </c>
      <c r="I69" s="14"/>
      <c r="J69" s="22">
        <f>IF(H$12=0,0,H69/H$12)</f>
        <v>0.56206535628619292</v>
      </c>
      <c r="K69" s="16"/>
      <c r="L69" s="20">
        <f>+D69-H69</f>
        <v>-148134.17827000003</v>
      </c>
      <c r="M69" s="16"/>
      <c r="N69" s="22">
        <f>IF(H69=0,0,L69/H69)</f>
        <v>-0.66818709678828936</v>
      </c>
      <c r="O69" s="29"/>
      <c r="P69" s="20">
        <f>P12-P44</f>
        <v>1330896.7300000004</v>
      </c>
      <c r="Q69" s="14"/>
      <c r="R69" s="22">
        <f>IF(P$12=0,0,P69/P$12)</f>
        <v>0.54028407588645244</v>
      </c>
      <c r="S69" s="14"/>
      <c r="T69" s="20">
        <f>T12-T44</f>
        <v>1512327.9811799997</v>
      </c>
      <c r="U69" s="14"/>
      <c r="V69" s="22">
        <f>IF(T$12=0,0,T69/T$12)</f>
        <v>0.55239651648734533</v>
      </c>
      <c r="W69" s="16"/>
      <c r="X69" s="20">
        <f>+P69-T69</f>
        <v>-181431.25117999921</v>
      </c>
      <c r="Y69" s="16"/>
      <c r="Z69" s="22">
        <f>IF(T69=0,0,X69/T69)</f>
        <v>-0.11996819039110602</v>
      </c>
    </row>
    <row r="70" spans="1:26" x14ac:dyDescent="0.25">
      <c r="A70" s="9"/>
      <c r="B70" s="10"/>
      <c r="C70" s="9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6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9" t="s">
        <v>9</v>
      </c>
      <c r="C71" s="10"/>
      <c r="D71" s="21">
        <f>SUM(OSRRefD22x_0)</f>
        <v>82808.2</v>
      </c>
      <c r="E71" s="21"/>
      <c r="F71" s="30">
        <f t="shared" ref="F71:F81" si="16">IF(D$12=0,0,D71/D$12)</f>
        <v>0.61411331449002982</v>
      </c>
      <c r="G71" s="21"/>
      <c r="H71" s="21">
        <f>SUM(OSRRefH22x_0)</f>
        <v>87135.100323574996</v>
      </c>
      <c r="I71" s="21"/>
      <c r="J71" s="30">
        <f t="shared" ref="J71:J81" si="17">IF(H$12=0,0,H71/H$12)</f>
        <v>0.22091375893684229</v>
      </c>
      <c r="K71" s="4"/>
      <c r="L71" s="21">
        <f t="shared" ref="L71:L81" si="18">+D71-H71</f>
        <v>-4326.9003235749988</v>
      </c>
      <c r="M71" s="4"/>
      <c r="N71" s="30">
        <f t="shared" ref="N71:N81" si="19">IF(H71=0,0,L71/H71)</f>
        <v>-4.9657374668843138E-2</v>
      </c>
      <c r="O71" s="10"/>
      <c r="P71" s="21">
        <f>SUM(OSRRefP22x_0)</f>
        <v>835353.61000000022</v>
      </c>
      <c r="Q71" s="21"/>
      <c r="R71" s="30">
        <f t="shared" ref="R71:R81" si="20">IF(P$12=0,0,P71/P$12)</f>
        <v>0.33911590812704301</v>
      </c>
      <c r="S71" s="21"/>
      <c r="T71" s="21">
        <f>SUM(OSRRefT22x_0)</f>
        <v>798653.44576435629</v>
      </c>
      <c r="U71" s="21"/>
      <c r="V71" s="30">
        <f t="shared" ref="V71:V81" si="21">IF(T$12=0,0,T71/T$12)</f>
        <v>0.29171805773018772</v>
      </c>
      <c r="W71" s="4"/>
      <c r="X71" s="21">
        <f t="shared" ref="X71:X81" si="22">+P71-T71</f>
        <v>36700.164235643926</v>
      </c>
      <c r="Y71" s="4"/>
      <c r="Z71" s="30">
        <f t="shared" ref="Z71:Z81" si="23">IF(T71=0,0,X71/T71)</f>
        <v>4.5952552299476784E-2</v>
      </c>
    </row>
    <row r="72" spans="1:26" s="27" customFormat="1" outlineLevel="1" collapsed="1" x14ac:dyDescent="0.25">
      <c r="A72" s="26"/>
      <c r="B72" s="13" t="str">
        <f>CONCATENATE("     ","*Benefits                                         ")</f>
        <v xml:space="preserve">     *Benefits                                         </v>
      </c>
      <c r="C72" s="13"/>
      <c r="D72" s="1">
        <f>SUM(OSRRefD22_0x_0)</f>
        <v>16047.13</v>
      </c>
      <c r="E72" s="1"/>
      <c r="F72" s="5">
        <f t="shared" si="16"/>
        <v>0.11900700887535766</v>
      </c>
      <c r="G72" s="1"/>
      <c r="H72" s="1">
        <f>SUM(OSRRefH22_0x_0)</f>
        <v>6024.9066985749996</v>
      </c>
      <c r="I72" s="1"/>
      <c r="J72" s="5">
        <f t="shared" si="17"/>
        <v>1.5274955569952522E-2</v>
      </c>
      <c r="K72" s="1"/>
      <c r="L72" s="1">
        <f t="shared" si="18"/>
        <v>10022.223301425</v>
      </c>
      <c r="M72" s="1"/>
      <c r="N72" s="5">
        <f t="shared" si="19"/>
        <v>1.663465312051295</v>
      </c>
      <c r="O72" s="13"/>
      <c r="P72" s="1">
        <f>SUM(OSRRefP22_0x_0)</f>
        <v>82632.13</v>
      </c>
      <c r="Q72" s="1"/>
      <c r="R72" s="5">
        <f t="shared" si="20"/>
        <v>3.3544919744133109E-2</v>
      </c>
      <c r="S72" s="1"/>
      <c r="T72" s="1">
        <f>SUM(OSRRefT22_0x_0)</f>
        <v>58494.16292060625</v>
      </c>
      <c r="U72" s="1"/>
      <c r="V72" s="5">
        <f t="shared" si="21"/>
        <v>2.1365717115790314E-2</v>
      </c>
      <c r="W72" s="1"/>
      <c r="X72" s="1">
        <f t="shared" si="22"/>
        <v>24137.967079393755</v>
      </c>
      <c r="Y72" s="1"/>
      <c r="Z72" s="5">
        <f t="shared" si="23"/>
        <v>0.41265599632831845</v>
      </c>
    </row>
    <row r="73" spans="1:26" s="24" customFormat="1" hidden="1" outlineLevel="2" x14ac:dyDescent="0.25">
      <c r="A73" s="25"/>
      <c r="B73" s="11" t="str">
        <f>CONCATENATE("          ", "6111", " - ", "F.I.C.A.")</f>
        <v xml:space="preserve">          6111 - F.I.C.A.</v>
      </c>
      <c r="C73" s="11"/>
      <c r="D73" s="6">
        <v>1570.33</v>
      </c>
      <c r="E73" s="2"/>
      <c r="F73" s="7">
        <f t="shared" si="16"/>
        <v>1.1645713361033431E-2</v>
      </c>
      <c r="G73" s="2"/>
      <c r="H73" s="6">
        <v>981.66772057499998</v>
      </c>
      <c r="I73" s="2"/>
      <c r="J73" s="7">
        <f t="shared" si="17"/>
        <v>2.488823738927985E-3</v>
      </c>
      <c r="K73" s="2"/>
      <c r="L73" s="6">
        <f t="shared" si="18"/>
        <v>588.66227942499995</v>
      </c>
      <c r="M73" s="2"/>
      <c r="N73" s="7">
        <f t="shared" si="19"/>
        <v>0.5996553284651126</v>
      </c>
      <c r="O73" s="11"/>
      <c r="P73" s="6">
        <v>15385.830000000002</v>
      </c>
      <c r="Q73" s="2"/>
      <c r="R73" s="7">
        <f t="shared" si="20"/>
        <v>6.2459533906105962E-3</v>
      </c>
      <c r="S73" s="2"/>
      <c r="T73" s="6">
        <v>12290.122453106251</v>
      </c>
      <c r="U73" s="2"/>
      <c r="V73" s="7">
        <f t="shared" si="21"/>
        <v>4.4891193674811468E-3</v>
      </c>
      <c r="W73" s="2"/>
      <c r="X73" s="6">
        <f t="shared" si="22"/>
        <v>3095.707546893751</v>
      </c>
      <c r="Y73" s="2"/>
      <c r="Z73" s="7">
        <f t="shared" si="23"/>
        <v>0.25188581795711323</v>
      </c>
    </row>
    <row r="74" spans="1:26" s="24" customFormat="1" hidden="1" outlineLevel="2" x14ac:dyDescent="0.25">
      <c r="A74" s="25"/>
      <c r="B74" s="11" t="str">
        <f>CONCATENATE("          ", "6112", " - ", "COMPENSATION INSURANCE")</f>
        <v xml:space="preserve">          6112 - COMPENSATION INSURANCE</v>
      </c>
      <c r="C74" s="11"/>
      <c r="D74" s="6">
        <v>696.28</v>
      </c>
      <c r="E74" s="2"/>
      <c r="F74" s="7">
        <f t="shared" si="16"/>
        <v>5.163677251928166E-3</v>
      </c>
      <c r="G74" s="2"/>
      <c r="H74" s="6">
        <v>621.53498249999996</v>
      </c>
      <c r="I74" s="2"/>
      <c r="J74" s="7">
        <f t="shared" si="17"/>
        <v>1.575778633236628E-3</v>
      </c>
      <c r="K74" s="2"/>
      <c r="L74" s="6">
        <f t="shared" si="18"/>
        <v>74.745017500000017</v>
      </c>
      <c r="M74" s="2"/>
      <c r="N74" s="7">
        <f t="shared" si="19"/>
        <v>0.12025874585426094</v>
      </c>
      <c r="O74" s="11"/>
      <c r="P74" s="6">
        <v>5475.58</v>
      </c>
      <c r="Q74" s="2"/>
      <c r="R74" s="7">
        <f t="shared" si="20"/>
        <v>2.2228386422155685E-3</v>
      </c>
      <c r="S74" s="2"/>
      <c r="T74" s="6">
        <v>5567.0922093750005</v>
      </c>
      <c r="U74" s="2"/>
      <c r="V74" s="7">
        <f t="shared" si="21"/>
        <v>2.0334493454410066E-3</v>
      </c>
      <c r="W74" s="2"/>
      <c r="X74" s="6">
        <f t="shared" si="22"/>
        <v>-91.512209375000566</v>
      </c>
      <c r="Y74" s="2"/>
      <c r="Z74" s="7">
        <f t="shared" si="23"/>
        <v>-1.6438062445039751E-2</v>
      </c>
    </row>
    <row r="75" spans="1:26" s="24" customFormat="1" hidden="1" outlineLevel="2" x14ac:dyDescent="0.25">
      <c r="A75" s="25"/>
      <c r="B75" s="11" t="str">
        <f>CONCATENATE("          ", "6113", " - ", "GROUP INSURANCE")</f>
        <v xml:space="preserve">          6113 - GROUP INSURANCE</v>
      </c>
      <c r="C75" s="11"/>
      <c r="D75" s="6">
        <v>2447</v>
      </c>
      <c r="E75" s="2"/>
      <c r="F75" s="7">
        <f t="shared" si="16"/>
        <v>1.8147179633866008E-2</v>
      </c>
      <c r="G75" s="2"/>
      <c r="H75" s="6">
        <v>2863.75</v>
      </c>
      <c r="I75" s="2"/>
      <c r="J75" s="7">
        <f t="shared" si="17"/>
        <v>7.2604699461649271E-3</v>
      </c>
      <c r="K75" s="2"/>
      <c r="L75" s="6">
        <f t="shared" si="18"/>
        <v>-416.75</v>
      </c>
      <c r="M75" s="2"/>
      <c r="N75" s="7">
        <f t="shared" si="19"/>
        <v>-0.14552597119161939</v>
      </c>
      <c r="O75" s="11"/>
      <c r="P75" s="6">
        <v>26434.329999999998</v>
      </c>
      <c r="Q75" s="2"/>
      <c r="R75" s="7">
        <f t="shared" si="20"/>
        <v>1.0731146326978743E-2</v>
      </c>
      <c r="S75" s="2"/>
      <c r="T75" s="6">
        <v>25773.75</v>
      </c>
      <c r="U75" s="2"/>
      <c r="V75" s="7">
        <f t="shared" si="21"/>
        <v>9.4141812450676109E-3</v>
      </c>
      <c r="W75" s="2"/>
      <c r="X75" s="6">
        <f t="shared" si="22"/>
        <v>660.57999999999811</v>
      </c>
      <c r="Y75" s="2"/>
      <c r="Z75" s="7">
        <f t="shared" si="23"/>
        <v>2.5629952956011372E-2</v>
      </c>
    </row>
    <row r="76" spans="1:26" s="24" customFormat="1" hidden="1" outlineLevel="2" x14ac:dyDescent="0.25">
      <c r="A76" s="25"/>
      <c r="B76" s="11" t="str">
        <f>CONCATENATE("          ", "6114", " - ", "STATE UNEMPLOYMENT INSURANCE")</f>
        <v xml:space="preserve">          6114 - STATE UNEMPLOYMENT INSURANCE</v>
      </c>
      <c r="C76" s="11"/>
      <c r="D76" s="6">
        <v>114.34</v>
      </c>
      <c r="E76" s="2"/>
      <c r="F76" s="7">
        <f t="shared" si="16"/>
        <v>8.4795607655751496E-4</v>
      </c>
      <c r="G76" s="2"/>
      <c r="H76" s="6">
        <v>85.052155499999998</v>
      </c>
      <c r="I76" s="2"/>
      <c r="J76" s="7">
        <f t="shared" si="17"/>
        <v>2.1563286560080173E-4</v>
      </c>
      <c r="K76" s="2"/>
      <c r="L76" s="6">
        <f t="shared" si="18"/>
        <v>29.287844500000006</v>
      </c>
      <c r="M76" s="2"/>
      <c r="N76" s="7">
        <f t="shared" si="19"/>
        <v>0.34435158436402008</v>
      </c>
      <c r="O76" s="11"/>
      <c r="P76" s="6">
        <v>858.79</v>
      </c>
      <c r="Q76" s="2"/>
      <c r="R76" s="7">
        <f t="shared" si="20"/>
        <v>3.4863002596041118E-4</v>
      </c>
      <c r="S76" s="2"/>
      <c r="T76" s="6">
        <v>761.81261812499997</v>
      </c>
      <c r="U76" s="2"/>
      <c r="V76" s="7">
        <f t="shared" si="21"/>
        <v>2.7826148937613767E-4</v>
      </c>
      <c r="W76" s="2"/>
      <c r="X76" s="6">
        <f t="shared" si="22"/>
        <v>96.977381874999992</v>
      </c>
      <c r="Y76" s="2"/>
      <c r="Z76" s="7">
        <f t="shared" si="23"/>
        <v>0.12729820899223768</v>
      </c>
    </row>
    <row r="77" spans="1:26" s="24" customFormat="1" hidden="1" outlineLevel="2" x14ac:dyDescent="0.25">
      <c r="A77" s="25"/>
      <c r="B77" s="11" t="str">
        <f>CONCATENATE("          ", "6115", " - ", "P.E.R.S.")</f>
        <v xml:space="preserve">          6115 - P.E.R.S.</v>
      </c>
      <c r="C77" s="11"/>
      <c r="D77" s="6">
        <v>820.48</v>
      </c>
      <c r="E77" s="2"/>
      <c r="F77" s="7">
        <f t="shared" si="16"/>
        <v>6.0847560057189949E-3</v>
      </c>
      <c r="G77" s="2"/>
      <c r="H77" s="6">
        <v>782.03906500000005</v>
      </c>
      <c r="I77" s="2"/>
      <c r="J77" s="7">
        <f t="shared" si="17"/>
        <v>1.9827048897981389E-3</v>
      </c>
      <c r="K77" s="2"/>
      <c r="L77" s="6">
        <f t="shared" si="18"/>
        <v>38.440934999999968</v>
      </c>
      <c r="M77" s="2"/>
      <c r="N77" s="7">
        <f t="shared" si="19"/>
        <v>4.9154750344856446E-2</v>
      </c>
      <c r="O77" s="11"/>
      <c r="P77" s="6">
        <v>9139.5499999999993</v>
      </c>
      <c r="Q77" s="2"/>
      <c r="R77" s="7">
        <f t="shared" si="20"/>
        <v>3.710245291359326E-3</v>
      </c>
      <c r="S77" s="2"/>
      <c r="T77" s="6">
        <v>7624.8808837499992</v>
      </c>
      <c r="U77" s="2"/>
      <c r="V77" s="7">
        <f t="shared" si="21"/>
        <v>2.7850821324670954E-3</v>
      </c>
      <c r="W77" s="2"/>
      <c r="X77" s="6">
        <f t="shared" si="22"/>
        <v>1514.6691162500001</v>
      </c>
      <c r="Y77" s="2"/>
      <c r="Z77" s="7">
        <f t="shared" si="23"/>
        <v>0.19864823324362144</v>
      </c>
    </row>
    <row r="78" spans="1:26" s="24" customFormat="1" hidden="1" outlineLevel="2" x14ac:dyDescent="0.25">
      <c r="A78" s="25"/>
      <c r="B78" s="11" t="str">
        <f>CONCATENATE("          ", "6116", " - ", "EDUCATIONAL BENEFITS")</f>
        <v xml:space="preserve">          6116 - EDUCATIONAL BENEFITS</v>
      </c>
      <c r="C78" s="11"/>
      <c r="D78" s="6"/>
      <c r="E78" s="2"/>
      <c r="F78" s="7">
        <f t="shared" si="16"/>
        <v>0</v>
      </c>
      <c r="G78" s="2"/>
      <c r="H78" s="6">
        <v>0</v>
      </c>
      <c r="I78" s="2"/>
      <c r="J78" s="7">
        <f t="shared" si="17"/>
        <v>0</v>
      </c>
      <c r="K78" s="2"/>
      <c r="L78" s="6">
        <f t="shared" si="18"/>
        <v>0</v>
      </c>
      <c r="M78" s="2"/>
      <c r="N78" s="7">
        <f t="shared" si="19"/>
        <v>0</v>
      </c>
      <c r="O78" s="11"/>
      <c r="P78" s="6"/>
      <c r="Q78" s="2"/>
      <c r="R78" s="7">
        <f t="shared" si="20"/>
        <v>0</v>
      </c>
      <c r="S78" s="2"/>
      <c r="T78" s="6">
        <v>0</v>
      </c>
      <c r="U78" s="2"/>
      <c r="V78" s="7">
        <f t="shared" si="21"/>
        <v>0</v>
      </c>
      <c r="W78" s="2"/>
      <c r="X78" s="6">
        <f t="shared" si="22"/>
        <v>0</v>
      </c>
      <c r="Y78" s="2"/>
      <c r="Z78" s="7">
        <f t="shared" si="23"/>
        <v>0</v>
      </c>
    </row>
    <row r="79" spans="1:26" s="24" customFormat="1" hidden="1" outlineLevel="2" x14ac:dyDescent="0.25">
      <c r="A79" s="25"/>
      <c r="B79" s="11" t="str">
        <f>CONCATENATE("          ", "6118", " - ", "VACATION")</f>
        <v xml:space="preserve">          6118 - VACATION</v>
      </c>
      <c r="C79" s="11"/>
      <c r="D79" s="6">
        <v>2823.49</v>
      </c>
      <c r="E79" s="2"/>
      <c r="F79" s="7">
        <f t="shared" si="16"/>
        <v>2.093926449710843E-2</v>
      </c>
      <c r="G79" s="2"/>
      <c r="H79" s="6">
        <v>272.80432499999989</v>
      </c>
      <c r="I79" s="2"/>
      <c r="J79" s="7">
        <f t="shared" si="17"/>
        <v>6.9164124062725738E-4</v>
      </c>
      <c r="K79" s="2"/>
      <c r="L79" s="6">
        <f t="shared" si="18"/>
        <v>2550.6856749999997</v>
      </c>
      <c r="M79" s="2"/>
      <c r="N79" s="7">
        <f t="shared" si="19"/>
        <v>9.3498725689191353</v>
      </c>
      <c r="O79" s="11"/>
      <c r="P79" s="6">
        <v>10141.379999999999</v>
      </c>
      <c r="Q79" s="2"/>
      <c r="R79" s="7">
        <f t="shared" si="20"/>
        <v>4.1169431091121166E-3</v>
      </c>
      <c r="S79" s="2"/>
      <c r="T79" s="6">
        <v>2659.8421687499999</v>
      </c>
      <c r="U79" s="2"/>
      <c r="V79" s="7">
        <f t="shared" si="21"/>
        <v>9.7154027876759138E-4</v>
      </c>
      <c r="W79" s="2"/>
      <c r="X79" s="6">
        <f t="shared" si="22"/>
        <v>7481.5378312499997</v>
      </c>
      <c r="Y79" s="2"/>
      <c r="Z79" s="7">
        <f t="shared" si="23"/>
        <v>2.8127751034062176</v>
      </c>
    </row>
    <row r="80" spans="1:26" s="24" customFormat="1" hidden="1" outlineLevel="2" x14ac:dyDescent="0.25">
      <c r="A80" s="25"/>
      <c r="B80" s="11" t="str">
        <f>CONCATENATE("          ", "6119", " - ", "SICK LEAVE")</f>
        <v xml:space="preserve">          6119 - SICK LEAVE</v>
      </c>
      <c r="C80" s="11"/>
      <c r="D80" s="6">
        <v>7279.13</v>
      </c>
      <c r="E80" s="2"/>
      <c r="F80" s="7">
        <f t="shared" si="16"/>
        <v>5.3982705226098514E-2</v>
      </c>
      <c r="G80" s="2"/>
      <c r="H80" s="6">
        <v>418.05844999999999</v>
      </c>
      <c r="I80" s="2"/>
      <c r="J80" s="7">
        <f t="shared" si="17"/>
        <v>1.0599042555967848E-3</v>
      </c>
      <c r="K80" s="2"/>
      <c r="L80" s="6">
        <f t="shared" si="18"/>
        <v>6861.0715500000006</v>
      </c>
      <c r="M80" s="2"/>
      <c r="N80" s="7">
        <f t="shared" si="19"/>
        <v>16.411751873452147</v>
      </c>
      <c r="O80" s="11"/>
      <c r="P80" s="6">
        <v>12894.39</v>
      </c>
      <c r="Q80" s="2"/>
      <c r="R80" s="7">
        <f t="shared" si="20"/>
        <v>5.2345410641060864E-3</v>
      </c>
      <c r="S80" s="2"/>
      <c r="T80" s="6">
        <v>3816.6625875</v>
      </c>
      <c r="U80" s="2"/>
      <c r="V80" s="7">
        <f t="shared" si="21"/>
        <v>1.3940832571897267E-3</v>
      </c>
      <c r="W80" s="2"/>
      <c r="X80" s="6">
        <f t="shared" si="22"/>
        <v>9077.7274125000004</v>
      </c>
      <c r="Y80" s="2"/>
      <c r="Z80" s="7">
        <f t="shared" si="23"/>
        <v>2.3784464055666277</v>
      </c>
    </row>
    <row r="81" spans="1:26" s="24" customFormat="1" hidden="1" outlineLevel="2" x14ac:dyDescent="0.25">
      <c r="A81" s="25"/>
      <c r="B81" s="11" t="str">
        <f>CONCATENATE("          ", "6156", " - ", "EMPLOYEE MEALS")</f>
        <v xml:space="preserve">          6156 - EMPLOYEE MEALS</v>
      </c>
      <c r="C81" s="11"/>
      <c r="D81" s="6">
        <v>296.08</v>
      </c>
      <c r="E81" s="2"/>
      <c r="F81" s="7">
        <f t="shared" si="16"/>
        <v>2.1957568230466067E-3</v>
      </c>
      <c r="G81" s="2"/>
      <c r="H81" s="6"/>
      <c r="I81" s="2"/>
      <c r="J81" s="7">
        <f t="shared" si="17"/>
        <v>0</v>
      </c>
      <c r="K81" s="2"/>
      <c r="L81" s="6">
        <f t="shared" si="18"/>
        <v>296.08</v>
      </c>
      <c r="M81" s="2"/>
      <c r="N81" s="7">
        <f t="shared" si="19"/>
        <v>0</v>
      </c>
      <c r="O81" s="11"/>
      <c r="P81" s="6">
        <v>2302.2800000000002</v>
      </c>
      <c r="Q81" s="2"/>
      <c r="R81" s="7">
        <f t="shared" si="20"/>
        <v>9.346218937902578E-4</v>
      </c>
      <c r="S81" s="2"/>
      <c r="T81" s="6"/>
      <c r="U81" s="2"/>
      <c r="V81" s="7">
        <f t="shared" si="21"/>
        <v>0</v>
      </c>
      <c r="W81" s="2"/>
      <c r="X81" s="6">
        <f t="shared" si="22"/>
        <v>2302.2800000000002</v>
      </c>
      <c r="Y81" s="2"/>
      <c r="Z81" s="7">
        <f t="shared" si="23"/>
        <v>0</v>
      </c>
    </row>
    <row r="82" spans="1:26" s="27" customFormat="1" outlineLevel="1" collapsed="1" x14ac:dyDescent="0.25">
      <c r="A82" s="26"/>
      <c r="B82" s="13" t="str">
        <f>CONCATENATE("     ","*Payroll                                          ")</f>
        <v xml:space="preserve">     *Payroll                                          </v>
      </c>
      <c r="C82" s="13"/>
      <c r="D82" s="1">
        <f>SUM(OSRRefD22_1x_0)</f>
        <v>38509.03</v>
      </c>
      <c r="E82" s="1"/>
      <c r="F82" s="5">
        <f t="shared" ref="F82:F92" si="24">IF(D$12=0,0,D82/D$12)</f>
        <v>0.28558654880912754</v>
      </c>
      <c r="G82" s="1"/>
      <c r="H82" s="1">
        <f>SUM(OSRRefH22_1x_0)</f>
        <v>32257.693625</v>
      </c>
      <c r="I82" s="1"/>
      <c r="J82" s="5">
        <f t="shared" ref="J82:J92" si="25">IF(H$12=0,0,H82/H$12)</f>
        <v>8.1782982137724475E-2</v>
      </c>
      <c r="K82" s="1"/>
      <c r="L82" s="1">
        <f t="shared" ref="L82:L92" si="26">+D82-H82</f>
        <v>6251.336374999999</v>
      </c>
      <c r="M82" s="1"/>
      <c r="N82" s="5">
        <f t="shared" ref="N82:N92" si="27">IF(H82=0,0,L82/H82)</f>
        <v>0.19379365579178165</v>
      </c>
      <c r="O82" s="13"/>
      <c r="P82" s="1">
        <f>SUM(OSRRefP22_1x_0)</f>
        <v>323063.81</v>
      </c>
      <c r="Q82" s="1"/>
      <c r="R82" s="5">
        <f t="shared" ref="R82:R92" si="28">IF(P$12=0,0,P82/P$12)</f>
        <v>0.13114934322380248</v>
      </c>
      <c r="S82" s="1"/>
      <c r="T82" s="1">
        <f>SUM(OSRRefT22_1x_0)</f>
        <v>288571.78284374997</v>
      </c>
      <c r="U82" s="1"/>
      <c r="V82" s="5">
        <f t="shared" ref="V82:V92" si="29">IF(T$12=0,0,T82/T$12)</f>
        <v>0.10540441596210696</v>
      </c>
      <c r="W82" s="1"/>
      <c r="X82" s="1">
        <f t="shared" ref="X82:X92" si="30">+P82-T82</f>
        <v>34492.027156250027</v>
      </c>
      <c r="Y82" s="1"/>
      <c r="Z82" s="5">
        <f t="shared" ref="Z82:Z92" si="31">IF(T82=0,0,X82/T82)</f>
        <v>0.11952668003900463</v>
      </c>
    </row>
    <row r="83" spans="1:26" s="24" customFormat="1" hidden="1" outlineLevel="2" x14ac:dyDescent="0.25">
      <c r="A83" s="25"/>
      <c r="B83" s="11" t="str">
        <f>CONCATENATE("          ", "6001", " - ", "ADMINISTRATIVE SALARIES")</f>
        <v xml:space="preserve">          6001 - ADMINISTRATIVE SALARIES</v>
      </c>
      <c r="C83" s="11"/>
      <c r="D83" s="6"/>
      <c r="E83" s="2"/>
      <c r="F83" s="7">
        <f t="shared" si="24"/>
        <v>0</v>
      </c>
      <c r="G83" s="2"/>
      <c r="H83" s="6">
        <v>0</v>
      </c>
      <c r="I83" s="2"/>
      <c r="J83" s="7">
        <f t="shared" si="25"/>
        <v>0</v>
      </c>
      <c r="K83" s="2"/>
      <c r="L83" s="6">
        <f t="shared" si="26"/>
        <v>0</v>
      </c>
      <c r="M83" s="2"/>
      <c r="N83" s="7">
        <f t="shared" si="27"/>
        <v>0</v>
      </c>
      <c r="O83" s="11"/>
      <c r="P83" s="6"/>
      <c r="Q83" s="2"/>
      <c r="R83" s="7">
        <f t="shared" si="28"/>
        <v>0</v>
      </c>
      <c r="S83" s="2"/>
      <c r="T83" s="6">
        <v>0</v>
      </c>
      <c r="U83" s="2"/>
      <c r="V83" s="7">
        <f t="shared" si="29"/>
        <v>0</v>
      </c>
      <c r="W83" s="2"/>
      <c r="X83" s="6">
        <f t="shared" si="30"/>
        <v>0</v>
      </c>
      <c r="Y83" s="2"/>
      <c r="Z83" s="7">
        <f t="shared" si="31"/>
        <v>0</v>
      </c>
    </row>
    <row r="84" spans="1:26" s="24" customFormat="1" hidden="1" outlineLevel="2" x14ac:dyDescent="0.25">
      <c r="A84" s="25"/>
      <c r="B84" s="11" t="str">
        <f>CONCATENATE("          ", "6002", " - ", "STAFF SALARIES")</f>
        <v xml:space="preserve">          6002 - STAFF SALARIES</v>
      </c>
      <c r="C84" s="11"/>
      <c r="D84" s="6">
        <v>10082.77</v>
      </c>
      <c r="E84" s="2"/>
      <c r="F84" s="7">
        <f t="shared" si="24"/>
        <v>7.4774760276646979E-2</v>
      </c>
      <c r="G84" s="2"/>
      <c r="H84" s="6">
        <v>8638.8036250000005</v>
      </c>
      <c r="I84" s="2"/>
      <c r="J84" s="7">
        <f t="shared" si="25"/>
        <v>2.1901972619863163E-2</v>
      </c>
      <c r="K84" s="2"/>
      <c r="L84" s="6">
        <f t="shared" si="26"/>
        <v>1443.966375</v>
      </c>
      <c r="M84" s="2"/>
      <c r="N84" s="7">
        <f t="shared" si="27"/>
        <v>0.16714888284082274</v>
      </c>
      <c r="O84" s="11"/>
      <c r="P84" s="6">
        <v>88547.3</v>
      </c>
      <c r="Q84" s="2"/>
      <c r="R84" s="7">
        <f t="shared" si="28"/>
        <v>3.5946212109740819E-2</v>
      </c>
      <c r="S84" s="2"/>
      <c r="T84" s="6">
        <v>84228.33534374999</v>
      </c>
      <c r="U84" s="2"/>
      <c r="V84" s="7">
        <f t="shared" si="29"/>
        <v>3.0765442160973724E-2</v>
      </c>
      <c r="W84" s="2"/>
      <c r="X84" s="6">
        <f t="shared" si="30"/>
        <v>4318.9646562500129</v>
      </c>
      <c r="Y84" s="2"/>
      <c r="Z84" s="7">
        <f t="shared" si="31"/>
        <v>5.1276861149203441E-2</v>
      </c>
    </row>
    <row r="85" spans="1:26" s="24" customFormat="1" hidden="1" outlineLevel="2" x14ac:dyDescent="0.25">
      <c r="A85" s="25"/>
      <c r="B85" s="11" t="str">
        <f>CONCATENATE("          ", "6003", " - ", "STAFF HOURLY-9 MONTH")</f>
        <v xml:space="preserve">          6003 - STAFF HOURLY-9 MONTH</v>
      </c>
      <c r="C85" s="11"/>
      <c r="D85" s="6"/>
      <c r="E85" s="2"/>
      <c r="F85" s="7">
        <f t="shared" si="24"/>
        <v>0</v>
      </c>
      <c r="G85" s="2"/>
      <c r="H85" s="6">
        <v>0</v>
      </c>
      <c r="I85" s="2"/>
      <c r="J85" s="7">
        <f t="shared" si="25"/>
        <v>0</v>
      </c>
      <c r="K85" s="2"/>
      <c r="L85" s="6">
        <f t="shared" si="26"/>
        <v>0</v>
      </c>
      <c r="M85" s="2"/>
      <c r="N85" s="7">
        <f t="shared" si="27"/>
        <v>0</v>
      </c>
      <c r="O85" s="11"/>
      <c r="P85" s="6"/>
      <c r="Q85" s="2"/>
      <c r="R85" s="7">
        <f t="shared" si="28"/>
        <v>0</v>
      </c>
      <c r="S85" s="2"/>
      <c r="T85" s="6">
        <v>0</v>
      </c>
      <c r="U85" s="2"/>
      <c r="V85" s="7">
        <f t="shared" si="29"/>
        <v>0</v>
      </c>
      <c r="W85" s="2"/>
      <c r="X85" s="6">
        <f t="shared" si="30"/>
        <v>0</v>
      </c>
      <c r="Y85" s="2"/>
      <c r="Z85" s="7">
        <f t="shared" si="31"/>
        <v>0</v>
      </c>
    </row>
    <row r="86" spans="1:26" s="24" customFormat="1" hidden="1" outlineLevel="2" x14ac:dyDescent="0.25">
      <c r="A86" s="25"/>
      <c r="B86" s="11" t="str">
        <f>CONCATENATE("          ", "6004", " - ", "STAFF HOURLY")</f>
        <v xml:space="preserve">          6004 - STAFF HOURLY</v>
      </c>
      <c r="C86" s="11"/>
      <c r="D86" s="6">
        <v>3298.52</v>
      </c>
      <c r="E86" s="2"/>
      <c r="F86" s="7">
        <f t="shared" si="24"/>
        <v>2.4462131167102451E-2</v>
      </c>
      <c r="G86" s="2"/>
      <c r="H86" s="6">
        <v>3733.75</v>
      </c>
      <c r="I86" s="2"/>
      <c r="J86" s="7">
        <f t="shared" si="25"/>
        <v>9.4661823348732594E-3</v>
      </c>
      <c r="K86" s="2"/>
      <c r="L86" s="6">
        <f t="shared" si="26"/>
        <v>-435.23</v>
      </c>
      <c r="M86" s="2"/>
      <c r="N86" s="7">
        <f t="shared" si="27"/>
        <v>-0.1165664546367593</v>
      </c>
      <c r="O86" s="11"/>
      <c r="P86" s="6">
        <v>7866.19</v>
      </c>
      <c r="Q86" s="2"/>
      <c r="R86" s="7">
        <f t="shared" si="28"/>
        <v>3.1933185341113971E-3</v>
      </c>
      <c r="S86" s="2"/>
      <c r="T86" s="6">
        <v>36404.0625</v>
      </c>
      <c r="U86" s="2"/>
      <c r="V86" s="7">
        <f t="shared" si="29"/>
        <v>1.329703448011132E-2</v>
      </c>
      <c r="W86" s="2"/>
      <c r="X86" s="6">
        <f t="shared" si="30"/>
        <v>-28537.872500000001</v>
      </c>
      <c r="Y86" s="2"/>
      <c r="Z86" s="7">
        <f t="shared" si="31"/>
        <v>-0.78391999519284428</v>
      </c>
    </row>
    <row r="87" spans="1:26" s="24" customFormat="1" hidden="1" outlineLevel="2" x14ac:dyDescent="0.25">
      <c r="A87" s="25"/>
      <c r="B87" s="11" t="str">
        <f>CONCATENATE("          ", "6005", " - ", "TEMPORARY WAGES-HOURLY")</f>
        <v xml:space="preserve">          6005 - TEMPORARY WAGES-HOURLY</v>
      </c>
      <c r="C87" s="11"/>
      <c r="D87" s="6">
        <v>6294.12</v>
      </c>
      <c r="E87" s="2"/>
      <c r="F87" s="7">
        <f t="shared" si="24"/>
        <v>4.6677779434862565E-2</v>
      </c>
      <c r="G87" s="2"/>
      <c r="H87" s="6">
        <v>0</v>
      </c>
      <c r="I87" s="2"/>
      <c r="J87" s="7">
        <f t="shared" si="25"/>
        <v>0</v>
      </c>
      <c r="K87" s="2"/>
      <c r="L87" s="6">
        <f t="shared" si="26"/>
        <v>6294.12</v>
      </c>
      <c r="M87" s="2"/>
      <c r="N87" s="7">
        <f t="shared" si="27"/>
        <v>0</v>
      </c>
      <c r="O87" s="11"/>
      <c r="P87" s="6">
        <v>41094.35</v>
      </c>
      <c r="Q87" s="2"/>
      <c r="R87" s="7">
        <f t="shared" si="28"/>
        <v>1.6682453576923606E-2</v>
      </c>
      <c r="S87" s="2"/>
      <c r="T87" s="6">
        <v>0</v>
      </c>
      <c r="U87" s="2"/>
      <c r="V87" s="7">
        <f t="shared" si="29"/>
        <v>0</v>
      </c>
      <c r="W87" s="2"/>
      <c r="X87" s="6">
        <f t="shared" si="30"/>
        <v>41094.35</v>
      </c>
      <c r="Y87" s="2"/>
      <c r="Z87" s="7">
        <f t="shared" si="31"/>
        <v>0</v>
      </c>
    </row>
    <row r="88" spans="1:26" s="24" customFormat="1" hidden="1" outlineLevel="2" x14ac:dyDescent="0.25">
      <c r="A88" s="25"/>
      <c r="B88" s="11" t="str">
        <f>CONCATENATE("          ", "6006", " - ", "TEMPORARY PART TIME")</f>
        <v xml:space="preserve">          6006 - TEMPORARY PART TIME</v>
      </c>
      <c r="C88" s="11"/>
      <c r="D88" s="6">
        <v>431.97</v>
      </c>
      <c r="E88" s="2"/>
      <c r="F88" s="7">
        <f t="shared" si="24"/>
        <v>3.2035297043077641E-3</v>
      </c>
      <c r="G88" s="2"/>
      <c r="H88" s="6">
        <v>0</v>
      </c>
      <c r="I88" s="2"/>
      <c r="J88" s="7">
        <f t="shared" si="25"/>
        <v>0</v>
      </c>
      <c r="K88" s="2"/>
      <c r="L88" s="6">
        <f t="shared" si="26"/>
        <v>431.97</v>
      </c>
      <c r="M88" s="2"/>
      <c r="N88" s="7">
        <f t="shared" si="27"/>
        <v>0</v>
      </c>
      <c r="O88" s="11"/>
      <c r="P88" s="6">
        <v>1227.45</v>
      </c>
      <c r="Q88" s="2"/>
      <c r="R88" s="7">
        <f t="shared" si="28"/>
        <v>4.9828936685930982E-4</v>
      </c>
      <c r="S88" s="2"/>
      <c r="T88" s="6">
        <v>0</v>
      </c>
      <c r="U88" s="2"/>
      <c r="V88" s="7">
        <f t="shared" si="29"/>
        <v>0</v>
      </c>
      <c r="W88" s="2"/>
      <c r="X88" s="6">
        <f t="shared" si="30"/>
        <v>1227.45</v>
      </c>
      <c r="Y88" s="2"/>
      <c r="Z88" s="7">
        <f t="shared" si="31"/>
        <v>0</v>
      </c>
    </row>
    <row r="89" spans="1:26" s="24" customFormat="1" hidden="1" outlineLevel="2" x14ac:dyDescent="0.25">
      <c r="A89" s="25"/>
      <c r="B89" s="11" t="str">
        <f>CONCATENATE("          ", "6007", " - ", "STUDENT HOURLY")</f>
        <v xml:space="preserve">          6007 - STUDENT HOURLY</v>
      </c>
      <c r="C89" s="11"/>
      <c r="D89" s="6">
        <v>18401.649999999998</v>
      </c>
      <c r="E89" s="2"/>
      <c r="F89" s="7">
        <f t="shared" si="24"/>
        <v>0.13646834822620774</v>
      </c>
      <c r="G89" s="2"/>
      <c r="H89" s="6">
        <v>0</v>
      </c>
      <c r="I89" s="2"/>
      <c r="J89" s="7">
        <f t="shared" si="25"/>
        <v>0</v>
      </c>
      <c r="K89" s="2"/>
      <c r="L89" s="6">
        <f t="shared" si="26"/>
        <v>18401.649999999998</v>
      </c>
      <c r="M89" s="2"/>
      <c r="N89" s="7">
        <f t="shared" si="27"/>
        <v>0</v>
      </c>
      <c r="O89" s="11"/>
      <c r="P89" s="6">
        <v>184133.52</v>
      </c>
      <c r="Q89" s="2"/>
      <c r="R89" s="7">
        <f t="shared" si="28"/>
        <v>7.4749908426718858E-2</v>
      </c>
      <c r="S89" s="2"/>
      <c r="T89" s="6">
        <v>35526.75</v>
      </c>
      <c r="U89" s="2"/>
      <c r="V89" s="7">
        <f t="shared" si="29"/>
        <v>1.2976585229087957E-2</v>
      </c>
      <c r="W89" s="2"/>
      <c r="X89" s="6">
        <f t="shared" si="30"/>
        <v>148606.76999999999</v>
      </c>
      <c r="Y89" s="2"/>
      <c r="Z89" s="7">
        <f t="shared" si="31"/>
        <v>4.1829542527813546</v>
      </c>
    </row>
    <row r="90" spans="1:26" s="24" customFormat="1" hidden="1" outlineLevel="2" x14ac:dyDescent="0.25">
      <c r="A90" s="25"/>
      <c r="B90" s="11" t="str">
        <f>CONCATENATE("          ", "6008", " - ", "STUDENT HOURLY-FICA EXEMPT")</f>
        <v xml:space="preserve">          6008 - STUDENT HOURLY-FICA EXEMPT</v>
      </c>
      <c r="C90" s="11"/>
      <c r="D90" s="6"/>
      <c r="E90" s="2"/>
      <c r="F90" s="7">
        <f t="shared" si="24"/>
        <v>0</v>
      </c>
      <c r="G90" s="2"/>
      <c r="H90" s="6">
        <v>19885.14</v>
      </c>
      <c r="I90" s="2"/>
      <c r="J90" s="7">
        <f t="shared" si="25"/>
        <v>5.0414827182988051E-2</v>
      </c>
      <c r="K90" s="2"/>
      <c r="L90" s="6">
        <f t="shared" si="26"/>
        <v>-19885.14</v>
      </c>
      <c r="M90" s="2"/>
      <c r="N90" s="7">
        <f t="shared" si="27"/>
        <v>-1</v>
      </c>
      <c r="O90" s="11"/>
      <c r="P90" s="6">
        <v>195</v>
      </c>
      <c r="Q90" s="2"/>
      <c r="R90" s="7">
        <f t="shared" si="28"/>
        <v>7.9161209448503337E-5</v>
      </c>
      <c r="S90" s="2"/>
      <c r="T90" s="6">
        <v>132412.63500000001</v>
      </c>
      <c r="U90" s="2"/>
      <c r="V90" s="7">
        <f t="shared" si="29"/>
        <v>4.8365354091933974E-2</v>
      </c>
      <c r="W90" s="2"/>
      <c r="X90" s="6">
        <f t="shared" si="30"/>
        <v>-132217.63500000001</v>
      </c>
      <c r="Y90" s="2"/>
      <c r="Z90" s="7">
        <f t="shared" si="31"/>
        <v>-0.99852733086989776</v>
      </c>
    </row>
    <row r="91" spans="1:26" s="24" customFormat="1" hidden="1" outlineLevel="2" x14ac:dyDescent="0.25">
      <c r="A91" s="25"/>
      <c r="B91" s="11" t="str">
        <f>CONCATENATE("          ", "6009", " - ", "TEMPORARY-SEASONAL")</f>
        <v xml:space="preserve">          6009 - TEMPORARY-SEASONAL</v>
      </c>
      <c r="C91" s="11"/>
      <c r="D91" s="6"/>
      <c r="E91" s="2"/>
      <c r="F91" s="7">
        <f t="shared" si="24"/>
        <v>0</v>
      </c>
      <c r="G91" s="2"/>
      <c r="H91" s="6">
        <v>0</v>
      </c>
      <c r="I91" s="2"/>
      <c r="J91" s="7">
        <f t="shared" si="25"/>
        <v>0</v>
      </c>
      <c r="K91" s="2"/>
      <c r="L91" s="6">
        <f t="shared" si="26"/>
        <v>0</v>
      </c>
      <c r="M91" s="2"/>
      <c r="N91" s="7">
        <f t="shared" si="27"/>
        <v>0</v>
      </c>
      <c r="O91" s="11"/>
      <c r="P91" s="6"/>
      <c r="Q91" s="2"/>
      <c r="R91" s="7">
        <f t="shared" si="28"/>
        <v>0</v>
      </c>
      <c r="S91" s="2"/>
      <c r="T91" s="6">
        <v>0</v>
      </c>
      <c r="U91" s="2"/>
      <c r="V91" s="7">
        <f t="shared" si="29"/>
        <v>0</v>
      </c>
      <c r="W91" s="2"/>
      <c r="X91" s="6">
        <f t="shared" si="30"/>
        <v>0</v>
      </c>
      <c r="Y91" s="2"/>
      <c r="Z91" s="7">
        <f t="shared" si="31"/>
        <v>0</v>
      </c>
    </row>
    <row r="92" spans="1:26" s="24" customFormat="1" hidden="1" outlineLevel="2" x14ac:dyDescent="0.25">
      <c r="A92" s="25"/>
      <c r="B92" s="11" t="str">
        <f>CONCATENATE("          ", "6010", " - ", "GRATUITY")</f>
        <v xml:space="preserve">          6010 - GRATUITY</v>
      </c>
      <c r="C92" s="11"/>
      <c r="D92" s="6"/>
      <c r="E92" s="2"/>
      <c r="F92" s="7">
        <f t="shared" si="24"/>
        <v>0</v>
      </c>
      <c r="G92" s="2"/>
      <c r="H92" s="6">
        <v>0</v>
      </c>
      <c r="I92" s="2"/>
      <c r="J92" s="7">
        <f t="shared" si="25"/>
        <v>0</v>
      </c>
      <c r="K92" s="2"/>
      <c r="L92" s="6">
        <f t="shared" si="26"/>
        <v>0</v>
      </c>
      <c r="M92" s="2"/>
      <c r="N92" s="7">
        <f t="shared" si="27"/>
        <v>0</v>
      </c>
      <c r="O92" s="11"/>
      <c r="P92" s="6"/>
      <c r="Q92" s="2"/>
      <c r="R92" s="7">
        <f t="shared" si="28"/>
        <v>0</v>
      </c>
      <c r="S92" s="2"/>
      <c r="T92" s="6">
        <v>0</v>
      </c>
      <c r="U92" s="2"/>
      <c r="V92" s="7">
        <f t="shared" si="29"/>
        <v>0</v>
      </c>
      <c r="W92" s="2"/>
      <c r="X92" s="6">
        <f t="shared" si="30"/>
        <v>0</v>
      </c>
      <c r="Y92" s="2"/>
      <c r="Z92" s="7">
        <f t="shared" si="31"/>
        <v>0</v>
      </c>
    </row>
    <row r="93" spans="1:26" s="27" customFormat="1" outlineLevel="1" collapsed="1" x14ac:dyDescent="0.25">
      <c r="A93" s="26"/>
      <c r="B93" s="13" t="str">
        <f>CONCATENATE("     ","Advertising/Promo                                 ")</f>
        <v xml:space="preserve">     Advertising/Promo                                 </v>
      </c>
      <c r="C93" s="13"/>
      <c r="D93" s="1">
        <f>SUM(OSRRefD22_2x_0)</f>
        <v>21.78</v>
      </c>
      <c r="E93" s="1"/>
      <c r="F93" s="5">
        <f t="shared" ref="F93:F97" si="32">IF(D$12=0,0,D93/D$12)</f>
        <v>1.6152250609955115E-4</v>
      </c>
      <c r="G93" s="1"/>
      <c r="H93" s="1">
        <f>SUM(OSRRefH22_2x_0)</f>
        <v>850</v>
      </c>
      <c r="I93" s="1"/>
      <c r="J93" s="5">
        <f t="shared" ref="J93:J97" si="33">IF(H$12=0,0,H93/H$12)</f>
        <v>2.1550063567840026E-3</v>
      </c>
      <c r="K93" s="1"/>
      <c r="L93" s="1">
        <f t="shared" ref="L93:L97" si="34">+D93-H93</f>
        <v>-828.22</v>
      </c>
      <c r="M93" s="1"/>
      <c r="N93" s="5">
        <f t="shared" ref="N93:N97" si="35">IF(H93=0,0,L93/H93)</f>
        <v>-0.97437647058823529</v>
      </c>
      <c r="O93" s="13"/>
      <c r="P93" s="1">
        <f>SUM(OSRRefP22_2x_0)</f>
        <v>21025.18</v>
      </c>
      <c r="Q93" s="1"/>
      <c r="R93" s="5">
        <f t="shared" ref="R93:R97" si="36">IF(P$12=0,0,P93/P$12)</f>
        <v>8.5352752701152983E-3</v>
      </c>
      <c r="S93" s="1"/>
      <c r="T93" s="1">
        <f>SUM(OSRRefT22_2x_0)</f>
        <v>9700</v>
      </c>
      <c r="U93" s="1"/>
      <c r="V93" s="5">
        <f t="shared" ref="V93:V97" si="37">IF(T$12=0,0,T93/T$12)</f>
        <v>3.543045077924471E-3</v>
      </c>
      <c r="W93" s="1"/>
      <c r="X93" s="1">
        <f t="shared" ref="X93:X97" si="38">+P93-T93</f>
        <v>11325.18</v>
      </c>
      <c r="Y93" s="1"/>
      <c r="Z93" s="5">
        <f t="shared" ref="Z93:Z97" si="39">IF(T93=0,0,X93/T93)</f>
        <v>1.1675443298969073</v>
      </c>
    </row>
    <row r="94" spans="1:26" s="24" customFormat="1" hidden="1" outlineLevel="2" x14ac:dyDescent="0.25">
      <c r="A94" s="25"/>
      <c r="B94" s="11" t="str">
        <f>CONCATENATE("          ", "6362", " - ", "ADVERTISING EXPENSE")</f>
        <v xml:space="preserve">          6362 - ADVERTISING EXPENSE</v>
      </c>
      <c r="C94" s="11"/>
      <c r="D94" s="6">
        <v>21.78</v>
      </c>
      <c r="E94" s="2"/>
      <c r="F94" s="7">
        <f t="shared" si="32"/>
        <v>1.6152250609955115E-4</v>
      </c>
      <c r="G94" s="2"/>
      <c r="H94" s="6">
        <v>850</v>
      </c>
      <c r="I94" s="2"/>
      <c r="J94" s="7">
        <f t="shared" si="33"/>
        <v>2.1550063567840026E-3</v>
      </c>
      <c r="K94" s="2"/>
      <c r="L94" s="6">
        <f t="shared" si="34"/>
        <v>-828.22</v>
      </c>
      <c r="M94" s="2"/>
      <c r="N94" s="7">
        <f t="shared" si="35"/>
        <v>-0.97437647058823529</v>
      </c>
      <c r="O94" s="11"/>
      <c r="P94" s="6">
        <v>21025.18</v>
      </c>
      <c r="Q94" s="2"/>
      <c r="R94" s="7">
        <f t="shared" si="36"/>
        <v>8.5352752701152983E-3</v>
      </c>
      <c r="S94" s="2"/>
      <c r="T94" s="6">
        <v>9700</v>
      </c>
      <c r="U94" s="2"/>
      <c r="V94" s="7">
        <f t="shared" si="37"/>
        <v>3.543045077924471E-3</v>
      </c>
      <c r="W94" s="2"/>
      <c r="X94" s="6">
        <f t="shared" si="38"/>
        <v>11325.18</v>
      </c>
      <c r="Y94" s="2"/>
      <c r="Z94" s="7">
        <f t="shared" si="39"/>
        <v>1.1675443298969073</v>
      </c>
    </row>
    <row r="95" spans="1:26" s="27" customFormat="1" outlineLevel="1" collapsed="1" x14ac:dyDescent="0.25">
      <c r="A95" s="26"/>
      <c r="B95" s="13" t="str">
        <f>CONCATENATE("     ","Bad Debts/Over/Short                              ")</f>
        <v xml:space="preserve">     Bad Debts/Over/Short                              </v>
      </c>
      <c r="C95" s="13"/>
      <c r="D95" s="1">
        <f>SUM(OSRRefD22_3x_0)</f>
        <v>-0.03</v>
      </c>
      <c r="E95" s="1"/>
      <c r="F95" s="5">
        <f t="shared" si="32"/>
        <v>-2.2248279077073158E-7</v>
      </c>
      <c r="G95" s="1"/>
      <c r="H95" s="1">
        <f>SUM(OSRRefH22_3x_0)</f>
        <v>10</v>
      </c>
      <c r="I95" s="1"/>
      <c r="J95" s="5">
        <f t="shared" si="33"/>
        <v>2.5353015962164739E-5</v>
      </c>
      <c r="K95" s="1"/>
      <c r="L95" s="1">
        <f t="shared" si="34"/>
        <v>-10.029999999999999</v>
      </c>
      <c r="M95" s="1"/>
      <c r="N95" s="5">
        <f t="shared" si="35"/>
        <v>-1.0029999999999999</v>
      </c>
      <c r="O95" s="13"/>
      <c r="P95" s="1">
        <f>SUM(OSRRefP22_3x_0)</f>
        <v>44.45</v>
      </c>
      <c r="Q95" s="1"/>
      <c r="R95" s="5">
        <f t="shared" si="36"/>
        <v>1.8044696205056274E-5</v>
      </c>
      <c r="S95" s="1"/>
      <c r="T95" s="1">
        <f>SUM(OSRRefT22_3x_0)</f>
        <v>90</v>
      </c>
      <c r="U95" s="1"/>
      <c r="V95" s="5">
        <f t="shared" si="37"/>
        <v>3.2873614125072412E-5</v>
      </c>
      <c r="W95" s="1"/>
      <c r="X95" s="1">
        <f t="shared" si="38"/>
        <v>-45.55</v>
      </c>
      <c r="Y95" s="1"/>
      <c r="Z95" s="5">
        <f t="shared" si="39"/>
        <v>-0.50611111111111107</v>
      </c>
    </row>
    <row r="96" spans="1:26" s="24" customFormat="1" hidden="1" outlineLevel="2" x14ac:dyDescent="0.25">
      <c r="A96" s="25"/>
      <c r="B96" s="11" t="str">
        <f>CONCATENATE("          ", "6272", " - ", "CASH (OVER/SHORT)")</f>
        <v xml:space="preserve">          6272 - CASH (OVER/SHORT)</v>
      </c>
      <c r="C96" s="11"/>
      <c r="D96" s="6">
        <v>-0.03</v>
      </c>
      <c r="E96" s="2"/>
      <c r="F96" s="7">
        <f t="shared" si="32"/>
        <v>-2.2248279077073158E-7</v>
      </c>
      <c r="G96" s="2"/>
      <c r="H96" s="6"/>
      <c r="I96" s="2"/>
      <c r="J96" s="7">
        <f t="shared" si="33"/>
        <v>0</v>
      </c>
      <c r="K96" s="2"/>
      <c r="L96" s="6">
        <f t="shared" si="34"/>
        <v>-0.03</v>
      </c>
      <c r="M96" s="2"/>
      <c r="N96" s="7">
        <f t="shared" si="35"/>
        <v>0</v>
      </c>
      <c r="O96" s="11"/>
      <c r="P96" s="6">
        <v>44.45</v>
      </c>
      <c r="Q96" s="2"/>
      <c r="R96" s="7">
        <f t="shared" si="36"/>
        <v>1.8044696205056274E-5</v>
      </c>
      <c r="S96" s="2"/>
      <c r="T96" s="6"/>
      <c r="U96" s="2"/>
      <c r="V96" s="7">
        <f t="shared" si="37"/>
        <v>0</v>
      </c>
      <c r="W96" s="2"/>
      <c r="X96" s="6">
        <f t="shared" si="38"/>
        <v>44.45</v>
      </c>
      <c r="Y96" s="2"/>
      <c r="Z96" s="7">
        <f t="shared" si="39"/>
        <v>0</v>
      </c>
    </row>
    <row r="97" spans="1:26" s="24" customFormat="1" hidden="1" outlineLevel="2" x14ac:dyDescent="0.25">
      <c r="A97" s="25"/>
      <c r="B97" s="11" t="str">
        <f>CONCATENATE("          ", "6342", " - ", "BAD DEBT")</f>
        <v xml:space="preserve">          6342 - BAD DEBT</v>
      </c>
      <c r="C97" s="11"/>
      <c r="D97" s="6"/>
      <c r="E97" s="2"/>
      <c r="F97" s="7">
        <f t="shared" si="32"/>
        <v>0</v>
      </c>
      <c r="G97" s="2"/>
      <c r="H97" s="6">
        <v>10</v>
      </c>
      <c r="I97" s="2"/>
      <c r="J97" s="7">
        <f t="shared" si="33"/>
        <v>2.5353015962164739E-5</v>
      </c>
      <c r="K97" s="2"/>
      <c r="L97" s="6">
        <f t="shared" si="34"/>
        <v>-10</v>
      </c>
      <c r="M97" s="2"/>
      <c r="N97" s="7">
        <f t="shared" si="35"/>
        <v>-1</v>
      </c>
      <c r="O97" s="11"/>
      <c r="P97" s="6"/>
      <c r="Q97" s="2"/>
      <c r="R97" s="7">
        <f t="shared" si="36"/>
        <v>0</v>
      </c>
      <c r="S97" s="2"/>
      <c r="T97" s="6">
        <v>90</v>
      </c>
      <c r="U97" s="2"/>
      <c r="V97" s="7">
        <f t="shared" si="37"/>
        <v>3.2873614125072412E-5</v>
      </c>
      <c r="W97" s="2"/>
      <c r="X97" s="6">
        <f t="shared" si="38"/>
        <v>-90</v>
      </c>
      <c r="Y97" s="2"/>
      <c r="Z97" s="7">
        <f t="shared" si="39"/>
        <v>-1</v>
      </c>
    </row>
    <row r="98" spans="1:26" s="27" customFormat="1" outlineLevel="1" collapsed="1" x14ac:dyDescent="0.25">
      <c r="A98" s="26"/>
      <c r="B98" s="13" t="str">
        <f>CONCATENATE("     ","Bank/card Fees                                    ")</f>
        <v xml:space="preserve">     Bank/card Fees                                    </v>
      </c>
      <c r="C98" s="13"/>
      <c r="D98" s="1">
        <f>SUM(OSRRefD22_4x_0)</f>
        <v>347.43</v>
      </c>
      <c r="E98" s="1"/>
      <c r="F98" s="5">
        <f t="shared" ref="F98:F102" si="40">IF(D$12=0,0,D98/D$12)</f>
        <v>2.5765731999158425E-3</v>
      </c>
      <c r="G98" s="1"/>
      <c r="H98" s="1">
        <f>SUM(OSRRefH22_4x_0)</f>
        <v>700</v>
      </c>
      <c r="I98" s="1"/>
      <c r="J98" s="5">
        <f t="shared" ref="J98:J102" si="41">IF(H$12=0,0,H98/H$12)</f>
        <v>1.7747111173515317E-3</v>
      </c>
      <c r="K98" s="1"/>
      <c r="L98" s="1">
        <f t="shared" ref="L98:L102" si="42">+D98-H98</f>
        <v>-352.57</v>
      </c>
      <c r="M98" s="1"/>
      <c r="N98" s="5">
        <f t="shared" ref="N98:N102" si="43">IF(H98=0,0,L98/H98)</f>
        <v>-0.50367142857142855</v>
      </c>
      <c r="O98" s="13"/>
      <c r="P98" s="1">
        <f>SUM(OSRRefP22_4x_0)</f>
        <v>6147.88</v>
      </c>
      <c r="Q98" s="1"/>
      <c r="R98" s="5">
        <f t="shared" ref="R98:R102" si="44">IF(P$12=0,0,P98/P$12)</f>
        <v>2.4957621350987932E-3</v>
      </c>
      <c r="S98" s="1"/>
      <c r="T98" s="1">
        <f>SUM(OSRRefT22_4x_0)</f>
        <v>6285</v>
      </c>
      <c r="U98" s="1"/>
      <c r="V98" s="5">
        <f t="shared" ref="V98:V102" si="45">IF(T$12=0,0,T98/T$12)</f>
        <v>2.2956740530675566E-3</v>
      </c>
      <c r="W98" s="1"/>
      <c r="X98" s="1">
        <f t="shared" ref="X98:X102" si="46">+P98-T98</f>
        <v>-137.11999999999989</v>
      </c>
      <c r="Y98" s="1"/>
      <c r="Z98" s="5">
        <f t="shared" ref="Z98:Z102" si="47">IF(T98=0,0,X98/T98)</f>
        <v>-2.1817024661893381E-2</v>
      </c>
    </row>
    <row r="99" spans="1:26" s="24" customFormat="1" hidden="1" outlineLevel="2" x14ac:dyDescent="0.25">
      <c r="A99" s="25"/>
      <c r="B99" s="11" t="str">
        <f>CONCATENATE("          ", "6381", " - ", "BANK/CREDIT CARD FEES")</f>
        <v xml:space="preserve">          6381 - BANK/CREDIT CARD FEES</v>
      </c>
      <c r="C99" s="11"/>
      <c r="D99" s="6">
        <v>347.43</v>
      </c>
      <c r="E99" s="2"/>
      <c r="F99" s="7">
        <f t="shared" si="40"/>
        <v>2.5765731999158425E-3</v>
      </c>
      <c r="G99" s="2"/>
      <c r="H99" s="6">
        <v>700</v>
      </c>
      <c r="I99" s="2"/>
      <c r="J99" s="7">
        <f t="shared" si="41"/>
        <v>1.7747111173515317E-3</v>
      </c>
      <c r="K99" s="2"/>
      <c r="L99" s="6">
        <f t="shared" si="42"/>
        <v>-352.57</v>
      </c>
      <c r="M99" s="2"/>
      <c r="N99" s="7">
        <f t="shared" si="43"/>
        <v>-0.50367142857142855</v>
      </c>
      <c r="O99" s="11"/>
      <c r="P99" s="6">
        <v>6147.88</v>
      </c>
      <c r="Q99" s="2"/>
      <c r="R99" s="7">
        <f t="shared" si="44"/>
        <v>2.4957621350987932E-3</v>
      </c>
      <c r="S99" s="2"/>
      <c r="T99" s="6">
        <v>6285</v>
      </c>
      <c r="U99" s="2"/>
      <c r="V99" s="7">
        <f t="shared" si="45"/>
        <v>2.2956740530675566E-3</v>
      </c>
      <c r="W99" s="2"/>
      <c r="X99" s="6">
        <f t="shared" si="46"/>
        <v>-137.11999999999989</v>
      </c>
      <c r="Y99" s="2"/>
      <c r="Z99" s="7">
        <f t="shared" si="47"/>
        <v>-2.1817024661893381E-2</v>
      </c>
    </row>
    <row r="100" spans="1:26" s="27" customFormat="1" outlineLevel="1" collapsed="1" x14ac:dyDescent="0.25">
      <c r="A100" s="26"/>
      <c r="B100" s="13" t="str">
        <f>CONCATENATE("     ","Discounts and Markdowns                           ")</f>
        <v xml:space="preserve">     Discounts and Markdowns                           </v>
      </c>
      <c r="C100" s="13"/>
      <c r="D100" s="1">
        <f>SUM(OSRRefD22_5x_0)</f>
        <v>12131.29</v>
      </c>
      <c r="E100" s="1"/>
      <c r="F100" s="5">
        <f t="shared" si="40"/>
        <v>8.996677516163562E-2</v>
      </c>
      <c r="G100" s="1"/>
      <c r="H100" s="1">
        <f>SUM(OSRRefH22_5x_0)</f>
        <v>26000</v>
      </c>
      <c r="I100" s="1"/>
      <c r="J100" s="5">
        <f t="shared" si="41"/>
        <v>6.5917841501628313E-2</v>
      </c>
      <c r="K100" s="1"/>
      <c r="L100" s="1">
        <f t="shared" si="42"/>
        <v>-13868.71</v>
      </c>
      <c r="M100" s="1"/>
      <c r="N100" s="5">
        <f t="shared" si="43"/>
        <v>-0.53341192307692309</v>
      </c>
      <c r="O100" s="13"/>
      <c r="P100" s="1">
        <f>SUM(OSRRefP22_5x_0)</f>
        <v>254863.13999999998</v>
      </c>
      <c r="Q100" s="1"/>
      <c r="R100" s="5">
        <f t="shared" si="44"/>
        <v>0.10346294567304219</v>
      </c>
      <c r="S100" s="1"/>
      <c r="T100" s="1">
        <f>SUM(OSRRefT22_5x_0)</f>
        <v>239000</v>
      </c>
      <c r="U100" s="1"/>
      <c r="V100" s="5">
        <f t="shared" si="45"/>
        <v>8.7297708621025621E-2</v>
      </c>
      <c r="W100" s="1"/>
      <c r="X100" s="1">
        <f t="shared" si="46"/>
        <v>15863.139999999985</v>
      </c>
      <c r="Y100" s="1"/>
      <c r="Z100" s="5">
        <f t="shared" si="47"/>
        <v>6.6372970711297011E-2</v>
      </c>
    </row>
    <row r="101" spans="1:26" s="24" customFormat="1" hidden="1" outlineLevel="2" x14ac:dyDescent="0.25">
      <c r="A101" s="25"/>
      <c r="B101" s="11" t="str">
        <f>CONCATENATE("          ", "6382", " - ", "DISCOUNTS/MARK DOWNS")</f>
        <v xml:space="preserve">          6382 - DISCOUNTS/MARK DOWNS</v>
      </c>
      <c r="C101" s="11"/>
      <c r="D101" s="6">
        <v>12131.29</v>
      </c>
      <c r="E101" s="2"/>
      <c r="F101" s="7">
        <f t="shared" si="40"/>
        <v>8.996677516163562E-2</v>
      </c>
      <c r="G101" s="2"/>
      <c r="H101" s="6">
        <v>26000</v>
      </c>
      <c r="I101" s="2"/>
      <c r="J101" s="7">
        <f t="shared" si="41"/>
        <v>6.5917841501628313E-2</v>
      </c>
      <c r="K101" s="2"/>
      <c r="L101" s="6">
        <f t="shared" si="42"/>
        <v>-13868.71</v>
      </c>
      <c r="M101" s="2"/>
      <c r="N101" s="7">
        <f t="shared" si="43"/>
        <v>-0.53341192307692309</v>
      </c>
      <c r="O101" s="11"/>
      <c r="P101" s="6">
        <v>254882.53</v>
      </c>
      <c r="Q101" s="2"/>
      <c r="R101" s="7">
        <f t="shared" si="44"/>
        <v>0.10347081713894582</v>
      </c>
      <c r="S101" s="2"/>
      <c r="T101" s="6">
        <v>239000</v>
      </c>
      <c r="U101" s="2"/>
      <c r="V101" s="7">
        <f t="shared" si="45"/>
        <v>8.7297708621025621E-2</v>
      </c>
      <c r="W101" s="2"/>
      <c r="X101" s="6">
        <f t="shared" si="46"/>
        <v>15882.529999999999</v>
      </c>
      <c r="Y101" s="2"/>
      <c r="Z101" s="7">
        <f t="shared" si="47"/>
        <v>6.6454100418410031E-2</v>
      </c>
    </row>
    <row r="102" spans="1:26" s="24" customFormat="1" hidden="1" outlineLevel="2" x14ac:dyDescent="0.25">
      <c r="A102" s="25"/>
      <c r="B102" s="11" t="str">
        <f>CONCATENATE("          ", "9175", " - ", "EARNED DISCOUNTS")</f>
        <v xml:space="preserve">          9175 - EARNED DISCOUNTS</v>
      </c>
      <c r="C102" s="11"/>
      <c r="D102" s="6"/>
      <c r="E102" s="2"/>
      <c r="F102" s="7">
        <f t="shared" si="40"/>
        <v>0</v>
      </c>
      <c r="G102" s="2"/>
      <c r="H102" s="6"/>
      <c r="I102" s="2"/>
      <c r="J102" s="7">
        <f t="shared" si="41"/>
        <v>0</v>
      </c>
      <c r="K102" s="2"/>
      <c r="L102" s="6">
        <f t="shared" si="42"/>
        <v>0</v>
      </c>
      <c r="M102" s="2"/>
      <c r="N102" s="7">
        <f t="shared" si="43"/>
        <v>0</v>
      </c>
      <c r="O102" s="11"/>
      <c r="P102" s="6">
        <v>-19.39</v>
      </c>
      <c r="Q102" s="2"/>
      <c r="R102" s="7">
        <f t="shared" si="44"/>
        <v>-7.8714659036229729E-6</v>
      </c>
      <c r="S102" s="2"/>
      <c r="T102" s="6"/>
      <c r="U102" s="2"/>
      <c r="V102" s="7">
        <f t="shared" si="45"/>
        <v>0</v>
      </c>
      <c r="W102" s="2"/>
      <c r="X102" s="6">
        <f t="shared" si="46"/>
        <v>-19.39</v>
      </c>
      <c r="Y102" s="2"/>
      <c r="Z102" s="7">
        <f t="shared" si="47"/>
        <v>0</v>
      </c>
    </row>
    <row r="103" spans="1:26" s="27" customFormat="1" outlineLevel="1" collapsed="1" x14ac:dyDescent="0.25">
      <c r="A103" s="26"/>
      <c r="B103" s="13" t="str">
        <f>CONCATENATE("     ","Donations                                         ")</f>
        <v xml:space="preserve">     Donations                                         </v>
      </c>
      <c r="C103" s="13"/>
      <c r="D103" s="1">
        <f>SUM(OSRRefD22_6x_0)</f>
        <v>0</v>
      </c>
      <c r="E103" s="1"/>
      <c r="F103" s="5">
        <f t="shared" ref="F103:F109" si="48">IF(D$12=0,0,D103/D$12)</f>
        <v>0</v>
      </c>
      <c r="G103" s="1"/>
      <c r="H103" s="1">
        <f>SUM(OSRRefH22_6x_0)</f>
        <v>25</v>
      </c>
      <c r="I103" s="1"/>
      <c r="J103" s="5">
        <f t="shared" ref="J103:J109" si="49">IF(H$12=0,0,H103/H$12)</f>
        <v>6.3382539905411852E-5</v>
      </c>
      <c r="K103" s="1"/>
      <c r="L103" s="1">
        <f t="shared" ref="L103:L109" si="50">+D103-H103</f>
        <v>-25</v>
      </c>
      <c r="M103" s="1"/>
      <c r="N103" s="5">
        <f t="shared" ref="N103:N109" si="51">IF(H103=0,0,L103/H103)</f>
        <v>-1</v>
      </c>
      <c r="O103" s="13"/>
      <c r="P103" s="1">
        <f>SUM(OSRRefP22_6x_0)</f>
        <v>0</v>
      </c>
      <c r="Q103" s="1"/>
      <c r="R103" s="5">
        <f t="shared" ref="R103:R109" si="52">IF(P$12=0,0,P103/P$12)</f>
        <v>0</v>
      </c>
      <c r="S103" s="1"/>
      <c r="T103" s="1">
        <f>SUM(OSRRefT22_6x_0)</f>
        <v>300</v>
      </c>
      <c r="U103" s="1"/>
      <c r="V103" s="5">
        <f t="shared" ref="V103:V109" si="53">IF(T$12=0,0,T103/T$12)</f>
        <v>1.0957871375024136E-4</v>
      </c>
      <c r="W103" s="1"/>
      <c r="X103" s="1">
        <f t="shared" ref="X103:X109" si="54">+P103-T103</f>
        <v>-300</v>
      </c>
      <c r="Y103" s="1"/>
      <c r="Z103" s="5">
        <f t="shared" ref="Z103:Z109" si="55">IF(T103=0,0,X103/T103)</f>
        <v>-1</v>
      </c>
    </row>
    <row r="104" spans="1:26" s="24" customFormat="1" hidden="1" outlineLevel="2" x14ac:dyDescent="0.25">
      <c r="A104" s="25"/>
      <c r="B104" s="11" t="str">
        <f>CONCATENATE("          ", "6395", " - ", "DONATION-OFF CAMPUS")</f>
        <v xml:space="preserve">          6395 - DONATION-OFF CAMPUS</v>
      </c>
      <c r="C104" s="11"/>
      <c r="D104" s="6"/>
      <c r="E104" s="2"/>
      <c r="F104" s="7">
        <f t="shared" si="48"/>
        <v>0</v>
      </c>
      <c r="G104" s="2"/>
      <c r="H104" s="6">
        <v>25</v>
      </c>
      <c r="I104" s="2"/>
      <c r="J104" s="7">
        <f t="shared" si="49"/>
        <v>6.3382539905411852E-5</v>
      </c>
      <c r="K104" s="2"/>
      <c r="L104" s="6">
        <f t="shared" si="50"/>
        <v>-25</v>
      </c>
      <c r="M104" s="2"/>
      <c r="N104" s="7">
        <f t="shared" si="51"/>
        <v>-1</v>
      </c>
      <c r="O104" s="11"/>
      <c r="P104" s="6"/>
      <c r="Q104" s="2"/>
      <c r="R104" s="7">
        <f t="shared" si="52"/>
        <v>0</v>
      </c>
      <c r="S104" s="2"/>
      <c r="T104" s="6">
        <v>300</v>
      </c>
      <c r="U104" s="2"/>
      <c r="V104" s="7">
        <f t="shared" si="53"/>
        <v>1.0957871375024136E-4</v>
      </c>
      <c r="W104" s="2"/>
      <c r="X104" s="6">
        <f t="shared" si="54"/>
        <v>-300</v>
      </c>
      <c r="Y104" s="2"/>
      <c r="Z104" s="7">
        <f t="shared" si="55"/>
        <v>-1</v>
      </c>
    </row>
    <row r="105" spans="1:26" s="27" customFormat="1" outlineLevel="1" collapsed="1" x14ac:dyDescent="0.25">
      <c r="A105" s="26"/>
      <c r="B105" s="13" t="str">
        <f>CONCATENATE("     ","Employees' Appreciation                           ")</f>
        <v xml:space="preserve">     Employees' Appreciation                           </v>
      </c>
      <c r="C105" s="13"/>
      <c r="D105" s="1">
        <f>SUM(OSRRefD22_7x_0)</f>
        <v>0</v>
      </c>
      <c r="E105" s="1"/>
      <c r="F105" s="5">
        <f t="shared" si="48"/>
        <v>0</v>
      </c>
      <c r="G105" s="1"/>
      <c r="H105" s="1">
        <f>SUM(OSRRefH22_7x_0)</f>
        <v>200</v>
      </c>
      <c r="I105" s="1"/>
      <c r="J105" s="5">
        <f t="shared" si="49"/>
        <v>5.0706031924329482E-4</v>
      </c>
      <c r="K105" s="1"/>
      <c r="L105" s="1">
        <f t="shared" si="50"/>
        <v>-200</v>
      </c>
      <c r="M105" s="1"/>
      <c r="N105" s="5">
        <f t="shared" si="51"/>
        <v>-1</v>
      </c>
      <c r="O105" s="13"/>
      <c r="P105" s="1">
        <f>SUM(OSRRefP22_7x_0)</f>
        <v>376.37</v>
      </c>
      <c r="Q105" s="1"/>
      <c r="R105" s="5">
        <f t="shared" si="52"/>
        <v>1.5278925333401641E-4</v>
      </c>
      <c r="S105" s="1"/>
      <c r="T105" s="1">
        <f>SUM(OSRRefT22_7x_0)</f>
        <v>1975</v>
      </c>
      <c r="U105" s="1"/>
      <c r="V105" s="5">
        <f t="shared" si="53"/>
        <v>7.2139319885575562E-4</v>
      </c>
      <c r="W105" s="1"/>
      <c r="X105" s="1">
        <f t="shared" si="54"/>
        <v>-1598.63</v>
      </c>
      <c r="Y105" s="1"/>
      <c r="Z105" s="5">
        <f t="shared" si="55"/>
        <v>-0.80943291139240514</v>
      </c>
    </row>
    <row r="106" spans="1:26" s="24" customFormat="1" hidden="1" outlineLevel="2" x14ac:dyDescent="0.25">
      <c r="A106" s="25"/>
      <c r="B106" s="11" t="str">
        <f>CONCATENATE("          ", "6277", " - ", "EMPLOYEE APPRECIATION")</f>
        <v xml:space="preserve">          6277 - EMPLOYEE APPRECIATION</v>
      </c>
      <c r="C106" s="11"/>
      <c r="D106" s="6"/>
      <c r="E106" s="2"/>
      <c r="F106" s="7">
        <f t="shared" si="48"/>
        <v>0</v>
      </c>
      <c r="G106" s="2"/>
      <c r="H106" s="6">
        <v>200</v>
      </c>
      <c r="I106" s="2"/>
      <c r="J106" s="7">
        <f t="shared" si="49"/>
        <v>5.0706031924329482E-4</v>
      </c>
      <c r="K106" s="2"/>
      <c r="L106" s="6">
        <f t="shared" si="50"/>
        <v>-200</v>
      </c>
      <c r="M106" s="2"/>
      <c r="N106" s="7">
        <f t="shared" si="51"/>
        <v>-1</v>
      </c>
      <c r="O106" s="11"/>
      <c r="P106" s="6">
        <v>376.37</v>
      </c>
      <c r="Q106" s="2"/>
      <c r="R106" s="7">
        <f t="shared" si="52"/>
        <v>1.5278925333401641E-4</v>
      </c>
      <c r="S106" s="2"/>
      <c r="T106" s="6">
        <v>1975</v>
      </c>
      <c r="U106" s="2"/>
      <c r="V106" s="7">
        <f t="shared" si="53"/>
        <v>7.2139319885575562E-4</v>
      </c>
      <c r="W106" s="2"/>
      <c r="X106" s="6">
        <f t="shared" si="54"/>
        <v>-1598.63</v>
      </c>
      <c r="Y106" s="2"/>
      <c r="Z106" s="7">
        <f t="shared" si="55"/>
        <v>-0.80943291139240514</v>
      </c>
    </row>
    <row r="107" spans="1:26" s="27" customFormat="1" outlineLevel="1" collapsed="1" x14ac:dyDescent="0.25">
      <c r="A107" s="26"/>
      <c r="B107" s="13" t="str">
        <f>CONCATENATE("     ","Freight out/Postage                               ")</f>
        <v xml:space="preserve">     Freight out/Postage                               </v>
      </c>
      <c r="C107" s="13"/>
      <c r="D107" s="1">
        <f>SUM(OSRRefD22_8x_0)</f>
        <v>0</v>
      </c>
      <c r="E107" s="1"/>
      <c r="F107" s="5">
        <f t="shared" si="48"/>
        <v>0</v>
      </c>
      <c r="G107" s="1"/>
      <c r="H107" s="1">
        <f>SUM(OSRRefH22_8x_0)</f>
        <v>50</v>
      </c>
      <c r="I107" s="1"/>
      <c r="J107" s="5">
        <f t="shared" si="49"/>
        <v>1.267650798108237E-4</v>
      </c>
      <c r="K107" s="1"/>
      <c r="L107" s="1">
        <f t="shared" si="50"/>
        <v>-50</v>
      </c>
      <c r="M107" s="1"/>
      <c r="N107" s="5">
        <f t="shared" si="51"/>
        <v>-1</v>
      </c>
      <c r="O107" s="13"/>
      <c r="P107" s="1">
        <f>SUM(OSRRefP22_8x_0)</f>
        <v>81.180000000000007</v>
      </c>
      <c r="Q107" s="1"/>
      <c r="R107" s="5">
        <f t="shared" si="52"/>
        <v>3.2955420425792317E-5</v>
      </c>
      <c r="S107" s="1"/>
      <c r="T107" s="1">
        <f>SUM(OSRRefT22_8x_0)</f>
        <v>450</v>
      </c>
      <c r="U107" s="1"/>
      <c r="V107" s="5">
        <f t="shared" si="53"/>
        <v>1.6436807062536205E-4</v>
      </c>
      <c r="W107" s="1"/>
      <c r="X107" s="1">
        <f t="shared" si="54"/>
        <v>-368.82</v>
      </c>
      <c r="Y107" s="1"/>
      <c r="Z107" s="5">
        <f t="shared" si="55"/>
        <v>-0.8196</v>
      </c>
    </row>
    <row r="108" spans="1:26" s="24" customFormat="1" hidden="1" outlineLevel="2" x14ac:dyDescent="0.25">
      <c r="A108" s="25"/>
      <c r="B108" s="11" t="str">
        <f>CONCATENATE("          ", "6305", " - ", "FREIGHT OUT")</f>
        <v xml:space="preserve">          6305 - FREIGHT OUT</v>
      </c>
      <c r="C108" s="11"/>
      <c r="D108" s="6"/>
      <c r="E108" s="2"/>
      <c r="F108" s="7">
        <f t="shared" si="48"/>
        <v>0</v>
      </c>
      <c r="G108" s="2"/>
      <c r="H108" s="6">
        <v>50</v>
      </c>
      <c r="I108" s="2"/>
      <c r="J108" s="7">
        <f t="shared" si="49"/>
        <v>1.267650798108237E-4</v>
      </c>
      <c r="K108" s="2"/>
      <c r="L108" s="6">
        <f t="shared" si="50"/>
        <v>-50</v>
      </c>
      <c r="M108" s="2"/>
      <c r="N108" s="7">
        <f t="shared" si="51"/>
        <v>-1</v>
      </c>
      <c r="O108" s="11"/>
      <c r="P108" s="6">
        <v>80.680000000000007</v>
      </c>
      <c r="Q108" s="2"/>
      <c r="R108" s="7">
        <f t="shared" si="52"/>
        <v>3.2752442965667945E-5</v>
      </c>
      <c r="S108" s="2"/>
      <c r="T108" s="6">
        <v>450</v>
      </c>
      <c r="U108" s="2"/>
      <c r="V108" s="7">
        <f t="shared" si="53"/>
        <v>1.6436807062536205E-4</v>
      </c>
      <c r="W108" s="2"/>
      <c r="X108" s="6">
        <f t="shared" si="54"/>
        <v>-369.32</v>
      </c>
      <c r="Y108" s="2"/>
      <c r="Z108" s="7">
        <f t="shared" si="55"/>
        <v>-0.82071111111111106</v>
      </c>
    </row>
    <row r="109" spans="1:26" s="24" customFormat="1" hidden="1" outlineLevel="2" x14ac:dyDescent="0.25">
      <c r="A109" s="25"/>
      <c r="B109" s="11" t="str">
        <f>CONCATENATE("          ", "6307", " - ", "POSTAGE")</f>
        <v xml:space="preserve">          6307 - POSTAGE</v>
      </c>
      <c r="C109" s="11"/>
      <c r="D109" s="6"/>
      <c r="E109" s="2"/>
      <c r="F109" s="7">
        <f t="shared" si="48"/>
        <v>0</v>
      </c>
      <c r="G109" s="2"/>
      <c r="H109" s="6"/>
      <c r="I109" s="2"/>
      <c r="J109" s="7">
        <f t="shared" si="49"/>
        <v>0</v>
      </c>
      <c r="K109" s="2"/>
      <c r="L109" s="6">
        <f t="shared" si="50"/>
        <v>0</v>
      </c>
      <c r="M109" s="2"/>
      <c r="N109" s="7">
        <f t="shared" si="51"/>
        <v>0</v>
      </c>
      <c r="O109" s="11"/>
      <c r="P109" s="6">
        <v>0.5</v>
      </c>
      <c r="Q109" s="2"/>
      <c r="R109" s="7">
        <f t="shared" si="52"/>
        <v>2.0297746012436752E-7</v>
      </c>
      <c r="S109" s="2"/>
      <c r="T109" s="6"/>
      <c r="U109" s="2"/>
      <c r="V109" s="7">
        <f t="shared" si="53"/>
        <v>0</v>
      </c>
      <c r="W109" s="2"/>
      <c r="X109" s="6">
        <f t="shared" si="54"/>
        <v>0.5</v>
      </c>
      <c r="Y109" s="2"/>
      <c r="Z109" s="7">
        <f t="shared" si="55"/>
        <v>0</v>
      </c>
    </row>
    <row r="110" spans="1:26" s="27" customFormat="1" outlineLevel="1" collapsed="1" x14ac:dyDescent="0.25">
      <c r="A110" s="26"/>
      <c r="B110" s="13" t="str">
        <f>CONCATENATE("     ","General                                           ")</f>
        <v xml:space="preserve">     General                                           </v>
      </c>
      <c r="C110" s="13"/>
      <c r="D110" s="1">
        <f>SUM(OSRRefD22_9x_0)</f>
        <v>0</v>
      </c>
      <c r="E110" s="1"/>
      <c r="F110" s="5">
        <f t="shared" ref="F110:F122" si="56">IF(D$12=0,0,D110/D$12)</f>
        <v>0</v>
      </c>
      <c r="G110" s="1"/>
      <c r="H110" s="1">
        <f>SUM(OSRRefH22_9x_0)</f>
        <v>0</v>
      </c>
      <c r="I110" s="1"/>
      <c r="J110" s="5">
        <f t="shared" ref="J110:J122" si="57">IF(H$12=0,0,H110/H$12)</f>
        <v>0</v>
      </c>
      <c r="K110" s="1"/>
      <c r="L110" s="1">
        <f t="shared" ref="L110:L122" si="58">+D110-H110</f>
        <v>0</v>
      </c>
      <c r="M110" s="1"/>
      <c r="N110" s="5">
        <f t="shared" ref="N110:N122" si="59">IF(H110=0,0,L110/H110)</f>
        <v>0</v>
      </c>
      <c r="O110" s="13"/>
      <c r="P110" s="1">
        <f>SUM(OSRRefP22_9x_0)</f>
        <v>1271.44</v>
      </c>
      <c r="Q110" s="1"/>
      <c r="R110" s="5">
        <f t="shared" ref="R110:R122" si="60">IF(P$12=0,0,P110/P$12)</f>
        <v>5.1614732380105173E-4</v>
      </c>
      <c r="S110" s="1"/>
      <c r="T110" s="1">
        <f>SUM(OSRRefT22_9x_0)</f>
        <v>1865</v>
      </c>
      <c r="U110" s="1"/>
      <c r="V110" s="5">
        <f t="shared" ref="V110:V122" si="61">IF(T$12=0,0,T110/T$12)</f>
        <v>6.8121433714733379E-4</v>
      </c>
      <c r="W110" s="1"/>
      <c r="X110" s="1">
        <f t="shared" ref="X110:X122" si="62">+P110-T110</f>
        <v>-593.55999999999995</v>
      </c>
      <c r="Y110" s="1"/>
      <c r="Z110" s="5">
        <f t="shared" ref="Z110:Z122" si="63">IF(T110=0,0,X110/T110)</f>
        <v>-0.31826273458445037</v>
      </c>
    </row>
    <row r="111" spans="1:26" s="24" customFormat="1" hidden="1" outlineLevel="2" x14ac:dyDescent="0.25">
      <c r="A111" s="25"/>
      <c r="B111" s="11" t="str">
        <f>CONCATENATE("          ", "6279", " - ", "GENERAL EXPENSE")</f>
        <v xml:space="preserve">          6279 - GENERAL EXPENSE</v>
      </c>
      <c r="C111" s="11"/>
      <c r="D111" s="6"/>
      <c r="E111" s="2"/>
      <c r="F111" s="7">
        <f t="shared" si="56"/>
        <v>0</v>
      </c>
      <c r="G111" s="2"/>
      <c r="H111" s="6">
        <v>0</v>
      </c>
      <c r="I111" s="2"/>
      <c r="J111" s="7">
        <f t="shared" si="57"/>
        <v>0</v>
      </c>
      <c r="K111" s="2"/>
      <c r="L111" s="6">
        <f t="shared" si="58"/>
        <v>0</v>
      </c>
      <c r="M111" s="2"/>
      <c r="N111" s="7">
        <f t="shared" si="59"/>
        <v>0</v>
      </c>
      <c r="O111" s="11"/>
      <c r="P111" s="6">
        <v>1271.44</v>
      </c>
      <c r="Q111" s="2"/>
      <c r="R111" s="7">
        <f t="shared" si="60"/>
        <v>5.1614732380105173E-4</v>
      </c>
      <c r="S111" s="2"/>
      <c r="T111" s="6">
        <v>1865</v>
      </c>
      <c r="U111" s="2"/>
      <c r="V111" s="7">
        <f t="shared" si="61"/>
        <v>6.8121433714733379E-4</v>
      </c>
      <c r="W111" s="2"/>
      <c r="X111" s="6">
        <f t="shared" si="62"/>
        <v>-593.55999999999995</v>
      </c>
      <c r="Y111" s="2"/>
      <c r="Z111" s="7">
        <f t="shared" si="63"/>
        <v>-0.31826273458445037</v>
      </c>
    </row>
    <row r="112" spans="1:26" s="27" customFormat="1" outlineLevel="1" collapsed="1" x14ac:dyDescent="0.25">
      <c r="A112" s="26"/>
      <c r="B112" s="13" t="str">
        <f>CONCATENATE("     ","Insurance                                         ")</f>
        <v xml:space="preserve">     Insurance                                         </v>
      </c>
      <c r="C112" s="13"/>
      <c r="D112" s="1">
        <f>SUM(OSRRefD22_10x_0)</f>
        <v>161.18</v>
      </c>
      <c r="E112" s="1"/>
      <c r="F112" s="5">
        <f t="shared" si="56"/>
        <v>1.195325873880884E-3</v>
      </c>
      <c r="G112" s="1"/>
      <c r="H112" s="1">
        <f>SUM(OSRRefH22_10x_0)</f>
        <v>155</v>
      </c>
      <c r="I112" s="1"/>
      <c r="J112" s="5">
        <f t="shared" si="57"/>
        <v>3.9297174741355345E-4</v>
      </c>
      <c r="K112" s="1"/>
      <c r="L112" s="1">
        <f t="shared" si="58"/>
        <v>6.1800000000000068</v>
      </c>
      <c r="M112" s="1"/>
      <c r="N112" s="5">
        <f t="shared" si="59"/>
        <v>3.9870967741935527E-2</v>
      </c>
      <c r="O112" s="13"/>
      <c r="P112" s="1">
        <f>SUM(OSRRefP22_10x_0)</f>
        <v>1450.62</v>
      </c>
      <c r="Q112" s="1"/>
      <c r="R112" s="5">
        <f t="shared" si="60"/>
        <v>5.8888632641121994E-4</v>
      </c>
      <c r="S112" s="1"/>
      <c r="T112" s="1">
        <f>SUM(OSRRefT22_10x_0)</f>
        <v>1395</v>
      </c>
      <c r="U112" s="1"/>
      <c r="V112" s="5">
        <f t="shared" si="61"/>
        <v>5.0954101893862234E-4</v>
      </c>
      <c r="W112" s="1"/>
      <c r="X112" s="1">
        <f t="shared" si="62"/>
        <v>55.619999999999891</v>
      </c>
      <c r="Y112" s="1"/>
      <c r="Z112" s="5">
        <f t="shared" si="63"/>
        <v>3.9870967741935402E-2</v>
      </c>
    </row>
    <row r="113" spans="1:26" s="24" customFormat="1" hidden="1" outlineLevel="2" x14ac:dyDescent="0.25">
      <c r="A113" s="25"/>
      <c r="B113" s="11" t="str">
        <f>CONCATENATE("          ", "6314", " - ", "LIABILITY INSURANCE")</f>
        <v xml:space="preserve">          6314 - LIABILITY INSURANCE</v>
      </c>
      <c r="C113" s="11"/>
      <c r="D113" s="6">
        <v>161.18</v>
      </c>
      <c r="E113" s="2"/>
      <c r="F113" s="7">
        <f t="shared" si="56"/>
        <v>1.195325873880884E-3</v>
      </c>
      <c r="G113" s="2"/>
      <c r="H113" s="6">
        <v>155</v>
      </c>
      <c r="I113" s="2"/>
      <c r="J113" s="7">
        <f t="shared" si="57"/>
        <v>3.9297174741355345E-4</v>
      </c>
      <c r="K113" s="2"/>
      <c r="L113" s="6">
        <f t="shared" si="58"/>
        <v>6.1800000000000068</v>
      </c>
      <c r="M113" s="2"/>
      <c r="N113" s="7">
        <f t="shared" si="59"/>
        <v>3.9870967741935527E-2</v>
      </c>
      <c r="O113" s="11"/>
      <c r="P113" s="6">
        <v>1450.62</v>
      </c>
      <c r="Q113" s="2"/>
      <c r="R113" s="7">
        <f t="shared" si="60"/>
        <v>5.8888632641121994E-4</v>
      </c>
      <c r="S113" s="2"/>
      <c r="T113" s="6">
        <v>1395</v>
      </c>
      <c r="U113" s="2"/>
      <c r="V113" s="7">
        <f t="shared" si="61"/>
        <v>5.0954101893862234E-4</v>
      </c>
      <c r="W113" s="2"/>
      <c r="X113" s="6">
        <f t="shared" si="62"/>
        <v>55.619999999999891</v>
      </c>
      <c r="Y113" s="2"/>
      <c r="Z113" s="7">
        <f t="shared" si="63"/>
        <v>3.9870967741935402E-2</v>
      </c>
    </row>
    <row r="114" spans="1:26" s="27" customFormat="1" outlineLevel="1" collapsed="1" x14ac:dyDescent="0.25">
      <c r="A114" s="26"/>
      <c r="B114" s="13" t="str">
        <f>CONCATENATE("     ","Inventory Adjustment                              ")</f>
        <v xml:space="preserve">     Inventory Adjustment                              </v>
      </c>
      <c r="C114" s="13"/>
      <c r="D114" s="1">
        <f>SUM(OSRRefD22_11x_0)</f>
        <v>3450</v>
      </c>
      <c r="E114" s="1"/>
      <c r="F114" s="5">
        <f t="shared" si="56"/>
        <v>2.5585520938634133E-2</v>
      </c>
      <c r="G114" s="1"/>
      <c r="H114" s="1">
        <f>SUM(OSRRefH22_11x_0)</f>
        <v>3450</v>
      </c>
      <c r="I114" s="1"/>
      <c r="J114" s="5">
        <f t="shared" si="57"/>
        <v>8.7467905069468343E-3</v>
      </c>
      <c r="K114" s="1"/>
      <c r="L114" s="1">
        <f t="shared" si="58"/>
        <v>0</v>
      </c>
      <c r="M114" s="1"/>
      <c r="N114" s="5">
        <f t="shared" si="59"/>
        <v>0</v>
      </c>
      <c r="O114" s="13"/>
      <c r="P114" s="1">
        <f>SUM(OSRRefP22_11x_0)</f>
        <v>28650</v>
      </c>
      <c r="Q114" s="1"/>
      <c r="R114" s="5">
        <f t="shared" si="60"/>
        <v>1.1630608465126259E-2</v>
      </c>
      <c r="S114" s="1"/>
      <c r="T114" s="1">
        <f>SUM(OSRRefT22_11x_0)</f>
        <v>28650</v>
      </c>
      <c r="U114" s="1"/>
      <c r="V114" s="5">
        <f t="shared" si="61"/>
        <v>1.046476716314805E-2</v>
      </c>
      <c r="W114" s="1"/>
      <c r="X114" s="1">
        <f t="shared" si="62"/>
        <v>0</v>
      </c>
      <c r="Y114" s="1"/>
      <c r="Z114" s="5">
        <f t="shared" si="63"/>
        <v>0</v>
      </c>
    </row>
    <row r="115" spans="1:26" s="24" customFormat="1" hidden="1" outlineLevel="2" x14ac:dyDescent="0.25">
      <c r="A115" s="25"/>
      <c r="B115" s="11" t="str">
        <f>CONCATENATE("          ", "6408", " - ", "INVENTORY ADJUSTMENT")</f>
        <v xml:space="preserve">          6408 - INVENTORY ADJUSTMENT</v>
      </c>
      <c r="C115" s="11"/>
      <c r="D115" s="6">
        <v>3450</v>
      </c>
      <c r="E115" s="2"/>
      <c r="F115" s="7">
        <f t="shared" si="56"/>
        <v>2.5585520938634133E-2</v>
      </c>
      <c r="G115" s="2"/>
      <c r="H115" s="6">
        <v>3450</v>
      </c>
      <c r="I115" s="2"/>
      <c r="J115" s="7">
        <f t="shared" si="57"/>
        <v>8.7467905069468343E-3</v>
      </c>
      <c r="K115" s="2"/>
      <c r="L115" s="6">
        <f t="shared" si="58"/>
        <v>0</v>
      </c>
      <c r="M115" s="2"/>
      <c r="N115" s="7">
        <f t="shared" si="59"/>
        <v>0</v>
      </c>
      <c r="O115" s="11"/>
      <c r="P115" s="6">
        <v>28650</v>
      </c>
      <c r="Q115" s="2"/>
      <c r="R115" s="7">
        <f t="shared" si="60"/>
        <v>1.1630608465126259E-2</v>
      </c>
      <c r="S115" s="2"/>
      <c r="T115" s="6">
        <v>28650</v>
      </c>
      <c r="U115" s="2"/>
      <c r="V115" s="7">
        <f t="shared" si="61"/>
        <v>1.046476716314805E-2</v>
      </c>
      <c r="W115" s="2"/>
      <c r="X115" s="6">
        <f t="shared" si="62"/>
        <v>0</v>
      </c>
      <c r="Y115" s="2"/>
      <c r="Z115" s="7">
        <f t="shared" si="63"/>
        <v>0</v>
      </c>
    </row>
    <row r="116" spans="1:26" s="27" customFormat="1" outlineLevel="1" collapsed="1" x14ac:dyDescent="0.25">
      <c r="A116" s="26"/>
      <c r="B116" s="13" t="str">
        <f>CONCATENATE("     ","Professional Services                             ")</f>
        <v xml:space="preserve">     Professional Services                             </v>
      </c>
      <c r="C116" s="13"/>
      <c r="D116" s="1">
        <f>SUM(OSRRefD22_12x_0)</f>
        <v>0</v>
      </c>
      <c r="E116" s="1"/>
      <c r="F116" s="5">
        <f t="shared" si="56"/>
        <v>0</v>
      </c>
      <c r="G116" s="1"/>
      <c r="H116" s="1">
        <f>SUM(OSRRefH22_12x_0)</f>
        <v>0</v>
      </c>
      <c r="I116" s="1"/>
      <c r="J116" s="5">
        <f t="shared" si="57"/>
        <v>0</v>
      </c>
      <c r="K116" s="1"/>
      <c r="L116" s="1">
        <f t="shared" si="58"/>
        <v>0</v>
      </c>
      <c r="M116" s="1"/>
      <c r="N116" s="5">
        <f t="shared" si="59"/>
        <v>0</v>
      </c>
      <c r="O116" s="13"/>
      <c r="P116" s="1">
        <f>SUM(OSRRefP22_12x_0)</f>
        <v>750</v>
      </c>
      <c r="Q116" s="1"/>
      <c r="R116" s="5">
        <f t="shared" si="60"/>
        <v>3.0446619018655128E-4</v>
      </c>
      <c r="S116" s="1"/>
      <c r="T116" s="1">
        <f>SUM(OSRRefT22_12x_0)</f>
        <v>2900</v>
      </c>
      <c r="U116" s="1"/>
      <c r="V116" s="5">
        <f t="shared" si="61"/>
        <v>1.0592608995856666E-3</v>
      </c>
      <c r="W116" s="1"/>
      <c r="X116" s="1">
        <f t="shared" si="62"/>
        <v>-2150</v>
      </c>
      <c r="Y116" s="1"/>
      <c r="Z116" s="5">
        <f t="shared" si="63"/>
        <v>-0.74137931034482762</v>
      </c>
    </row>
    <row r="117" spans="1:26" s="24" customFormat="1" hidden="1" outlineLevel="2" x14ac:dyDescent="0.25">
      <c r="A117" s="25"/>
      <c r="B117" s="11" t="str">
        <f>CONCATENATE("          ", "6336", " - ", "PROFESSIONAL SERVICES")</f>
        <v xml:space="preserve">          6336 - PROFESSIONAL SERVICES</v>
      </c>
      <c r="C117" s="11"/>
      <c r="D117" s="6"/>
      <c r="E117" s="2"/>
      <c r="F117" s="7">
        <f t="shared" si="56"/>
        <v>0</v>
      </c>
      <c r="G117" s="2"/>
      <c r="H117" s="6">
        <v>0</v>
      </c>
      <c r="I117" s="2"/>
      <c r="J117" s="7">
        <f t="shared" si="57"/>
        <v>0</v>
      </c>
      <c r="K117" s="2"/>
      <c r="L117" s="6">
        <f t="shared" si="58"/>
        <v>0</v>
      </c>
      <c r="M117" s="2"/>
      <c r="N117" s="7">
        <f t="shared" si="59"/>
        <v>0</v>
      </c>
      <c r="O117" s="11"/>
      <c r="P117" s="6">
        <v>750</v>
      </c>
      <c r="Q117" s="2"/>
      <c r="R117" s="7">
        <f t="shared" si="60"/>
        <v>3.0446619018655128E-4</v>
      </c>
      <c r="S117" s="2"/>
      <c r="T117" s="6">
        <v>2900</v>
      </c>
      <c r="U117" s="2"/>
      <c r="V117" s="7">
        <f t="shared" si="61"/>
        <v>1.0592608995856666E-3</v>
      </c>
      <c r="W117" s="2"/>
      <c r="X117" s="6">
        <f t="shared" si="62"/>
        <v>-2150</v>
      </c>
      <c r="Y117" s="2"/>
      <c r="Z117" s="7">
        <f t="shared" si="63"/>
        <v>-0.74137931034482762</v>
      </c>
    </row>
    <row r="118" spans="1:26" s="27" customFormat="1" outlineLevel="1" collapsed="1" x14ac:dyDescent="0.25">
      <c r="A118" s="26"/>
      <c r="B118" s="13" t="str">
        <f>CONCATENATE("     ","Rent                                              ")</f>
        <v xml:space="preserve">     Rent                                              </v>
      </c>
      <c r="C118" s="13"/>
      <c r="D118" s="1">
        <f>SUM(OSRRefD22_13x_0)</f>
        <v>6900</v>
      </c>
      <c r="E118" s="1"/>
      <c r="F118" s="5">
        <f t="shared" si="56"/>
        <v>5.1171041877268265E-2</v>
      </c>
      <c r="G118" s="1"/>
      <c r="H118" s="1">
        <f>SUM(OSRRefH22_13x_0)</f>
        <v>7200</v>
      </c>
      <c r="I118" s="1"/>
      <c r="J118" s="5">
        <f t="shared" si="57"/>
        <v>1.8254171492758611E-2</v>
      </c>
      <c r="K118" s="1"/>
      <c r="L118" s="1">
        <f t="shared" si="58"/>
        <v>-300</v>
      </c>
      <c r="M118" s="1"/>
      <c r="N118" s="5">
        <f t="shared" si="59"/>
        <v>-4.1666666666666664E-2</v>
      </c>
      <c r="O118" s="13"/>
      <c r="P118" s="1">
        <f>SUM(OSRRefP22_13x_0)</f>
        <v>62100</v>
      </c>
      <c r="Q118" s="1"/>
      <c r="R118" s="5">
        <f t="shared" si="60"/>
        <v>2.5209800547446447E-2</v>
      </c>
      <c r="S118" s="1"/>
      <c r="T118" s="1">
        <f>SUM(OSRRefT22_13x_0)</f>
        <v>64800</v>
      </c>
      <c r="U118" s="1"/>
      <c r="V118" s="5">
        <f t="shared" si="61"/>
        <v>2.3669002170052134E-2</v>
      </c>
      <c r="W118" s="1"/>
      <c r="X118" s="1">
        <f t="shared" si="62"/>
        <v>-2700</v>
      </c>
      <c r="Y118" s="1"/>
      <c r="Z118" s="5">
        <f t="shared" si="63"/>
        <v>-4.1666666666666664E-2</v>
      </c>
    </row>
    <row r="119" spans="1:26" s="24" customFormat="1" hidden="1" outlineLevel="2" x14ac:dyDescent="0.25">
      <c r="A119" s="25"/>
      <c r="B119" s="11" t="str">
        <f>CONCATENATE("          ", "6273", " - ", "RENT")</f>
        <v xml:space="preserve">          6273 - RENT</v>
      </c>
      <c r="C119" s="11"/>
      <c r="D119" s="6">
        <v>6900</v>
      </c>
      <c r="E119" s="2"/>
      <c r="F119" s="7">
        <f t="shared" si="56"/>
        <v>5.1171041877268265E-2</v>
      </c>
      <c r="G119" s="2"/>
      <c r="H119" s="6">
        <v>7200</v>
      </c>
      <c r="I119" s="2"/>
      <c r="J119" s="7">
        <f t="shared" si="57"/>
        <v>1.8254171492758611E-2</v>
      </c>
      <c r="K119" s="2"/>
      <c r="L119" s="6">
        <f t="shared" si="58"/>
        <v>-300</v>
      </c>
      <c r="M119" s="2"/>
      <c r="N119" s="7">
        <f t="shared" si="59"/>
        <v>-4.1666666666666664E-2</v>
      </c>
      <c r="O119" s="11"/>
      <c r="P119" s="6">
        <v>62100</v>
      </c>
      <c r="Q119" s="2"/>
      <c r="R119" s="7">
        <f t="shared" si="60"/>
        <v>2.5209800547446447E-2</v>
      </c>
      <c r="S119" s="2"/>
      <c r="T119" s="6">
        <v>64800</v>
      </c>
      <c r="U119" s="2"/>
      <c r="V119" s="7">
        <f t="shared" si="61"/>
        <v>2.3669002170052134E-2</v>
      </c>
      <c r="W119" s="2"/>
      <c r="X119" s="6">
        <f t="shared" si="62"/>
        <v>-2700</v>
      </c>
      <c r="Y119" s="2"/>
      <c r="Z119" s="7">
        <f t="shared" si="63"/>
        <v>-4.1666666666666664E-2</v>
      </c>
    </row>
    <row r="120" spans="1:26" s="27" customFormat="1" outlineLevel="1" collapsed="1" x14ac:dyDescent="0.25">
      <c r="A120" s="26"/>
      <c r="B120" s="13" t="str">
        <f>CONCATENATE("     ","Repair and Maintenance                            ")</f>
        <v xml:space="preserve">     Repair and Maintenance                            </v>
      </c>
      <c r="C120" s="13"/>
      <c r="D120" s="1">
        <f>SUM(OSRRefD22_14x_0)</f>
        <v>358.01</v>
      </c>
      <c r="E120" s="1"/>
      <c r="F120" s="5">
        <f t="shared" si="56"/>
        <v>2.6550354641276539E-3</v>
      </c>
      <c r="G120" s="1"/>
      <c r="H120" s="1">
        <f>SUM(OSRRefH22_14x_0)</f>
        <v>150</v>
      </c>
      <c r="I120" s="1"/>
      <c r="J120" s="5">
        <f t="shared" si="57"/>
        <v>3.8029523943247109E-4</v>
      </c>
      <c r="K120" s="1"/>
      <c r="L120" s="1">
        <f t="shared" si="58"/>
        <v>208.01</v>
      </c>
      <c r="M120" s="1"/>
      <c r="N120" s="5">
        <f t="shared" si="59"/>
        <v>1.3867333333333334</v>
      </c>
      <c r="O120" s="13"/>
      <c r="P120" s="1">
        <f>SUM(OSRRefP22_14x_0)</f>
        <v>633.76</v>
      </c>
      <c r="Q120" s="1"/>
      <c r="R120" s="5">
        <f t="shared" si="60"/>
        <v>2.5727799025683832E-4</v>
      </c>
      <c r="S120" s="1"/>
      <c r="T120" s="1">
        <f>SUM(OSRRefT22_14x_0)</f>
        <v>1700</v>
      </c>
      <c r="U120" s="1"/>
      <c r="V120" s="5">
        <f t="shared" si="61"/>
        <v>6.209460445847011E-4</v>
      </c>
      <c r="W120" s="1"/>
      <c r="X120" s="1">
        <f t="shared" si="62"/>
        <v>-1066.24</v>
      </c>
      <c r="Y120" s="1"/>
      <c r="Z120" s="5">
        <f t="shared" si="63"/>
        <v>-0.62719999999999998</v>
      </c>
    </row>
    <row r="121" spans="1:26" s="24" customFormat="1" hidden="1" outlineLevel="2" x14ac:dyDescent="0.25">
      <c r="A121" s="25"/>
      <c r="B121" s="11" t="str">
        <f>CONCATENATE("          ", "6373", " - ", "MAINTENANCE CONTRACTS")</f>
        <v xml:space="preserve">          6373 - MAINTENANCE CONTRACTS</v>
      </c>
      <c r="C121" s="11"/>
      <c r="D121" s="6">
        <v>358.01</v>
      </c>
      <c r="E121" s="2"/>
      <c r="F121" s="7">
        <f t="shared" si="56"/>
        <v>2.6550354641276539E-3</v>
      </c>
      <c r="G121" s="2"/>
      <c r="H121" s="6">
        <v>0</v>
      </c>
      <c r="I121" s="2"/>
      <c r="J121" s="7">
        <f t="shared" si="57"/>
        <v>0</v>
      </c>
      <c r="K121" s="2"/>
      <c r="L121" s="6">
        <f t="shared" si="58"/>
        <v>358.01</v>
      </c>
      <c r="M121" s="2"/>
      <c r="N121" s="7">
        <f t="shared" si="59"/>
        <v>0</v>
      </c>
      <c r="O121" s="11"/>
      <c r="P121" s="6">
        <v>451.23</v>
      </c>
      <c r="Q121" s="2"/>
      <c r="R121" s="7">
        <f t="shared" si="60"/>
        <v>1.8317903866383673E-4</v>
      </c>
      <c r="S121" s="2"/>
      <c r="T121" s="6">
        <v>75</v>
      </c>
      <c r="U121" s="2"/>
      <c r="V121" s="7">
        <f t="shared" si="61"/>
        <v>2.7394678437560341E-5</v>
      </c>
      <c r="W121" s="2"/>
      <c r="X121" s="6">
        <f t="shared" si="62"/>
        <v>376.23</v>
      </c>
      <c r="Y121" s="2"/>
      <c r="Z121" s="7">
        <f t="shared" si="63"/>
        <v>5.0164</v>
      </c>
    </row>
    <row r="122" spans="1:26" s="24" customFormat="1" hidden="1" outlineLevel="2" x14ac:dyDescent="0.25">
      <c r="A122" s="25"/>
      <c r="B122" s="11" t="str">
        <f>CONCATENATE("          ", "6375", " - ", "OUTSIDE REPAIRS &amp; MAINTENANCE")</f>
        <v xml:space="preserve">          6375 - OUTSIDE REPAIRS &amp; MAINTENANCE</v>
      </c>
      <c r="C122" s="11"/>
      <c r="D122" s="6"/>
      <c r="E122" s="2"/>
      <c r="F122" s="7">
        <f t="shared" si="56"/>
        <v>0</v>
      </c>
      <c r="G122" s="2"/>
      <c r="H122" s="6">
        <v>150</v>
      </c>
      <c r="I122" s="2"/>
      <c r="J122" s="7">
        <f t="shared" si="57"/>
        <v>3.8029523943247109E-4</v>
      </c>
      <c r="K122" s="2"/>
      <c r="L122" s="6">
        <f t="shared" si="58"/>
        <v>-150</v>
      </c>
      <c r="M122" s="2"/>
      <c r="N122" s="7">
        <f t="shared" si="59"/>
        <v>-1</v>
      </c>
      <c r="O122" s="11"/>
      <c r="P122" s="6">
        <v>182.53</v>
      </c>
      <c r="Q122" s="2"/>
      <c r="R122" s="7">
        <f t="shared" si="60"/>
        <v>7.4098951593001602E-5</v>
      </c>
      <c r="S122" s="2"/>
      <c r="T122" s="6">
        <v>1625</v>
      </c>
      <c r="U122" s="2"/>
      <c r="V122" s="7">
        <f t="shared" si="61"/>
        <v>5.9355136614714071E-4</v>
      </c>
      <c r="W122" s="2"/>
      <c r="X122" s="6">
        <f t="shared" si="62"/>
        <v>-1442.47</v>
      </c>
      <c r="Y122" s="2"/>
      <c r="Z122" s="7">
        <f t="shared" si="63"/>
        <v>-0.88767384615384615</v>
      </c>
    </row>
    <row r="123" spans="1:26" s="27" customFormat="1" outlineLevel="1" collapsed="1" x14ac:dyDescent="0.25">
      <c r="A123" s="26"/>
      <c r="B123" s="13" t="str">
        <f>CONCATENATE("     ","Royalty &amp; Commissions                             ")</f>
        <v xml:space="preserve">     Royalty &amp; Commissions                             </v>
      </c>
      <c r="C123" s="13"/>
      <c r="D123" s="1">
        <f>SUM(OSRRefD22_15x_0)</f>
        <v>2844.96</v>
      </c>
      <c r="E123" s="1"/>
      <c r="F123" s="5">
        <f t="shared" ref="F123:F126" si="64">IF(D$12=0,0,D123/D$12)</f>
        <v>2.1098488014370018E-2</v>
      </c>
      <c r="G123" s="1"/>
      <c r="H123" s="1">
        <f>SUM(OSRRefH22_15x_0)</f>
        <v>5485</v>
      </c>
      <c r="I123" s="1"/>
      <c r="J123" s="5">
        <f t="shared" ref="J123:J126" si="65">IF(H$12=0,0,H123/H$12)</f>
        <v>1.3906129255247359E-2</v>
      </c>
      <c r="K123" s="1"/>
      <c r="L123" s="1">
        <f t="shared" ref="L123:L126" si="66">+D123-H123</f>
        <v>-2640.04</v>
      </c>
      <c r="M123" s="1"/>
      <c r="N123" s="5">
        <f t="shared" ref="N123:N126" si="67">IF(H123=0,0,L123/H123)</f>
        <v>-0.48131996353691886</v>
      </c>
      <c r="O123" s="13"/>
      <c r="P123" s="1">
        <f>SUM(OSRRefP22_15x_0)</f>
        <v>26286.149999999998</v>
      </c>
      <c r="Q123" s="1"/>
      <c r="R123" s="5">
        <f t="shared" ref="R123:R126" si="68">IF(P$12=0,0,P123/P$12)</f>
        <v>1.0670991926896287E-2</v>
      </c>
      <c r="S123" s="1"/>
      <c r="T123" s="1">
        <f>SUM(OSRRefT22_15x_0)</f>
        <v>49365</v>
      </c>
      <c r="U123" s="1"/>
      <c r="V123" s="5">
        <f t="shared" ref="V123:V126" si="69">IF(T$12=0,0,T123/T$12)</f>
        <v>1.8031177347602217E-2</v>
      </c>
      <c r="W123" s="1"/>
      <c r="X123" s="1">
        <f t="shared" ref="X123:X126" si="70">+P123-T123</f>
        <v>-23078.850000000002</v>
      </c>
      <c r="Y123" s="1"/>
      <c r="Z123" s="5">
        <f t="shared" ref="Z123:Z126" si="71">IF(T123=0,0,X123/T123)</f>
        <v>-0.46751443330294745</v>
      </c>
    </row>
    <row r="124" spans="1:26" s="24" customFormat="1" hidden="1" outlineLevel="2" x14ac:dyDescent="0.25">
      <c r="A124" s="25"/>
      <c r="B124" s="11" t="str">
        <f>CONCATENATE("          ", "6252", " - ", "ROYALTY DUE CSTV")</f>
        <v xml:space="preserve">          6252 - ROYALTY DUE CSTV</v>
      </c>
      <c r="C124" s="11"/>
      <c r="D124" s="6"/>
      <c r="E124" s="2"/>
      <c r="F124" s="7">
        <f t="shared" si="64"/>
        <v>0</v>
      </c>
      <c r="G124" s="2"/>
      <c r="H124" s="6">
        <v>1085</v>
      </c>
      <c r="I124" s="2"/>
      <c r="J124" s="7">
        <f t="shared" si="65"/>
        <v>2.7508022318948741E-3</v>
      </c>
      <c r="K124" s="2"/>
      <c r="L124" s="6">
        <f t="shared" si="66"/>
        <v>-1085</v>
      </c>
      <c r="M124" s="2"/>
      <c r="N124" s="7">
        <f t="shared" si="67"/>
        <v>-1</v>
      </c>
      <c r="O124" s="11"/>
      <c r="P124" s="6"/>
      <c r="Q124" s="2"/>
      <c r="R124" s="7">
        <f t="shared" si="68"/>
        <v>0</v>
      </c>
      <c r="S124" s="2"/>
      <c r="T124" s="6">
        <v>9765</v>
      </c>
      <c r="U124" s="2"/>
      <c r="V124" s="7">
        <f t="shared" si="69"/>
        <v>3.5667871325703563E-3</v>
      </c>
      <c r="W124" s="2"/>
      <c r="X124" s="6">
        <f t="shared" si="70"/>
        <v>-9765</v>
      </c>
      <c r="Y124" s="2"/>
      <c r="Z124" s="7">
        <f t="shared" si="71"/>
        <v>-1</v>
      </c>
    </row>
    <row r="125" spans="1:26" s="24" customFormat="1" hidden="1" outlineLevel="2" x14ac:dyDescent="0.25">
      <c r="A125" s="25"/>
      <c r="B125" s="11" t="str">
        <f>CONCATENATE("          ", "6253", " - ", "ROYALTY DUE ATHLETICS-LRG")</f>
        <v xml:space="preserve">          6253 - ROYALTY DUE ATHLETICS-LRG</v>
      </c>
      <c r="C125" s="11"/>
      <c r="D125" s="6">
        <v>1669.49</v>
      </c>
      <c r="E125" s="2"/>
      <c r="F125" s="7">
        <f t="shared" si="64"/>
        <v>1.2381093145460955E-2</v>
      </c>
      <c r="G125" s="2"/>
      <c r="H125" s="6">
        <v>3700</v>
      </c>
      <c r="I125" s="2"/>
      <c r="J125" s="7">
        <f t="shared" si="65"/>
        <v>9.3806159060009532E-3</v>
      </c>
      <c r="K125" s="2"/>
      <c r="L125" s="6">
        <f t="shared" si="66"/>
        <v>-2030.51</v>
      </c>
      <c r="M125" s="2"/>
      <c r="N125" s="7">
        <f t="shared" si="67"/>
        <v>-0.54878648648648654</v>
      </c>
      <c r="O125" s="11"/>
      <c r="P125" s="6">
        <v>18314.929999999997</v>
      </c>
      <c r="Q125" s="2"/>
      <c r="R125" s="7">
        <f t="shared" si="68"/>
        <v>7.4350359475111637E-3</v>
      </c>
      <c r="S125" s="2"/>
      <c r="T125" s="6">
        <v>33300</v>
      </c>
      <c r="U125" s="2"/>
      <c r="V125" s="7">
        <f t="shared" si="69"/>
        <v>1.2163237226276791E-2</v>
      </c>
      <c r="W125" s="2"/>
      <c r="X125" s="6">
        <f t="shared" si="70"/>
        <v>-14985.070000000003</v>
      </c>
      <c r="Y125" s="2"/>
      <c r="Z125" s="7">
        <f t="shared" si="71"/>
        <v>-0.45000210210210217</v>
      </c>
    </row>
    <row r="126" spans="1:26" s="24" customFormat="1" hidden="1" outlineLevel="2" x14ac:dyDescent="0.25">
      <c r="A126" s="25"/>
      <c r="B126" s="11" t="str">
        <f>CONCATENATE("          ", "6254", " - ", "ROYALTY &amp; COMMISSIONS")</f>
        <v xml:space="preserve">          6254 - ROYALTY &amp; COMMISSIONS</v>
      </c>
      <c r="C126" s="11"/>
      <c r="D126" s="6">
        <v>1175.47</v>
      </c>
      <c r="E126" s="2"/>
      <c r="F126" s="7">
        <f t="shared" si="64"/>
        <v>8.7173948689090626E-3</v>
      </c>
      <c r="G126" s="2"/>
      <c r="H126" s="6">
        <v>700</v>
      </c>
      <c r="I126" s="2"/>
      <c r="J126" s="7">
        <f t="shared" si="65"/>
        <v>1.7747111173515317E-3</v>
      </c>
      <c r="K126" s="2"/>
      <c r="L126" s="6">
        <f t="shared" si="66"/>
        <v>475.47</v>
      </c>
      <c r="M126" s="2"/>
      <c r="N126" s="7">
        <f t="shared" si="67"/>
        <v>0.67924285714285715</v>
      </c>
      <c r="O126" s="11"/>
      <c r="P126" s="6">
        <v>7971.22</v>
      </c>
      <c r="Q126" s="2"/>
      <c r="R126" s="7">
        <f t="shared" si="68"/>
        <v>3.235955979385122E-3</v>
      </c>
      <c r="S126" s="2"/>
      <c r="T126" s="6">
        <v>6300</v>
      </c>
      <c r="U126" s="2"/>
      <c r="V126" s="7">
        <f t="shared" si="69"/>
        <v>2.3011529887550686E-3</v>
      </c>
      <c r="W126" s="2"/>
      <c r="X126" s="6">
        <f t="shared" si="70"/>
        <v>1671.2200000000003</v>
      </c>
      <c r="Y126" s="2"/>
      <c r="Z126" s="7">
        <f t="shared" si="71"/>
        <v>0.26527301587301594</v>
      </c>
    </row>
    <row r="127" spans="1:26" s="27" customFormat="1" outlineLevel="1" collapsed="1" x14ac:dyDescent="0.25">
      <c r="A127" s="26"/>
      <c r="B127" s="13" t="str">
        <f>CONCATENATE("     ","Services                                          ")</f>
        <v xml:space="preserve">     Services                                          </v>
      </c>
      <c r="C127" s="13"/>
      <c r="D127" s="1">
        <f>SUM(OSRRefD22_16x_0)</f>
        <v>250.18</v>
      </c>
      <c r="E127" s="1"/>
      <c r="F127" s="5">
        <f t="shared" ref="F127:F130" si="72">IF(D$12=0,0,D127/D$12)</f>
        <v>1.8553581531673877E-3</v>
      </c>
      <c r="G127" s="1"/>
      <c r="H127" s="1">
        <f>SUM(OSRRefH22_16x_0)</f>
        <v>242.5</v>
      </c>
      <c r="I127" s="1"/>
      <c r="J127" s="5">
        <f t="shared" ref="J127:J130" si="73">IF(H$12=0,0,H127/H$12)</f>
        <v>6.1481063708249486E-4</v>
      </c>
      <c r="K127" s="1"/>
      <c r="L127" s="1">
        <f t="shared" ref="L127:L130" si="74">+D127-H127</f>
        <v>7.6800000000000068</v>
      </c>
      <c r="M127" s="1"/>
      <c r="N127" s="5">
        <f t="shared" ref="N127:N130" si="75">IF(H127=0,0,L127/H127)</f>
        <v>3.1670103092783536E-2</v>
      </c>
      <c r="O127" s="13"/>
      <c r="P127" s="1">
        <f>SUM(OSRRefP22_16x_0)</f>
        <v>2631.36</v>
      </c>
      <c r="Q127" s="1"/>
      <c r="R127" s="5">
        <f t="shared" ref="R127:R130" si="76">IF(P$12=0,0,P127/P$12)</f>
        <v>1.0682135389457116E-3</v>
      </c>
      <c r="S127" s="1"/>
      <c r="T127" s="1">
        <f>SUM(OSRRefT22_16x_0)</f>
        <v>2447.5</v>
      </c>
      <c r="U127" s="1"/>
      <c r="V127" s="5">
        <f t="shared" ref="V127:V130" si="77">IF(T$12=0,0,T127/T$12)</f>
        <v>8.9397967301238577E-4</v>
      </c>
      <c r="W127" s="1"/>
      <c r="X127" s="1">
        <f t="shared" ref="X127:X130" si="78">+P127-T127</f>
        <v>183.86000000000013</v>
      </c>
      <c r="Y127" s="1"/>
      <c r="Z127" s="5">
        <f t="shared" ref="Z127:Z130" si="79">IF(T127=0,0,X127/T127)</f>
        <v>7.512155260469873E-2</v>
      </c>
    </row>
    <row r="128" spans="1:26" s="24" customFormat="1" hidden="1" outlineLevel="2" x14ac:dyDescent="0.25">
      <c r="A128" s="25"/>
      <c r="B128" s="11" t="str">
        <f>CONCATENATE("          ", "6283", " - ", "PLANT SERVICE")</f>
        <v xml:space="preserve">          6283 - PLANT SERVICE</v>
      </c>
      <c r="C128" s="11"/>
      <c r="D128" s="6"/>
      <c r="E128" s="2"/>
      <c r="F128" s="7">
        <f t="shared" si="72"/>
        <v>0</v>
      </c>
      <c r="G128" s="2"/>
      <c r="H128" s="6">
        <v>60</v>
      </c>
      <c r="I128" s="2"/>
      <c r="J128" s="7">
        <f t="shared" si="73"/>
        <v>1.5211809577298844E-4</v>
      </c>
      <c r="K128" s="2"/>
      <c r="L128" s="6">
        <f t="shared" si="74"/>
        <v>-60</v>
      </c>
      <c r="M128" s="2"/>
      <c r="N128" s="7">
        <f t="shared" si="75"/>
        <v>-1</v>
      </c>
      <c r="O128" s="11"/>
      <c r="P128" s="6">
        <v>178.65</v>
      </c>
      <c r="Q128" s="2"/>
      <c r="R128" s="7">
        <f t="shared" si="76"/>
        <v>7.2523846502436516E-5</v>
      </c>
      <c r="S128" s="2"/>
      <c r="T128" s="6">
        <v>540</v>
      </c>
      <c r="U128" s="2"/>
      <c r="V128" s="7">
        <f t="shared" si="77"/>
        <v>1.9724168475043446E-4</v>
      </c>
      <c r="W128" s="2"/>
      <c r="X128" s="6">
        <f t="shared" si="78"/>
        <v>-361.35</v>
      </c>
      <c r="Y128" s="2"/>
      <c r="Z128" s="7">
        <f t="shared" si="79"/>
        <v>-0.66916666666666669</v>
      </c>
    </row>
    <row r="129" spans="1:26" s="24" customFormat="1" hidden="1" outlineLevel="2" x14ac:dyDescent="0.25">
      <c r="A129" s="25"/>
      <c r="B129" s="11" t="str">
        <f>CONCATENATE("          ", "6284", " - ", "TRASH REMOVAL EXPENSE")</f>
        <v xml:space="preserve">          6284 - TRASH REMOVAL EXPENSE</v>
      </c>
      <c r="C129" s="11"/>
      <c r="D129" s="6">
        <v>134.82</v>
      </c>
      <c r="E129" s="2"/>
      <c r="F129" s="7">
        <f t="shared" si="72"/>
        <v>9.9983766172366778E-4</v>
      </c>
      <c r="G129" s="2"/>
      <c r="H129" s="6">
        <v>62.5</v>
      </c>
      <c r="I129" s="2"/>
      <c r="J129" s="7">
        <f t="shared" si="73"/>
        <v>1.5845634976352962E-4</v>
      </c>
      <c r="K129" s="2"/>
      <c r="L129" s="6">
        <f t="shared" si="74"/>
        <v>72.319999999999993</v>
      </c>
      <c r="M129" s="2"/>
      <c r="N129" s="7">
        <f t="shared" si="75"/>
        <v>1.1571199999999999</v>
      </c>
      <c r="O129" s="11"/>
      <c r="P129" s="6">
        <v>1213.3800000000001</v>
      </c>
      <c r="Q129" s="2"/>
      <c r="R129" s="7">
        <f t="shared" si="76"/>
        <v>4.9257758113141015E-4</v>
      </c>
      <c r="S129" s="2"/>
      <c r="T129" s="6">
        <v>562.5</v>
      </c>
      <c r="U129" s="2"/>
      <c r="V129" s="7">
        <f t="shared" si="77"/>
        <v>2.0546008828170256E-4</v>
      </c>
      <c r="W129" s="2"/>
      <c r="X129" s="6">
        <f t="shared" si="78"/>
        <v>650.88000000000011</v>
      </c>
      <c r="Y129" s="2"/>
      <c r="Z129" s="7">
        <f t="shared" si="79"/>
        <v>1.1571200000000001</v>
      </c>
    </row>
    <row r="130" spans="1:26" s="24" customFormat="1" hidden="1" outlineLevel="2" x14ac:dyDescent="0.25">
      <c r="A130" s="25"/>
      <c r="B130" s="11" t="str">
        <f>CONCATENATE("          ", "6285", " - ", "JANITORIAL SERVICES")</f>
        <v xml:space="preserve">          6285 - JANITORIAL SERVICES</v>
      </c>
      <c r="C130" s="11"/>
      <c r="D130" s="6">
        <v>115.36</v>
      </c>
      <c r="E130" s="2"/>
      <c r="F130" s="7">
        <f t="shared" si="72"/>
        <v>8.5552049144371983E-4</v>
      </c>
      <c r="G130" s="2"/>
      <c r="H130" s="6">
        <v>120</v>
      </c>
      <c r="I130" s="2"/>
      <c r="J130" s="7">
        <f t="shared" si="73"/>
        <v>3.0423619154597688E-4</v>
      </c>
      <c r="K130" s="2"/>
      <c r="L130" s="6">
        <f t="shared" si="74"/>
        <v>-4.6400000000000006</v>
      </c>
      <c r="M130" s="2"/>
      <c r="N130" s="7">
        <f t="shared" si="75"/>
        <v>-3.8666666666666669E-2</v>
      </c>
      <c r="O130" s="11"/>
      <c r="P130" s="6">
        <v>1239.33</v>
      </c>
      <c r="Q130" s="2"/>
      <c r="R130" s="7">
        <f t="shared" si="76"/>
        <v>5.0311211131186479E-4</v>
      </c>
      <c r="S130" s="2"/>
      <c r="T130" s="6">
        <v>1345</v>
      </c>
      <c r="U130" s="2"/>
      <c r="V130" s="7">
        <f t="shared" si="77"/>
        <v>4.9127789998024878E-4</v>
      </c>
      <c r="W130" s="2"/>
      <c r="X130" s="6">
        <f t="shared" si="78"/>
        <v>-105.67000000000007</v>
      </c>
      <c r="Y130" s="2"/>
      <c r="Z130" s="7">
        <f t="shared" si="79"/>
        <v>-7.8565055762081837E-2</v>
      </c>
    </row>
    <row r="131" spans="1:26" s="27" customFormat="1" outlineLevel="1" collapsed="1" x14ac:dyDescent="0.25">
      <c r="A131" s="26"/>
      <c r="B131" s="13" t="str">
        <f>CONCATENATE("     ","Subscriptions &amp; Dues                              ")</f>
        <v xml:space="preserve">     Subscriptions &amp; Dues                              </v>
      </c>
      <c r="C131" s="13"/>
      <c r="D131" s="1">
        <f>SUM(OSRRefD22_17x_0)</f>
        <v>-10</v>
      </c>
      <c r="E131" s="1"/>
      <c r="F131" s="5">
        <f t="shared" ref="F131:F133" si="80">IF(D$12=0,0,D131/D$12)</f>
        <v>-7.4160930256910533E-5</v>
      </c>
      <c r="G131" s="1"/>
      <c r="H131" s="1">
        <f>SUM(OSRRefH22_17x_0)</f>
        <v>1315</v>
      </c>
      <c r="I131" s="1"/>
      <c r="J131" s="5">
        <f t="shared" ref="J131:J133" si="81">IF(H$12=0,0,H131/H$12)</f>
        <v>3.3339215990246629E-3</v>
      </c>
      <c r="K131" s="1"/>
      <c r="L131" s="1">
        <f t="shared" ref="L131:L133" si="82">+D131-H131</f>
        <v>-1325</v>
      </c>
      <c r="M131" s="1"/>
      <c r="N131" s="5">
        <f t="shared" ref="N131:N133" si="83">IF(H131=0,0,L131/H131)</f>
        <v>-1.0076045627376427</v>
      </c>
      <c r="O131" s="13"/>
      <c r="P131" s="1">
        <f>SUM(OSRRefP22_17x_0)</f>
        <v>572.99</v>
      </c>
      <c r="Q131" s="1"/>
      <c r="R131" s="5">
        <f t="shared" ref="R131:R133" si="84">IF(P$12=0,0,P131/P$12)</f>
        <v>2.326081097533227E-4</v>
      </c>
      <c r="S131" s="1"/>
      <c r="T131" s="1">
        <f>SUM(OSRRefT22_17x_0)</f>
        <v>6705</v>
      </c>
      <c r="U131" s="1"/>
      <c r="V131" s="5">
        <f t="shared" ref="V131:V133" si="85">IF(T$12=0,0,T131/T$12)</f>
        <v>2.4490842523178947E-3</v>
      </c>
      <c r="W131" s="1"/>
      <c r="X131" s="1">
        <f t="shared" ref="X131:X133" si="86">+P131-T131</f>
        <v>-6132.01</v>
      </c>
      <c r="Y131" s="1"/>
      <c r="Z131" s="5">
        <f t="shared" ref="Z131:Z133" si="87">IF(T131=0,0,X131/T131)</f>
        <v>-0.91454287844891879</v>
      </c>
    </row>
    <row r="132" spans="1:26" s="24" customFormat="1" hidden="1" outlineLevel="2" x14ac:dyDescent="0.25">
      <c r="A132" s="25"/>
      <c r="B132" s="11" t="str">
        <f>CONCATENATE("          ", "6258", " - ", "MEMBERSHIP DUES")</f>
        <v xml:space="preserve">          6258 - MEMBERSHIP DUES</v>
      </c>
      <c r="C132" s="11"/>
      <c r="D132" s="6">
        <v>-10</v>
      </c>
      <c r="E132" s="2"/>
      <c r="F132" s="7">
        <f t="shared" si="80"/>
        <v>-7.4160930256910533E-5</v>
      </c>
      <c r="G132" s="2"/>
      <c r="H132" s="6">
        <v>0</v>
      </c>
      <c r="I132" s="2"/>
      <c r="J132" s="7">
        <f t="shared" si="81"/>
        <v>0</v>
      </c>
      <c r="K132" s="2"/>
      <c r="L132" s="6">
        <f t="shared" si="82"/>
        <v>-10</v>
      </c>
      <c r="M132" s="2"/>
      <c r="N132" s="7">
        <f t="shared" si="83"/>
        <v>0</v>
      </c>
      <c r="O132" s="11"/>
      <c r="P132" s="6">
        <v>112.93</v>
      </c>
      <c r="Q132" s="2"/>
      <c r="R132" s="7">
        <f t="shared" si="84"/>
        <v>4.5844489143689654E-5</v>
      </c>
      <c r="S132" s="2"/>
      <c r="T132" s="6">
        <v>1895</v>
      </c>
      <c r="U132" s="2"/>
      <c r="V132" s="7">
        <f t="shared" si="85"/>
        <v>6.9217220852235792E-4</v>
      </c>
      <c r="W132" s="2"/>
      <c r="X132" s="6">
        <f t="shared" si="86"/>
        <v>-1782.07</v>
      </c>
      <c r="Y132" s="2"/>
      <c r="Z132" s="7">
        <f t="shared" si="87"/>
        <v>-0.94040633245382588</v>
      </c>
    </row>
    <row r="133" spans="1:26" s="24" customFormat="1" hidden="1" outlineLevel="2" x14ac:dyDescent="0.25">
      <c r="A133" s="25"/>
      <c r="B133" s="11" t="str">
        <f>CONCATENATE("          ", "6275", " - ", "SUBSCRIPTIONS")</f>
        <v xml:space="preserve">          6275 - SUBSCRIPTIONS</v>
      </c>
      <c r="C133" s="11"/>
      <c r="D133" s="6"/>
      <c r="E133" s="2"/>
      <c r="F133" s="7">
        <f t="shared" si="80"/>
        <v>0</v>
      </c>
      <c r="G133" s="2"/>
      <c r="H133" s="6">
        <v>1315</v>
      </c>
      <c r="I133" s="2"/>
      <c r="J133" s="7">
        <f t="shared" si="81"/>
        <v>3.3339215990246629E-3</v>
      </c>
      <c r="K133" s="2"/>
      <c r="L133" s="6">
        <f t="shared" si="82"/>
        <v>-1315</v>
      </c>
      <c r="M133" s="2"/>
      <c r="N133" s="7">
        <f t="shared" si="83"/>
        <v>-1</v>
      </c>
      <c r="O133" s="11"/>
      <c r="P133" s="6">
        <v>460.06</v>
      </c>
      <c r="Q133" s="2"/>
      <c r="R133" s="7">
        <f t="shared" si="84"/>
        <v>1.8676362060963305E-4</v>
      </c>
      <c r="S133" s="2"/>
      <c r="T133" s="6">
        <v>4810</v>
      </c>
      <c r="U133" s="2"/>
      <c r="V133" s="7">
        <f t="shared" si="85"/>
        <v>1.7569120437955364E-3</v>
      </c>
      <c r="W133" s="2"/>
      <c r="X133" s="6">
        <f t="shared" si="86"/>
        <v>-4349.9399999999996</v>
      </c>
      <c r="Y133" s="2"/>
      <c r="Z133" s="7">
        <f t="shared" si="87"/>
        <v>-0.9043534303534303</v>
      </c>
    </row>
    <row r="134" spans="1:26" s="27" customFormat="1" outlineLevel="1" collapsed="1" x14ac:dyDescent="0.25">
      <c r="A134" s="26"/>
      <c r="B134" s="13" t="str">
        <f>CONCATENATE("     ","Supplies                                          ")</f>
        <v xml:space="preserve">     Supplies                                          </v>
      </c>
      <c r="C134" s="13"/>
      <c r="D134" s="1">
        <f>SUM(OSRRefD22_18x_0)</f>
        <v>536.04</v>
      </c>
      <c r="E134" s="1"/>
      <c r="F134" s="5">
        <f t="shared" ref="F134:F140" si="88">IF(D$12=0,0,D134/D$12)</f>
        <v>3.9753225054914316E-3</v>
      </c>
      <c r="G134" s="1"/>
      <c r="H134" s="1">
        <f>SUM(OSRRefH22_18x_0)</f>
        <v>895</v>
      </c>
      <c r="I134" s="1"/>
      <c r="J134" s="5">
        <f t="shared" ref="J134:J140" si="89">IF(H$12=0,0,H134/H$12)</f>
        <v>2.2690949286137442E-3</v>
      </c>
      <c r="K134" s="1"/>
      <c r="L134" s="1">
        <f t="shared" ref="L134:L140" si="90">+D134-H134</f>
        <v>-358.96000000000004</v>
      </c>
      <c r="M134" s="1"/>
      <c r="N134" s="5">
        <f t="shared" ref="N134:N140" si="91">IF(H134=0,0,L134/H134)</f>
        <v>-0.40107262569832408</v>
      </c>
      <c r="O134" s="13"/>
      <c r="P134" s="1">
        <f>SUM(OSRRefP22_18x_0)</f>
        <v>7017.53</v>
      </c>
      <c r="Q134" s="1"/>
      <c r="R134" s="5">
        <f t="shared" ref="R134:R140" si="92">IF(P$12=0,0,P134/P$12)</f>
        <v>2.8488008314931056E-3</v>
      </c>
      <c r="S134" s="1"/>
      <c r="T134" s="1">
        <f>SUM(OSRRefT22_18x_0)</f>
        <v>13400</v>
      </c>
      <c r="U134" s="1"/>
      <c r="V134" s="5">
        <f t="shared" ref="V134:V140" si="93">IF(T$12=0,0,T134/T$12)</f>
        <v>4.8945158808441141E-3</v>
      </c>
      <c r="W134" s="1"/>
      <c r="X134" s="1">
        <f t="shared" ref="X134:X140" si="94">+P134-T134</f>
        <v>-6382.47</v>
      </c>
      <c r="Y134" s="1"/>
      <c r="Z134" s="5">
        <f t="shared" ref="Z134:Z140" si="95">IF(T134=0,0,X134/T134)</f>
        <v>-0.47630373134328358</v>
      </c>
    </row>
    <row r="135" spans="1:26" s="24" customFormat="1" hidden="1" outlineLevel="2" x14ac:dyDescent="0.25">
      <c r="A135" s="25"/>
      <c r="B135" s="11" t="str">
        <f>CONCATENATE("          ", "6234", " - ", "EXPENDABLE SUPPLIES &amp; EQUIPMEN")</f>
        <v xml:space="preserve">          6234 - EXPENDABLE SUPPLIES &amp; EQUIPMEN</v>
      </c>
      <c r="C135" s="11"/>
      <c r="D135" s="6"/>
      <c r="E135" s="2"/>
      <c r="F135" s="7">
        <f t="shared" si="88"/>
        <v>0</v>
      </c>
      <c r="G135" s="2"/>
      <c r="H135" s="6">
        <v>300</v>
      </c>
      <c r="I135" s="2"/>
      <c r="J135" s="7">
        <f t="shared" si="89"/>
        <v>7.6059047886494217E-4</v>
      </c>
      <c r="K135" s="2"/>
      <c r="L135" s="6">
        <f t="shared" si="90"/>
        <v>-300</v>
      </c>
      <c r="M135" s="2"/>
      <c r="N135" s="7">
        <f t="shared" si="91"/>
        <v>-1</v>
      </c>
      <c r="O135" s="11"/>
      <c r="P135" s="6">
        <v>836.14</v>
      </c>
      <c r="Q135" s="2"/>
      <c r="R135" s="7">
        <f t="shared" si="92"/>
        <v>3.394351470167773E-4</v>
      </c>
      <c r="S135" s="2"/>
      <c r="T135" s="6">
        <v>6550</v>
      </c>
      <c r="U135" s="2"/>
      <c r="V135" s="7">
        <f t="shared" si="93"/>
        <v>2.3924685835469365E-3</v>
      </c>
      <c r="W135" s="2"/>
      <c r="X135" s="6">
        <f t="shared" si="94"/>
        <v>-5713.86</v>
      </c>
      <c r="Y135" s="2"/>
      <c r="Z135" s="7">
        <f t="shared" si="95"/>
        <v>-0.87234503816793885</v>
      </c>
    </row>
    <row r="136" spans="1:26" s="24" customFormat="1" hidden="1" outlineLevel="2" x14ac:dyDescent="0.25">
      <c r="A136" s="25"/>
      <c r="B136" s="11" t="str">
        <f>CONCATENATE("          ", "6237", " - ", "JANITORIAL SUPPLIES")</f>
        <v xml:space="preserve">          6237 - JANITORIAL SUPPLIES</v>
      </c>
      <c r="C136" s="11"/>
      <c r="D136" s="6">
        <v>382.7</v>
      </c>
      <c r="E136" s="2"/>
      <c r="F136" s="7">
        <f t="shared" si="88"/>
        <v>2.8381388009319657E-3</v>
      </c>
      <c r="G136" s="2"/>
      <c r="H136" s="6">
        <v>45</v>
      </c>
      <c r="I136" s="2"/>
      <c r="J136" s="7">
        <f t="shared" si="89"/>
        <v>1.1408857182974132E-4</v>
      </c>
      <c r="K136" s="2"/>
      <c r="L136" s="6">
        <f t="shared" si="90"/>
        <v>337.7</v>
      </c>
      <c r="M136" s="2"/>
      <c r="N136" s="7">
        <f t="shared" si="91"/>
        <v>7.5044444444444443</v>
      </c>
      <c r="O136" s="11"/>
      <c r="P136" s="6">
        <v>670.42</v>
      </c>
      <c r="Q136" s="2"/>
      <c r="R136" s="7">
        <f t="shared" si="92"/>
        <v>2.7216029763315691E-4</v>
      </c>
      <c r="S136" s="2"/>
      <c r="T136" s="6">
        <v>400</v>
      </c>
      <c r="U136" s="2"/>
      <c r="V136" s="7">
        <f t="shared" si="93"/>
        <v>1.461049516669885E-4</v>
      </c>
      <c r="W136" s="2"/>
      <c r="X136" s="6">
        <f t="shared" si="94"/>
        <v>270.41999999999996</v>
      </c>
      <c r="Y136" s="2"/>
      <c r="Z136" s="7">
        <f t="shared" si="95"/>
        <v>0.67604999999999993</v>
      </c>
    </row>
    <row r="137" spans="1:26" s="24" customFormat="1" hidden="1" outlineLevel="2" x14ac:dyDescent="0.25">
      <c r="A137" s="25"/>
      <c r="B137" s="11" t="str">
        <f>CONCATENATE("          ", "6241", " - ", "OFFICE EXPENSE")</f>
        <v xml:space="preserve">          6241 - OFFICE EXPENSE</v>
      </c>
      <c r="C137" s="11"/>
      <c r="D137" s="6">
        <v>157.34</v>
      </c>
      <c r="E137" s="2"/>
      <c r="F137" s="7">
        <f t="shared" si="88"/>
        <v>1.1668480766622302E-3</v>
      </c>
      <c r="G137" s="2"/>
      <c r="H137" s="6">
        <v>325</v>
      </c>
      <c r="I137" s="2"/>
      <c r="J137" s="7">
        <f t="shared" si="89"/>
        <v>8.2397301877035396E-4</v>
      </c>
      <c r="K137" s="2"/>
      <c r="L137" s="6">
        <f t="shared" si="90"/>
        <v>-167.66</v>
      </c>
      <c r="M137" s="2"/>
      <c r="N137" s="7">
        <f t="shared" si="91"/>
        <v>-0.51587692307692312</v>
      </c>
      <c r="O137" s="11"/>
      <c r="P137" s="6">
        <v>4778.54</v>
      </c>
      <c r="Q137" s="2"/>
      <c r="R137" s="7">
        <f t="shared" si="92"/>
        <v>1.9398718246053904E-3</v>
      </c>
      <c r="S137" s="2"/>
      <c r="T137" s="6">
        <v>3625</v>
      </c>
      <c r="U137" s="2"/>
      <c r="V137" s="7">
        <f t="shared" si="93"/>
        <v>1.324076124482083E-3</v>
      </c>
      <c r="W137" s="2"/>
      <c r="X137" s="6">
        <f t="shared" si="94"/>
        <v>1153.54</v>
      </c>
      <c r="Y137" s="2"/>
      <c r="Z137" s="7">
        <f t="shared" si="95"/>
        <v>0.31821793103448276</v>
      </c>
    </row>
    <row r="138" spans="1:26" s="24" customFormat="1" hidden="1" outlineLevel="2" x14ac:dyDescent="0.25">
      <c r="A138" s="25"/>
      <c r="B138" s="11" t="str">
        <f>CONCATENATE("          ", "6245", " - ", "PRINTING")</f>
        <v xml:space="preserve">          6245 - PRINTING</v>
      </c>
      <c r="C138" s="11"/>
      <c r="D138" s="6"/>
      <c r="E138" s="2"/>
      <c r="F138" s="7">
        <f t="shared" si="88"/>
        <v>0</v>
      </c>
      <c r="G138" s="2"/>
      <c r="H138" s="6"/>
      <c r="I138" s="2"/>
      <c r="J138" s="7">
        <f t="shared" si="89"/>
        <v>0</v>
      </c>
      <c r="K138" s="2"/>
      <c r="L138" s="6">
        <f t="shared" si="90"/>
        <v>0</v>
      </c>
      <c r="M138" s="2"/>
      <c r="N138" s="7">
        <f t="shared" si="91"/>
        <v>0</v>
      </c>
      <c r="O138" s="11"/>
      <c r="P138" s="6">
        <v>-506.93</v>
      </c>
      <c r="Q138" s="2"/>
      <c r="R138" s="7">
        <f t="shared" si="92"/>
        <v>-2.0579072772169125E-4</v>
      </c>
      <c r="S138" s="2"/>
      <c r="T138" s="6"/>
      <c r="U138" s="2"/>
      <c r="V138" s="7">
        <f t="shared" si="93"/>
        <v>0</v>
      </c>
      <c r="W138" s="2"/>
      <c r="X138" s="6">
        <f t="shared" si="94"/>
        <v>-506.93</v>
      </c>
      <c r="Y138" s="2"/>
      <c r="Z138" s="7">
        <f t="shared" si="95"/>
        <v>0</v>
      </c>
    </row>
    <row r="139" spans="1:26" s="24" customFormat="1" hidden="1" outlineLevel="2" x14ac:dyDescent="0.25">
      <c r="A139" s="25"/>
      <c r="B139" s="11" t="str">
        <f>CONCATENATE("          ", "6247", " - ", "STORE SUPPLIES")</f>
        <v xml:space="preserve">          6247 - STORE SUPPLIES</v>
      </c>
      <c r="C139" s="11"/>
      <c r="D139" s="6">
        <v>-4</v>
      </c>
      <c r="E139" s="2"/>
      <c r="F139" s="7">
        <f t="shared" si="88"/>
        <v>-2.9664372102764213E-5</v>
      </c>
      <c r="G139" s="2"/>
      <c r="H139" s="6">
        <v>225</v>
      </c>
      <c r="I139" s="2"/>
      <c r="J139" s="7">
        <f t="shared" si="89"/>
        <v>5.704428591487066E-4</v>
      </c>
      <c r="K139" s="2"/>
      <c r="L139" s="6">
        <f t="shared" si="90"/>
        <v>-229</v>
      </c>
      <c r="M139" s="2"/>
      <c r="N139" s="7">
        <f t="shared" si="91"/>
        <v>-1.0177777777777777</v>
      </c>
      <c r="O139" s="11"/>
      <c r="P139" s="6">
        <v>1239.3599999999999</v>
      </c>
      <c r="Q139" s="2"/>
      <c r="R139" s="7">
        <f t="shared" si="92"/>
        <v>5.0312428995947221E-4</v>
      </c>
      <c r="S139" s="2"/>
      <c r="T139" s="6">
        <v>2325</v>
      </c>
      <c r="U139" s="2"/>
      <c r="V139" s="7">
        <f t="shared" si="93"/>
        <v>8.4923503156437053E-4</v>
      </c>
      <c r="W139" s="2"/>
      <c r="X139" s="6">
        <f t="shared" si="94"/>
        <v>-1085.6400000000001</v>
      </c>
      <c r="Y139" s="2"/>
      <c r="Z139" s="7">
        <f t="shared" si="95"/>
        <v>-0.46694193548387103</v>
      </c>
    </row>
    <row r="140" spans="1:26" s="24" customFormat="1" hidden="1" outlineLevel="2" x14ac:dyDescent="0.25">
      <c r="A140" s="25"/>
      <c r="B140" s="11" t="str">
        <f>CONCATENATE("          ", "6248", " - ", "UNIFORMS")</f>
        <v xml:space="preserve">          6248 - UNIFORMS</v>
      </c>
      <c r="C140" s="11"/>
      <c r="D140" s="6"/>
      <c r="E140" s="2"/>
      <c r="F140" s="7">
        <f t="shared" si="88"/>
        <v>0</v>
      </c>
      <c r="G140" s="2"/>
      <c r="H140" s="6">
        <v>0</v>
      </c>
      <c r="I140" s="2"/>
      <c r="J140" s="7">
        <f t="shared" si="89"/>
        <v>0</v>
      </c>
      <c r="K140" s="2"/>
      <c r="L140" s="6">
        <f t="shared" si="90"/>
        <v>0</v>
      </c>
      <c r="M140" s="2"/>
      <c r="N140" s="7">
        <f t="shared" si="91"/>
        <v>0</v>
      </c>
      <c r="O140" s="11"/>
      <c r="P140" s="6"/>
      <c r="Q140" s="2"/>
      <c r="R140" s="7">
        <f t="shared" si="92"/>
        <v>0</v>
      </c>
      <c r="S140" s="2"/>
      <c r="T140" s="6">
        <v>500</v>
      </c>
      <c r="U140" s="2"/>
      <c r="V140" s="7">
        <f t="shared" si="93"/>
        <v>1.8263118958373561E-4</v>
      </c>
      <c r="W140" s="2"/>
      <c r="X140" s="6">
        <f t="shared" si="94"/>
        <v>-500</v>
      </c>
      <c r="Y140" s="2"/>
      <c r="Z140" s="7">
        <f t="shared" si="95"/>
        <v>-1</v>
      </c>
    </row>
    <row r="141" spans="1:26" s="27" customFormat="1" outlineLevel="1" collapsed="1" x14ac:dyDescent="0.25">
      <c r="A141" s="26"/>
      <c r="B141" s="13" t="str">
        <f>CONCATENATE("     ","Telephone/Data Lines                              ")</f>
        <v xml:space="preserve">     Telephone/Data Lines                              </v>
      </c>
      <c r="C141" s="13"/>
      <c r="D141" s="1">
        <f>SUM(OSRRefD22_19x_0)</f>
        <v>-323.99</v>
      </c>
      <c r="E141" s="1"/>
      <c r="F141" s="5">
        <f t="shared" ref="F141:F143" si="96">IF(D$12=0,0,D141/D$12)</f>
        <v>-2.4027399793936444E-3</v>
      </c>
      <c r="G141" s="1"/>
      <c r="H141" s="1">
        <f>SUM(OSRRefH22_19x_0)</f>
        <v>800</v>
      </c>
      <c r="I141" s="1"/>
      <c r="J141" s="5">
        <f t="shared" ref="J141:J143" si="97">IF(H$12=0,0,H141/H$12)</f>
        <v>2.0282412769731793E-3</v>
      </c>
      <c r="K141" s="1"/>
      <c r="L141" s="1">
        <f t="shared" ref="L141:L143" si="98">+D141-H141</f>
        <v>-1123.99</v>
      </c>
      <c r="M141" s="1"/>
      <c r="N141" s="5">
        <f t="shared" ref="N141:N143" si="99">IF(H141=0,0,L141/H141)</f>
        <v>-1.4049875000000001</v>
      </c>
      <c r="O141" s="13"/>
      <c r="P141" s="1">
        <f>SUM(OSRRefP22_19x_0)</f>
        <v>7011.8</v>
      </c>
      <c r="Q141" s="1"/>
      <c r="R141" s="5">
        <f t="shared" ref="R141:R143" si="100">IF(P$12=0,0,P141/P$12)</f>
        <v>2.8464747098000806E-3</v>
      </c>
      <c r="S141" s="1"/>
      <c r="T141" s="1">
        <f>SUM(OSRRefT22_19x_0)</f>
        <v>10175</v>
      </c>
      <c r="U141" s="1"/>
      <c r="V141" s="5">
        <f t="shared" ref="V141:V143" si="101">IF(T$12=0,0,T141/T$12)</f>
        <v>3.7165447080290195E-3</v>
      </c>
      <c r="W141" s="1"/>
      <c r="X141" s="1">
        <f t="shared" ref="X141:X143" si="102">+P141-T141</f>
        <v>-3163.2</v>
      </c>
      <c r="Y141" s="1"/>
      <c r="Z141" s="5">
        <f t="shared" ref="Z141:Z143" si="103">IF(T141=0,0,X141/T141)</f>
        <v>-0.31087960687960686</v>
      </c>
    </row>
    <row r="142" spans="1:26" s="24" customFormat="1" hidden="1" outlineLevel="2" x14ac:dyDescent="0.25">
      <c r="A142" s="25"/>
      <c r="B142" s="11" t="str">
        <f>CONCATENATE("          ", "6303", " - ", "DATA PHONE LINES")</f>
        <v xml:space="preserve">          6303 - DATA PHONE LINES</v>
      </c>
      <c r="C142" s="11"/>
      <c r="D142" s="6"/>
      <c r="E142" s="2"/>
      <c r="F142" s="7">
        <f t="shared" si="96"/>
        <v>0</v>
      </c>
      <c r="G142" s="2"/>
      <c r="H142" s="6">
        <v>250</v>
      </c>
      <c r="I142" s="2"/>
      <c r="J142" s="7">
        <f t="shared" si="97"/>
        <v>6.338253990541185E-4</v>
      </c>
      <c r="K142" s="2"/>
      <c r="L142" s="6">
        <f t="shared" si="98"/>
        <v>-250</v>
      </c>
      <c r="M142" s="2"/>
      <c r="N142" s="7">
        <f t="shared" si="99"/>
        <v>-1</v>
      </c>
      <c r="O142" s="11"/>
      <c r="P142" s="6"/>
      <c r="Q142" s="2"/>
      <c r="R142" s="7">
        <f t="shared" si="100"/>
        <v>0</v>
      </c>
      <c r="S142" s="2"/>
      <c r="T142" s="6">
        <v>4975</v>
      </c>
      <c r="U142" s="2"/>
      <c r="V142" s="7">
        <f t="shared" si="101"/>
        <v>1.8171803363581692E-3</v>
      </c>
      <c r="W142" s="2"/>
      <c r="X142" s="6">
        <f t="shared" si="102"/>
        <v>-4975</v>
      </c>
      <c r="Y142" s="2"/>
      <c r="Z142" s="7">
        <f t="shared" si="103"/>
        <v>-1</v>
      </c>
    </row>
    <row r="143" spans="1:26" s="24" customFormat="1" hidden="1" outlineLevel="2" x14ac:dyDescent="0.25">
      <c r="A143" s="25"/>
      <c r="B143" s="11" t="str">
        <f>CONCATENATE("          ", "6309", " - ", "TELEPHONE")</f>
        <v xml:space="preserve">          6309 - TELEPHONE</v>
      </c>
      <c r="C143" s="11"/>
      <c r="D143" s="6">
        <v>-323.99</v>
      </c>
      <c r="E143" s="2"/>
      <c r="F143" s="7">
        <f t="shared" si="96"/>
        <v>-2.4027399793936444E-3</v>
      </c>
      <c r="G143" s="2"/>
      <c r="H143" s="6">
        <v>550</v>
      </c>
      <c r="I143" s="2"/>
      <c r="J143" s="7">
        <f t="shared" si="97"/>
        <v>1.3944158779190606E-3</v>
      </c>
      <c r="K143" s="2"/>
      <c r="L143" s="6">
        <f t="shared" si="98"/>
        <v>-873.99</v>
      </c>
      <c r="M143" s="2"/>
      <c r="N143" s="7">
        <f t="shared" si="99"/>
        <v>-1.5890727272727272</v>
      </c>
      <c r="O143" s="11"/>
      <c r="P143" s="6">
        <v>7011.8</v>
      </c>
      <c r="Q143" s="2"/>
      <c r="R143" s="7">
        <f t="shared" si="100"/>
        <v>2.8464747098000806E-3</v>
      </c>
      <c r="S143" s="2"/>
      <c r="T143" s="6">
        <v>5200</v>
      </c>
      <c r="U143" s="2"/>
      <c r="V143" s="7">
        <f t="shared" si="101"/>
        <v>1.8993643716708503E-3</v>
      </c>
      <c r="W143" s="2"/>
      <c r="X143" s="6">
        <f t="shared" si="102"/>
        <v>1811.8000000000002</v>
      </c>
      <c r="Y143" s="2"/>
      <c r="Z143" s="7">
        <f t="shared" si="103"/>
        <v>0.34842307692307695</v>
      </c>
    </row>
    <row r="144" spans="1:26" s="27" customFormat="1" outlineLevel="1" collapsed="1" x14ac:dyDescent="0.25">
      <c r="A144" s="26"/>
      <c r="B144" s="13" t="str">
        <f>CONCATENATE("     ","Training                                          ")</f>
        <v xml:space="preserve">     Training                                          </v>
      </c>
      <c r="C144" s="13"/>
      <c r="D144" s="1">
        <f>SUM(OSRRefD22_20x_0)</f>
        <v>1558.55</v>
      </c>
      <c r="E144" s="1"/>
      <c r="F144" s="5">
        <f t="shared" ref="F144:F148" si="104">IF(D$12=0,0,D144/D$12)</f>
        <v>1.1558351785190791E-2</v>
      </c>
      <c r="G144" s="1"/>
      <c r="H144" s="1">
        <f>SUM(OSRRefH22_20x_0)</f>
        <v>1000</v>
      </c>
      <c r="I144" s="1"/>
      <c r="J144" s="5">
        <f t="shared" ref="J144:J148" si="105">IF(H$12=0,0,H144/H$12)</f>
        <v>2.535301596216474E-3</v>
      </c>
      <c r="K144" s="1"/>
      <c r="L144" s="1">
        <f t="shared" ref="L144:L148" si="106">+D144-H144</f>
        <v>558.54999999999995</v>
      </c>
      <c r="M144" s="1"/>
      <c r="N144" s="5">
        <f t="shared" ref="N144:N148" si="107">IF(H144=0,0,L144/H144)</f>
        <v>0.55854999999999999</v>
      </c>
      <c r="O144" s="13"/>
      <c r="P144" s="1">
        <f>SUM(OSRRefP22_20x_0)</f>
        <v>5264.54</v>
      </c>
      <c r="Q144" s="1"/>
      <c r="R144" s="5">
        <f t="shared" ref="R144:R148" si="108">IF(P$12=0,0,P144/P$12)</f>
        <v>2.1371659158462755E-3</v>
      </c>
      <c r="S144" s="1"/>
      <c r="T144" s="1">
        <f>SUM(OSRRefT22_20x_0)</f>
        <v>5600</v>
      </c>
      <c r="U144" s="1"/>
      <c r="V144" s="5">
        <f t="shared" ref="V144:V148" si="109">IF(T$12=0,0,T144/T$12)</f>
        <v>2.045469323337839E-3</v>
      </c>
      <c r="W144" s="1"/>
      <c r="X144" s="1">
        <f t="shared" ref="X144:X148" si="110">+P144-T144</f>
        <v>-335.46000000000004</v>
      </c>
      <c r="Y144" s="1"/>
      <c r="Z144" s="5">
        <f t="shared" ref="Z144:Z148" si="111">IF(T144=0,0,X144/T144)</f>
        <v>-5.9903571428571438E-2</v>
      </c>
    </row>
    <row r="145" spans="1:26" s="24" customFormat="1" hidden="1" outlineLevel="2" x14ac:dyDescent="0.25">
      <c r="A145" s="25"/>
      <c r="B145" s="11" t="str">
        <f>CONCATENATE("          ", "6376", " - ", "TRAINING")</f>
        <v xml:space="preserve">          6376 - TRAINING</v>
      </c>
      <c r="C145" s="11"/>
      <c r="D145" s="6">
        <v>1558.55</v>
      </c>
      <c r="E145" s="2"/>
      <c r="F145" s="7">
        <f t="shared" si="104"/>
        <v>1.1558351785190791E-2</v>
      </c>
      <c r="G145" s="2"/>
      <c r="H145" s="6">
        <v>1000</v>
      </c>
      <c r="I145" s="2"/>
      <c r="J145" s="7">
        <f t="shared" si="105"/>
        <v>2.535301596216474E-3</v>
      </c>
      <c r="K145" s="2"/>
      <c r="L145" s="6">
        <f t="shared" si="106"/>
        <v>558.54999999999995</v>
      </c>
      <c r="M145" s="2"/>
      <c r="N145" s="7">
        <f t="shared" si="107"/>
        <v>0.55854999999999999</v>
      </c>
      <c r="O145" s="11"/>
      <c r="P145" s="6">
        <v>5264.54</v>
      </c>
      <c r="Q145" s="2"/>
      <c r="R145" s="7">
        <f t="shared" si="108"/>
        <v>2.1371659158462755E-3</v>
      </c>
      <c r="S145" s="2"/>
      <c r="T145" s="6">
        <v>5600</v>
      </c>
      <c r="U145" s="2"/>
      <c r="V145" s="7">
        <f t="shared" si="109"/>
        <v>2.045469323337839E-3</v>
      </c>
      <c r="W145" s="2"/>
      <c r="X145" s="6">
        <f t="shared" si="110"/>
        <v>-335.46000000000004</v>
      </c>
      <c r="Y145" s="2"/>
      <c r="Z145" s="7">
        <f t="shared" si="111"/>
        <v>-5.9903571428571438E-2</v>
      </c>
    </row>
    <row r="146" spans="1:26" s="27" customFormat="1" outlineLevel="1" collapsed="1" x14ac:dyDescent="0.25">
      <c r="A146" s="26"/>
      <c r="B146" s="13" t="str">
        <f>CONCATENATE("     ","Travel                                            ")</f>
        <v xml:space="preserve">     Travel                                            </v>
      </c>
      <c r="C146" s="13"/>
      <c r="D146" s="1">
        <f>SUM(OSRRefD22_21x_0)</f>
        <v>14.13</v>
      </c>
      <c r="E146" s="1"/>
      <c r="F146" s="5">
        <f t="shared" si="104"/>
        <v>1.0478939445301458E-4</v>
      </c>
      <c r="G146" s="1"/>
      <c r="H146" s="1">
        <f>SUM(OSRRefH22_21x_0)</f>
        <v>125</v>
      </c>
      <c r="I146" s="1"/>
      <c r="J146" s="5">
        <f t="shared" si="105"/>
        <v>3.1691269952705925E-4</v>
      </c>
      <c r="K146" s="1"/>
      <c r="L146" s="1">
        <f t="shared" si="106"/>
        <v>-110.87</v>
      </c>
      <c r="M146" s="1"/>
      <c r="N146" s="5">
        <f t="shared" si="107"/>
        <v>-0.88696000000000008</v>
      </c>
      <c r="O146" s="13"/>
      <c r="P146" s="1">
        <f>SUM(OSRRefP22_21x_0)</f>
        <v>612.98</v>
      </c>
      <c r="Q146" s="1"/>
      <c r="R146" s="5">
        <f t="shared" si="108"/>
        <v>2.4884224701406961E-4</v>
      </c>
      <c r="S146" s="1"/>
      <c r="T146" s="1">
        <f>SUM(OSRRefT22_21x_0)</f>
        <v>910</v>
      </c>
      <c r="U146" s="1"/>
      <c r="V146" s="5">
        <f t="shared" si="109"/>
        <v>3.3238876504239882E-4</v>
      </c>
      <c r="W146" s="1"/>
      <c r="X146" s="1">
        <f t="shared" si="110"/>
        <v>-297.02</v>
      </c>
      <c r="Y146" s="1"/>
      <c r="Z146" s="5">
        <f t="shared" si="111"/>
        <v>-0.32639560439560439</v>
      </c>
    </row>
    <row r="147" spans="1:26" s="24" customFormat="1" hidden="1" outlineLevel="2" x14ac:dyDescent="0.25">
      <c r="A147" s="25"/>
      <c r="B147" s="11" t="str">
        <f>CONCATENATE("          ", "6292", " - ", "TRAVEL/CONFERENCE")</f>
        <v xml:space="preserve">          6292 - TRAVEL/CONFERENCE</v>
      </c>
      <c r="C147" s="11"/>
      <c r="D147" s="6"/>
      <c r="E147" s="2"/>
      <c r="F147" s="7">
        <f t="shared" si="104"/>
        <v>0</v>
      </c>
      <c r="G147" s="2"/>
      <c r="H147" s="6"/>
      <c r="I147" s="2"/>
      <c r="J147" s="7">
        <f t="shared" si="105"/>
        <v>0</v>
      </c>
      <c r="K147" s="2"/>
      <c r="L147" s="6">
        <f t="shared" si="106"/>
        <v>0</v>
      </c>
      <c r="M147" s="2"/>
      <c r="N147" s="7">
        <f t="shared" si="107"/>
        <v>0</v>
      </c>
      <c r="O147" s="11"/>
      <c r="P147" s="6">
        <v>107.04</v>
      </c>
      <c r="Q147" s="2"/>
      <c r="R147" s="7">
        <f t="shared" si="108"/>
        <v>4.3453414663424602E-5</v>
      </c>
      <c r="S147" s="2"/>
      <c r="T147" s="6"/>
      <c r="U147" s="2"/>
      <c r="V147" s="7">
        <f t="shared" si="109"/>
        <v>0</v>
      </c>
      <c r="W147" s="2"/>
      <c r="X147" s="6">
        <f t="shared" si="110"/>
        <v>107.04</v>
      </c>
      <c r="Y147" s="2"/>
      <c r="Z147" s="7">
        <f t="shared" si="111"/>
        <v>0</v>
      </c>
    </row>
    <row r="148" spans="1:26" s="24" customFormat="1" hidden="1" outlineLevel="2" x14ac:dyDescent="0.25">
      <c r="A148" s="25"/>
      <c r="B148" s="11" t="str">
        <f>CONCATENATE("          ", "6294", " - ", "TRAVEL OPERATIONAL")</f>
        <v xml:space="preserve">          6294 - TRAVEL OPERATIONAL</v>
      </c>
      <c r="C148" s="11"/>
      <c r="D148" s="6">
        <v>14.13</v>
      </c>
      <c r="E148" s="2"/>
      <c r="F148" s="7">
        <f t="shared" si="104"/>
        <v>1.0478939445301458E-4</v>
      </c>
      <c r="G148" s="2"/>
      <c r="H148" s="6">
        <v>125</v>
      </c>
      <c r="I148" s="2"/>
      <c r="J148" s="7">
        <f t="shared" si="105"/>
        <v>3.1691269952705925E-4</v>
      </c>
      <c r="K148" s="2"/>
      <c r="L148" s="6">
        <f t="shared" si="106"/>
        <v>-110.87</v>
      </c>
      <c r="M148" s="2"/>
      <c r="N148" s="7">
        <f t="shared" si="107"/>
        <v>-0.88696000000000008</v>
      </c>
      <c r="O148" s="11"/>
      <c r="P148" s="6">
        <v>505.94</v>
      </c>
      <c r="Q148" s="2"/>
      <c r="R148" s="7">
        <f t="shared" si="108"/>
        <v>2.0538883235064501E-4</v>
      </c>
      <c r="S148" s="2"/>
      <c r="T148" s="6">
        <v>910</v>
      </c>
      <c r="U148" s="2"/>
      <c r="V148" s="7">
        <f t="shared" si="109"/>
        <v>3.3238876504239882E-4</v>
      </c>
      <c r="W148" s="2"/>
      <c r="X148" s="6">
        <f t="shared" si="110"/>
        <v>-404.06</v>
      </c>
      <c r="Y148" s="2"/>
      <c r="Z148" s="7">
        <f t="shared" si="111"/>
        <v>-0.44402197802197801</v>
      </c>
    </row>
    <row r="149" spans="1:26" s="27" customFormat="1" outlineLevel="1" collapsed="1" x14ac:dyDescent="0.25">
      <c r="A149" s="26"/>
      <c r="B149" s="13" t="str">
        <f>CONCATENATE("     ","Utilities                                         ")</f>
        <v xml:space="preserve">     Utilities                                         </v>
      </c>
      <c r="C149" s="13"/>
      <c r="D149" s="1">
        <f>SUM(OSRRefD22_22x_0)</f>
        <v>12.51</v>
      </c>
      <c r="E149" s="1"/>
      <c r="F149" s="5">
        <f t="shared" ref="F149:F150" si="112">IF(D$12=0,0,D149/D$12)</f>
        <v>9.2775323751395069E-5</v>
      </c>
      <c r="G149" s="1"/>
      <c r="H149" s="1">
        <f>SUM(OSRRefH22_22x_0)</f>
        <v>200</v>
      </c>
      <c r="I149" s="1"/>
      <c r="J149" s="5">
        <f t="shared" ref="J149:J150" si="113">IF(H$12=0,0,H149/H$12)</f>
        <v>5.0706031924329482E-4</v>
      </c>
      <c r="K149" s="1"/>
      <c r="L149" s="1">
        <f t="shared" ref="L149:L150" si="114">+D149-H149</f>
        <v>-187.49</v>
      </c>
      <c r="M149" s="1"/>
      <c r="N149" s="5">
        <f t="shared" ref="N149:N150" si="115">IF(H149=0,0,L149/H149)</f>
        <v>-0.93745000000000001</v>
      </c>
      <c r="O149" s="13"/>
      <c r="P149" s="1">
        <f>SUM(OSRRefP22_22x_0)</f>
        <v>2866.3</v>
      </c>
      <c r="Q149" s="1"/>
      <c r="R149" s="5">
        <f t="shared" ref="R149:R150" si="116">IF(P$12=0,0,P149/P$12)</f>
        <v>1.1635885879089493E-3</v>
      </c>
      <c r="S149" s="1"/>
      <c r="T149" s="1">
        <f>SUM(OSRRefT22_22x_0)</f>
        <v>3875</v>
      </c>
      <c r="U149" s="1"/>
      <c r="V149" s="5">
        <f t="shared" ref="V149:V150" si="117">IF(T$12=0,0,T149/T$12)</f>
        <v>1.4153917192739509E-3</v>
      </c>
      <c r="W149" s="1"/>
      <c r="X149" s="1">
        <f t="shared" ref="X149:X150" si="118">+P149-T149</f>
        <v>-1008.6999999999998</v>
      </c>
      <c r="Y149" s="1"/>
      <c r="Z149" s="5">
        <f t="shared" ref="Z149:Z150" si="119">IF(T149=0,0,X149/T149)</f>
        <v>-0.26030967741935479</v>
      </c>
    </row>
    <row r="150" spans="1:26" s="24" customFormat="1" hidden="1" outlineLevel="2" x14ac:dyDescent="0.25">
      <c r="A150" s="25"/>
      <c r="B150" s="11" t="str">
        <f>CONCATENATE("          ", "6274", " - ", "UTILITIES")</f>
        <v xml:space="preserve">          6274 - UTILITIES</v>
      </c>
      <c r="C150" s="11"/>
      <c r="D150" s="6">
        <v>12.51</v>
      </c>
      <c r="E150" s="2"/>
      <c r="F150" s="7">
        <f t="shared" si="112"/>
        <v>9.2775323751395069E-5</v>
      </c>
      <c r="G150" s="2"/>
      <c r="H150" s="6">
        <v>200</v>
      </c>
      <c r="I150" s="2"/>
      <c r="J150" s="7">
        <f t="shared" si="113"/>
        <v>5.0706031924329482E-4</v>
      </c>
      <c r="K150" s="2"/>
      <c r="L150" s="6">
        <f t="shared" si="114"/>
        <v>-187.49</v>
      </c>
      <c r="M150" s="2"/>
      <c r="N150" s="7">
        <f t="shared" si="115"/>
        <v>-0.93745000000000001</v>
      </c>
      <c r="O150" s="11"/>
      <c r="P150" s="6">
        <v>2866.3</v>
      </c>
      <c r="Q150" s="2"/>
      <c r="R150" s="7">
        <f t="shared" si="116"/>
        <v>1.1635885879089493E-3</v>
      </c>
      <c r="S150" s="2"/>
      <c r="T150" s="6">
        <v>3875</v>
      </c>
      <c r="U150" s="2"/>
      <c r="V150" s="7">
        <f t="shared" si="117"/>
        <v>1.4153917192739509E-3</v>
      </c>
      <c r="W150" s="2"/>
      <c r="X150" s="6">
        <f t="shared" si="118"/>
        <v>-1008.6999999999998</v>
      </c>
      <c r="Y150" s="2"/>
      <c r="Z150" s="7">
        <f t="shared" si="119"/>
        <v>-0.26030967741935479</v>
      </c>
    </row>
    <row r="151" spans="1:26" s="56" customFormat="1" x14ac:dyDescent="0.25">
      <c r="A151" s="36"/>
      <c r="B151" s="36"/>
      <c r="C151" s="36"/>
      <c r="D151" s="1"/>
      <c r="E151" s="1"/>
      <c r="F151" s="5"/>
      <c r="G151" s="1"/>
      <c r="H151" s="1"/>
      <c r="I151" s="1"/>
      <c r="J151" s="5"/>
      <c r="K151" s="1"/>
      <c r="L151" s="1"/>
      <c r="M151" s="1"/>
      <c r="N151" s="5"/>
      <c r="O151" s="36"/>
      <c r="P151" s="1"/>
      <c r="Q151" s="1"/>
      <c r="R151" s="5"/>
      <c r="S151" s="1"/>
      <c r="T151" s="1"/>
      <c r="U151" s="1"/>
      <c r="V151" s="5"/>
      <c r="W151" s="1"/>
      <c r="X151" s="1"/>
      <c r="Y151" s="1"/>
      <c r="Z151" s="5"/>
    </row>
    <row r="152" spans="1:26" s="23" customFormat="1" collapsed="1" x14ac:dyDescent="0.25">
      <c r="A152" s="10"/>
      <c r="B152" s="29" t="s">
        <v>0</v>
      </c>
      <c r="C152" s="10"/>
      <c r="D152" s="4">
        <f>SUM(OSRRefD25x_0)</f>
        <v>3338.98</v>
      </c>
      <c r="E152" s="4"/>
      <c r="F152" s="12">
        <f t="shared" ref="F152:F155" si="120">IF(D$12=0,0,D152/D$12)</f>
        <v>2.476218629092191E-2</v>
      </c>
      <c r="G152" s="4"/>
      <c r="H152" s="4">
        <f>SUM(OSRRefH25x_0)</f>
        <v>8625</v>
      </c>
      <c r="I152" s="4"/>
      <c r="J152" s="12">
        <f t="shared" ref="J152:J155" si="121">IF(H$12=0,0,H152/H$12)</f>
        <v>2.1866976267367087E-2</v>
      </c>
      <c r="K152" s="4"/>
      <c r="L152" s="4">
        <f t="shared" ref="L152:L155" si="122">+D152-H152</f>
        <v>-5286.02</v>
      </c>
      <c r="M152" s="4"/>
      <c r="N152" s="12">
        <f t="shared" ref="N152:N155" si="123">IF(H152=0,0,L152/H152)</f>
        <v>-0.61287188405797111</v>
      </c>
      <c r="O152" s="10"/>
      <c r="P152" s="4">
        <f>SUM(OSRRefP25x_0)</f>
        <v>42793.87</v>
      </c>
      <c r="Q152" s="4"/>
      <c r="R152" s="12">
        <f t="shared" ref="R152:R155" si="124">IF(P$12=0,0,P152/P$12)</f>
        <v>1.7372382082984736E-2</v>
      </c>
      <c r="S152" s="4"/>
      <c r="T152" s="4">
        <f>SUM(OSRRefT25x_0)</f>
        <v>77625</v>
      </c>
      <c r="U152" s="4"/>
      <c r="V152" s="12">
        <f t="shared" ref="V152:V155" si="125">IF(T$12=0,0,T152/T$12)</f>
        <v>2.8353492182874952E-2</v>
      </c>
      <c r="W152" s="4"/>
      <c r="X152" s="4">
        <f t="shared" ref="X152:X155" si="126">+P152-T152</f>
        <v>-34831.129999999997</v>
      </c>
      <c r="Y152" s="4"/>
      <c r="Z152" s="12">
        <f t="shared" ref="Z152:Z155" si="127">IF(T152=0,0,X152/T152)</f>
        <v>-0.44871020933977451</v>
      </c>
    </row>
    <row r="153" spans="1:26" s="24" customFormat="1" hidden="1" outlineLevel="1" x14ac:dyDescent="0.25">
      <c r="A153" s="44"/>
      <c r="B153" s="11" t="str">
        <f>CONCATENATE("          ", "9150", " - ", "MISC. INCOME")</f>
        <v xml:space="preserve">          9150 - MISC. INCOME</v>
      </c>
      <c r="C153" s="11"/>
      <c r="D153" s="2">
        <f>--3338.98</f>
        <v>3338.98</v>
      </c>
      <c r="E153" s="2"/>
      <c r="F153" s="19">
        <f t="shared" si="120"/>
        <v>2.476218629092191E-2</v>
      </c>
      <c r="G153" s="2"/>
      <c r="H153" s="2">
        <v>7725</v>
      </c>
      <c r="I153" s="2"/>
      <c r="J153" s="19">
        <f t="shared" si="121"/>
        <v>1.9585204830772262E-2</v>
      </c>
      <c r="K153" s="2"/>
      <c r="L153" s="2">
        <f t="shared" si="122"/>
        <v>-4386.0200000000004</v>
      </c>
      <c r="M153" s="2"/>
      <c r="N153" s="19">
        <f t="shared" si="123"/>
        <v>-0.56776957928802596</v>
      </c>
      <c r="O153" s="11"/>
      <c r="P153" s="2">
        <f>--42793.87</f>
        <v>42793.87</v>
      </c>
      <c r="Q153" s="2"/>
      <c r="R153" s="19">
        <f t="shared" si="124"/>
        <v>1.7372382082984736E-2</v>
      </c>
      <c r="S153" s="2"/>
      <c r="T153" s="2">
        <v>69525</v>
      </c>
      <c r="U153" s="2"/>
      <c r="V153" s="19">
        <f t="shared" si="125"/>
        <v>2.5394866911618436E-2</v>
      </c>
      <c r="W153" s="2"/>
      <c r="X153" s="2">
        <f t="shared" si="126"/>
        <v>-26731.129999999997</v>
      </c>
      <c r="Y153" s="2"/>
      <c r="Z153" s="19">
        <f t="shared" si="127"/>
        <v>-0.38448227256382594</v>
      </c>
    </row>
    <row r="154" spans="1:26" s="24" customFormat="1" hidden="1" outlineLevel="1" x14ac:dyDescent="0.25">
      <c r="A154" s="44"/>
      <c r="B154" s="11" t="str">
        <f>CONCATENATE("          ", "9151", " - ", "MISC. INCOME")</f>
        <v xml:space="preserve">          9151 - MISC. INCOME</v>
      </c>
      <c r="C154" s="11"/>
      <c r="D154" s="2">
        <f t="shared" ref="D154:D155" si="128">0</f>
        <v>0</v>
      </c>
      <c r="E154" s="2"/>
      <c r="F154" s="19">
        <f t="shared" si="120"/>
        <v>0</v>
      </c>
      <c r="G154" s="2"/>
      <c r="H154" s="2">
        <v>100</v>
      </c>
      <c r="I154" s="2"/>
      <c r="J154" s="19">
        <f t="shared" si="121"/>
        <v>2.5353015962164741E-4</v>
      </c>
      <c r="K154" s="2"/>
      <c r="L154" s="2">
        <f t="shared" si="122"/>
        <v>-100</v>
      </c>
      <c r="M154" s="2"/>
      <c r="N154" s="19">
        <f t="shared" si="123"/>
        <v>-1</v>
      </c>
      <c r="O154" s="11"/>
      <c r="P154" s="2">
        <f t="shared" ref="P154:P155" si="129">0</f>
        <v>0</v>
      </c>
      <c r="Q154" s="2"/>
      <c r="R154" s="19">
        <f t="shared" si="124"/>
        <v>0</v>
      </c>
      <c r="S154" s="2"/>
      <c r="T154" s="2">
        <v>900</v>
      </c>
      <c r="U154" s="2"/>
      <c r="V154" s="19">
        <f t="shared" si="125"/>
        <v>3.2873614125072411E-4</v>
      </c>
      <c r="W154" s="2"/>
      <c r="X154" s="2">
        <f t="shared" si="126"/>
        <v>-900</v>
      </c>
      <c r="Y154" s="2"/>
      <c r="Z154" s="19">
        <f t="shared" si="127"/>
        <v>-1</v>
      </c>
    </row>
    <row r="155" spans="1:26" s="24" customFormat="1" hidden="1" outlineLevel="1" x14ac:dyDescent="0.25">
      <c r="A155" s="44"/>
      <c r="B155" s="11" t="str">
        <f>CONCATENATE("          ", "9160", " - ", "MISC. INCOME")</f>
        <v xml:space="preserve">          9160 - MISC. INCOME</v>
      </c>
      <c r="C155" s="11"/>
      <c r="D155" s="2">
        <f t="shared" si="128"/>
        <v>0</v>
      </c>
      <c r="E155" s="2"/>
      <c r="F155" s="19">
        <f t="shared" si="120"/>
        <v>0</v>
      </c>
      <c r="G155" s="2"/>
      <c r="H155" s="2">
        <v>800</v>
      </c>
      <c r="I155" s="2"/>
      <c r="J155" s="19">
        <f t="shared" si="121"/>
        <v>2.0282412769731793E-3</v>
      </c>
      <c r="K155" s="2"/>
      <c r="L155" s="2">
        <f t="shared" si="122"/>
        <v>-800</v>
      </c>
      <c r="M155" s="2"/>
      <c r="N155" s="19">
        <f t="shared" si="123"/>
        <v>-1</v>
      </c>
      <c r="O155" s="11"/>
      <c r="P155" s="2">
        <f t="shared" si="129"/>
        <v>0</v>
      </c>
      <c r="Q155" s="2"/>
      <c r="R155" s="19">
        <f t="shared" si="124"/>
        <v>0</v>
      </c>
      <c r="S155" s="2"/>
      <c r="T155" s="2">
        <v>7200</v>
      </c>
      <c r="U155" s="2"/>
      <c r="V155" s="19">
        <f t="shared" si="125"/>
        <v>2.6298891300057929E-3</v>
      </c>
      <c r="W155" s="2"/>
      <c r="X155" s="2">
        <f t="shared" si="126"/>
        <v>-7200</v>
      </c>
      <c r="Y155" s="2"/>
      <c r="Z155" s="19">
        <f t="shared" si="127"/>
        <v>-1</v>
      </c>
    </row>
    <row r="156" spans="1:26" x14ac:dyDescent="0.25">
      <c r="A156" s="9"/>
      <c r="B156" s="10"/>
      <c r="C156" s="10"/>
      <c r="D156" s="3"/>
      <c r="E156" s="3"/>
      <c r="F156" s="8"/>
      <c r="G156" s="3"/>
      <c r="H156" s="3"/>
      <c r="I156" s="3"/>
      <c r="J156" s="8"/>
      <c r="K156" s="3"/>
      <c r="L156" s="3"/>
      <c r="M156" s="3"/>
      <c r="N156" s="8"/>
      <c r="O156" s="10"/>
      <c r="P156" s="3"/>
      <c r="Q156" s="3"/>
      <c r="R156" s="8"/>
      <c r="S156" s="3"/>
      <c r="T156" s="3"/>
      <c r="U156" s="3"/>
      <c r="V156" s="8"/>
      <c r="W156" s="3"/>
      <c r="X156" s="3"/>
      <c r="Y156" s="3"/>
      <c r="Z156" s="8"/>
    </row>
    <row r="157" spans="1:26" s="23" customFormat="1" x14ac:dyDescent="0.25">
      <c r="A157" s="10"/>
      <c r="B157" s="28" t="s">
        <v>3</v>
      </c>
      <c r="C157" s="28"/>
      <c r="D157" s="20">
        <f>+D69-D71+D152</f>
        <v>-5907.7400000000016</v>
      </c>
      <c r="E157" s="14"/>
      <c r="F157" s="22">
        <f>IF(D$12=0,0,D157/D$12)</f>
        <v>-4.381234941159607E-2</v>
      </c>
      <c r="G157" s="14"/>
      <c r="H157" s="20">
        <f>+H69-H71+H152</f>
        <v>143185.55794642502</v>
      </c>
      <c r="I157" s="14"/>
      <c r="J157" s="22">
        <f>IF(H$12=0,0,H157/H$12)</f>
        <v>0.36301857361671774</v>
      </c>
      <c r="K157" s="16"/>
      <c r="L157" s="20">
        <f>+D157-H157</f>
        <v>-149093.29794642501</v>
      </c>
      <c r="M157" s="16"/>
      <c r="N157" s="22">
        <f>IF(H157=0,0,L157/H157)</f>
        <v>-1.0412593286971752</v>
      </c>
      <c r="O157" s="29"/>
      <c r="P157" s="20">
        <f>+P69-P71+P152</f>
        <v>538336.99000000022</v>
      </c>
      <c r="Q157" s="14"/>
      <c r="R157" s="22">
        <f>IF(P$12=0,0,P157/P$12)</f>
        <v>0.21854054984239416</v>
      </c>
      <c r="S157" s="14"/>
      <c r="T157" s="20">
        <f>+T69-T71+T152</f>
        <v>791299.53541564336</v>
      </c>
      <c r="U157" s="14"/>
      <c r="V157" s="22">
        <f>IF(T$12=0,0,T157/T$12)</f>
        <v>0.28903195094003253</v>
      </c>
      <c r="W157" s="16"/>
      <c r="X157" s="20">
        <f>+P157-T157</f>
        <v>-252962.54541564314</v>
      </c>
      <c r="Y157" s="16"/>
      <c r="Z157" s="22">
        <f>IF(T157=0,0,X157/T157)</f>
        <v>-0.31967988617959986</v>
      </c>
    </row>
    <row r="158" spans="1:26" x14ac:dyDescent="0.25">
      <c r="A158" s="9"/>
      <c r="B158" s="10"/>
      <c r="C158" s="9"/>
      <c r="D158" s="3"/>
      <c r="E158" s="3"/>
      <c r="F158" s="8"/>
      <c r="G158" s="3"/>
      <c r="H158" s="3"/>
      <c r="I158" s="3"/>
      <c r="J158" s="8"/>
      <c r="K158" s="3"/>
      <c r="L158" s="3"/>
      <c r="M158" s="3"/>
      <c r="N158" s="8"/>
      <c r="P158" s="3"/>
      <c r="Q158" s="3"/>
      <c r="R158" s="8"/>
      <c r="S158" s="3"/>
      <c r="T158" s="3"/>
      <c r="U158" s="3"/>
      <c r="V158" s="8"/>
      <c r="W158" s="3"/>
      <c r="X158" s="3"/>
      <c r="Y158" s="3"/>
      <c r="Z158" s="8"/>
    </row>
    <row r="159" spans="1:26" s="23" customFormat="1" x14ac:dyDescent="0.25">
      <c r="A159" s="52"/>
      <c r="B159" s="10" t="s">
        <v>14</v>
      </c>
      <c r="C159" s="10"/>
      <c r="D159" s="4">
        <v>26632.78</v>
      </c>
      <c r="E159" s="4"/>
      <c r="F159" s="12">
        <f>IF(D$12=0,0,D159/D$12)</f>
        <v>0.19751117401276413</v>
      </c>
      <c r="G159" s="4"/>
      <c r="H159" s="4">
        <v>38232</v>
      </c>
      <c r="I159" s="4"/>
      <c r="J159" s="12">
        <f>IF(H$12=0,0,H159/H$12)</f>
        <v>9.6929650626548222E-2</v>
      </c>
      <c r="K159" s="4"/>
      <c r="L159" s="4">
        <f>+D159-H159</f>
        <v>-11599.220000000001</v>
      </c>
      <c r="M159" s="4"/>
      <c r="N159" s="12">
        <f>IF(H159=0,0,L159/H159)</f>
        <v>-0.30339035363046668</v>
      </c>
      <c r="O159" s="10"/>
      <c r="P159" s="4">
        <v>263951.53000000003</v>
      </c>
      <c r="Q159" s="4"/>
      <c r="R159" s="12">
        <f>IF(P$12=0,0,P159/P$12)</f>
        <v>0.1071524223106816</v>
      </c>
      <c r="S159" s="4"/>
      <c r="T159" s="4">
        <v>320021</v>
      </c>
      <c r="U159" s="4"/>
      <c r="V159" s="12">
        <f>IF(T$12=0,0,T159/T$12)</f>
        <v>0.11689163184355331</v>
      </c>
      <c r="W159" s="4"/>
      <c r="X159" s="4">
        <f>+P159-T159</f>
        <v>-56069.469999999972</v>
      </c>
      <c r="Y159" s="4"/>
      <c r="Z159" s="12">
        <f>IF(T159=0,0,X159/T159)</f>
        <v>-0.1752055958827701</v>
      </c>
    </row>
    <row r="160" spans="1:26" x14ac:dyDescent="0.25">
      <c r="A160" s="9"/>
      <c r="B160" s="10"/>
      <c r="C160" s="10"/>
      <c r="D160" s="3"/>
      <c r="E160" s="3"/>
      <c r="F160" s="8"/>
      <c r="G160" s="3"/>
      <c r="H160" s="3"/>
      <c r="I160" s="3"/>
      <c r="J160" s="8"/>
      <c r="K160" s="3"/>
      <c r="L160" s="3"/>
      <c r="M160" s="3"/>
      <c r="N160" s="8"/>
      <c r="O160" s="10"/>
      <c r="P160" s="3"/>
      <c r="Q160" s="3"/>
      <c r="R160" s="8"/>
      <c r="S160" s="3"/>
      <c r="T160" s="3"/>
      <c r="U160" s="3"/>
      <c r="V160" s="8"/>
      <c r="W160" s="3"/>
      <c r="X160" s="3"/>
      <c r="Y160" s="3"/>
      <c r="Z160" s="8"/>
    </row>
    <row r="161" spans="1:26" s="23" customFormat="1" ht="15.75" thickBot="1" x14ac:dyDescent="0.3">
      <c r="A161" s="10"/>
      <c r="B161" s="28" t="s">
        <v>4</v>
      </c>
      <c r="C161" s="28"/>
      <c r="D161" s="31">
        <f>+D157-D159</f>
        <v>-32540.52</v>
      </c>
      <c r="E161" s="14"/>
      <c r="F161" s="34">
        <f>IF(D$12=0,0,D161/D$12)</f>
        <v>-0.24132352342436023</v>
      </c>
      <c r="G161" s="14"/>
      <c r="H161" s="31">
        <f>+H157-H159</f>
        <v>104953.55794642502</v>
      </c>
      <c r="I161" s="14"/>
      <c r="J161" s="34">
        <f>IF(H$12=0,0,H161/H$12)</f>
        <v>0.26608892299016951</v>
      </c>
      <c r="K161" s="16"/>
      <c r="L161" s="31">
        <f>D161-H161</f>
        <v>-137494.07794642501</v>
      </c>
      <c r="M161" s="16"/>
      <c r="N161" s="34">
        <f>IF(H161=0,0,L161/H161)</f>
        <v>-1.310046849641922</v>
      </c>
      <c r="O161" s="29"/>
      <c r="P161" s="31">
        <f>+P157-P159</f>
        <v>274385.4600000002</v>
      </c>
      <c r="Q161" s="14"/>
      <c r="R161" s="34">
        <f>IF(P$12=0,0,P161/P$12)</f>
        <v>0.11138812753171255</v>
      </c>
      <c r="S161" s="14"/>
      <c r="T161" s="31">
        <f>+T157-T159</f>
        <v>471278.53541564336</v>
      </c>
      <c r="U161" s="14"/>
      <c r="V161" s="34">
        <f>IF(T$12=0,0,T161/T$12)</f>
        <v>0.17214031909647923</v>
      </c>
      <c r="W161" s="16"/>
      <c r="X161" s="31">
        <f>P161-T161</f>
        <v>-196893.07541564316</v>
      </c>
      <c r="Y161" s="16"/>
      <c r="Z161" s="34">
        <f>IF(T161=0,0,X161/T161)</f>
        <v>-0.41778494164176949</v>
      </c>
    </row>
    <row r="162" spans="1:26" ht="15.75" thickTop="1" x14ac:dyDescent="0.25">
      <c r="A162" s="9"/>
      <c r="B162" s="9"/>
      <c r="C162" s="9"/>
      <c r="D162" s="3"/>
      <c r="E162" s="3"/>
      <c r="F162" s="8"/>
      <c r="G162" s="3"/>
      <c r="H162" s="3"/>
      <c r="I162" s="3"/>
      <c r="J162" s="8"/>
      <c r="K162" s="3"/>
      <c r="L162" s="3"/>
      <c r="M162" s="3"/>
      <c r="N162" s="8"/>
      <c r="P162" s="3"/>
      <c r="Q162" s="3"/>
      <c r="R162" s="8"/>
      <c r="S162" s="3"/>
      <c r="T162" s="3"/>
      <c r="U162" s="3"/>
      <c r="V162" s="8"/>
      <c r="W162" s="3"/>
      <c r="X162" s="3"/>
      <c r="Y162" s="3"/>
      <c r="Z162" s="8"/>
    </row>
    <row r="163" spans="1:26" x14ac:dyDescent="0.25">
      <c r="A163" s="9"/>
      <c r="B163" s="9"/>
      <c r="C163" s="9"/>
      <c r="D163" s="3"/>
      <c r="E163" s="3"/>
      <c r="F163" s="8"/>
      <c r="G163" s="3"/>
      <c r="H163" s="3"/>
      <c r="I163" s="3"/>
      <c r="J163" s="8"/>
      <c r="K163" s="3"/>
      <c r="L163" s="3"/>
      <c r="M163" s="3"/>
      <c r="N163" s="8"/>
      <c r="P163" s="3"/>
      <c r="Q163" s="3"/>
      <c r="R163" s="8"/>
      <c r="S163" s="3"/>
      <c r="T163" s="3"/>
      <c r="U163" s="3"/>
      <c r="V163" s="8"/>
      <c r="W163" s="3"/>
      <c r="X163" s="3"/>
      <c r="Y163" s="3"/>
      <c r="Z163" s="8"/>
    </row>
    <row r="164" spans="1:26" s="23" customFormat="1" ht="15.75" thickBot="1" x14ac:dyDescent="0.3">
      <c r="A164" s="10"/>
      <c r="B164" s="28" t="s">
        <v>5</v>
      </c>
      <c r="C164" s="28"/>
      <c r="D164" s="32">
        <f>SUM(D161:D163)</f>
        <v>-32540.52</v>
      </c>
      <c r="E164" s="14"/>
      <c r="F164" s="35">
        <f>IF(D$12=0,0,D164/D$12)</f>
        <v>-0.24132352342436023</v>
      </c>
      <c r="G164" s="14"/>
      <c r="H164" s="32">
        <f>SUM(H161:H163)</f>
        <v>104953.55794642502</v>
      </c>
      <c r="I164" s="14"/>
      <c r="J164" s="35">
        <f>IF(H$12=0,0,H164/H$12)</f>
        <v>0.26608892299016951</v>
      </c>
      <c r="K164" s="16"/>
      <c r="L164" s="32">
        <f>+D164-H164</f>
        <v>-137494.07794642501</v>
      </c>
      <c r="M164" s="16"/>
      <c r="N164" s="35">
        <f>IF(H164=0,0,L164/H164)</f>
        <v>-1.310046849641922</v>
      </c>
      <c r="O164" s="29"/>
      <c r="P164" s="32">
        <f>SUM(P161:P163)</f>
        <v>274385.4600000002</v>
      </c>
      <c r="Q164" s="14"/>
      <c r="R164" s="35">
        <f>IF(P$12=0,0,P164/P$12)</f>
        <v>0.11138812753171255</v>
      </c>
      <c r="S164" s="14"/>
      <c r="T164" s="32">
        <f>SUM(T161:T163)</f>
        <v>471278.53541564336</v>
      </c>
      <c r="U164" s="14"/>
      <c r="V164" s="35">
        <f>IF(T$12=0,0,T164/T$12)</f>
        <v>0.17214031909647923</v>
      </c>
      <c r="W164" s="16"/>
      <c r="X164" s="32">
        <f>+P164-T164</f>
        <v>-196893.07541564316</v>
      </c>
      <c r="Y164" s="16"/>
      <c r="Z164" s="35">
        <f>IF(T164=0,0,X164/T164)</f>
        <v>-0.41778494164176949</v>
      </c>
    </row>
    <row r="165" spans="1:26" ht="15.75" thickTop="1" x14ac:dyDescent="0.25">
      <c r="A165" s="9"/>
      <c r="C165" s="9"/>
      <c r="D165" s="18"/>
      <c r="E165" s="18"/>
      <c r="G165" s="18"/>
      <c r="H165" s="18"/>
      <c r="I165" s="18"/>
      <c r="J165" s="42"/>
      <c r="K165" s="18"/>
      <c r="L165" s="18"/>
      <c r="M165" s="18"/>
      <c r="P165" s="18"/>
      <c r="Q165" s="18"/>
      <c r="R165" s="42"/>
      <c r="S165" s="18"/>
      <c r="T165" s="18"/>
      <c r="U165" s="18"/>
      <c r="V165" s="42"/>
      <c r="W165" s="18"/>
      <c r="X165" s="18"/>
    </row>
    <row r="166" spans="1:26" x14ac:dyDescent="0.25">
      <c r="A166" s="9"/>
      <c r="B166" s="57">
        <v>43934.465984606482</v>
      </c>
      <c r="D166" s="18"/>
      <c r="E166" s="18"/>
      <c r="G166" s="18"/>
      <c r="H166" s="18"/>
      <c r="I166" s="18"/>
      <c r="J166" s="42"/>
      <c r="K166" s="18"/>
      <c r="L166" s="18"/>
      <c r="M166" s="18"/>
      <c r="P166" s="18"/>
      <c r="Q166" s="18"/>
      <c r="R166" s="42"/>
      <c r="S166" s="18"/>
      <c r="T166" s="18"/>
      <c r="U166" s="18"/>
      <c r="V166" s="42"/>
      <c r="W166" s="18"/>
      <c r="X166" s="18"/>
    </row>
    <row r="167" spans="1:26" x14ac:dyDescent="0.25">
      <c r="A167" s="9"/>
      <c r="B167" s="62" t="s">
        <v>314</v>
      </c>
      <c r="D167" s="18"/>
      <c r="E167" s="18"/>
      <c r="G167" s="18"/>
      <c r="H167" s="18"/>
      <c r="I167" s="18"/>
      <c r="J167" s="42"/>
      <c r="K167" s="18"/>
      <c r="L167" s="18"/>
      <c r="M167" s="18"/>
      <c r="P167" s="18"/>
      <c r="Q167" s="18"/>
      <c r="R167" s="42"/>
      <c r="S167" s="18"/>
      <c r="T167" s="18"/>
      <c r="U167" s="18"/>
      <c r="V167" s="42"/>
      <c r="W167" s="18"/>
      <c r="X167" s="18"/>
    </row>
    <row r="168" spans="1:26" x14ac:dyDescent="0.25">
      <c r="A168" s="9"/>
      <c r="B168" s="60"/>
      <c r="D168" s="18"/>
      <c r="E168" s="18"/>
      <c r="G168" s="18"/>
      <c r="H168" s="18"/>
      <c r="I168" s="18"/>
      <c r="J168" s="42"/>
      <c r="K168" s="18"/>
      <c r="L168" s="18"/>
      <c r="M168" s="18"/>
      <c r="P168" s="18"/>
      <c r="Q168" s="18"/>
      <c r="R168" s="42"/>
      <c r="S168" s="18"/>
      <c r="T168" s="18"/>
      <c r="U168" s="18"/>
      <c r="V168" s="42"/>
      <c r="W168" s="18"/>
      <c r="X168" s="18"/>
    </row>
    <row r="169" spans="1:26" x14ac:dyDescent="0.25">
      <c r="D169" s="18"/>
      <c r="E169" s="18"/>
      <c r="G169" s="18"/>
      <c r="H169" s="18"/>
      <c r="I169" s="18"/>
      <c r="J169" s="42"/>
      <c r="K169" s="18"/>
      <c r="L169" s="18"/>
      <c r="M169" s="18"/>
      <c r="P169" s="18"/>
      <c r="Q169" s="18"/>
      <c r="R169" s="42"/>
      <c r="S169" s="18"/>
      <c r="T169" s="18"/>
      <c r="U169" s="18"/>
      <c r="V169" s="42"/>
      <c r="W169" s="18"/>
      <c r="X169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299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","315", " - ", "Beach Shop")</f>
        <v>Department 315 - Beach Shop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107908.51</v>
      </c>
      <c r="E12" s="4"/>
      <c r="F12" s="12"/>
      <c r="G12" s="4"/>
      <c r="H12" s="4">
        <f>SUM(OSRRefH13x_0)</f>
        <v>345317</v>
      </c>
      <c r="I12" s="4"/>
      <c r="J12" s="12"/>
      <c r="K12" s="4"/>
      <c r="L12" s="4">
        <f t="shared" ref="L12:L34" si="0">+D12-H12</f>
        <v>-237408.49</v>
      </c>
      <c r="M12" s="4"/>
      <c r="N12" s="12">
        <f t="shared" ref="N12:N34" si="1">IF(H12=0,0,L12/H12)</f>
        <v>-0.68750883970380838</v>
      </c>
      <c r="O12" s="10"/>
      <c r="P12" s="4">
        <f>SUM(OSRRefP13x_0)</f>
        <v>2033486.83</v>
      </c>
      <c r="Q12" s="4"/>
      <c r="R12" s="12"/>
      <c r="S12" s="4"/>
      <c r="T12" s="4">
        <f>SUM(OSRRefT13x_0)</f>
        <v>2318637</v>
      </c>
      <c r="U12" s="4"/>
      <c r="V12" s="12"/>
      <c r="W12" s="4"/>
      <c r="X12" s="4">
        <f t="shared" ref="X12:X34" si="2">+P12-T12</f>
        <v>-285150.16999999993</v>
      </c>
      <c r="Y12" s="4"/>
      <c r="Z12" s="12">
        <f t="shared" ref="Z12:Z34" si="3">IF(T12=0,0,X12/T12)</f>
        <v>-0.1229818078465926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345317</v>
      </c>
      <c r="I13" s="2"/>
      <c r="J13" s="19"/>
      <c r="K13" s="2"/>
      <c r="L13" s="2">
        <f t="shared" si="0"/>
        <v>-345317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2318637</v>
      </c>
      <c r="U13" s="2"/>
      <c r="V13" s="19"/>
      <c r="W13" s="2"/>
      <c r="X13" s="2">
        <f t="shared" si="2"/>
        <v>-2318637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"4040", " - ", "TAXABLE SALES-LOGO CLOTHING")</f>
        <v xml:space="preserve">          4040 - TAXABLE SALES-LOGO CLOTHING</v>
      </c>
      <c r="C14" s="11"/>
      <c r="D14" s="2">
        <f>--70923.69</f>
        <v>70923.69</v>
      </c>
      <c r="E14" s="2"/>
      <c r="F14" s="19"/>
      <c r="G14" s="2"/>
      <c r="H14" s="2"/>
      <c r="I14" s="2"/>
      <c r="J14" s="19"/>
      <c r="K14" s="2"/>
      <c r="L14" s="2">
        <f t="shared" si="0"/>
        <v>70923.69</v>
      </c>
      <c r="M14" s="2"/>
      <c r="N14" s="19">
        <f t="shared" si="1"/>
        <v>0</v>
      </c>
      <c r="O14" s="11"/>
      <c r="P14" s="2">
        <f>--1414254.82</f>
        <v>1414254.82</v>
      </c>
      <c r="Q14" s="2"/>
      <c r="R14" s="19"/>
      <c r="S14" s="2"/>
      <c r="T14" s="2"/>
      <c r="U14" s="2"/>
      <c r="V14" s="19"/>
      <c r="W14" s="2"/>
      <c r="X14" s="2">
        <f t="shared" si="2"/>
        <v>1414254.82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"4041", " - ", "TAXABLE SALES-LOGO GIFTS")</f>
        <v xml:space="preserve">          4041 - TAXABLE SALES-LOGO GIFTS</v>
      </c>
      <c r="C15" s="11"/>
      <c r="D15" s="2">
        <f>--21083.23</f>
        <v>21083.23</v>
      </c>
      <c r="E15" s="2"/>
      <c r="F15" s="19"/>
      <c r="G15" s="2"/>
      <c r="H15" s="2"/>
      <c r="I15" s="2"/>
      <c r="J15" s="19"/>
      <c r="K15" s="2"/>
      <c r="L15" s="2">
        <f t="shared" si="0"/>
        <v>21083.23</v>
      </c>
      <c r="M15" s="2"/>
      <c r="N15" s="19">
        <f t="shared" si="1"/>
        <v>0</v>
      </c>
      <c r="O15" s="11"/>
      <c r="P15" s="2">
        <f>--243790.63</f>
        <v>243790.63</v>
      </c>
      <c r="Q15" s="2"/>
      <c r="R15" s="19"/>
      <c r="S15" s="2"/>
      <c r="T15" s="2"/>
      <c r="U15" s="2"/>
      <c r="V15" s="19"/>
      <c r="W15" s="2"/>
      <c r="X15" s="2">
        <f t="shared" si="2"/>
        <v>243790.63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"4042", " - ", "TAXABLE SALES-EVERYDAY GIFTS")</f>
        <v xml:space="preserve">          4042 - TAXABLE SALES-EVERYDAY GIFTS</v>
      </c>
      <c r="C16" s="11"/>
      <c r="D16" s="2">
        <f>--4834.92</f>
        <v>4834.92</v>
      </c>
      <c r="E16" s="2"/>
      <c r="F16" s="19"/>
      <c r="G16" s="2"/>
      <c r="H16" s="2"/>
      <c r="I16" s="2"/>
      <c r="J16" s="19"/>
      <c r="K16" s="2"/>
      <c r="L16" s="2">
        <f t="shared" si="0"/>
        <v>4834.92</v>
      </c>
      <c r="M16" s="2"/>
      <c r="N16" s="19">
        <f t="shared" si="1"/>
        <v>0</v>
      </c>
      <c r="O16" s="11"/>
      <c r="P16" s="2">
        <f>--172110.73</f>
        <v>172110.73</v>
      </c>
      <c r="Q16" s="2"/>
      <c r="R16" s="19"/>
      <c r="S16" s="2"/>
      <c r="T16" s="2"/>
      <c r="U16" s="2"/>
      <c r="V16" s="19"/>
      <c r="W16" s="2"/>
      <c r="X16" s="2">
        <f t="shared" si="2"/>
        <v>172110.73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"4043", " - ", "TAXABLE SALES-CARDS")</f>
        <v xml:space="preserve">          4043 - TAXABLE SALES-CARDS</v>
      </c>
      <c r="C17" s="11"/>
      <c r="D17" s="2">
        <f>--615.62</f>
        <v>615.62</v>
      </c>
      <c r="E17" s="2"/>
      <c r="F17" s="19"/>
      <c r="G17" s="2"/>
      <c r="H17" s="2"/>
      <c r="I17" s="2"/>
      <c r="J17" s="19"/>
      <c r="K17" s="2"/>
      <c r="L17" s="2">
        <f t="shared" si="0"/>
        <v>615.62</v>
      </c>
      <c r="M17" s="2"/>
      <c r="N17" s="19">
        <f t="shared" si="1"/>
        <v>0</v>
      </c>
      <c r="O17" s="11"/>
      <c r="P17" s="2">
        <f>--74753.49</f>
        <v>74753.490000000005</v>
      </c>
      <c r="Q17" s="2"/>
      <c r="R17" s="19"/>
      <c r="S17" s="2"/>
      <c r="T17" s="2"/>
      <c r="U17" s="2"/>
      <c r="V17" s="19"/>
      <c r="W17" s="2"/>
      <c r="X17" s="2">
        <f t="shared" si="2"/>
        <v>74753.490000000005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"4044", " - ", "TAXABLE SALES-ACCESSORIES")</f>
        <v xml:space="preserve">          4044 - TAXABLE SALES-ACCESSORIES</v>
      </c>
      <c r="C18" s="11"/>
      <c r="D18" s="2">
        <f>--3471.84</f>
        <v>3471.84</v>
      </c>
      <c r="E18" s="2"/>
      <c r="F18" s="19"/>
      <c r="G18" s="2"/>
      <c r="H18" s="2"/>
      <c r="I18" s="2"/>
      <c r="J18" s="19"/>
      <c r="K18" s="2"/>
      <c r="L18" s="2">
        <f t="shared" si="0"/>
        <v>3471.84</v>
      </c>
      <c r="M18" s="2"/>
      <c r="N18" s="19">
        <f t="shared" si="1"/>
        <v>0</v>
      </c>
      <c r="O18" s="11"/>
      <c r="P18" s="2">
        <f>--62150.5</f>
        <v>62150.5</v>
      </c>
      <c r="Q18" s="2"/>
      <c r="R18" s="19"/>
      <c r="S18" s="2"/>
      <c r="T18" s="2"/>
      <c r="U18" s="2"/>
      <c r="V18" s="19"/>
      <c r="W18" s="2"/>
      <c r="X18" s="2">
        <f t="shared" si="2"/>
        <v>62150.5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"4045", " - ", "TAXABLE SALES-SPECIAL ORDERS")</f>
        <v xml:space="preserve">          4045 - TAXABLE SALES-SPECIAL ORDERS</v>
      </c>
      <c r="C19" s="11"/>
      <c r="D19" s="2">
        <f>--3847.78</f>
        <v>3847.78</v>
      </c>
      <c r="E19" s="2"/>
      <c r="F19" s="19"/>
      <c r="G19" s="2"/>
      <c r="H19" s="2"/>
      <c r="I19" s="2"/>
      <c r="J19" s="19"/>
      <c r="K19" s="2"/>
      <c r="L19" s="2">
        <f t="shared" si="0"/>
        <v>3847.78</v>
      </c>
      <c r="M19" s="2"/>
      <c r="N19" s="19">
        <f t="shared" si="1"/>
        <v>0</v>
      </c>
      <c r="O19" s="11"/>
      <c r="P19" s="2">
        <f>--73933.22</f>
        <v>73933.22</v>
      </c>
      <c r="Q19" s="2"/>
      <c r="R19" s="19"/>
      <c r="S19" s="2"/>
      <c r="T19" s="2"/>
      <c r="U19" s="2"/>
      <c r="V19" s="19"/>
      <c r="W19" s="2"/>
      <c r="X19" s="2">
        <f t="shared" si="2"/>
        <v>73933.22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"4140", " - ", "NON-TAXABLE SALES-LOGO CLOTHIN")</f>
        <v xml:space="preserve">          4140 - NON-TAXABLE SALES-LOGO CLOTHIN</v>
      </c>
      <c r="C20" s="11"/>
      <c r="D20" s="2">
        <f>--5466.31</f>
        <v>5466.31</v>
      </c>
      <c r="E20" s="2"/>
      <c r="F20" s="19"/>
      <c r="G20" s="2"/>
      <c r="H20" s="2"/>
      <c r="I20" s="2"/>
      <c r="J20" s="19"/>
      <c r="K20" s="2"/>
      <c r="L20" s="2">
        <f t="shared" si="0"/>
        <v>5466.31</v>
      </c>
      <c r="M20" s="2"/>
      <c r="N20" s="19">
        <f t="shared" si="1"/>
        <v>0</v>
      </c>
      <c r="O20" s="11"/>
      <c r="P20" s="2">
        <f>--48048.98</f>
        <v>48048.98</v>
      </c>
      <c r="Q20" s="2"/>
      <c r="R20" s="19"/>
      <c r="S20" s="2"/>
      <c r="T20" s="2"/>
      <c r="U20" s="2"/>
      <c r="V20" s="19"/>
      <c r="W20" s="2"/>
      <c r="X20" s="2">
        <f t="shared" si="2"/>
        <v>48048.98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"4141", " - ", "NON-TAXABLE SALES-LOGO GIFTS")</f>
        <v xml:space="preserve">          4141 - NON-TAXABLE SALES-LOGO GIFTS</v>
      </c>
      <c r="C21" s="11"/>
      <c r="D21" s="2">
        <f>--235.74</f>
        <v>235.74</v>
      </c>
      <c r="E21" s="2"/>
      <c r="F21" s="19"/>
      <c r="G21" s="2"/>
      <c r="H21" s="2"/>
      <c r="I21" s="2"/>
      <c r="J21" s="19"/>
      <c r="K21" s="2"/>
      <c r="L21" s="2">
        <f t="shared" si="0"/>
        <v>235.74</v>
      </c>
      <c r="M21" s="2"/>
      <c r="N21" s="19">
        <f t="shared" si="1"/>
        <v>0</v>
      </c>
      <c r="O21" s="11"/>
      <c r="P21" s="2">
        <f>--10049.96</f>
        <v>10049.959999999999</v>
      </c>
      <c r="Q21" s="2"/>
      <c r="R21" s="19"/>
      <c r="S21" s="2"/>
      <c r="T21" s="2"/>
      <c r="U21" s="2"/>
      <c r="V21" s="19"/>
      <c r="W21" s="2"/>
      <c r="X21" s="2">
        <f t="shared" si="2"/>
        <v>10049.959999999999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"4142", " - ", "NON-TAXABLE SALES-EVERYDAY GIF")</f>
        <v xml:space="preserve">          4142 - NON-TAXABLE SALES-EVERYDAY GIF</v>
      </c>
      <c r="C22" s="11"/>
      <c r="D22" s="2">
        <f>--34.04</f>
        <v>34.04</v>
      </c>
      <c r="E22" s="2"/>
      <c r="F22" s="19"/>
      <c r="G22" s="2"/>
      <c r="H22" s="2"/>
      <c r="I22" s="2"/>
      <c r="J22" s="19"/>
      <c r="K22" s="2"/>
      <c r="L22" s="2">
        <f t="shared" si="0"/>
        <v>34.04</v>
      </c>
      <c r="M22" s="2"/>
      <c r="N22" s="19">
        <f t="shared" si="1"/>
        <v>0</v>
      </c>
      <c r="O22" s="11"/>
      <c r="P22" s="2">
        <f>--4225.55</f>
        <v>4225.55</v>
      </c>
      <c r="Q22" s="2"/>
      <c r="R22" s="19"/>
      <c r="S22" s="2"/>
      <c r="T22" s="2"/>
      <c r="U22" s="2"/>
      <c r="V22" s="19"/>
      <c r="W22" s="2"/>
      <c r="X22" s="2">
        <f t="shared" si="2"/>
        <v>4225.55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"4143", " - ", "NON-TAXABLE SALES-CARDS")</f>
        <v xml:space="preserve">          4143 - NON-TAXABLE SALES-CARDS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--9.99</f>
        <v>9.99</v>
      </c>
      <c r="Q23" s="2"/>
      <c r="R23" s="19"/>
      <c r="S23" s="2"/>
      <c r="T23" s="2"/>
      <c r="U23" s="2"/>
      <c r="V23" s="19"/>
      <c r="W23" s="2"/>
      <c r="X23" s="2">
        <f t="shared" si="2"/>
        <v>9.99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"4144", " - ", "NON-TAXABLE SALES-ACCESSORIES")</f>
        <v xml:space="preserve">          4144 - NON-TAXABLE SALES-ACCESSORIES</v>
      </c>
      <c r="C24" s="11"/>
      <c r="D24" s="2">
        <f>--150</f>
        <v>150</v>
      </c>
      <c r="E24" s="2"/>
      <c r="F24" s="19"/>
      <c r="G24" s="2"/>
      <c r="H24" s="2"/>
      <c r="I24" s="2"/>
      <c r="J24" s="19"/>
      <c r="K24" s="2"/>
      <c r="L24" s="2">
        <f t="shared" si="0"/>
        <v>150</v>
      </c>
      <c r="M24" s="2"/>
      <c r="N24" s="19">
        <f t="shared" si="1"/>
        <v>0</v>
      </c>
      <c r="O24" s="11"/>
      <c r="P24" s="2">
        <f>--2040.27</f>
        <v>2040.27</v>
      </c>
      <c r="Q24" s="2"/>
      <c r="R24" s="19"/>
      <c r="S24" s="2"/>
      <c r="T24" s="2"/>
      <c r="U24" s="2"/>
      <c r="V24" s="19"/>
      <c r="W24" s="2"/>
      <c r="X24" s="2">
        <f t="shared" si="2"/>
        <v>2040.27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"4145", " - ", "NON-TAXABLE SALES-SPECIAL ORDE")</f>
        <v xml:space="preserve">          4145 - NON-TAXABLE SALES-SPECIAL ORDE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--140</f>
        <v>140</v>
      </c>
      <c r="Q25" s="2"/>
      <c r="R25" s="19"/>
      <c r="S25" s="2"/>
      <c r="T25" s="2"/>
      <c r="U25" s="2"/>
      <c r="V25" s="19"/>
      <c r="W25" s="2"/>
      <c r="X25" s="2">
        <f t="shared" si="2"/>
        <v>140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"4240", " - ", "SALES RETURN TAXABLE-LOGO CLOT")</f>
        <v xml:space="preserve">          4240 - SALES RETURN TAXABLE-LOGO CLOT</v>
      </c>
      <c r="C26" s="11"/>
      <c r="D26" s="2">
        <f>-2137.83</f>
        <v>-2137.83</v>
      </c>
      <c r="E26" s="2"/>
      <c r="F26" s="19"/>
      <c r="G26" s="2"/>
      <c r="H26" s="2"/>
      <c r="I26" s="2"/>
      <c r="J26" s="19"/>
      <c r="K26" s="2"/>
      <c r="L26" s="2">
        <f t="shared" si="0"/>
        <v>-2137.83</v>
      </c>
      <c r="M26" s="2"/>
      <c r="N26" s="19">
        <f t="shared" si="1"/>
        <v>0</v>
      </c>
      <c r="O26" s="11"/>
      <c r="P26" s="2">
        <f>-56690.04</f>
        <v>-56690.04</v>
      </c>
      <c r="Q26" s="2"/>
      <c r="R26" s="19"/>
      <c r="S26" s="2"/>
      <c r="T26" s="2"/>
      <c r="U26" s="2"/>
      <c r="V26" s="19"/>
      <c r="W26" s="2"/>
      <c r="X26" s="2">
        <f t="shared" si="2"/>
        <v>-56690.04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"4241", " - ", "SALES RETURN TAXABLE-LOGO GIFT")</f>
        <v xml:space="preserve">          4241 - SALES RETURN TAXABLE-LOGO GIFT</v>
      </c>
      <c r="C27" s="11"/>
      <c r="D27" s="2">
        <f>-207.45</f>
        <v>-207.45</v>
      </c>
      <c r="E27" s="2"/>
      <c r="F27" s="19"/>
      <c r="G27" s="2"/>
      <c r="H27" s="2"/>
      <c r="I27" s="2"/>
      <c r="J27" s="19"/>
      <c r="K27" s="2"/>
      <c r="L27" s="2">
        <f t="shared" si="0"/>
        <v>-207.45</v>
      </c>
      <c r="M27" s="2"/>
      <c r="N27" s="19">
        <f t="shared" si="1"/>
        <v>0</v>
      </c>
      <c r="O27" s="11"/>
      <c r="P27" s="2">
        <f>-3821.87</f>
        <v>-3821.87</v>
      </c>
      <c r="Q27" s="2"/>
      <c r="R27" s="19"/>
      <c r="S27" s="2"/>
      <c r="T27" s="2"/>
      <c r="U27" s="2"/>
      <c r="V27" s="19"/>
      <c r="W27" s="2"/>
      <c r="X27" s="2">
        <f t="shared" si="2"/>
        <v>-3821.87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"4242", " - ", "SALES RETURN TAXABLE-EVERYDAY")</f>
        <v xml:space="preserve">          4242 - SALES RETURN TAXABLE-EVERYDAY</v>
      </c>
      <c r="C28" s="11"/>
      <c r="D28" s="2">
        <f>-125.78</f>
        <v>-125.78</v>
      </c>
      <c r="E28" s="2"/>
      <c r="F28" s="19"/>
      <c r="G28" s="2"/>
      <c r="H28" s="2"/>
      <c r="I28" s="2"/>
      <c r="J28" s="19"/>
      <c r="K28" s="2"/>
      <c r="L28" s="2">
        <f t="shared" si="0"/>
        <v>-125.78</v>
      </c>
      <c r="M28" s="2"/>
      <c r="N28" s="19">
        <f t="shared" si="1"/>
        <v>0</v>
      </c>
      <c r="O28" s="11"/>
      <c r="P28" s="2">
        <f>-3100.4</f>
        <v>-3100.4</v>
      </c>
      <c r="Q28" s="2"/>
      <c r="R28" s="19"/>
      <c r="S28" s="2"/>
      <c r="T28" s="2"/>
      <c r="U28" s="2"/>
      <c r="V28" s="19"/>
      <c r="W28" s="2"/>
      <c r="X28" s="2">
        <f t="shared" si="2"/>
        <v>-3100.4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"4243", " - ", "SALES RETURN TAXABLE-CARDS")</f>
        <v xml:space="preserve">          4243 - SALES RETURN TAXABLE-CARDS</v>
      </c>
      <c r="C29" s="11"/>
      <c r="D29" s="2">
        <f>-159.92</f>
        <v>-159.91999999999999</v>
      </c>
      <c r="E29" s="2"/>
      <c r="F29" s="19"/>
      <c r="G29" s="2"/>
      <c r="H29" s="2"/>
      <c r="I29" s="2"/>
      <c r="J29" s="19"/>
      <c r="K29" s="2"/>
      <c r="L29" s="2">
        <f t="shared" si="0"/>
        <v>-159.91999999999999</v>
      </c>
      <c r="M29" s="2"/>
      <c r="N29" s="19">
        <f t="shared" si="1"/>
        <v>0</v>
      </c>
      <c r="O29" s="11"/>
      <c r="P29" s="2">
        <f>-2993.31</f>
        <v>-2993.31</v>
      </c>
      <c r="Q29" s="2"/>
      <c r="R29" s="19"/>
      <c r="S29" s="2"/>
      <c r="T29" s="2"/>
      <c r="U29" s="2"/>
      <c r="V29" s="19"/>
      <c r="W29" s="2"/>
      <c r="X29" s="2">
        <f t="shared" si="2"/>
        <v>-2993.31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"4244", " - ", "SALES RETURN TAXABLE-ACCESSORI")</f>
        <v xml:space="preserve">          4244 - SALES RETURN TAXABLE-ACCESSORI</v>
      </c>
      <c r="C30" s="11"/>
      <c r="D30" s="2">
        <f>-39.9</f>
        <v>-39.9</v>
      </c>
      <c r="E30" s="2"/>
      <c r="F30" s="19"/>
      <c r="G30" s="2"/>
      <c r="H30" s="2"/>
      <c r="I30" s="2"/>
      <c r="J30" s="19"/>
      <c r="K30" s="2"/>
      <c r="L30" s="2">
        <f t="shared" si="0"/>
        <v>-39.9</v>
      </c>
      <c r="M30" s="2"/>
      <c r="N30" s="19">
        <f t="shared" si="1"/>
        <v>0</v>
      </c>
      <c r="O30" s="11"/>
      <c r="P30" s="2">
        <f>-2339.9</f>
        <v>-2339.9</v>
      </c>
      <c r="Q30" s="2"/>
      <c r="R30" s="19"/>
      <c r="S30" s="2"/>
      <c r="T30" s="2"/>
      <c r="U30" s="2"/>
      <c r="V30" s="19"/>
      <c r="W30" s="2"/>
      <c r="X30" s="2">
        <f t="shared" si="2"/>
        <v>-2339.9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"4245", " - ", "SALES RETURN TAXABLE-SPECIAL O")</f>
        <v xml:space="preserve">          4245 - SALES RETURN TAXABLE-SPECIAL O</v>
      </c>
      <c r="C31" s="11"/>
      <c r="D31" s="2">
        <f>-19.98</f>
        <v>-19.98</v>
      </c>
      <c r="E31" s="2"/>
      <c r="F31" s="19"/>
      <c r="G31" s="2"/>
      <c r="H31" s="2"/>
      <c r="I31" s="2"/>
      <c r="J31" s="19"/>
      <c r="K31" s="2"/>
      <c r="L31" s="2">
        <f t="shared" si="0"/>
        <v>-19.98</v>
      </c>
      <c r="M31" s="2"/>
      <c r="N31" s="19">
        <f t="shared" si="1"/>
        <v>0</v>
      </c>
      <c r="O31" s="11"/>
      <c r="P31" s="2">
        <f>-1725.04</f>
        <v>-1725.04</v>
      </c>
      <c r="Q31" s="2"/>
      <c r="R31" s="19"/>
      <c r="S31" s="2"/>
      <c r="T31" s="2"/>
      <c r="U31" s="2"/>
      <c r="V31" s="19"/>
      <c r="W31" s="2"/>
      <c r="X31" s="2">
        <f t="shared" si="2"/>
        <v>-1725.04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"4340", " - ", "SALES RETURN NON TAXABLE-LOGO")</f>
        <v xml:space="preserve">          4340 - SALES RETURN NON TAXABLE-LOGO</v>
      </c>
      <c r="C32" s="11"/>
      <c r="D32" s="2">
        <f>-63.8</f>
        <v>-63.8</v>
      </c>
      <c r="E32" s="2"/>
      <c r="F32" s="19"/>
      <c r="G32" s="2"/>
      <c r="H32" s="2"/>
      <c r="I32" s="2"/>
      <c r="J32" s="19"/>
      <c r="K32" s="2"/>
      <c r="L32" s="2">
        <f t="shared" si="0"/>
        <v>-63.8</v>
      </c>
      <c r="M32" s="2"/>
      <c r="N32" s="19">
        <f t="shared" si="1"/>
        <v>0</v>
      </c>
      <c r="O32" s="11"/>
      <c r="P32" s="2">
        <f>-995.45</f>
        <v>-995.45</v>
      </c>
      <c r="Q32" s="2"/>
      <c r="R32" s="19"/>
      <c r="S32" s="2"/>
      <c r="T32" s="2"/>
      <c r="U32" s="2"/>
      <c r="V32" s="19"/>
      <c r="W32" s="2"/>
      <c r="X32" s="2">
        <f t="shared" si="2"/>
        <v>-995.45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"4341", " - ", "SALES RETURN NON TAXABLE-LOGO")</f>
        <v xml:space="preserve">          4341 - SALES RETURN NON TAXABLE-LOGO</v>
      </c>
      <c r="C33" s="11"/>
      <c r="D33" s="2">
        <f t="shared" ref="D33:D34" si="4">0</f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-245.5</f>
        <v>-245.5</v>
      </c>
      <c r="Q33" s="2"/>
      <c r="R33" s="19"/>
      <c r="S33" s="2"/>
      <c r="T33" s="2"/>
      <c r="U33" s="2"/>
      <c r="V33" s="19"/>
      <c r="W33" s="2"/>
      <c r="X33" s="2">
        <f t="shared" si="2"/>
        <v>-245.5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"4342", " - ", "SALES RETURN NON TAXABLE-EVERY")</f>
        <v xml:space="preserve">          4342 - SALES RETURN NON TAXABLE-EVERY</v>
      </c>
      <c r="C34" s="11"/>
      <c r="D34" s="2">
        <f t="shared" si="4"/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-109.8</f>
        <v>-109.8</v>
      </c>
      <c r="Q34" s="2"/>
      <c r="R34" s="19"/>
      <c r="S34" s="2"/>
      <c r="T34" s="2"/>
      <c r="U34" s="2"/>
      <c r="V34" s="19"/>
      <c r="W34" s="2"/>
      <c r="X34" s="2">
        <f t="shared" si="2"/>
        <v>-109.8</v>
      </c>
      <c r="Y34" s="2"/>
      <c r="Z34" s="19">
        <f t="shared" si="3"/>
        <v>0</v>
      </c>
    </row>
    <row r="35" spans="1:26" x14ac:dyDescent="0.2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collapsed="1" x14ac:dyDescent="0.25">
      <c r="A36" s="10"/>
      <c r="B36" s="29" t="s">
        <v>8</v>
      </c>
      <c r="C36" s="10"/>
      <c r="D36" s="4">
        <f>SUM(OSRRefD16x_0)</f>
        <v>49756.289999999994</v>
      </c>
      <c r="E36" s="4"/>
      <c r="F36" s="12">
        <f t="shared" ref="F36:F52" si="5">IF(D$12=0,0,D36/D$12)</f>
        <v>0.46109699781787367</v>
      </c>
      <c r="G36" s="4"/>
      <c r="H36" s="4">
        <f>SUM(OSRRefH16x_0)</f>
        <v>151911</v>
      </c>
      <c r="I36" s="4"/>
      <c r="J36" s="12">
        <f t="shared" ref="J36:J52" si="6">IF(H$12=0,0,H36/H$12)</f>
        <v>0.43991752505668702</v>
      </c>
      <c r="K36" s="4"/>
      <c r="L36" s="4">
        <f t="shared" ref="L36:L52" si="7">+D36-H36</f>
        <v>-102154.71</v>
      </c>
      <c r="M36" s="4"/>
      <c r="N36" s="12">
        <f t="shared" ref="N36:N52" si="8">IF(H36=0,0,L36/H36)</f>
        <v>-0.67246420601536427</v>
      </c>
      <c r="O36" s="10"/>
      <c r="P36" s="4">
        <f>SUM(OSRRefP16x_0)</f>
        <v>949113.03999999957</v>
      </c>
      <c r="Q36" s="4"/>
      <c r="R36" s="12">
        <f t="shared" ref="R36:R52" si="9">IF(P$12=0,0,P36/P$12)</f>
        <v>0.46674167051281051</v>
      </c>
      <c r="S36" s="4"/>
      <c r="T36" s="4">
        <f>SUM(OSRRefT16x_0)</f>
        <v>1046556</v>
      </c>
      <c r="U36" s="4"/>
      <c r="V36" s="12">
        <f t="shared" ref="V36:V52" si="10">IF(T$12=0,0,T36/T$12)</f>
        <v>0.45136690219296938</v>
      </c>
      <c r="W36" s="4"/>
      <c r="X36" s="4">
        <f t="shared" ref="X36:X52" si="11">+P36-T36</f>
        <v>-97442.960000000428</v>
      </c>
      <c r="Y36" s="4"/>
      <c r="Z36" s="12">
        <f t="shared" ref="Z36:Z52" si="12">IF(T36=0,0,X36/T36)</f>
        <v>-9.3108213989505029E-2</v>
      </c>
    </row>
    <row r="37" spans="1:26" s="24" customFormat="1" hidden="1" outlineLevel="1" x14ac:dyDescent="0.25">
      <c r="A37" s="44"/>
      <c r="B37" s="11" t="str">
        <f>CONCATENATE("          ", "5000", " - ", "PURCHASES @ COST")</f>
        <v xml:space="preserve">          5000 - PURCHASES @ COST</v>
      </c>
      <c r="C37" s="11"/>
      <c r="D37" s="2"/>
      <c r="E37" s="2"/>
      <c r="F37" s="19">
        <f t="shared" si="5"/>
        <v>0</v>
      </c>
      <c r="G37" s="2"/>
      <c r="H37" s="2">
        <v>151911</v>
      </c>
      <c r="I37" s="2"/>
      <c r="J37" s="19">
        <f t="shared" si="6"/>
        <v>0.43991752505668702</v>
      </c>
      <c r="K37" s="2"/>
      <c r="L37" s="2">
        <f t="shared" si="7"/>
        <v>-151911</v>
      </c>
      <c r="M37" s="2"/>
      <c r="N37" s="19">
        <f t="shared" si="8"/>
        <v>-1</v>
      </c>
      <c r="O37" s="11"/>
      <c r="P37" s="2"/>
      <c r="Q37" s="2"/>
      <c r="R37" s="19">
        <f t="shared" si="9"/>
        <v>0</v>
      </c>
      <c r="S37" s="2"/>
      <c r="T37" s="2">
        <v>1046556</v>
      </c>
      <c r="U37" s="2"/>
      <c r="V37" s="19">
        <f t="shared" si="10"/>
        <v>0.45136690219296938</v>
      </c>
      <c r="W37" s="2"/>
      <c r="X37" s="2">
        <f t="shared" si="11"/>
        <v>-1046556</v>
      </c>
      <c r="Y37" s="2"/>
      <c r="Z37" s="19">
        <f t="shared" si="12"/>
        <v>-1</v>
      </c>
    </row>
    <row r="38" spans="1:26" s="24" customFormat="1" hidden="1" outlineLevel="1" x14ac:dyDescent="0.25">
      <c r="A38" s="44"/>
      <c r="B38" s="11" t="str">
        <f>CONCATENATE("          ", "5040", " - ", "PURCHASES @ COST-LOGO CLOTHING")</f>
        <v xml:space="preserve">          5040 - PURCHASES @ COST-LOGO CLOTHING</v>
      </c>
      <c r="C38" s="11"/>
      <c r="D38" s="2">
        <v>60073.35</v>
      </c>
      <c r="E38" s="2"/>
      <c r="F38" s="19">
        <f t="shared" si="5"/>
        <v>0.55670632464483105</v>
      </c>
      <c r="G38" s="2"/>
      <c r="H38" s="2"/>
      <c r="I38" s="2"/>
      <c r="J38" s="19">
        <f t="shared" si="6"/>
        <v>0</v>
      </c>
      <c r="K38" s="2"/>
      <c r="L38" s="2">
        <f t="shared" si="7"/>
        <v>60073.35</v>
      </c>
      <c r="M38" s="2"/>
      <c r="N38" s="19">
        <f t="shared" si="8"/>
        <v>0</v>
      </c>
      <c r="O38" s="11"/>
      <c r="P38" s="2">
        <v>771173.72</v>
      </c>
      <c r="Q38" s="2"/>
      <c r="R38" s="19">
        <f t="shared" si="9"/>
        <v>0.37923713526091535</v>
      </c>
      <c r="S38" s="2"/>
      <c r="T38" s="2"/>
      <c r="U38" s="2"/>
      <c r="V38" s="19">
        <f t="shared" si="10"/>
        <v>0</v>
      </c>
      <c r="W38" s="2"/>
      <c r="X38" s="2">
        <f t="shared" si="11"/>
        <v>771173.72</v>
      </c>
      <c r="Y38" s="2"/>
      <c r="Z38" s="19">
        <f t="shared" si="12"/>
        <v>0</v>
      </c>
    </row>
    <row r="39" spans="1:26" s="24" customFormat="1" hidden="1" outlineLevel="1" x14ac:dyDescent="0.25">
      <c r="A39" s="44"/>
      <c r="B39" s="11" t="str">
        <f>CONCATENATE("          ", "5041", " - ", "PURCHASES @ COST-LOGO GIFTS")</f>
        <v xml:space="preserve">          5041 - PURCHASES @ COST-LOGO GIFTS</v>
      </c>
      <c r="C39" s="11"/>
      <c r="D39" s="2">
        <v>14182.3</v>
      </c>
      <c r="E39" s="2"/>
      <c r="F39" s="19">
        <f t="shared" si="5"/>
        <v>0.13142892993332964</v>
      </c>
      <c r="G39" s="2"/>
      <c r="H39" s="2"/>
      <c r="I39" s="2"/>
      <c r="J39" s="19">
        <f t="shared" si="6"/>
        <v>0</v>
      </c>
      <c r="K39" s="2"/>
      <c r="L39" s="2">
        <f t="shared" si="7"/>
        <v>14182.3</v>
      </c>
      <c r="M39" s="2"/>
      <c r="N39" s="19">
        <f t="shared" si="8"/>
        <v>0</v>
      </c>
      <c r="O39" s="11"/>
      <c r="P39" s="2">
        <v>123583.47</v>
      </c>
      <c r="Q39" s="2"/>
      <c r="R39" s="19">
        <f t="shared" si="9"/>
        <v>6.0774167885808236E-2</v>
      </c>
      <c r="S39" s="2"/>
      <c r="T39" s="2"/>
      <c r="U39" s="2"/>
      <c r="V39" s="19">
        <f t="shared" si="10"/>
        <v>0</v>
      </c>
      <c r="W39" s="2"/>
      <c r="X39" s="2">
        <f t="shared" si="11"/>
        <v>123583.47</v>
      </c>
      <c r="Y39" s="2"/>
      <c r="Z39" s="19">
        <f t="shared" si="12"/>
        <v>0</v>
      </c>
    </row>
    <row r="40" spans="1:26" s="24" customFormat="1" hidden="1" outlineLevel="1" x14ac:dyDescent="0.25">
      <c r="A40" s="44"/>
      <c r="B40" s="11" t="str">
        <f>CONCATENATE("          ", "5042", " - ", "PURCHASES @ COST-EVERYDAY GIFT")</f>
        <v xml:space="preserve">          5042 - PURCHASES @ COST-EVERYDAY GIFT</v>
      </c>
      <c r="C40" s="11"/>
      <c r="D40" s="2">
        <v>14387.59</v>
      </c>
      <c r="E40" s="2"/>
      <c r="F40" s="19">
        <f t="shared" si="5"/>
        <v>0.13333137488414956</v>
      </c>
      <c r="G40" s="2"/>
      <c r="H40" s="2"/>
      <c r="I40" s="2"/>
      <c r="J40" s="19">
        <f t="shared" si="6"/>
        <v>0</v>
      </c>
      <c r="K40" s="2"/>
      <c r="L40" s="2">
        <f t="shared" si="7"/>
        <v>14387.59</v>
      </c>
      <c r="M40" s="2"/>
      <c r="N40" s="19">
        <f t="shared" si="8"/>
        <v>0</v>
      </c>
      <c r="O40" s="11"/>
      <c r="P40" s="2">
        <v>94845.61</v>
      </c>
      <c r="Q40" s="2"/>
      <c r="R40" s="19">
        <f t="shared" si="9"/>
        <v>4.6641860965482625E-2</v>
      </c>
      <c r="S40" s="2"/>
      <c r="T40" s="2"/>
      <c r="U40" s="2"/>
      <c r="V40" s="19">
        <f t="shared" si="10"/>
        <v>0</v>
      </c>
      <c r="W40" s="2"/>
      <c r="X40" s="2">
        <f t="shared" si="11"/>
        <v>94845.61</v>
      </c>
      <c r="Y40" s="2"/>
      <c r="Z40" s="19">
        <f t="shared" si="12"/>
        <v>0</v>
      </c>
    </row>
    <row r="41" spans="1:26" s="24" customFormat="1" hidden="1" outlineLevel="1" x14ac:dyDescent="0.25">
      <c r="A41" s="44"/>
      <c r="B41" s="11" t="str">
        <f>CONCATENATE("          ", "5043", " - ", "PURCHASES @ COST-CARDS")</f>
        <v xml:space="preserve">          5043 - PURCHASES @ COST-CARDS</v>
      </c>
      <c r="C41" s="11"/>
      <c r="D41" s="2">
        <v>-4258.25</v>
      </c>
      <c r="E41" s="2"/>
      <c r="F41" s="19">
        <f t="shared" si="5"/>
        <v>-3.9461669890539681E-2</v>
      </c>
      <c r="G41" s="2"/>
      <c r="H41" s="2"/>
      <c r="I41" s="2"/>
      <c r="J41" s="19">
        <f t="shared" si="6"/>
        <v>0</v>
      </c>
      <c r="K41" s="2"/>
      <c r="L41" s="2">
        <f t="shared" si="7"/>
        <v>-4258.25</v>
      </c>
      <c r="M41" s="2"/>
      <c r="N41" s="19">
        <f t="shared" si="8"/>
        <v>0</v>
      </c>
      <c r="O41" s="11"/>
      <c r="P41" s="2">
        <v>24622.44</v>
      </c>
      <c r="Q41" s="2"/>
      <c r="R41" s="19">
        <f t="shared" si="9"/>
        <v>1.2108482649971232E-2</v>
      </c>
      <c r="S41" s="2"/>
      <c r="T41" s="2"/>
      <c r="U41" s="2"/>
      <c r="V41" s="19">
        <f t="shared" si="10"/>
        <v>0</v>
      </c>
      <c r="W41" s="2"/>
      <c r="X41" s="2">
        <f t="shared" si="11"/>
        <v>24622.44</v>
      </c>
      <c r="Y41" s="2"/>
      <c r="Z41" s="19">
        <f t="shared" si="12"/>
        <v>0</v>
      </c>
    </row>
    <row r="42" spans="1:26" s="24" customFormat="1" hidden="1" outlineLevel="1" x14ac:dyDescent="0.25">
      <c r="A42" s="44"/>
      <c r="B42" s="11" t="str">
        <f>CONCATENATE("          ", "5044", " - ", "PURCHASES @ COST-ACCESSORIES")</f>
        <v xml:space="preserve">          5044 - PURCHASES @ COST-ACCESSORIES</v>
      </c>
      <c r="C42" s="11"/>
      <c r="D42" s="2">
        <v>-1386.34</v>
      </c>
      <c r="E42" s="2"/>
      <c r="F42" s="19">
        <f t="shared" si="5"/>
        <v>-1.2847364864921218E-2</v>
      </c>
      <c r="G42" s="2"/>
      <c r="H42" s="2"/>
      <c r="I42" s="2"/>
      <c r="J42" s="19">
        <f t="shared" si="6"/>
        <v>0</v>
      </c>
      <c r="K42" s="2"/>
      <c r="L42" s="2">
        <f t="shared" si="7"/>
        <v>-1386.34</v>
      </c>
      <c r="M42" s="2"/>
      <c r="N42" s="19">
        <f t="shared" si="8"/>
        <v>0</v>
      </c>
      <c r="O42" s="11"/>
      <c r="P42" s="2">
        <v>36475.08</v>
      </c>
      <c r="Q42" s="2"/>
      <c r="R42" s="19">
        <f t="shared" si="9"/>
        <v>1.7937209851514011E-2</v>
      </c>
      <c r="S42" s="2"/>
      <c r="T42" s="2"/>
      <c r="U42" s="2"/>
      <c r="V42" s="19">
        <f t="shared" si="10"/>
        <v>0</v>
      </c>
      <c r="W42" s="2"/>
      <c r="X42" s="2">
        <f t="shared" si="11"/>
        <v>36475.08</v>
      </c>
      <c r="Y42" s="2"/>
      <c r="Z42" s="19">
        <f t="shared" si="12"/>
        <v>0</v>
      </c>
    </row>
    <row r="43" spans="1:26" s="24" customFormat="1" hidden="1" outlineLevel="1" x14ac:dyDescent="0.25">
      <c r="A43" s="44"/>
      <c r="B43" s="11" t="str">
        <f>CONCATENATE("          ", "5045", " - ", "PURCHASES @ COST-SPECIAL ORDER")</f>
        <v xml:space="preserve">          5045 - PURCHASES @ COST-SPECIAL ORDER</v>
      </c>
      <c r="C43" s="11"/>
      <c r="D43" s="2">
        <v>6736.47</v>
      </c>
      <c r="E43" s="2"/>
      <c r="F43" s="19">
        <f t="shared" si="5"/>
        <v>6.2427606497393026E-2</v>
      </c>
      <c r="G43" s="2"/>
      <c r="H43" s="2"/>
      <c r="I43" s="2"/>
      <c r="J43" s="19">
        <f t="shared" si="6"/>
        <v>0</v>
      </c>
      <c r="K43" s="2"/>
      <c r="L43" s="2">
        <f t="shared" si="7"/>
        <v>6736.47</v>
      </c>
      <c r="M43" s="2"/>
      <c r="N43" s="19">
        <f t="shared" si="8"/>
        <v>0</v>
      </c>
      <c r="O43" s="11"/>
      <c r="P43" s="2">
        <v>58699.45</v>
      </c>
      <c r="Q43" s="2"/>
      <c r="R43" s="19">
        <f t="shared" si="9"/>
        <v>2.8866402837730693E-2</v>
      </c>
      <c r="S43" s="2"/>
      <c r="T43" s="2"/>
      <c r="U43" s="2"/>
      <c r="V43" s="19">
        <f t="shared" si="10"/>
        <v>0</v>
      </c>
      <c r="W43" s="2"/>
      <c r="X43" s="2">
        <f t="shared" si="11"/>
        <v>58699.45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"5200", " - ", "PURCHASES OFFSET")</f>
        <v xml:space="preserve">          5200 - PURCHASES OFFSET</v>
      </c>
      <c r="C44" s="11"/>
      <c r="D44" s="2">
        <v>-92608</v>
      </c>
      <c r="E44" s="2"/>
      <c r="F44" s="19">
        <f t="shared" si="5"/>
        <v>-0.8582084953262723</v>
      </c>
      <c r="G44" s="2"/>
      <c r="H44" s="2"/>
      <c r="I44" s="2"/>
      <c r="J44" s="19">
        <f t="shared" si="6"/>
        <v>0</v>
      </c>
      <c r="K44" s="2"/>
      <c r="L44" s="2">
        <f t="shared" si="7"/>
        <v>-92608</v>
      </c>
      <c r="M44" s="2"/>
      <c r="N44" s="19">
        <f t="shared" si="8"/>
        <v>0</v>
      </c>
      <c r="O44" s="11"/>
      <c r="P44" s="2">
        <v>-1150813</v>
      </c>
      <c r="Q44" s="2"/>
      <c r="R44" s="19">
        <f t="shared" si="9"/>
        <v>-0.56593088434214245</v>
      </c>
      <c r="S44" s="2"/>
      <c r="T44" s="2"/>
      <c r="U44" s="2"/>
      <c r="V44" s="19">
        <f t="shared" si="10"/>
        <v>0</v>
      </c>
      <c r="W44" s="2"/>
      <c r="X44" s="2">
        <f t="shared" si="11"/>
        <v>-1150813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"5300", " - ", "COG$ OFFSET")</f>
        <v xml:space="preserve">          5300 - COG$ OFFSET</v>
      </c>
      <c r="C45" s="11"/>
      <c r="D45" s="2">
        <v>49756</v>
      </c>
      <c r="E45" s="2"/>
      <c r="F45" s="19">
        <f t="shared" si="5"/>
        <v>0.46109431035605997</v>
      </c>
      <c r="G45" s="2"/>
      <c r="H45" s="2"/>
      <c r="I45" s="2"/>
      <c r="J45" s="19">
        <f t="shared" si="6"/>
        <v>0</v>
      </c>
      <c r="K45" s="2"/>
      <c r="L45" s="2">
        <f t="shared" si="7"/>
        <v>49756</v>
      </c>
      <c r="M45" s="2"/>
      <c r="N45" s="19">
        <f t="shared" si="8"/>
        <v>0</v>
      </c>
      <c r="O45" s="11"/>
      <c r="P45" s="2">
        <v>949086</v>
      </c>
      <c r="Q45" s="2"/>
      <c r="R45" s="19">
        <f t="shared" si="9"/>
        <v>0.46672837315597465</v>
      </c>
      <c r="S45" s="2"/>
      <c r="T45" s="2"/>
      <c r="U45" s="2"/>
      <c r="V45" s="19">
        <f t="shared" si="10"/>
        <v>0</v>
      </c>
      <c r="W45" s="2"/>
      <c r="X45" s="2">
        <f t="shared" si="11"/>
        <v>949086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"5500", " - ", "FREIGHT-IN")</f>
        <v xml:space="preserve">          5500 - FREIGHT-IN</v>
      </c>
      <c r="C46" s="11"/>
      <c r="D46" s="2"/>
      <c r="E46" s="2"/>
      <c r="F46" s="19">
        <f t="shared" si="5"/>
        <v>0</v>
      </c>
      <c r="G46" s="2"/>
      <c r="H46" s="2"/>
      <c r="I46" s="2"/>
      <c r="J46" s="19">
        <f t="shared" si="6"/>
        <v>0</v>
      </c>
      <c r="K46" s="2"/>
      <c r="L46" s="2">
        <f t="shared" si="7"/>
        <v>0</v>
      </c>
      <c r="M46" s="2"/>
      <c r="N46" s="19">
        <f t="shared" si="8"/>
        <v>0</v>
      </c>
      <c r="O46" s="11"/>
      <c r="P46" s="2">
        <v>29.23</v>
      </c>
      <c r="Q46" s="2"/>
      <c r="R46" s="19">
        <f t="shared" si="9"/>
        <v>1.4374324715936321E-5</v>
      </c>
      <c r="S46" s="2"/>
      <c r="T46" s="2"/>
      <c r="U46" s="2"/>
      <c r="V46" s="19">
        <f t="shared" si="10"/>
        <v>0</v>
      </c>
      <c r="W46" s="2"/>
      <c r="X46" s="2">
        <f t="shared" si="11"/>
        <v>29.23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"5540", " - ", "FREIGHT-IN-LOGO CLOTHING")</f>
        <v xml:space="preserve">          5540 - FREIGHT-IN-LOGO CLOTHING</v>
      </c>
      <c r="C47" s="11"/>
      <c r="D47" s="2">
        <v>2154.58</v>
      </c>
      <c r="E47" s="2"/>
      <c r="F47" s="19">
        <f t="shared" si="5"/>
        <v>1.9966729222746196E-2</v>
      </c>
      <c r="G47" s="2"/>
      <c r="H47" s="2"/>
      <c r="I47" s="2"/>
      <c r="J47" s="19">
        <f t="shared" si="6"/>
        <v>0</v>
      </c>
      <c r="K47" s="2"/>
      <c r="L47" s="2">
        <f t="shared" si="7"/>
        <v>2154.58</v>
      </c>
      <c r="M47" s="2"/>
      <c r="N47" s="19">
        <f t="shared" si="8"/>
        <v>0</v>
      </c>
      <c r="O47" s="11"/>
      <c r="P47" s="2">
        <v>30635.88</v>
      </c>
      <c r="Q47" s="2"/>
      <c r="R47" s="19">
        <f t="shared" si="9"/>
        <v>1.5065688918181977E-2</v>
      </c>
      <c r="S47" s="2"/>
      <c r="T47" s="2"/>
      <c r="U47" s="2"/>
      <c r="V47" s="19">
        <f t="shared" si="10"/>
        <v>0</v>
      </c>
      <c r="W47" s="2"/>
      <c r="X47" s="2">
        <f t="shared" si="11"/>
        <v>30635.88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"5541", " - ", "FREIGHT-IN-LOGO GIFTS")</f>
        <v xml:space="preserve">          5541 - FREIGHT-IN-LOGO GIFTS</v>
      </c>
      <c r="C48" s="11"/>
      <c r="D48" s="2">
        <v>622.03</v>
      </c>
      <c r="E48" s="2"/>
      <c r="F48" s="19">
        <f t="shared" si="5"/>
        <v>5.7644202482269469E-3</v>
      </c>
      <c r="G48" s="2"/>
      <c r="H48" s="2"/>
      <c r="I48" s="2"/>
      <c r="J48" s="19">
        <f t="shared" si="6"/>
        <v>0</v>
      </c>
      <c r="K48" s="2"/>
      <c r="L48" s="2">
        <f t="shared" si="7"/>
        <v>622.03</v>
      </c>
      <c r="M48" s="2"/>
      <c r="N48" s="19">
        <f t="shared" si="8"/>
        <v>0</v>
      </c>
      <c r="O48" s="11"/>
      <c r="P48" s="2">
        <v>4695.95</v>
      </c>
      <c r="Q48" s="2"/>
      <c r="R48" s="19">
        <f t="shared" si="9"/>
        <v>2.3093092764215244E-3</v>
      </c>
      <c r="S48" s="2"/>
      <c r="T48" s="2"/>
      <c r="U48" s="2"/>
      <c r="V48" s="19">
        <f t="shared" si="10"/>
        <v>0</v>
      </c>
      <c r="W48" s="2"/>
      <c r="X48" s="2">
        <f t="shared" si="11"/>
        <v>4695.95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"5542", " - ", "FREIGHT-IN-EVERYDAY GIFTS")</f>
        <v xml:space="preserve">          5542 - FREIGHT-IN-EVERYDAY GIFTS</v>
      </c>
      <c r="C49" s="11"/>
      <c r="D49" s="2">
        <v>42.24</v>
      </c>
      <c r="E49" s="2"/>
      <c r="F49" s="19">
        <f t="shared" si="5"/>
        <v>3.9144271383230114E-4</v>
      </c>
      <c r="G49" s="2"/>
      <c r="H49" s="2"/>
      <c r="I49" s="2"/>
      <c r="J49" s="19">
        <f t="shared" si="6"/>
        <v>0</v>
      </c>
      <c r="K49" s="2"/>
      <c r="L49" s="2">
        <f t="shared" si="7"/>
        <v>42.24</v>
      </c>
      <c r="M49" s="2"/>
      <c r="N49" s="19">
        <f t="shared" si="8"/>
        <v>0</v>
      </c>
      <c r="O49" s="11"/>
      <c r="P49" s="2">
        <v>1793.94</v>
      </c>
      <c r="Q49" s="2"/>
      <c r="R49" s="19">
        <f t="shared" si="9"/>
        <v>8.8219897642513871E-4</v>
      </c>
      <c r="S49" s="2"/>
      <c r="T49" s="2"/>
      <c r="U49" s="2"/>
      <c r="V49" s="19">
        <f t="shared" si="10"/>
        <v>0</v>
      </c>
      <c r="W49" s="2"/>
      <c r="X49" s="2">
        <f t="shared" si="11"/>
        <v>1793.94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"5543", " - ", "FREIGHT-IN-CARDS")</f>
        <v xml:space="preserve">          5543 - FREIGHT-IN-CARDS</v>
      </c>
      <c r="C50" s="11"/>
      <c r="D50" s="2">
        <v>25.64</v>
      </c>
      <c r="E50" s="2"/>
      <c r="F50" s="19">
        <f t="shared" si="5"/>
        <v>2.3760869277131155E-4</v>
      </c>
      <c r="G50" s="2"/>
      <c r="H50" s="2"/>
      <c r="I50" s="2"/>
      <c r="J50" s="19">
        <f t="shared" si="6"/>
        <v>0</v>
      </c>
      <c r="K50" s="2"/>
      <c r="L50" s="2">
        <f t="shared" si="7"/>
        <v>25.64</v>
      </c>
      <c r="M50" s="2"/>
      <c r="N50" s="19">
        <f t="shared" si="8"/>
        <v>0</v>
      </c>
      <c r="O50" s="11"/>
      <c r="P50" s="2">
        <v>2926.76</v>
      </c>
      <c r="Q50" s="2"/>
      <c r="R50" s="19">
        <f t="shared" si="9"/>
        <v>1.4392815123371121E-3</v>
      </c>
      <c r="S50" s="2"/>
      <c r="T50" s="2"/>
      <c r="U50" s="2"/>
      <c r="V50" s="19">
        <f t="shared" si="10"/>
        <v>0</v>
      </c>
      <c r="W50" s="2"/>
      <c r="X50" s="2">
        <f t="shared" si="11"/>
        <v>2926.76</v>
      </c>
      <c r="Y50" s="2"/>
      <c r="Z50" s="19">
        <f t="shared" si="12"/>
        <v>0</v>
      </c>
    </row>
    <row r="51" spans="1:26" s="24" customFormat="1" hidden="1" outlineLevel="1" x14ac:dyDescent="0.25">
      <c r="A51" s="44"/>
      <c r="B51" s="11" t="str">
        <f>CONCATENATE("          ", "5544", " - ", "FREIGHT-IN-ACCESSORIES")</f>
        <v xml:space="preserve">          5544 - FREIGHT-IN-ACCESSORIES</v>
      </c>
      <c r="C51" s="11"/>
      <c r="D51" s="2"/>
      <c r="E51" s="2"/>
      <c r="F51" s="19">
        <f t="shared" si="5"/>
        <v>0</v>
      </c>
      <c r="G51" s="2"/>
      <c r="H51" s="2"/>
      <c r="I51" s="2"/>
      <c r="J51" s="19">
        <f t="shared" si="6"/>
        <v>0</v>
      </c>
      <c r="K51" s="2"/>
      <c r="L51" s="2">
        <f t="shared" si="7"/>
        <v>0</v>
      </c>
      <c r="M51" s="2"/>
      <c r="N51" s="19">
        <f t="shared" si="8"/>
        <v>0</v>
      </c>
      <c r="O51" s="11"/>
      <c r="P51" s="2">
        <v>483.44</v>
      </c>
      <c r="Q51" s="2"/>
      <c r="R51" s="19">
        <f t="shared" si="9"/>
        <v>2.3773943006063136E-4</v>
      </c>
      <c r="S51" s="2"/>
      <c r="T51" s="2"/>
      <c r="U51" s="2"/>
      <c r="V51" s="19">
        <f t="shared" si="10"/>
        <v>0</v>
      </c>
      <c r="W51" s="2"/>
      <c r="X51" s="2">
        <f t="shared" si="11"/>
        <v>483.44</v>
      </c>
      <c r="Y51" s="2"/>
      <c r="Z51" s="19">
        <f t="shared" si="12"/>
        <v>0</v>
      </c>
    </row>
    <row r="52" spans="1:26" s="24" customFormat="1" hidden="1" outlineLevel="1" x14ac:dyDescent="0.25">
      <c r="A52" s="44"/>
      <c r="B52" s="11" t="str">
        <f>CONCATENATE("          ", "5545", " - ", "FREIGHT-IN-SPECIAL ORDERS")</f>
        <v xml:space="preserve">          5545 - FREIGHT-IN-SPECIAL ORDERS</v>
      </c>
      <c r="C52" s="11"/>
      <c r="D52" s="2">
        <v>28.68</v>
      </c>
      <c r="E52" s="2"/>
      <c r="F52" s="19">
        <f t="shared" si="5"/>
        <v>2.6578070626681805E-4</v>
      </c>
      <c r="G52" s="2"/>
      <c r="H52" s="2"/>
      <c r="I52" s="2"/>
      <c r="J52" s="19">
        <f t="shared" si="6"/>
        <v>0</v>
      </c>
      <c r="K52" s="2"/>
      <c r="L52" s="2">
        <f t="shared" si="7"/>
        <v>28.68</v>
      </c>
      <c r="M52" s="2"/>
      <c r="N52" s="19">
        <f t="shared" si="8"/>
        <v>0</v>
      </c>
      <c r="O52" s="11"/>
      <c r="P52" s="2">
        <v>875.07</v>
      </c>
      <c r="Q52" s="2"/>
      <c r="R52" s="19">
        <f t="shared" si="9"/>
        <v>4.3032980941410867E-4</v>
      </c>
      <c r="S52" s="2"/>
      <c r="T52" s="2"/>
      <c r="U52" s="2"/>
      <c r="V52" s="19">
        <f t="shared" si="10"/>
        <v>0</v>
      </c>
      <c r="W52" s="2"/>
      <c r="X52" s="2">
        <f t="shared" si="11"/>
        <v>875.07</v>
      </c>
      <c r="Y52" s="2"/>
      <c r="Z52" s="19">
        <f t="shared" si="12"/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8" t="s">
        <v>6</v>
      </c>
      <c r="C54" s="28"/>
      <c r="D54" s="20">
        <f>D12-D36</f>
        <v>58152.22</v>
      </c>
      <c r="E54" s="14"/>
      <c r="F54" s="22">
        <f>IF(D$12=0,0,D54/D$12)</f>
        <v>0.53890300218212639</v>
      </c>
      <c r="G54" s="14"/>
      <c r="H54" s="20">
        <f>H12-H36</f>
        <v>193406</v>
      </c>
      <c r="I54" s="14"/>
      <c r="J54" s="22">
        <f>IF(H$12=0,0,H54/H$12)</f>
        <v>0.56008247494331298</v>
      </c>
      <c r="K54" s="16"/>
      <c r="L54" s="20">
        <f>+D54-H54</f>
        <v>-135253.78</v>
      </c>
      <c r="M54" s="16"/>
      <c r="N54" s="22">
        <f>IF(H54=0,0,L54/H54)</f>
        <v>-0.69932566724920631</v>
      </c>
      <c r="O54" s="29"/>
      <c r="P54" s="20">
        <f>P12-P36</f>
        <v>1084373.7900000005</v>
      </c>
      <c r="Q54" s="14"/>
      <c r="R54" s="22">
        <f>IF(P$12=0,0,P54/P$12)</f>
        <v>0.53325832948718943</v>
      </c>
      <c r="S54" s="14"/>
      <c r="T54" s="20">
        <f>T12-T36</f>
        <v>1272081</v>
      </c>
      <c r="U54" s="14"/>
      <c r="V54" s="22">
        <f>IF(T$12=0,0,T54/T$12)</f>
        <v>0.54863309780703062</v>
      </c>
      <c r="W54" s="16"/>
      <c r="X54" s="20">
        <f>+P54-T54</f>
        <v>-187707.2099999995</v>
      </c>
      <c r="Y54" s="16"/>
      <c r="Z54" s="22">
        <f>IF(T54=0,0,X54/T54)</f>
        <v>-0.14755916486450116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9" t="s">
        <v>9</v>
      </c>
      <c r="C56" s="10"/>
      <c r="D56" s="21">
        <f>SUM(OSRRefD22x_0)</f>
        <v>55097.040000000008</v>
      </c>
      <c r="E56" s="21"/>
      <c r="F56" s="30">
        <f t="shared" ref="F56:F66" si="13">IF(D$12=0,0,D56/D$12)</f>
        <v>0.51059031396133647</v>
      </c>
      <c r="G56" s="21"/>
      <c r="H56" s="21">
        <f>SUM(OSRRefH22x_0)</f>
        <v>63601.981798244233</v>
      </c>
      <c r="I56" s="21"/>
      <c r="J56" s="30">
        <f t="shared" ref="J56:J66" si="14">IF(H$12=0,0,H56/H$12)</f>
        <v>0.18418433438910981</v>
      </c>
      <c r="K56" s="4"/>
      <c r="L56" s="21">
        <f t="shared" ref="L56:L66" si="15">+D56-H56</f>
        <v>-8504.9417982442246</v>
      </c>
      <c r="M56" s="4"/>
      <c r="N56" s="30">
        <f t="shared" ref="N56:N66" si="16">IF(H56=0,0,L56/H56)</f>
        <v>-0.1337213331688826</v>
      </c>
      <c r="O56" s="10"/>
      <c r="P56" s="21">
        <f>SUM(OSRRefP22x_0)</f>
        <v>551799.94000000018</v>
      </c>
      <c r="Q56" s="21"/>
      <c r="R56" s="30">
        <f t="shared" ref="R56:R66" si="17">IF(P$12=0,0,P56/P$12)</f>
        <v>0.27135653492282524</v>
      </c>
      <c r="S56" s="21"/>
      <c r="T56" s="21">
        <f>SUM(OSRRefT22x_0)</f>
        <v>557150.02438338124</v>
      </c>
      <c r="U56" s="21"/>
      <c r="V56" s="30">
        <f t="shared" ref="V56:V66" si="18">IF(T$12=0,0,T56/T$12)</f>
        <v>0.2402920441549847</v>
      </c>
      <c r="W56" s="4"/>
      <c r="X56" s="21">
        <f t="shared" ref="X56:X66" si="19">+P56-T56</f>
        <v>-5350.084383381065</v>
      </c>
      <c r="Y56" s="4"/>
      <c r="Z56" s="30">
        <f t="shared" ref="Z56:Z66" si="20">IF(T56=0,0,X56/T56)</f>
        <v>-9.6025920295026521E-3</v>
      </c>
    </row>
    <row r="57" spans="1:26" s="27" customFormat="1" outlineLevel="1" collapsed="1" x14ac:dyDescent="0.25">
      <c r="A57" s="26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13270.91</v>
      </c>
      <c r="E57" s="1"/>
      <c r="F57" s="5">
        <f t="shared" si="13"/>
        <v>0.12298297882159619</v>
      </c>
      <c r="G57" s="1"/>
      <c r="H57" s="1">
        <f>SUM(OSRRefH22_0x_0)</f>
        <v>4221.6339424750004</v>
      </c>
      <c r="I57" s="1"/>
      <c r="J57" s="5">
        <f t="shared" si="14"/>
        <v>1.2225386941491442E-2</v>
      </c>
      <c r="K57" s="1"/>
      <c r="L57" s="1">
        <f t="shared" si="15"/>
        <v>9049.2760575249995</v>
      </c>
      <c r="M57" s="1"/>
      <c r="N57" s="5">
        <f t="shared" si="16"/>
        <v>2.1435482518931321</v>
      </c>
      <c r="O57" s="13"/>
      <c r="P57" s="1">
        <f>SUM(OSRRefP22_0x_0)</f>
        <v>63276.06</v>
      </c>
      <c r="Q57" s="1"/>
      <c r="R57" s="5">
        <f t="shared" si="17"/>
        <v>3.1117024741192937E-2</v>
      </c>
      <c r="S57" s="1"/>
      <c r="T57" s="1">
        <f>SUM(OSRRefT22_0x_0)</f>
        <v>40626.95278963125</v>
      </c>
      <c r="U57" s="1"/>
      <c r="V57" s="5">
        <f t="shared" si="18"/>
        <v>1.7521911704864217E-2</v>
      </c>
      <c r="W57" s="1"/>
      <c r="X57" s="1">
        <f t="shared" si="19"/>
        <v>22649.107210368747</v>
      </c>
      <c r="Y57" s="1"/>
      <c r="Z57" s="5">
        <f t="shared" si="20"/>
        <v>0.55748968739169669</v>
      </c>
    </row>
    <row r="58" spans="1:26" s="24" customFormat="1" hidden="1" outlineLevel="2" x14ac:dyDescent="0.25">
      <c r="A58" s="25"/>
      <c r="B58" s="11" t="str">
        <f>CONCATENATE("          ", "6111", " - ", "F.I.C.A.")</f>
        <v xml:space="preserve">          6111 - F.I.C.A.</v>
      </c>
      <c r="C58" s="11"/>
      <c r="D58" s="6">
        <v>1014.85</v>
      </c>
      <c r="E58" s="2"/>
      <c r="F58" s="7">
        <f t="shared" si="13"/>
        <v>9.4047262815509184E-3</v>
      </c>
      <c r="G58" s="2"/>
      <c r="H58" s="6">
        <v>688.68491924423097</v>
      </c>
      <c r="I58" s="2"/>
      <c r="J58" s="7">
        <f t="shared" si="14"/>
        <v>1.994355676796193E-3</v>
      </c>
      <c r="K58" s="2"/>
      <c r="L58" s="6">
        <f t="shared" si="15"/>
        <v>326.16508075576905</v>
      </c>
      <c r="M58" s="2"/>
      <c r="N58" s="7">
        <f t="shared" si="16"/>
        <v>0.4736056673256408</v>
      </c>
      <c r="O58" s="11"/>
      <c r="P58" s="6">
        <v>11372.55</v>
      </c>
      <c r="Q58" s="2"/>
      <c r="R58" s="7">
        <f t="shared" si="17"/>
        <v>5.5926351881020048E-3</v>
      </c>
      <c r="S58" s="2"/>
      <c r="T58" s="6">
        <v>8437.463925131251</v>
      </c>
      <c r="U58" s="2"/>
      <c r="V58" s="7">
        <f t="shared" si="18"/>
        <v>3.6389757970442336E-3</v>
      </c>
      <c r="W58" s="2"/>
      <c r="X58" s="6">
        <f t="shared" si="19"/>
        <v>2935.0860748687483</v>
      </c>
      <c r="Y58" s="2"/>
      <c r="Z58" s="7">
        <f t="shared" si="20"/>
        <v>0.34786354062225999</v>
      </c>
    </row>
    <row r="59" spans="1:26" s="24" customFormat="1" hidden="1" outlineLevel="2" x14ac:dyDescent="0.25">
      <c r="A59" s="25"/>
      <c r="B59" s="11" t="str">
        <f>CONCATENATE("          ", "6112", " - ", "COMPENSATION INSURANCE")</f>
        <v xml:space="preserve">          6112 - COMPENSATION INSURANCE</v>
      </c>
      <c r="C59" s="11"/>
      <c r="D59" s="6">
        <v>414.36</v>
      </c>
      <c r="E59" s="2"/>
      <c r="F59" s="7">
        <f t="shared" si="13"/>
        <v>3.8399195763151586E-3</v>
      </c>
      <c r="G59" s="2"/>
      <c r="H59" s="6">
        <v>459.794457115385</v>
      </c>
      <c r="I59" s="2"/>
      <c r="J59" s="7">
        <f t="shared" si="14"/>
        <v>1.3315141076616123E-3</v>
      </c>
      <c r="K59" s="2"/>
      <c r="L59" s="6">
        <f t="shared" si="15"/>
        <v>-45.434457115384987</v>
      </c>
      <c r="M59" s="2"/>
      <c r="N59" s="7">
        <f t="shared" si="16"/>
        <v>-9.8814712557492301E-2</v>
      </c>
      <c r="O59" s="11"/>
      <c r="P59" s="6">
        <v>3830.91</v>
      </c>
      <c r="Q59" s="2"/>
      <c r="R59" s="7">
        <f t="shared" si="17"/>
        <v>1.8839118815438798E-3</v>
      </c>
      <c r="S59" s="2"/>
      <c r="T59" s="6">
        <v>3971.723626875003</v>
      </c>
      <c r="U59" s="2"/>
      <c r="V59" s="7">
        <f t="shared" si="18"/>
        <v>1.7129562009383112E-3</v>
      </c>
      <c r="W59" s="2"/>
      <c r="X59" s="6">
        <f t="shared" si="19"/>
        <v>-140.81362687500314</v>
      </c>
      <c r="Y59" s="2"/>
      <c r="Z59" s="7">
        <f t="shared" si="20"/>
        <v>-3.5454034596510156E-2</v>
      </c>
    </row>
    <row r="60" spans="1:26" s="24" customFormat="1" hidden="1" outlineLevel="2" x14ac:dyDescent="0.25">
      <c r="A60" s="25"/>
      <c r="B60" s="11" t="str">
        <f>CONCATENATE("          ", "6113", " - ", "GROUP INSURANCE")</f>
        <v xml:space="preserve">          6113 - GROUP INSURANCE</v>
      </c>
      <c r="C60" s="11"/>
      <c r="D60" s="6">
        <v>1458.55</v>
      </c>
      <c r="E60" s="2"/>
      <c r="F60" s="7">
        <f t="shared" si="13"/>
        <v>1.3516542856536523E-2</v>
      </c>
      <c r="G60" s="2"/>
      <c r="H60" s="6">
        <v>1875.25</v>
      </c>
      <c r="I60" s="2"/>
      <c r="J60" s="7">
        <f t="shared" si="14"/>
        <v>5.430517466559712E-3</v>
      </c>
      <c r="K60" s="2"/>
      <c r="L60" s="6">
        <f t="shared" si="15"/>
        <v>-416.70000000000005</v>
      </c>
      <c r="M60" s="2"/>
      <c r="N60" s="7">
        <f t="shared" si="16"/>
        <v>-0.22221037195040663</v>
      </c>
      <c r="O60" s="11"/>
      <c r="P60" s="6">
        <v>18125.22</v>
      </c>
      <c r="Q60" s="2"/>
      <c r="R60" s="7">
        <f t="shared" si="17"/>
        <v>8.9133697512070939E-3</v>
      </c>
      <c r="S60" s="2"/>
      <c r="T60" s="6">
        <v>16877.25</v>
      </c>
      <c r="U60" s="2"/>
      <c r="V60" s="7">
        <f t="shared" si="18"/>
        <v>7.2789531090895207E-3</v>
      </c>
      <c r="W60" s="2"/>
      <c r="X60" s="6">
        <f t="shared" si="19"/>
        <v>1247.9700000000012</v>
      </c>
      <c r="Y60" s="2"/>
      <c r="Z60" s="7">
        <f t="shared" si="20"/>
        <v>7.3943918588632696E-2</v>
      </c>
    </row>
    <row r="61" spans="1:26" s="24" customFormat="1" hidden="1" outlineLevel="2" x14ac:dyDescent="0.25">
      <c r="A61" s="25"/>
      <c r="B61" s="11" t="str">
        <f>CONCATENATE("          ", "6114", " - ", "STATE UNEMPLOYMENT INSURANCE")</f>
        <v xml:space="preserve">          6114 - STATE UNEMPLOYMENT INSURANCE</v>
      </c>
      <c r="C61" s="11"/>
      <c r="D61" s="6">
        <v>75.760000000000005</v>
      </c>
      <c r="E61" s="2"/>
      <c r="F61" s="7">
        <f t="shared" si="13"/>
        <v>7.0207623105907036E-4</v>
      </c>
      <c r="G61" s="2"/>
      <c r="H61" s="6">
        <v>62.919241499999998</v>
      </c>
      <c r="I61" s="2"/>
      <c r="J61" s="7">
        <f t="shared" si="14"/>
        <v>1.8220719368000995E-4</v>
      </c>
      <c r="K61" s="2"/>
      <c r="L61" s="6">
        <f t="shared" si="15"/>
        <v>12.840758500000007</v>
      </c>
      <c r="M61" s="2"/>
      <c r="N61" s="7">
        <f t="shared" si="16"/>
        <v>0.2040831738252917</v>
      </c>
      <c r="O61" s="11"/>
      <c r="P61" s="6">
        <v>601.02</v>
      </c>
      <c r="Q61" s="2"/>
      <c r="R61" s="7">
        <f t="shared" si="17"/>
        <v>2.95561294586796E-4</v>
      </c>
      <c r="S61" s="2"/>
      <c r="T61" s="6">
        <v>543.49902262500007</v>
      </c>
      <c r="U61" s="2"/>
      <c r="V61" s="7">
        <f t="shared" si="18"/>
        <v>2.3440453275997927E-4</v>
      </c>
      <c r="W61" s="2"/>
      <c r="X61" s="6">
        <f t="shared" si="19"/>
        <v>57.520977374999916</v>
      </c>
      <c r="Y61" s="2"/>
      <c r="Z61" s="7">
        <f t="shared" si="20"/>
        <v>0.10583455531747638</v>
      </c>
    </row>
    <row r="62" spans="1:26" s="24" customFormat="1" hidden="1" outlineLevel="2" x14ac:dyDescent="0.25">
      <c r="A62" s="25"/>
      <c r="B62" s="11" t="str">
        <f>CONCATENATE("          ", "6115", " - ", "P.E.R.S.")</f>
        <v xml:space="preserve">          6115 - P.E.R.S.</v>
      </c>
      <c r="C62" s="11"/>
      <c r="D62" s="6">
        <v>656.87</v>
      </c>
      <c r="E62" s="2"/>
      <c r="F62" s="7">
        <f t="shared" si="13"/>
        <v>6.0872863502609764E-3</v>
      </c>
      <c r="G62" s="2"/>
      <c r="H62" s="6">
        <v>609.49991115384591</v>
      </c>
      <c r="I62" s="2"/>
      <c r="J62" s="7">
        <f t="shared" si="14"/>
        <v>1.7650446145247582E-3</v>
      </c>
      <c r="K62" s="2"/>
      <c r="L62" s="6">
        <f t="shared" si="15"/>
        <v>47.37008884615409</v>
      </c>
      <c r="M62" s="2"/>
      <c r="N62" s="7">
        <f t="shared" si="16"/>
        <v>7.7719599263726957E-2</v>
      </c>
      <c r="O62" s="11"/>
      <c r="P62" s="6">
        <v>7432.64</v>
      </c>
      <c r="Q62" s="2"/>
      <c r="R62" s="7">
        <f t="shared" si="17"/>
        <v>3.6551207956434122E-3</v>
      </c>
      <c r="S62" s="2"/>
      <c r="T62" s="6">
        <v>5942.6241337499996</v>
      </c>
      <c r="U62" s="2"/>
      <c r="V62" s="7">
        <f t="shared" si="18"/>
        <v>2.5629816714518054E-3</v>
      </c>
      <c r="W62" s="2"/>
      <c r="X62" s="6">
        <f t="shared" si="19"/>
        <v>1490.0158662500007</v>
      </c>
      <c r="Y62" s="2"/>
      <c r="Z62" s="7">
        <f t="shared" si="20"/>
        <v>0.2507336544789599</v>
      </c>
    </row>
    <row r="63" spans="1:26" s="24" customFormat="1" hidden="1" outlineLevel="2" x14ac:dyDescent="0.25">
      <c r="A63" s="25"/>
      <c r="B63" s="11" t="str">
        <f>CONCATENATE("          ", "6116", " - ", "EDUCATIONAL BENEFITS")</f>
        <v xml:space="preserve">          6116 - EDUCATIONAL BENEFITS</v>
      </c>
      <c r="C63" s="11"/>
      <c r="D63" s="6"/>
      <c r="E63" s="2"/>
      <c r="F63" s="7">
        <f t="shared" si="13"/>
        <v>0</v>
      </c>
      <c r="G63" s="2"/>
      <c r="H63" s="6">
        <v>0</v>
      </c>
      <c r="I63" s="2"/>
      <c r="J63" s="7">
        <f t="shared" si="14"/>
        <v>0</v>
      </c>
      <c r="K63" s="2"/>
      <c r="L63" s="6">
        <f t="shared" si="15"/>
        <v>0</v>
      </c>
      <c r="M63" s="2"/>
      <c r="N63" s="7">
        <f t="shared" si="16"/>
        <v>0</v>
      </c>
      <c r="O63" s="11"/>
      <c r="P63" s="6"/>
      <c r="Q63" s="2"/>
      <c r="R63" s="7">
        <f t="shared" si="17"/>
        <v>0</v>
      </c>
      <c r="S63" s="2"/>
      <c r="T63" s="6">
        <v>0</v>
      </c>
      <c r="U63" s="2"/>
      <c r="V63" s="7">
        <f t="shared" si="18"/>
        <v>0</v>
      </c>
      <c r="W63" s="2"/>
      <c r="X63" s="6">
        <f t="shared" si="19"/>
        <v>0</v>
      </c>
      <c r="Y63" s="2"/>
      <c r="Z63" s="7">
        <f t="shared" si="20"/>
        <v>0</v>
      </c>
    </row>
    <row r="64" spans="1:26" s="24" customFormat="1" hidden="1" outlineLevel="2" x14ac:dyDescent="0.25">
      <c r="A64" s="25"/>
      <c r="B64" s="11" t="str">
        <f>CONCATENATE("          ", "6118", " - ", "VACATION")</f>
        <v xml:space="preserve">          6118 - VACATION</v>
      </c>
      <c r="C64" s="11"/>
      <c r="D64" s="6">
        <v>2317.2800000000002</v>
      </c>
      <c r="E64" s="2"/>
      <c r="F64" s="7">
        <f t="shared" si="13"/>
        <v>2.1474487971337945E-2</v>
      </c>
      <c r="G64" s="2"/>
      <c r="H64" s="6">
        <v>212.616248076923</v>
      </c>
      <c r="I64" s="2"/>
      <c r="J64" s="7">
        <f t="shared" si="14"/>
        <v>6.1571323762491567E-4</v>
      </c>
      <c r="K64" s="2"/>
      <c r="L64" s="6">
        <f t="shared" si="15"/>
        <v>2104.6637519230771</v>
      </c>
      <c r="M64" s="2"/>
      <c r="N64" s="7">
        <f t="shared" si="16"/>
        <v>9.8988848263450926</v>
      </c>
      <c r="O64" s="11"/>
      <c r="P64" s="6">
        <v>8038.33</v>
      </c>
      <c r="Q64" s="2"/>
      <c r="R64" s="7">
        <f t="shared" si="17"/>
        <v>3.9529786381749029E-3</v>
      </c>
      <c r="S64" s="2"/>
      <c r="T64" s="6">
        <v>2073.0084187500001</v>
      </c>
      <c r="U64" s="2"/>
      <c r="V64" s="7">
        <f t="shared" si="18"/>
        <v>8.9406337376225775E-4</v>
      </c>
      <c r="W64" s="2"/>
      <c r="X64" s="6">
        <f t="shared" si="19"/>
        <v>5965.3215812500002</v>
      </c>
      <c r="Y64" s="2"/>
      <c r="Z64" s="7">
        <f t="shared" si="20"/>
        <v>2.8776157044490054</v>
      </c>
    </row>
    <row r="65" spans="1:26" s="24" customFormat="1" hidden="1" outlineLevel="2" x14ac:dyDescent="0.25">
      <c r="A65" s="25"/>
      <c r="B65" s="11" t="str">
        <f>CONCATENATE("          ", "6119", " - ", "SICK LEAVE")</f>
        <v xml:space="preserve">          6119 - SICK LEAVE</v>
      </c>
      <c r="C65" s="11"/>
      <c r="D65" s="6">
        <v>7037.16</v>
      </c>
      <c r="E65" s="2"/>
      <c r="F65" s="7">
        <f t="shared" si="13"/>
        <v>6.5214133713828504E-2</v>
      </c>
      <c r="G65" s="2"/>
      <c r="H65" s="6">
        <v>312.86916538461503</v>
      </c>
      <c r="I65" s="2"/>
      <c r="J65" s="7">
        <f t="shared" si="14"/>
        <v>9.0603464464424001E-4</v>
      </c>
      <c r="K65" s="2"/>
      <c r="L65" s="6">
        <f t="shared" si="15"/>
        <v>6724.2908346153845</v>
      </c>
      <c r="M65" s="2"/>
      <c r="N65" s="7">
        <f t="shared" si="16"/>
        <v>21.492341139942976</v>
      </c>
      <c r="O65" s="11"/>
      <c r="P65" s="6">
        <v>12062.61</v>
      </c>
      <c r="Q65" s="2"/>
      <c r="R65" s="7">
        <f t="shared" si="17"/>
        <v>5.9319833411461045E-3</v>
      </c>
      <c r="S65" s="2"/>
      <c r="T65" s="6">
        <v>2781.3836624999967</v>
      </c>
      <c r="U65" s="2"/>
      <c r="V65" s="7">
        <f t="shared" si="18"/>
        <v>1.1995770198181073E-3</v>
      </c>
      <c r="W65" s="2"/>
      <c r="X65" s="6">
        <f t="shared" si="19"/>
        <v>9281.2263375000039</v>
      </c>
      <c r="Y65" s="2"/>
      <c r="Z65" s="7">
        <f t="shared" si="20"/>
        <v>3.3369097771854102</v>
      </c>
    </row>
    <row r="66" spans="1:26" s="24" customFormat="1" hidden="1" outlineLevel="2" x14ac:dyDescent="0.25">
      <c r="A66" s="25"/>
      <c r="B66" s="11" t="str">
        <f>CONCATENATE("          ", "6156", " - ", "EMPLOYEE MEALS")</f>
        <v xml:space="preserve">          6156 - EMPLOYEE MEALS</v>
      </c>
      <c r="C66" s="11"/>
      <c r="D66" s="6">
        <v>296.08</v>
      </c>
      <c r="E66" s="2"/>
      <c r="F66" s="7">
        <f t="shared" si="13"/>
        <v>2.7438058407070953E-3</v>
      </c>
      <c r="G66" s="2"/>
      <c r="H66" s="6"/>
      <c r="I66" s="2"/>
      <c r="J66" s="7">
        <f t="shared" si="14"/>
        <v>0</v>
      </c>
      <c r="K66" s="2"/>
      <c r="L66" s="6">
        <f t="shared" si="15"/>
        <v>296.08</v>
      </c>
      <c r="M66" s="2"/>
      <c r="N66" s="7">
        <f t="shared" si="16"/>
        <v>0</v>
      </c>
      <c r="O66" s="11"/>
      <c r="P66" s="6">
        <v>1812.78</v>
      </c>
      <c r="Q66" s="2"/>
      <c r="R66" s="7">
        <f t="shared" si="17"/>
        <v>8.9146385078874588E-4</v>
      </c>
      <c r="S66" s="2"/>
      <c r="T66" s="6"/>
      <c r="U66" s="2"/>
      <c r="V66" s="7">
        <f t="shared" si="18"/>
        <v>0</v>
      </c>
      <c r="W66" s="2"/>
      <c r="X66" s="6">
        <f t="shared" si="19"/>
        <v>1812.78</v>
      </c>
      <c r="Y66" s="2"/>
      <c r="Z66" s="7">
        <f t="shared" si="20"/>
        <v>0</v>
      </c>
    </row>
    <row r="67" spans="1:26" s="27" customFormat="1" outlineLevel="1" collapsed="1" x14ac:dyDescent="0.25">
      <c r="A67" s="26"/>
      <c r="B67" s="13" t="str">
        <f>CONCATENATE("     ","*Payroll                                          ")</f>
        <v xml:space="preserve">     *Payroll                                          </v>
      </c>
      <c r="C67" s="13"/>
      <c r="D67" s="1">
        <f>SUM(OSRRefD22_1x_0)</f>
        <v>24932.71</v>
      </c>
      <c r="E67" s="1"/>
      <c r="F67" s="5">
        <f t="shared" ref="F67:F77" si="21">IF(D$12=0,0,D67/D$12)</f>
        <v>0.23105415874985208</v>
      </c>
      <c r="G67" s="1"/>
      <c r="H67" s="1">
        <f>SUM(OSRRefH22_1x_0)</f>
        <v>23845.347855769229</v>
      </c>
      <c r="I67" s="1"/>
      <c r="J67" s="5">
        <f t="shared" ref="J67:J77" si="22">IF(H$12=0,0,H67/H$12)</f>
        <v>6.9053501147552043E-2</v>
      </c>
      <c r="K67" s="1"/>
      <c r="L67" s="1">
        <f t="shared" ref="L67:L77" si="23">+D67-H67</f>
        <v>1087.3621442307704</v>
      </c>
      <c r="M67" s="1"/>
      <c r="N67" s="5">
        <f t="shared" ref="N67:N77" si="24">IF(H67=0,0,L67/H67)</f>
        <v>4.5600598943147316E-2</v>
      </c>
      <c r="O67" s="13"/>
      <c r="P67" s="1">
        <f>SUM(OSRRefP22_1x_0)</f>
        <v>219127.6</v>
      </c>
      <c r="Q67" s="1"/>
      <c r="R67" s="5">
        <f t="shared" ref="R67:R77" si="25">IF(P$12=0,0,P67/P$12)</f>
        <v>0.10775953734600779</v>
      </c>
      <c r="S67" s="1"/>
      <c r="T67" s="1">
        <f>SUM(OSRRefT22_1x_0)</f>
        <v>205583.07159374998</v>
      </c>
      <c r="U67" s="1"/>
      <c r="V67" s="5">
        <f t="shared" ref="V67:V77" si="26">IF(T$12=0,0,T67/T$12)</f>
        <v>8.8665483900131833E-2</v>
      </c>
      <c r="W67" s="1"/>
      <c r="X67" s="1">
        <f t="shared" ref="X67:X77" si="27">+P67-T67</f>
        <v>13544.528406250029</v>
      </c>
      <c r="Y67" s="1"/>
      <c r="Z67" s="5">
        <f t="shared" ref="Z67:Z77" si="28">IF(T67=0,0,X67/T67)</f>
        <v>6.588348107287352E-2</v>
      </c>
    </row>
    <row r="68" spans="1:26" s="24" customFormat="1" hidden="1" outlineLevel="2" x14ac:dyDescent="0.25">
      <c r="A68" s="25"/>
      <c r="B68" s="11" t="str">
        <f>CONCATENATE("          ", "6001", " - ", "ADMINISTRATIVE SALARIES")</f>
        <v xml:space="preserve">          6001 - ADMINISTRATIVE SALARIES</v>
      </c>
      <c r="C68" s="11"/>
      <c r="D68" s="6"/>
      <c r="E68" s="2"/>
      <c r="F68" s="7">
        <f t="shared" si="21"/>
        <v>0</v>
      </c>
      <c r="G68" s="2"/>
      <c r="H68" s="6">
        <v>0</v>
      </c>
      <c r="I68" s="2"/>
      <c r="J68" s="7">
        <f t="shared" si="22"/>
        <v>0</v>
      </c>
      <c r="K68" s="2"/>
      <c r="L68" s="6">
        <f t="shared" si="23"/>
        <v>0</v>
      </c>
      <c r="M68" s="2"/>
      <c r="N68" s="7">
        <f t="shared" si="24"/>
        <v>0</v>
      </c>
      <c r="O68" s="11"/>
      <c r="P68" s="6"/>
      <c r="Q68" s="2"/>
      <c r="R68" s="7">
        <f t="shared" si="25"/>
        <v>0</v>
      </c>
      <c r="S68" s="2"/>
      <c r="T68" s="6">
        <v>0</v>
      </c>
      <c r="U68" s="2"/>
      <c r="V68" s="7">
        <f t="shared" si="26"/>
        <v>0</v>
      </c>
      <c r="W68" s="2"/>
      <c r="X68" s="6">
        <f t="shared" si="27"/>
        <v>0</v>
      </c>
      <c r="Y68" s="2"/>
      <c r="Z68" s="7">
        <f t="shared" si="28"/>
        <v>0</v>
      </c>
    </row>
    <row r="69" spans="1:26" s="24" customFormat="1" hidden="1" outlineLevel="2" x14ac:dyDescent="0.25">
      <c r="A69" s="25"/>
      <c r="B69" s="11" t="str">
        <f>CONCATENATE("          ", "6002", " - ", "STAFF SALARIES")</f>
        <v xml:space="preserve">          6002 - STAFF SALARIES</v>
      </c>
      <c r="C69" s="11"/>
      <c r="D69" s="6">
        <v>6597.66</v>
      </c>
      <c r="E69" s="2"/>
      <c r="F69" s="7">
        <f t="shared" si="21"/>
        <v>6.114123899959327E-2</v>
      </c>
      <c r="G69" s="2"/>
      <c r="H69" s="6">
        <v>6732.8478557692297</v>
      </c>
      <c r="I69" s="2"/>
      <c r="J69" s="7">
        <f t="shared" si="22"/>
        <v>1.9497585858122331E-2</v>
      </c>
      <c r="K69" s="2"/>
      <c r="L69" s="6">
        <f t="shared" si="23"/>
        <v>-135.18785576922983</v>
      </c>
      <c r="M69" s="2"/>
      <c r="N69" s="7">
        <f t="shared" si="24"/>
        <v>-2.0078852020009679E-2</v>
      </c>
      <c r="O69" s="11"/>
      <c r="P69" s="6">
        <v>68609.240000000005</v>
      </c>
      <c r="Q69" s="2"/>
      <c r="R69" s="7">
        <f t="shared" si="25"/>
        <v>3.3739702164680363E-2</v>
      </c>
      <c r="S69" s="2"/>
      <c r="T69" s="6">
        <v>65645.266593749999</v>
      </c>
      <c r="U69" s="2"/>
      <c r="V69" s="7">
        <f t="shared" si="26"/>
        <v>2.8312006835804829E-2</v>
      </c>
      <c r="W69" s="2"/>
      <c r="X69" s="6">
        <f t="shared" si="27"/>
        <v>2963.9734062500065</v>
      </c>
      <c r="Y69" s="2"/>
      <c r="Z69" s="7">
        <f t="shared" si="28"/>
        <v>4.5151365209509298E-2</v>
      </c>
    </row>
    <row r="70" spans="1:26" s="24" customFormat="1" hidden="1" outlineLevel="2" x14ac:dyDescent="0.25">
      <c r="A70" s="25"/>
      <c r="B70" s="11" t="str">
        <f>CONCATENATE("          ", "6003", " - ", "STAFF HOURLY-9 MONTH")</f>
        <v xml:space="preserve">          6003 - STAFF HOURLY-9 MONTH</v>
      </c>
      <c r="C70" s="11"/>
      <c r="D70" s="6"/>
      <c r="E70" s="2"/>
      <c r="F70" s="7">
        <f t="shared" si="21"/>
        <v>0</v>
      </c>
      <c r="G70" s="2"/>
      <c r="H70" s="6">
        <v>0</v>
      </c>
      <c r="I70" s="2"/>
      <c r="J70" s="7">
        <f t="shared" si="22"/>
        <v>0</v>
      </c>
      <c r="K70" s="2"/>
      <c r="L70" s="6">
        <f t="shared" si="23"/>
        <v>0</v>
      </c>
      <c r="M70" s="2"/>
      <c r="N70" s="7">
        <f t="shared" si="24"/>
        <v>0</v>
      </c>
      <c r="O70" s="11"/>
      <c r="P70" s="6"/>
      <c r="Q70" s="2"/>
      <c r="R70" s="7">
        <f t="shared" si="25"/>
        <v>0</v>
      </c>
      <c r="S70" s="2"/>
      <c r="T70" s="6">
        <v>0</v>
      </c>
      <c r="U70" s="2"/>
      <c r="V70" s="7">
        <f t="shared" si="26"/>
        <v>0</v>
      </c>
      <c r="W70" s="2"/>
      <c r="X70" s="6">
        <f t="shared" si="27"/>
        <v>0</v>
      </c>
      <c r="Y70" s="2"/>
      <c r="Z70" s="7">
        <f t="shared" si="28"/>
        <v>0</v>
      </c>
    </row>
    <row r="71" spans="1:26" s="24" customFormat="1" hidden="1" outlineLevel="2" x14ac:dyDescent="0.25">
      <c r="A71" s="25"/>
      <c r="B71" s="11" t="str">
        <f>CONCATENATE("          ", "6004", " - ", "STAFF HOURLY")</f>
        <v xml:space="preserve">          6004 - STAFF HOURLY</v>
      </c>
      <c r="C71" s="11"/>
      <c r="D71" s="6">
        <v>3298.52</v>
      </c>
      <c r="E71" s="2"/>
      <c r="F71" s="7">
        <f t="shared" si="21"/>
        <v>3.0567746695788871E-2</v>
      </c>
      <c r="G71" s="2"/>
      <c r="H71" s="6">
        <v>1911.68</v>
      </c>
      <c r="I71" s="2"/>
      <c r="J71" s="7">
        <f t="shared" si="22"/>
        <v>5.5360147342876261E-3</v>
      </c>
      <c r="K71" s="2"/>
      <c r="L71" s="6">
        <f t="shared" si="23"/>
        <v>1386.84</v>
      </c>
      <c r="M71" s="2"/>
      <c r="N71" s="7">
        <f t="shared" si="24"/>
        <v>0.72545614328757946</v>
      </c>
      <c r="O71" s="11"/>
      <c r="P71" s="6">
        <v>7866.19</v>
      </c>
      <c r="Q71" s="2"/>
      <c r="R71" s="7">
        <f t="shared" si="25"/>
        <v>3.8683260122220706E-3</v>
      </c>
      <c r="S71" s="2"/>
      <c r="T71" s="6">
        <v>18638.88</v>
      </c>
      <c r="U71" s="2"/>
      <c r="V71" s="7">
        <f t="shared" si="26"/>
        <v>8.0387227496153991E-3</v>
      </c>
      <c r="W71" s="2"/>
      <c r="X71" s="6">
        <f t="shared" si="27"/>
        <v>-10772.690000000002</v>
      </c>
      <c r="Y71" s="2"/>
      <c r="Z71" s="7">
        <f t="shared" si="28"/>
        <v>-0.57796874061102388</v>
      </c>
    </row>
    <row r="72" spans="1:26" s="24" customFormat="1" hidden="1" outlineLevel="2" x14ac:dyDescent="0.25">
      <c r="A72" s="25"/>
      <c r="B72" s="11" t="str">
        <f>CONCATENATE("          ", "6005", " - ", "TEMPORARY WAGES-HOURLY")</f>
        <v xml:space="preserve">          6005 - TEMPORARY WAGES-HOURLY</v>
      </c>
      <c r="C72" s="11"/>
      <c r="D72" s="6">
        <v>2633.86</v>
      </c>
      <c r="E72" s="2"/>
      <c r="F72" s="7">
        <f t="shared" si="21"/>
        <v>2.4408269560945658E-2</v>
      </c>
      <c r="G72" s="2"/>
      <c r="H72" s="6">
        <v>0</v>
      </c>
      <c r="I72" s="2"/>
      <c r="J72" s="7">
        <f t="shared" si="22"/>
        <v>0</v>
      </c>
      <c r="K72" s="2"/>
      <c r="L72" s="6">
        <f t="shared" si="23"/>
        <v>2633.86</v>
      </c>
      <c r="M72" s="2"/>
      <c r="N72" s="7">
        <f t="shared" si="24"/>
        <v>0</v>
      </c>
      <c r="O72" s="11"/>
      <c r="P72" s="6">
        <v>29609.279999999999</v>
      </c>
      <c r="Q72" s="2"/>
      <c r="R72" s="7">
        <f t="shared" si="25"/>
        <v>1.4560841783273314E-2</v>
      </c>
      <c r="S72" s="2"/>
      <c r="T72" s="6">
        <v>0</v>
      </c>
      <c r="U72" s="2"/>
      <c r="V72" s="7">
        <f t="shared" si="26"/>
        <v>0</v>
      </c>
      <c r="W72" s="2"/>
      <c r="X72" s="6">
        <f t="shared" si="27"/>
        <v>29609.279999999999</v>
      </c>
      <c r="Y72" s="2"/>
      <c r="Z72" s="7">
        <f t="shared" si="28"/>
        <v>0</v>
      </c>
    </row>
    <row r="73" spans="1:26" s="24" customFormat="1" hidden="1" outlineLevel="2" x14ac:dyDescent="0.25">
      <c r="A73" s="25"/>
      <c r="B73" s="11" t="str">
        <f>CONCATENATE("          ", "6006", " - ", "TEMPORARY PART TIME")</f>
        <v xml:space="preserve">          6006 - TEMPORARY PART TIME</v>
      </c>
      <c r="C73" s="11"/>
      <c r="D73" s="6">
        <v>431.97</v>
      </c>
      <c r="E73" s="2"/>
      <c r="F73" s="7">
        <f t="shared" si="21"/>
        <v>4.0031133781756418E-3</v>
      </c>
      <c r="G73" s="2"/>
      <c r="H73" s="6">
        <v>0</v>
      </c>
      <c r="I73" s="2"/>
      <c r="J73" s="7">
        <f t="shared" si="22"/>
        <v>0</v>
      </c>
      <c r="K73" s="2"/>
      <c r="L73" s="6">
        <f t="shared" si="23"/>
        <v>431.97</v>
      </c>
      <c r="M73" s="2"/>
      <c r="N73" s="7">
        <f t="shared" si="24"/>
        <v>0</v>
      </c>
      <c r="O73" s="11"/>
      <c r="P73" s="6">
        <v>911.29</v>
      </c>
      <c r="Q73" s="2"/>
      <c r="R73" s="7">
        <f t="shared" si="25"/>
        <v>4.481415795547591E-4</v>
      </c>
      <c r="S73" s="2"/>
      <c r="T73" s="6">
        <v>0</v>
      </c>
      <c r="U73" s="2"/>
      <c r="V73" s="7">
        <f t="shared" si="26"/>
        <v>0</v>
      </c>
      <c r="W73" s="2"/>
      <c r="X73" s="6">
        <f t="shared" si="27"/>
        <v>911.29</v>
      </c>
      <c r="Y73" s="2"/>
      <c r="Z73" s="7">
        <f t="shared" si="28"/>
        <v>0</v>
      </c>
    </row>
    <row r="74" spans="1:26" s="24" customFormat="1" hidden="1" outlineLevel="2" x14ac:dyDescent="0.25">
      <c r="A74" s="25"/>
      <c r="B74" s="11" t="str">
        <f>CONCATENATE("          ", "6007", " - ", "STUDENT HOURLY")</f>
        <v xml:space="preserve">          6007 - STUDENT HOURLY</v>
      </c>
      <c r="C74" s="11"/>
      <c r="D74" s="6">
        <v>11970.7</v>
      </c>
      <c r="E74" s="2"/>
      <c r="F74" s="7">
        <f t="shared" si="21"/>
        <v>0.11093379011534865</v>
      </c>
      <c r="G74" s="2"/>
      <c r="H74" s="6">
        <v>0</v>
      </c>
      <c r="I74" s="2"/>
      <c r="J74" s="7">
        <f t="shared" si="22"/>
        <v>0</v>
      </c>
      <c r="K74" s="2"/>
      <c r="L74" s="6">
        <f t="shared" si="23"/>
        <v>11970.7</v>
      </c>
      <c r="M74" s="2"/>
      <c r="N74" s="7">
        <f t="shared" si="24"/>
        <v>0</v>
      </c>
      <c r="O74" s="11"/>
      <c r="P74" s="6">
        <v>111936.6</v>
      </c>
      <c r="Q74" s="2"/>
      <c r="R74" s="7">
        <f t="shared" si="25"/>
        <v>5.5046631406017024E-2</v>
      </c>
      <c r="S74" s="2"/>
      <c r="T74" s="6">
        <v>22511.25</v>
      </c>
      <c r="U74" s="2"/>
      <c r="V74" s="7">
        <f t="shared" si="26"/>
        <v>9.7088289370004886E-3</v>
      </c>
      <c r="W74" s="2"/>
      <c r="X74" s="6">
        <f t="shared" si="27"/>
        <v>89425.35</v>
      </c>
      <c r="Y74" s="2"/>
      <c r="Z74" s="7">
        <f t="shared" si="28"/>
        <v>3.9724737631184412</v>
      </c>
    </row>
    <row r="75" spans="1:26" s="24" customFormat="1" hidden="1" outlineLevel="2" x14ac:dyDescent="0.25">
      <c r="A75" s="25"/>
      <c r="B75" s="11" t="str">
        <f>CONCATENATE("          ", "6008", " - ", "STUDENT HOURLY-FICA EXEMPT")</f>
        <v xml:space="preserve">          6008 - STUDENT HOURLY-FICA EXEMPT</v>
      </c>
      <c r="C75" s="11"/>
      <c r="D75" s="6"/>
      <c r="E75" s="2"/>
      <c r="F75" s="7">
        <f t="shared" si="21"/>
        <v>0</v>
      </c>
      <c r="G75" s="2"/>
      <c r="H75" s="6">
        <v>15200.82</v>
      </c>
      <c r="I75" s="2"/>
      <c r="J75" s="7">
        <f t="shared" si="22"/>
        <v>4.4019900555142086E-2</v>
      </c>
      <c r="K75" s="2"/>
      <c r="L75" s="6">
        <f t="shared" si="23"/>
        <v>-15200.82</v>
      </c>
      <c r="M75" s="2"/>
      <c r="N75" s="7">
        <f t="shared" si="24"/>
        <v>-1</v>
      </c>
      <c r="O75" s="11"/>
      <c r="P75" s="6">
        <v>195</v>
      </c>
      <c r="Q75" s="2"/>
      <c r="R75" s="7">
        <f t="shared" si="25"/>
        <v>9.5894400260266256E-5</v>
      </c>
      <c r="S75" s="2"/>
      <c r="T75" s="6">
        <v>98787.674999999988</v>
      </c>
      <c r="U75" s="2"/>
      <c r="V75" s="7">
        <f t="shared" si="26"/>
        <v>4.2605925377711122E-2</v>
      </c>
      <c r="W75" s="2"/>
      <c r="X75" s="6">
        <f t="shared" si="27"/>
        <v>-98592.674999999988</v>
      </c>
      <c r="Y75" s="2"/>
      <c r="Z75" s="7">
        <f t="shared" si="28"/>
        <v>-0.9980260695476435</v>
      </c>
    </row>
    <row r="76" spans="1:26" s="24" customFormat="1" hidden="1" outlineLevel="2" x14ac:dyDescent="0.25">
      <c r="A76" s="25"/>
      <c r="B76" s="11" t="str">
        <f>CONCATENATE("          ", "6009", " - ", "TEMPORARY-SEASONAL")</f>
        <v xml:space="preserve">          6009 - TEMPORARY-SEASONAL</v>
      </c>
      <c r="C76" s="11"/>
      <c r="D76" s="6"/>
      <c r="E76" s="2"/>
      <c r="F76" s="7">
        <f t="shared" si="21"/>
        <v>0</v>
      </c>
      <c r="G76" s="2"/>
      <c r="H76" s="6">
        <v>0</v>
      </c>
      <c r="I76" s="2"/>
      <c r="J76" s="7">
        <f t="shared" si="22"/>
        <v>0</v>
      </c>
      <c r="K76" s="2"/>
      <c r="L76" s="6">
        <f t="shared" si="23"/>
        <v>0</v>
      </c>
      <c r="M76" s="2"/>
      <c r="N76" s="7">
        <f t="shared" si="24"/>
        <v>0</v>
      </c>
      <c r="O76" s="11"/>
      <c r="P76" s="6"/>
      <c r="Q76" s="2"/>
      <c r="R76" s="7">
        <f t="shared" si="25"/>
        <v>0</v>
      </c>
      <c r="S76" s="2"/>
      <c r="T76" s="6">
        <v>0</v>
      </c>
      <c r="U76" s="2"/>
      <c r="V76" s="7">
        <f t="shared" si="26"/>
        <v>0</v>
      </c>
      <c r="W76" s="2"/>
      <c r="X76" s="6">
        <f t="shared" si="27"/>
        <v>0</v>
      </c>
      <c r="Y76" s="2"/>
      <c r="Z76" s="7">
        <f t="shared" si="28"/>
        <v>0</v>
      </c>
    </row>
    <row r="77" spans="1:26" s="24" customFormat="1" hidden="1" outlineLevel="2" x14ac:dyDescent="0.25">
      <c r="A77" s="25"/>
      <c r="B77" s="11" t="str">
        <f>CONCATENATE("          ", "6010", " - ", "GRATUITY")</f>
        <v xml:space="preserve">          6010 - GRATUITY</v>
      </c>
      <c r="C77" s="11"/>
      <c r="D77" s="6"/>
      <c r="E77" s="2"/>
      <c r="F77" s="7">
        <f t="shared" si="21"/>
        <v>0</v>
      </c>
      <c r="G77" s="2"/>
      <c r="H77" s="6">
        <v>0</v>
      </c>
      <c r="I77" s="2"/>
      <c r="J77" s="7">
        <f t="shared" si="22"/>
        <v>0</v>
      </c>
      <c r="K77" s="2"/>
      <c r="L77" s="6">
        <f t="shared" si="23"/>
        <v>0</v>
      </c>
      <c r="M77" s="2"/>
      <c r="N77" s="7">
        <f t="shared" si="24"/>
        <v>0</v>
      </c>
      <c r="O77" s="11"/>
      <c r="P77" s="6"/>
      <c r="Q77" s="2"/>
      <c r="R77" s="7">
        <f t="shared" si="25"/>
        <v>0</v>
      </c>
      <c r="S77" s="2"/>
      <c r="T77" s="6">
        <v>0</v>
      </c>
      <c r="U77" s="2"/>
      <c r="V77" s="7">
        <f t="shared" si="26"/>
        <v>0</v>
      </c>
      <c r="W77" s="2"/>
      <c r="X77" s="6">
        <f t="shared" si="27"/>
        <v>0</v>
      </c>
      <c r="Y77" s="2"/>
      <c r="Z77" s="7">
        <f t="shared" si="28"/>
        <v>0</v>
      </c>
    </row>
    <row r="78" spans="1:26" s="27" customFormat="1" outlineLevel="1" collapsed="1" x14ac:dyDescent="0.25">
      <c r="A78" s="26"/>
      <c r="B78" s="13" t="str">
        <f>CONCATENATE("     ","Advertising/Promo                                 ")</f>
        <v xml:space="preserve">     Advertising/Promo                                 </v>
      </c>
      <c r="C78" s="13"/>
      <c r="D78" s="1">
        <f>SUM(OSRRefD22_2x_0)</f>
        <v>21.78</v>
      </c>
      <c r="E78" s="1"/>
      <c r="F78" s="5">
        <f t="shared" ref="F78:F82" si="29">IF(D$12=0,0,D78/D$12)</f>
        <v>2.0183764931978028E-4</v>
      </c>
      <c r="G78" s="1"/>
      <c r="H78" s="1">
        <f>SUM(OSRRefH22_2x_0)</f>
        <v>600</v>
      </c>
      <c r="I78" s="1"/>
      <c r="J78" s="5">
        <f t="shared" ref="J78:J82" si="30">IF(H$12=0,0,H78/H$12)</f>
        <v>1.7375339181100265E-3</v>
      </c>
      <c r="K78" s="1"/>
      <c r="L78" s="1">
        <f t="shared" ref="L78:L82" si="31">+D78-H78</f>
        <v>-578.22</v>
      </c>
      <c r="M78" s="1"/>
      <c r="N78" s="5">
        <f t="shared" ref="N78:N82" si="32">IF(H78=0,0,L78/H78)</f>
        <v>-0.9637</v>
      </c>
      <c r="O78" s="13"/>
      <c r="P78" s="1">
        <f>SUM(OSRRefP22_2x_0)</f>
        <v>18186.2</v>
      </c>
      <c r="Q78" s="1"/>
      <c r="R78" s="5">
        <f t="shared" ref="R78:R82" si="33">IF(P$12=0,0,P78/P$12)</f>
        <v>8.9433576513500215E-3</v>
      </c>
      <c r="S78" s="1"/>
      <c r="T78" s="1">
        <f>SUM(OSRRefT22_2x_0)</f>
        <v>4700</v>
      </c>
      <c r="U78" s="1"/>
      <c r="V78" s="5">
        <f t="shared" ref="V78:V82" si="34">IF(T$12=0,0,T78/T$12)</f>
        <v>2.0270529625810337E-3</v>
      </c>
      <c r="W78" s="1"/>
      <c r="X78" s="1">
        <f t="shared" ref="X78:X82" si="35">+P78-T78</f>
        <v>13486.2</v>
      </c>
      <c r="Y78" s="1"/>
      <c r="Z78" s="5">
        <f t="shared" ref="Z78:Z82" si="36">IF(T78=0,0,X78/T78)</f>
        <v>2.8694042553191492</v>
      </c>
    </row>
    <row r="79" spans="1:26" s="24" customFormat="1" hidden="1" outlineLevel="2" x14ac:dyDescent="0.25">
      <c r="A79" s="25"/>
      <c r="B79" s="11" t="str">
        <f>CONCATENATE("          ", "6362", " - ", "ADVERTISING EXPENSE")</f>
        <v xml:space="preserve">          6362 - ADVERTISING EXPENSE</v>
      </c>
      <c r="C79" s="11"/>
      <c r="D79" s="6">
        <v>21.78</v>
      </c>
      <c r="E79" s="2"/>
      <c r="F79" s="7">
        <f t="shared" si="29"/>
        <v>2.0183764931978028E-4</v>
      </c>
      <c r="G79" s="2"/>
      <c r="H79" s="6">
        <v>600</v>
      </c>
      <c r="I79" s="2"/>
      <c r="J79" s="7">
        <f t="shared" si="30"/>
        <v>1.7375339181100265E-3</v>
      </c>
      <c r="K79" s="2"/>
      <c r="L79" s="6">
        <f t="shared" si="31"/>
        <v>-578.22</v>
      </c>
      <c r="M79" s="2"/>
      <c r="N79" s="7">
        <f t="shared" si="32"/>
        <v>-0.9637</v>
      </c>
      <c r="O79" s="11"/>
      <c r="P79" s="6">
        <v>18186.2</v>
      </c>
      <c r="Q79" s="2"/>
      <c r="R79" s="7">
        <f t="shared" si="33"/>
        <v>8.9433576513500215E-3</v>
      </c>
      <c r="S79" s="2"/>
      <c r="T79" s="6">
        <v>4700</v>
      </c>
      <c r="U79" s="2"/>
      <c r="V79" s="7">
        <f t="shared" si="34"/>
        <v>2.0270529625810337E-3</v>
      </c>
      <c r="W79" s="2"/>
      <c r="X79" s="6">
        <f t="shared" si="35"/>
        <v>13486.2</v>
      </c>
      <c r="Y79" s="2"/>
      <c r="Z79" s="7">
        <f t="shared" si="36"/>
        <v>2.8694042553191492</v>
      </c>
    </row>
    <row r="80" spans="1:26" s="27" customFormat="1" outlineLevel="1" collapsed="1" x14ac:dyDescent="0.25">
      <c r="A80" s="26"/>
      <c r="B80" s="13" t="str">
        <f>CONCATENATE("     ","Discounts and Markdowns                           ")</f>
        <v xml:space="preserve">     Discounts and Markdowns                           </v>
      </c>
      <c r="C80" s="13"/>
      <c r="D80" s="1">
        <f>SUM(OSRRefD22_3x_0)</f>
        <v>9801.26</v>
      </c>
      <c r="E80" s="1"/>
      <c r="F80" s="5">
        <f t="shared" si="29"/>
        <v>9.0829351642423756E-2</v>
      </c>
      <c r="G80" s="1"/>
      <c r="H80" s="1">
        <f>SUM(OSRRefH22_3x_0)</f>
        <v>23000</v>
      </c>
      <c r="I80" s="1"/>
      <c r="J80" s="5">
        <f t="shared" si="30"/>
        <v>6.6605466860884352E-2</v>
      </c>
      <c r="K80" s="1"/>
      <c r="L80" s="1">
        <f t="shared" si="31"/>
        <v>-13198.74</v>
      </c>
      <c r="M80" s="1"/>
      <c r="N80" s="5">
        <f t="shared" si="32"/>
        <v>-0.57385826086956526</v>
      </c>
      <c r="O80" s="13"/>
      <c r="P80" s="1">
        <f>SUM(OSRRefP22_3x_0)</f>
        <v>186291.5</v>
      </c>
      <c r="Q80" s="1"/>
      <c r="R80" s="5">
        <f t="shared" si="33"/>
        <v>9.1611854697873793E-2</v>
      </c>
      <c r="S80" s="1"/>
      <c r="T80" s="1">
        <f>SUM(OSRRefT22_3x_0)</f>
        <v>202000</v>
      </c>
      <c r="U80" s="1"/>
      <c r="V80" s="5">
        <f t="shared" si="34"/>
        <v>8.7120148604546546E-2</v>
      </c>
      <c r="W80" s="1"/>
      <c r="X80" s="1">
        <f t="shared" si="35"/>
        <v>-15708.5</v>
      </c>
      <c r="Y80" s="1"/>
      <c r="Z80" s="5">
        <f t="shared" si="36"/>
        <v>-7.7764851485148515E-2</v>
      </c>
    </row>
    <row r="81" spans="1:26" s="24" customFormat="1" hidden="1" outlineLevel="2" x14ac:dyDescent="0.25">
      <c r="A81" s="25"/>
      <c r="B81" s="11" t="str">
        <f>CONCATENATE("          ", "6382", " - ", "DISCOUNTS/MARK DOWNS")</f>
        <v xml:space="preserve">          6382 - DISCOUNTS/MARK DOWNS</v>
      </c>
      <c r="C81" s="11"/>
      <c r="D81" s="6">
        <v>9801.26</v>
      </c>
      <c r="E81" s="2"/>
      <c r="F81" s="7">
        <f t="shared" si="29"/>
        <v>9.0829351642423756E-2</v>
      </c>
      <c r="G81" s="2"/>
      <c r="H81" s="6">
        <v>23000</v>
      </c>
      <c r="I81" s="2"/>
      <c r="J81" s="7">
        <f t="shared" si="30"/>
        <v>6.6605466860884352E-2</v>
      </c>
      <c r="K81" s="2"/>
      <c r="L81" s="6">
        <f t="shared" si="31"/>
        <v>-13198.74</v>
      </c>
      <c r="M81" s="2"/>
      <c r="N81" s="7">
        <f t="shared" si="32"/>
        <v>-0.57385826086956526</v>
      </c>
      <c r="O81" s="11"/>
      <c r="P81" s="6">
        <v>186310.89</v>
      </c>
      <c r="Q81" s="2"/>
      <c r="R81" s="7">
        <f t="shared" si="33"/>
        <v>9.1621390043622755E-2</v>
      </c>
      <c r="S81" s="2"/>
      <c r="T81" s="6">
        <v>202000</v>
      </c>
      <c r="U81" s="2"/>
      <c r="V81" s="7">
        <f t="shared" si="34"/>
        <v>8.7120148604546546E-2</v>
      </c>
      <c r="W81" s="2"/>
      <c r="X81" s="6">
        <f t="shared" si="35"/>
        <v>-15689.109999999986</v>
      </c>
      <c r="Y81" s="2"/>
      <c r="Z81" s="7">
        <f t="shared" si="36"/>
        <v>-7.7668861386138544E-2</v>
      </c>
    </row>
    <row r="82" spans="1:26" s="24" customFormat="1" hidden="1" outlineLevel="2" x14ac:dyDescent="0.25">
      <c r="A82" s="25"/>
      <c r="B82" s="11" t="str">
        <f>CONCATENATE("          ", "9175", " - ", "EARNED DISCOUNTS")</f>
        <v xml:space="preserve">          9175 - EARNED DISCOUNTS</v>
      </c>
      <c r="C82" s="11"/>
      <c r="D82" s="6"/>
      <c r="E82" s="2"/>
      <c r="F82" s="7">
        <f t="shared" si="29"/>
        <v>0</v>
      </c>
      <c r="G82" s="2"/>
      <c r="H82" s="6"/>
      <c r="I82" s="2"/>
      <c r="J82" s="7">
        <f t="shared" si="30"/>
        <v>0</v>
      </c>
      <c r="K82" s="2"/>
      <c r="L82" s="6">
        <f t="shared" si="31"/>
        <v>0</v>
      </c>
      <c r="M82" s="2"/>
      <c r="N82" s="7">
        <f t="shared" si="32"/>
        <v>0</v>
      </c>
      <c r="O82" s="11"/>
      <c r="P82" s="6">
        <v>-19.39</v>
      </c>
      <c r="Q82" s="2"/>
      <c r="R82" s="7">
        <f t="shared" si="33"/>
        <v>-9.5353457489567317E-6</v>
      </c>
      <c r="S82" s="2"/>
      <c r="T82" s="6"/>
      <c r="U82" s="2"/>
      <c r="V82" s="7">
        <f t="shared" si="34"/>
        <v>0</v>
      </c>
      <c r="W82" s="2"/>
      <c r="X82" s="6">
        <f t="shared" si="35"/>
        <v>-19.39</v>
      </c>
      <c r="Y82" s="2"/>
      <c r="Z82" s="7">
        <f t="shared" si="36"/>
        <v>0</v>
      </c>
    </row>
    <row r="83" spans="1:26" s="27" customFormat="1" outlineLevel="1" collapsed="1" x14ac:dyDescent="0.25">
      <c r="A83" s="26"/>
      <c r="B83" s="13" t="str">
        <f>CONCATENATE("     ","Employees' Appreciation                           ")</f>
        <v xml:space="preserve">     Employees' Appreciation                           </v>
      </c>
      <c r="C83" s="13"/>
      <c r="D83" s="1">
        <f>SUM(OSRRefD22_4x_0)</f>
        <v>0</v>
      </c>
      <c r="E83" s="1"/>
      <c r="F83" s="5">
        <f t="shared" ref="F83:F87" si="37">IF(D$12=0,0,D83/D$12)</f>
        <v>0</v>
      </c>
      <c r="G83" s="1"/>
      <c r="H83" s="1">
        <f>SUM(OSRRefH22_4x_0)</f>
        <v>150</v>
      </c>
      <c r="I83" s="1"/>
      <c r="J83" s="5">
        <f t="shared" ref="J83:J87" si="38">IF(H$12=0,0,H83/H$12)</f>
        <v>4.3438347952750662E-4</v>
      </c>
      <c r="K83" s="1"/>
      <c r="L83" s="1">
        <f t="shared" ref="L83:L87" si="39">+D83-H83</f>
        <v>-150</v>
      </c>
      <c r="M83" s="1"/>
      <c r="N83" s="5">
        <f t="shared" ref="N83:N87" si="40">IF(H83=0,0,L83/H83)</f>
        <v>-1</v>
      </c>
      <c r="O83" s="13"/>
      <c r="P83" s="1">
        <f>SUM(OSRRefP22_4x_0)</f>
        <v>255.44</v>
      </c>
      <c r="Q83" s="1"/>
      <c r="R83" s="5">
        <f t="shared" ref="R83:R87" si="41">IF(P$12=0,0,P83/P$12)</f>
        <v>1.2561674667939697E-4</v>
      </c>
      <c r="S83" s="1"/>
      <c r="T83" s="1">
        <f>SUM(OSRRefT22_4x_0)</f>
        <v>1525</v>
      </c>
      <c r="U83" s="1"/>
      <c r="V83" s="5">
        <f t="shared" ref="V83:V87" si="42">IF(T$12=0,0,T83/T$12)</f>
        <v>6.5771399317788855E-4</v>
      </c>
      <c r="W83" s="1"/>
      <c r="X83" s="1">
        <f t="shared" ref="X83:X87" si="43">+P83-T83</f>
        <v>-1269.56</v>
      </c>
      <c r="Y83" s="1"/>
      <c r="Z83" s="5">
        <f t="shared" ref="Z83:Z87" si="44">IF(T83=0,0,X83/T83)</f>
        <v>-0.83249836065573768</v>
      </c>
    </row>
    <row r="84" spans="1:26" s="24" customFormat="1" hidden="1" outlineLevel="2" x14ac:dyDescent="0.25">
      <c r="A84" s="25"/>
      <c r="B84" s="11" t="str">
        <f>CONCATENATE("          ", "6277", " - ", "EMPLOYEE APPRECIATION")</f>
        <v xml:space="preserve">          6277 - EMPLOYEE APPRECIATION</v>
      </c>
      <c r="C84" s="11"/>
      <c r="D84" s="6"/>
      <c r="E84" s="2"/>
      <c r="F84" s="7">
        <f t="shared" si="37"/>
        <v>0</v>
      </c>
      <c r="G84" s="2"/>
      <c r="H84" s="6">
        <v>150</v>
      </c>
      <c r="I84" s="2"/>
      <c r="J84" s="7">
        <f t="shared" si="38"/>
        <v>4.3438347952750662E-4</v>
      </c>
      <c r="K84" s="2"/>
      <c r="L84" s="6">
        <f t="shared" si="39"/>
        <v>-150</v>
      </c>
      <c r="M84" s="2"/>
      <c r="N84" s="7">
        <f t="shared" si="40"/>
        <v>-1</v>
      </c>
      <c r="O84" s="11"/>
      <c r="P84" s="6">
        <v>255.44</v>
      </c>
      <c r="Q84" s="2"/>
      <c r="R84" s="7">
        <f t="shared" si="41"/>
        <v>1.2561674667939697E-4</v>
      </c>
      <c r="S84" s="2"/>
      <c r="T84" s="6">
        <v>1525</v>
      </c>
      <c r="U84" s="2"/>
      <c r="V84" s="7">
        <f t="shared" si="42"/>
        <v>6.5771399317788855E-4</v>
      </c>
      <c r="W84" s="2"/>
      <c r="X84" s="6">
        <f t="shared" si="43"/>
        <v>-1269.56</v>
      </c>
      <c r="Y84" s="2"/>
      <c r="Z84" s="7">
        <f t="shared" si="44"/>
        <v>-0.83249836065573768</v>
      </c>
    </row>
    <row r="85" spans="1:26" s="27" customFormat="1" outlineLevel="1" collapsed="1" x14ac:dyDescent="0.25">
      <c r="A85" s="26"/>
      <c r="B85" s="13" t="str">
        <f>CONCATENATE("     ","Freight out/Postage                               ")</f>
        <v xml:space="preserve">     Freight out/Postage                               </v>
      </c>
      <c r="C85" s="13"/>
      <c r="D85" s="1">
        <f>SUM(OSRRefD22_5x_0)</f>
        <v>0</v>
      </c>
      <c r="E85" s="1"/>
      <c r="F85" s="5">
        <f t="shared" si="37"/>
        <v>0</v>
      </c>
      <c r="G85" s="1"/>
      <c r="H85" s="1">
        <f>SUM(OSRRefH22_5x_0)</f>
        <v>50</v>
      </c>
      <c r="I85" s="1"/>
      <c r="J85" s="5">
        <f t="shared" si="38"/>
        <v>1.4479449317583555E-4</v>
      </c>
      <c r="K85" s="1"/>
      <c r="L85" s="1">
        <f t="shared" si="39"/>
        <v>-50</v>
      </c>
      <c r="M85" s="1"/>
      <c r="N85" s="5">
        <f t="shared" si="40"/>
        <v>-1</v>
      </c>
      <c r="O85" s="13"/>
      <c r="P85" s="1">
        <f>SUM(OSRRefP22_5x_0)</f>
        <v>81.180000000000007</v>
      </c>
      <c r="Q85" s="1"/>
      <c r="R85" s="5">
        <f t="shared" si="41"/>
        <v>3.9921576477581613E-5</v>
      </c>
      <c r="S85" s="1"/>
      <c r="T85" s="1">
        <f>SUM(OSRRefT22_5x_0)</f>
        <v>450</v>
      </c>
      <c r="U85" s="1"/>
      <c r="V85" s="5">
        <f t="shared" si="42"/>
        <v>1.9407953897052448E-4</v>
      </c>
      <c r="W85" s="1"/>
      <c r="X85" s="1">
        <f t="shared" si="43"/>
        <v>-368.82</v>
      </c>
      <c r="Y85" s="1"/>
      <c r="Z85" s="5">
        <f t="shared" si="44"/>
        <v>-0.8196</v>
      </c>
    </row>
    <row r="86" spans="1:26" s="24" customFormat="1" hidden="1" outlineLevel="2" x14ac:dyDescent="0.25">
      <c r="A86" s="25"/>
      <c r="B86" s="11" t="str">
        <f>CONCATENATE("          ", "6305", " - ", "FREIGHT OUT")</f>
        <v xml:space="preserve">          6305 - FREIGHT OUT</v>
      </c>
      <c r="C86" s="11"/>
      <c r="D86" s="6"/>
      <c r="E86" s="2"/>
      <c r="F86" s="7">
        <f t="shared" si="37"/>
        <v>0</v>
      </c>
      <c r="G86" s="2"/>
      <c r="H86" s="6">
        <v>50</v>
      </c>
      <c r="I86" s="2"/>
      <c r="J86" s="7">
        <f t="shared" si="38"/>
        <v>1.4479449317583555E-4</v>
      </c>
      <c r="K86" s="2"/>
      <c r="L86" s="6">
        <f t="shared" si="39"/>
        <v>-50</v>
      </c>
      <c r="M86" s="2"/>
      <c r="N86" s="7">
        <f t="shared" si="40"/>
        <v>-1</v>
      </c>
      <c r="O86" s="11"/>
      <c r="P86" s="6">
        <v>80.680000000000007</v>
      </c>
      <c r="Q86" s="2"/>
      <c r="R86" s="7">
        <f t="shared" si="41"/>
        <v>3.9675693399991188E-5</v>
      </c>
      <c r="S86" s="2"/>
      <c r="T86" s="6">
        <v>450</v>
      </c>
      <c r="U86" s="2"/>
      <c r="V86" s="7">
        <f t="shared" si="42"/>
        <v>1.9407953897052448E-4</v>
      </c>
      <c r="W86" s="2"/>
      <c r="X86" s="6">
        <f t="shared" si="43"/>
        <v>-369.32</v>
      </c>
      <c r="Y86" s="2"/>
      <c r="Z86" s="7">
        <f t="shared" si="44"/>
        <v>-0.82071111111111106</v>
      </c>
    </row>
    <row r="87" spans="1:26" s="24" customFormat="1" hidden="1" outlineLevel="2" x14ac:dyDescent="0.25">
      <c r="A87" s="25"/>
      <c r="B87" s="11" t="str">
        <f>CONCATENATE("          ", "6307", " - ", "POSTAGE")</f>
        <v xml:space="preserve">          6307 - POSTAGE</v>
      </c>
      <c r="C87" s="11"/>
      <c r="D87" s="6"/>
      <c r="E87" s="2"/>
      <c r="F87" s="7">
        <f t="shared" si="37"/>
        <v>0</v>
      </c>
      <c r="G87" s="2"/>
      <c r="H87" s="6"/>
      <c r="I87" s="2"/>
      <c r="J87" s="7">
        <f t="shared" si="38"/>
        <v>0</v>
      </c>
      <c r="K87" s="2"/>
      <c r="L87" s="6">
        <f t="shared" si="39"/>
        <v>0</v>
      </c>
      <c r="M87" s="2"/>
      <c r="N87" s="7">
        <f t="shared" si="40"/>
        <v>0</v>
      </c>
      <c r="O87" s="11"/>
      <c r="P87" s="6">
        <v>0.5</v>
      </c>
      <c r="Q87" s="2"/>
      <c r="R87" s="7">
        <f t="shared" si="41"/>
        <v>2.4588307759042629E-7</v>
      </c>
      <c r="S87" s="2"/>
      <c r="T87" s="6"/>
      <c r="U87" s="2"/>
      <c r="V87" s="7">
        <f t="shared" si="42"/>
        <v>0</v>
      </c>
      <c r="W87" s="2"/>
      <c r="X87" s="6">
        <f t="shared" si="43"/>
        <v>0.5</v>
      </c>
      <c r="Y87" s="2"/>
      <c r="Z87" s="7">
        <f t="shared" si="44"/>
        <v>0</v>
      </c>
    </row>
    <row r="88" spans="1:26" s="27" customFormat="1" outlineLevel="1" collapsed="1" x14ac:dyDescent="0.25">
      <c r="A88" s="26"/>
      <c r="B88" s="13" t="str">
        <f>CONCATENATE("     ","General                                           ")</f>
        <v xml:space="preserve">     General                                           </v>
      </c>
      <c r="C88" s="13"/>
      <c r="D88" s="1">
        <f>SUM(OSRRefD22_6x_0)</f>
        <v>0</v>
      </c>
      <c r="E88" s="1"/>
      <c r="F88" s="5">
        <f t="shared" ref="F88:F96" si="45">IF(D$12=0,0,D88/D$12)</f>
        <v>0</v>
      </c>
      <c r="G88" s="1"/>
      <c r="H88" s="1">
        <f>SUM(OSRRefH22_6x_0)</f>
        <v>0</v>
      </c>
      <c r="I88" s="1"/>
      <c r="J88" s="5">
        <f t="shared" ref="J88:J96" si="46">IF(H$12=0,0,H88/H$12)</f>
        <v>0</v>
      </c>
      <c r="K88" s="1"/>
      <c r="L88" s="1">
        <f t="shared" ref="L88:L96" si="47">+D88-H88</f>
        <v>0</v>
      </c>
      <c r="M88" s="1"/>
      <c r="N88" s="5">
        <f t="shared" ref="N88:N96" si="48">IF(H88=0,0,L88/H88)</f>
        <v>0</v>
      </c>
      <c r="O88" s="13"/>
      <c r="P88" s="1">
        <f>SUM(OSRRefP22_6x_0)</f>
        <v>0</v>
      </c>
      <c r="Q88" s="1"/>
      <c r="R88" s="5">
        <f t="shared" ref="R88:R96" si="49">IF(P$12=0,0,P88/P$12)</f>
        <v>0</v>
      </c>
      <c r="S88" s="1"/>
      <c r="T88" s="1">
        <f>SUM(OSRRefT22_6x_0)</f>
        <v>250</v>
      </c>
      <c r="U88" s="1"/>
      <c r="V88" s="5">
        <f t="shared" ref="V88:V96" si="50">IF(T$12=0,0,T88/T$12)</f>
        <v>1.0782196609473582E-4</v>
      </c>
      <c r="W88" s="1"/>
      <c r="X88" s="1">
        <f t="shared" ref="X88:X96" si="51">+P88-T88</f>
        <v>-250</v>
      </c>
      <c r="Y88" s="1"/>
      <c r="Z88" s="5">
        <f t="shared" ref="Z88:Z96" si="52">IF(T88=0,0,X88/T88)</f>
        <v>-1</v>
      </c>
    </row>
    <row r="89" spans="1:26" s="24" customFormat="1" hidden="1" outlineLevel="2" x14ac:dyDescent="0.25">
      <c r="A89" s="25"/>
      <c r="B89" s="11" t="str">
        <f>CONCATENATE("          ", "6279", " - ", "GENERAL EXPENSE")</f>
        <v xml:space="preserve">          6279 - GENERAL EXPENSE</v>
      </c>
      <c r="C89" s="11"/>
      <c r="D89" s="6"/>
      <c r="E89" s="2"/>
      <c r="F89" s="7">
        <f t="shared" si="45"/>
        <v>0</v>
      </c>
      <c r="G89" s="2"/>
      <c r="H89" s="6">
        <v>0</v>
      </c>
      <c r="I89" s="2"/>
      <c r="J89" s="7">
        <f t="shared" si="46"/>
        <v>0</v>
      </c>
      <c r="K89" s="2"/>
      <c r="L89" s="6">
        <f t="shared" si="47"/>
        <v>0</v>
      </c>
      <c r="M89" s="2"/>
      <c r="N89" s="7">
        <f t="shared" si="48"/>
        <v>0</v>
      </c>
      <c r="O89" s="11"/>
      <c r="P89" s="6"/>
      <c r="Q89" s="2"/>
      <c r="R89" s="7">
        <f t="shared" si="49"/>
        <v>0</v>
      </c>
      <c r="S89" s="2"/>
      <c r="T89" s="6">
        <v>250</v>
      </c>
      <c r="U89" s="2"/>
      <c r="V89" s="7">
        <f t="shared" si="50"/>
        <v>1.0782196609473582E-4</v>
      </c>
      <c r="W89" s="2"/>
      <c r="X89" s="6">
        <f t="shared" si="51"/>
        <v>-250</v>
      </c>
      <c r="Y89" s="2"/>
      <c r="Z89" s="7">
        <f t="shared" si="52"/>
        <v>-1</v>
      </c>
    </row>
    <row r="90" spans="1:26" s="27" customFormat="1" outlineLevel="1" collapsed="1" x14ac:dyDescent="0.25">
      <c r="A90" s="26"/>
      <c r="B90" s="13" t="str">
        <f>CONCATENATE("     ","Inventory Adjustment                              ")</f>
        <v xml:space="preserve">     Inventory Adjustment                              </v>
      </c>
      <c r="C90" s="13"/>
      <c r="D90" s="1">
        <f>SUM(OSRRefD22_7x_0)</f>
        <v>2850</v>
      </c>
      <c r="E90" s="1"/>
      <c r="F90" s="5">
        <f t="shared" si="45"/>
        <v>2.6411262652037363E-2</v>
      </c>
      <c r="G90" s="1"/>
      <c r="H90" s="1">
        <f>SUM(OSRRefH22_7x_0)</f>
        <v>2850</v>
      </c>
      <c r="I90" s="1"/>
      <c r="J90" s="5">
        <f t="shared" si="46"/>
        <v>8.2532861110226254E-3</v>
      </c>
      <c r="K90" s="1"/>
      <c r="L90" s="1">
        <f t="shared" si="47"/>
        <v>0</v>
      </c>
      <c r="M90" s="1"/>
      <c r="N90" s="5">
        <f t="shared" si="48"/>
        <v>0</v>
      </c>
      <c r="O90" s="13"/>
      <c r="P90" s="1">
        <f>SUM(OSRRefP22_7x_0)</f>
        <v>25650</v>
      </c>
      <c r="Q90" s="1"/>
      <c r="R90" s="5">
        <f t="shared" si="49"/>
        <v>1.2613801880388869E-2</v>
      </c>
      <c r="S90" s="1"/>
      <c r="T90" s="1">
        <f>SUM(OSRRefT22_7x_0)</f>
        <v>25650</v>
      </c>
      <c r="U90" s="1"/>
      <c r="V90" s="5">
        <f t="shared" si="50"/>
        <v>1.1062533721319896E-2</v>
      </c>
      <c r="W90" s="1"/>
      <c r="X90" s="1">
        <f t="shared" si="51"/>
        <v>0</v>
      </c>
      <c r="Y90" s="1"/>
      <c r="Z90" s="5">
        <f t="shared" si="52"/>
        <v>0</v>
      </c>
    </row>
    <row r="91" spans="1:26" s="24" customFormat="1" hidden="1" outlineLevel="2" x14ac:dyDescent="0.25">
      <c r="A91" s="25"/>
      <c r="B91" s="11" t="str">
        <f>CONCATENATE("          ", "6408", " - ", "INVENTORY ADJUSTMENT")</f>
        <v xml:space="preserve">          6408 - INVENTORY ADJUSTMENT</v>
      </c>
      <c r="C91" s="11"/>
      <c r="D91" s="6">
        <v>2850</v>
      </c>
      <c r="E91" s="2"/>
      <c r="F91" s="7">
        <f t="shared" si="45"/>
        <v>2.6411262652037363E-2</v>
      </c>
      <c r="G91" s="2"/>
      <c r="H91" s="6">
        <v>2850</v>
      </c>
      <c r="I91" s="2"/>
      <c r="J91" s="7">
        <f t="shared" si="46"/>
        <v>8.2532861110226254E-3</v>
      </c>
      <c r="K91" s="2"/>
      <c r="L91" s="6">
        <f t="shared" si="47"/>
        <v>0</v>
      </c>
      <c r="M91" s="2"/>
      <c r="N91" s="7">
        <f t="shared" si="48"/>
        <v>0</v>
      </c>
      <c r="O91" s="11"/>
      <c r="P91" s="6">
        <v>25650</v>
      </c>
      <c r="Q91" s="2"/>
      <c r="R91" s="7">
        <f t="shared" si="49"/>
        <v>1.2613801880388869E-2</v>
      </c>
      <c r="S91" s="2"/>
      <c r="T91" s="6">
        <v>25650</v>
      </c>
      <c r="U91" s="2"/>
      <c r="V91" s="7">
        <f t="shared" si="50"/>
        <v>1.1062533721319896E-2</v>
      </c>
      <c r="W91" s="2"/>
      <c r="X91" s="6">
        <f t="shared" si="51"/>
        <v>0</v>
      </c>
      <c r="Y91" s="2"/>
      <c r="Z91" s="7">
        <f t="shared" si="52"/>
        <v>0</v>
      </c>
    </row>
    <row r="92" spans="1:26" s="27" customFormat="1" outlineLevel="1" collapsed="1" x14ac:dyDescent="0.25">
      <c r="A92" s="26"/>
      <c r="B92" s="13" t="str">
        <f>CONCATENATE("     ","Professional Services                             ")</f>
        <v xml:space="preserve">     Professional Services                             </v>
      </c>
      <c r="C92" s="13"/>
      <c r="D92" s="1">
        <f>SUM(OSRRefD22_8x_0)</f>
        <v>0</v>
      </c>
      <c r="E92" s="1"/>
      <c r="F92" s="5">
        <f t="shared" si="45"/>
        <v>0</v>
      </c>
      <c r="G92" s="1"/>
      <c r="H92" s="1">
        <f>SUM(OSRRefH22_8x_0)</f>
        <v>0</v>
      </c>
      <c r="I92" s="1"/>
      <c r="J92" s="5">
        <f t="shared" si="46"/>
        <v>0</v>
      </c>
      <c r="K92" s="1"/>
      <c r="L92" s="1">
        <f t="shared" si="47"/>
        <v>0</v>
      </c>
      <c r="M92" s="1"/>
      <c r="N92" s="5">
        <f t="shared" si="48"/>
        <v>0</v>
      </c>
      <c r="O92" s="13"/>
      <c r="P92" s="1">
        <f>SUM(OSRRefP22_8x_0)</f>
        <v>0</v>
      </c>
      <c r="Q92" s="1"/>
      <c r="R92" s="5">
        <f t="shared" si="49"/>
        <v>0</v>
      </c>
      <c r="S92" s="1"/>
      <c r="T92" s="1">
        <f>SUM(OSRRefT22_8x_0)</f>
        <v>2000</v>
      </c>
      <c r="U92" s="1"/>
      <c r="V92" s="5">
        <f t="shared" si="50"/>
        <v>8.6257572875788658E-4</v>
      </c>
      <c r="W92" s="1"/>
      <c r="X92" s="1">
        <f t="shared" si="51"/>
        <v>-2000</v>
      </c>
      <c r="Y92" s="1"/>
      <c r="Z92" s="5">
        <f t="shared" si="52"/>
        <v>-1</v>
      </c>
    </row>
    <row r="93" spans="1:26" s="24" customFormat="1" hidden="1" outlineLevel="2" x14ac:dyDescent="0.25">
      <c r="A93" s="25"/>
      <c r="B93" s="11" t="str">
        <f>CONCATENATE("          ", "6336", " - ", "PROFESSIONAL SERVICES")</f>
        <v xml:space="preserve">          6336 - PROFESSIONAL SERVICES</v>
      </c>
      <c r="C93" s="11"/>
      <c r="D93" s="6"/>
      <c r="E93" s="2"/>
      <c r="F93" s="7">
        <f t="shared" si="45"/>
        <v>0</v>
      </c>
      <c r="G93" s="2"/>
      <c r="H93" s="6">
        <v>0</v>
      </c>
      <c r="I93" s="2"/>
      <c r="J93" s="7">
        <f t="shared" si="46"/>
        <v>0</v>
      </c>
      <c r="K93" s="2"/>
      <c r="L93" s="6">
        <f t="shared" si="47"/>
        <v>0</v>
      </c>
      <c r="M93" s="2"/>
      <c r="N93" s="7">
        <f t="shared" si="48"/>
        <v>0</v>
      </c>
      <c r="O93" s="11"/>
      <c r="P93" s="6"/>
      <c r="Q93" s="2"/>
      <c r="R93" s="7">
        <f t="shared" si="49"/>
        <v>0</v>
      </c>
      <c r="S93" s="2"/>
      <c r="T93" s="6">
        <v>2000</v>
      </c>
      <c r="U93" s="2"/>
      <c r="V93" s="7">
        <f t="shared" si="50"/>
        <v>8.6257572875788658E-4</v>
      </c>
      <c r="W93" s="2"/>
      <c r="X93" s="6">
        <f t="shared" si="51"/>
        <v>-2000</v>
      </c>
      <c r="Y93" s="2"/>
      <c r="Z93" s="7">
        <f t="shared" si="52"/>
        <v>-1</v>
      </c>
    </row>
    <row r="94" spans="1:26" s="27" customFormat="1" outlineLevel="1" collapsed="1" x14ac:dyDescent="0.25">
      <c r="A94" s="26"/>
      <c r="B94" s="13" t="str">
        <f>CONCATENATE("     ","Repair and Maintenance                            ")</f>
        <v xml:space="preserve">     Repair and Maintenance                            </v>
      </c>
      <c r="C94" s="13"/>
      <c r="D94" s="1">
        <f>SUM(OSRRefD22_9x_0)</f>
        <v>309.77999999999997</v>
      </c>
      <c r="E94" s="1"/>
      <c r="F94" s="5">
        <f t="shared" si="45"/>
        <v>2.870765243630924E-3</v>
      </c>
      <c r="G94" s="1"/>
      <c r="H94" s="1">
        <f>SUM(OSRRefH22_9x_0)</f>
        <v>50</v>
      </c>
      <c r="I94" s="1"/>
      <c r="J94" s="5">
        <f t="shared" si="46"/>
        <v>1.4479449317583555E-4</v>
      </c>
      <c r="K94" s="1"/>
      <c r="L94" s="1">
        <f t="shared" si="47"/>
        <v>259.77999999999997</v>
      </c>
      <c r="M94" s="1"/>
      <c r="N94" s="5">
        <f t="shared" si="48"/>
        <v>5.1955999999999998</v>
      </c>
      <c r="O94" s="13"/>
      <c r="P94" s="1">
        <f>SUM(OSRRefP22_9x_0)</f>
        <v>309.77999999999997</v>
      </c>
      <c r="Q94" s="1"/>
      <c r="R94" s="5">
        <f t="shared" si="49"/>
        <v>1.5233931955192451E-4</v>
      </c>
      <c r="S94" s="1"/>
      <c r="T94" s="1">
        <f>SUM(OSRRefT22_9x_0)</f>
        <v>450</v>
      </c>
      <c r="U94" s="1"/>
      <c r="V94" s="5">
        <f t="shared" si="50"/>
        <v>1.9407953897052448E-4</v>
      </c>
      <c r="W94" s="1"/>
      <c r="X94" s="1">
        <f t="shared" si="51"/>
        <v>-140.22000000000003</v>
      </c>
      <c r="Y94" s="1"/>
      <c r="Z94" s="5">
        <f t="shared" si="52"/>
        <v>-0.31160000000000004</v>
      </c>
    </row>
    <row r="95" spans="1:26" s="24" customFormat="1" hidden="1" outlineLevel="2" x14ac:dyDescent="0.25">
      <c r="A95" s="25"/>
      <c r="B95" s="11" t="str">
        <f>CONCATENATE("          ", "6373", " - ", "MAINTENANCE CONTRACTS")</f>
        <v xml:space="preserve">          6373 - MAINTENANCE CONTRACTS</v>
      </c>
      <c r="C95" s="11"/>
      <c r="D95" s="6">
        <v>309.77999999999997</v>
      </c>
      <c r="E95" s="2"/>
      <c r="F95" s="7">
        <f t="shared" si="45"/>
        <v>2.870765243630924E-3</v>
      </c>
      <c r="G95" s="2"/>
      <c r="H95" s="6"/>
      <c r="I95" s="2"/>
      <c r="J95" s="7">
        <f t="shared" si="46"/>
        <v>0</v>
      </c>
      <c r="K95" s="2"/>
      <c r="L95" s="6">
        <f t="shared" si="47"/>
        <v>309.77999999999997</v>
      </c>
      <c r="M95" s="2"/>
      <c r="N95" s="7">
        <f t="shared" si="48"/>
        <v>0</v>
      </c>
      <c r="O95" s="11"/>
      <c r="P95" s="6">
        <v>309.77999999999997</v>
      </c>
      <c r="Q95" s="2"/>
      <c r="R95" s="7">
        <f t="shared" si="49"/>
        <v>1.5233931955192451E-4</v>
      </c>
      <c r="S95" s="2"/>
      <c r="T95" s="6"/>
      <c r="U95" s="2"/>
      <c r="V95" s="7">
        <f t="shared" si="50"/>
        <v>0</v>
      </c>
      <c r="W95" s="2"/>
      <c r="X95" s="6">
        <f t="shared" si="51"/>
        <v>309.77999999999997</v>
      </c>
      <c r="Y95" s="2"/>
      <c r="Z95" s="7">
        <f t="shared" si="52"/>
        <v>0</v>
      </c>
    </row>
    <row r="96" spans="1:26" s="24" customFormat="1" hidden="1" outlineLevel="2" x14ac:dyDescent="0.25">
      <c r="A96" s="25"/>
      <c r="B96" s="11" t="str">
        <f>CONCATENATE("          ", "6375", " - ", "OUTSIDE REPAIRS &amp; MAINTENANCE")</f>
        <v xml:space="preserve">          6375 - OUTSIDE REPAIRS &amp; MAINTENANCE</v>
      </c>
      <c r="C96" s="11"/>
      <c r="D96" s="6"/>
      <c r="E96" s="2"/>
      <c r="F96" s="7">
        <f t="shared" si="45"/>
        <v>0</v>
      </c>
      <c r="G96" s="2"/>
      <c r="H96" s="6">
        <v>50</v>
      </c>
      <c r="I96" s="2"/>
      <c r="J96" s="7">
        <f t="shared" si="46"/>
        <v>1.4479449317583555E-4</v>
      </c>
      <c r="K96" s="2"/>
      <c r="L96" s="6">
        <f t="shared" si="47"/>
        <v>-50</v>
      </c>
      <c r="M96" s="2"/>
      <c r="N96" s="7">
        <f t="shared" si="48"/>
        <v>-1</v>
      </c>
      <c r="O96" s="11"/>
      <c r="P96" s="6"/>
      <c r="Q96" s="2"/>
      <c r="R96" s="7">
        <f t="shared" si="49"/>
        <v>0</v>
      </c>
      <c r="S96" s="2"/>
      <c r="T96" s="6">
        <v>450</v>
      </c>
      <c r="U96" s="2"/>
      <c r="V96" s="7">
        <f t="shared" si="50"/>
        <v>1.9407953897052448E-4</v>
      </c>
      <c r="W96" s="2"/>
      <c r="X96" s="6">
        <f t="shared" si="51"/>
        <v>-450</v>
      </c>
      <c r="Y96" s="2"/>
      <c r="Z96" s="7">
        <f t="shared" si="52"/>
        <v>-1</v>
      </c>
    </row>
    <row r="97" spans="1:26" s="27" customFormat="1" outlineLevel="1" collapsed="1" x14ac:dyDescent="0.25">
      <c r="A97" s="26"/>
      <c r="B97" s="13" t="str">
        <f>CONCATENATE("     ","Royalty &amp; Commissions                             ")</f>
        <v xml:space="preserve">     Royalty &amp; Commissions                             </v>
      </c>
      <c r="C97" s="13"/>
      <c r="D97" s="1">
        <f>SUM(OSRRefD22_10x_0)</f>
        <v>2844.96</v>
      </c>
      <c r="E97" s="1"/>
      <c r="F97" s="5">
        <f t="shared" ref="F97:F100" si="53">IF(D$12=0,0,D97/D$12)</f>
        <v>2.6364556419136917E-2</v>
      </c>
      <c r="G97" s="1"/>
      <c r="H97" s="1">
        <f>SUM(OSRRefH22_10x_0)</f>
        <v>5485</v>
      </c>
      <c r="I97" s="1"/>
      <c r="J97" s="5">
        <f t="shared" ref="J97:J100" si="54">IF(H$12=0,0,H97/H$12)</f>
        <v>1.5883955901389159E-2</v>
      </c>
      <c r="K97" s="1"/>
      <c r="L97" s="1">
        <f t="shared" ref="L97:L100" si="55">+D97-H97</f>
        <v>-2640.04</v>
      </c>
      <c r="M97" s="1"/>
      <c r="N97" s="5">
        <f t="shared" ref="N97:N100" si="56">IF(H97=0,0,L97/H97)</f>
        <v>-0.48131996353691886</v>
      </c>
      <c r="O97" s="13"/>
      <c r="P97" s="1">
        <f>SUM(OSRRefP22_10x_0)</f>
        <v>26286.149999999998</v>
      </c>
      <c r="Q97" s="1"/>
      <c r="R97" s="5">
        <f t="shared" ref="R97:R100" si="57">IF(P$12=0,0,P97/P$12)</f>
        <v>1.2926638920007167E-2</v>
      </c>
      <c r="S97" s="1"/>
      <c r="T97" s="1">
        <f>SUM(OSRRefT22_10x_0)</f>
        <v>49365</v>
      </c>
      <c r="U97" s="1"/>
      <c r="V97" s="5">
        <f t="shared" ref="V97:V100" si="58">IF(T$12=0,0,T97/T$12)</f>
        <v>2.1290525425066539E-2</v>
      </c>
      <c r="W97" s="1"/>
      <c r="X97" s="1">
        <f t="shared" ref="X97:X100" si="59">+P97-T97</f>
        <v>-23078.850000000002</v>
      </c>
      <c r="Y97" s="1"/>
      <c r="Z97" s="5">
        <f t="shared" ref="Z97:Z100" si="60">IF(T97=0,0,X97/T97)</f>
        <v>-0.46751443330294745</v>
      </c>
    </row>
    <row r="98" spans="1:26" s="24" customFormat="1" hidden="1" outlineLevel="2" x14ac:dyDescent="0.25">
      <c r="A98" s="25"/>
      <c r="B98" s="11" t="str">
        <f>CONCATENATE("          ", "6252", " - ", "ROYALTY DUE CSTV")</f>
        <v xml:space="preserve">          6252 - ROYALTY DUE CSTV</v>
      </c>
      <c r="C98" s="11"/>
      <c r="D98" s="6"/>
      <c r="E98" s="2"/>
      <c r="F98" s="7">
        <f t="shared" si="53"/>
        <v>0</v>
      </c>
      <c r="G98" s="2"/>
      <c r="H98" s="6">
        <v>1085</v>
      </c>
      <c r="I98" s="2"/>
      <c r="J98" s="7">
        <f t="shared" si="54"/>
        <v>3.142040501915631E-3</v>
      </c>
      <c r="K98" s="2"/>
      <c r="L98" s="6">
        <f t="shared" si="55"/>
        <v>-1085</v>
      </c>
      <c r="M98" s="2"/>
      <c r="N98" s="7">
        <f t="shared" si="56"/>
        <v>-1</v>
      </c>
      <c r="O98" s="11"/>
      <c r="P98" s="6"/>
      <c r="Q98" s="2"/>
      <c r="R98" s="7">
        <f t="shared" si="57"/>
        <v>0</v>
      </c>
      <c r="S98" s="2"/>
      <c r="T98" s="6">
        <v>9765</v>
      </c>
      <c r="U98" s="2"/>
      <c r="V98" s="7">
        <f t="shared" si="58"/>
        <v>4.2115259956603812E-3</v>
      </c>
      <c r="W98" s="2"/>
      <c r="X98" s="6">
        <f t="shared" si="59"/>
        <v>-9765</v>
      </c>
      <c r="Y98" s="2"/>
      <c r="Z98" s="7">
        <f t="shared" si="60"/>
        <v>-1</v>
      </c>
    </row>
    <row r="99" spans="1:26" s="24" customFormat="1" hidden="1" outlineLevel="2" x14ac:dyDescent="0.25">
      <c r="A99" s="25"/>
      <c r="B99" s="11" t="str">
        <f>CONCATENATE("          ", "6253", " - ", "ROYALTY DUE ATHLETICS-LRG")</f>
        <v xml:space="preserve">          6253 - ROYALTY DUE ATHLETICS-LRG</v>
      </c>
      <c r="C99" s="11"/>
      <c r="D99" s="6">
        <v>1669.49</v>
      </c>
      <c r="E99" s="2"/>
      <c r="F99" s="7">
        <f t="shared" si="53"/>
        <v>1.5471346977175388E-2</v>
      </c>
      <c r="G99" s="2"/>
      <c r="H99" s="6">
        <v>3700</v>
      </c>
      <c r="I99" s="2"/>
      <c r="J99" s="7">
        <f t="shared" si="54"/>
        <v>1.0714792495011829E-2</v>
      </c>
      <c r="K99" s="2"/>
      <c r="L99" s="6">
        <f t="shared" si="55"/>
        <v>-2030.51</v>
      </c>
      <c r="M99" s="2"/>
      <c r="N99" s="7">
        <f t="shared" si="56"/>
        <v>-0.54878648648648654</v>
      </c>
      <c r="O99" s="11"/>
      <c r="P99" s="6">
        <v>18314.929999999997</v>
      </c>
      <c r="Q99" s="2"/>
      <c r="R99" s="7">
        <f t="shared" si="57"/>
        <v>9.00666270850645E-3</v>
      </c>
      <c r="S99" s="2"/>
      <c r="T99" s="6">
        <v>33300</v>
      </c>
      <c r="U99" s="2"/>
      <c r="V99" s="7">
        <f t="shared" si="58"/>
        <v>1.4361885883818813E-2</v>
      </c>
      <c r="W99" s="2"/>
      <c r="X99" s="6">
        <f t="shared" si="59"/>
        <v>-14985.070000000003</v>
      </c>
      <c r="Y99" s="2"/>
      <c r="Z99" s="7">
        <f t="shared" si="60"/>
        <v>-0.45000210210210217</v>
      </c>
    </row>
    <row r="100" spans="1:26" s="24" customFormat="1" hidden="1" outlineLevel="2" x14ac:dyDescent="0.25">
      <c r="A100" s="25"/>
      <c r="B100" s="11" t="str">
        <f>CONCATENATE("          ", "6254", " - ", "ROYALTY &amp; COMMISSIONS")</f>
        <v xml:space="preserve">          6254 - ROYALTY &amp; COMMISSIONS</v>
      </c>
      <c r="C100" s="11"/>
      <c r="D100" s="6">
        <v>1175.47</v>
      </c>
      <c r="E100" s="2"/>
      <c r="F100" s="7">
        <f t="shared" si="53"/>
        <v>1.0893209441961529E-2</v>
      </c>
      <c r="G100" s="2"/>
      <c r="H100" s="6">
        <v>700</v>
      </c>
      <c r="I100" s="2"/>
      <c r="J100" s="7">
        <f t="shared" si="54"/>
        <v>2.0271229044616975E-3</v>
      </c>
      <c r="K100" s="2"/>
      <c r="L100" s="6">
        <f t="shared" si="55"/>
        <v>475.47</v>
      </c>
      <c r="M100" s="2"/>
      <c r="N100" s="7">
        <f t="shared" si="56"/>
        <v>0.67924285714285715</v>
      </c>
      <c r="O100" s="11"/>
      <c r="P100" s="6">
        <v>7971.22</v>
      </c>
      <c r="Q100" s="2"/>
      <c r="R100" s="7">
        <f t="shared" si="57"/>
        <v>3.9199762115007157E-3</v>
      </c>
      <c r="S100" s="2"/>
      <c r="T100" s="6">
        <v>6300</v>
      </c>
      <c r="U100" s="2"/>
      <c r="V100" s="7">
        <f t="shared" si="58"/>
        <v>2.7171135455873428E-3</v>
      </c>
      <c r="W100" s="2"/>
      <c r="X100" s="6">
        <f t="shared" si="59"/>
        <v>1671.2200000000003</v>
      </c>
      <c r="Y100" s="2"/>
      <c r="Z100" s="7">
        <f t="shared" si="60"/>
        <v>0.26527301587301594</v>
      </c>
    </row>
    <row r="101" spans="1:26" s="27" customFormat="1" outlineLevel="1" collapsed="1" x14ac:dyDescent="0.25">
      <c r="A101" s="26"/>
      <c r="B101" s="13" t="str">
        <f>CONCATENATE("     ","Subscriptions &amp; Dues                              ")</f>
        <v xml:space="preserve">     Subscriptions &amp; Dues                              </v>
      </c>
      <c r="C101" s="13"/>
      <c r="D101" s="1">
        <f>SUM(OSRRefD22_11x_0)</f>
        <v>-39.99</v>
      </c>
      <c r="E101" s="1"/>
      <c r="F101" s="5">
        <f t="shared" ref="F101:F103" si="61">IF(D$12=0,0,D101/D$12)</f>
        <v>-3.7059171700174533E-4</v>
      </c>
      <c r="G101" s="1"/>
      <c r="H101" s="1">
        <f>SUM(OSRRefH22_11x_0)</f>
        <v>1100</v>
      </c>
      <c r="I101" s="1"/>
      <c r="J101" s="5">
        <f t="shared" ref="J101:J103" si="62">IF(H$12=0,0,H101/H$12)</f>
        <v>3.1854788498683817E-3</v>
      </c>
      <c r="K101" s="1"/>
      <c r="L101" s="1">
        <f t="shared" ref="L101:L103" si="63">+D101-H101</f>
        <v>-1139.99</v>
      </c>
      <c r="M101" s="1"/>
      <c r="N101" s="5">
        <f t="shared" ref="N101:N103" si="64">IF(H101=0,0,L101/H101)</f>
        <v>-1.0363545454545455</v>
      </c>
      <c r="O101" s="13"/>
      <c r="P101" s="1">
        <f>SUM(OSRRefP22_11x_0)</f>
        <v>379.58</v>
      </c>
      <c r="Q101" s="1"/>
      <c r="R101" s="5">
        <f t="shared" ref="R101:R103" si="65">IF(P$12=0,0,P101/P$12)</f>
        <v>1.8666459718354801E-4</v>
      </c>
      <c r="S101" s="1"/>
      <c r="T101" s="1">
        <f>SUM(OSRRefT22_11x_0)</f>
        <v>4150</v>
      </c>
      <c r="U101" s="1"/>
      <c r="V101" s="5">
        <f t="shared" ref="V101:V103" si="66">IF(T$12=0,0,T101/T$12)</f>
        <v>1.7898446371726149E-3</v>
      </c>
      <c r="W101" s="1"/>
      <c r="X101" s="1">
        <f t="shared" ref="X101:X103" si="67">+P101-T101</f>
        <v>-3770.42</v>
      </c>
      <c r="Y101" s="1"/>
      <c r="Z101" s="5">
        <f t="shared" ref="Z101:Z103" si="68">IF(T101=0,0,X101/T101)</f>
        <v>-0.90853493975903621</v>
      </c>
    </row>
    <row r="102" spans="1:26" s="24" customFormat="1" hidden="1" outlineLevel="2" x14ac:dyDescent="0.25">
      <c r="A102" s="25"/>
      <c r="B102" s="11" t="str">
        <f>CONCATENATE("          ", "6258", " - ", "MEMBERSHIP DUES")</f>
        <v xml:space="preserve">          6258 - MEMBERSHIP DUES</v>
      </c>
      <c r="C102" s="11"/>
      <c r="D102" s="6">
        <v>-39.99</v>
      </c>
      <c r="E102" s="2"/>
      <c r="F102" s="7">
        <f t="shared" si="61"/>
        <v>-3.7059171700174533E-4</v>
      </c>
      <c r="G102" s="2"/>
      <c r="H102" s="6">
        <v>0</v>
      </c>
      <c r="I102" s="2"/>
      <c r="J102" s="7">
        <f t="shared" si="62"/>
        <v>0</v>
      </c>
      <c r="K102" s="2"/>
      <c r="L102" s="6">
        <f t="shared" si="63"/>
        <v>-39.99</v>
      </c>
      <c r="M102" s="2"/>
      <c r="N102" s="7">
        <f t="shared" si="64"/>
        <v>0</v>
      </c>
      <c r="O102" s="11"/>
      <c r="P102" s="6">
        <v>82.94</v>
      </c>
      <c r="Q102" s="2"/>
      <c r="R102" s="7">
        <f t="shared" si="65"/>
        <v>4.0787084910699912E-5</v>
      </c>
      <c r="S102" s="2"/>
      <c r="T102" s="6">
        <v>1500</v>
      </c>
      <c r="U102" s="2"/>
      <c r="V102" s="7">
        <f t="shared" si="66"/>
        <v>6.4693179656841497E-4</v>
      </c>
      <c r="W102" s="2"/>
      <c r="X102" s="6">
        <f t="shared" si="67"/>
        <v>-1417.06</v>
      </c>
      <c r="Y102" s="2"/>
      <c r="Z102" s="7">
        <f t="shared" si="68"/>
        <v>-0.94470666666666658</v>
      </c>
    </row>
    <row r="103" spans="1:26" s="24" customFormat="1" hidden="1" outlineLevel="2" x14ac:dyDescent="0.25">
      <c r="A103" s="25"/>
      <c r="B103" s="11" t="str">
        <f>CONCATENATE("          ", "6275", " - ", "SUBSCRIPTIONS")</f>
        <v xml:space="preserve">          6275 - SUBSCRIPTIONS</v>
      </c>
      <c r="C103" s="11"/>
      <c r="D103" s="6"/>
      <c r="E103" s="2"/>
      <c r="F103" s="7">
        <f t="shared" si="61"/>
        <v>0</v>
      </c>
      <c r="G103" s="2"/>
      <c r="H103" s="6">
        <v>1100</v>
      </c>
      <c r="I103" s="2"/>
      <c r="J103" s="7">
        <f t="shared" si="62"/>
        <v>3.1854788498683817E-3</v>
      </c>
      <c r="K103" s="2"/>
      <c r="L103" s="6">
        <f t="shared" si="63"/>
        <v>-1100</v>
      </c>
      <c r="M103" s="2"/>
      <c r="N103" s="7">
        <f t="shared" si="64"/>
        <v>-1</v>
      </c>
      <c r="O103" s="11"/>
      <c r="P103" s="6">
        <v>296.64</v>
      </c>
      <c r="Q103" s="2"/>
      <c r="R103" s="7">
        <f t="shared" si="65"/>
        <v>1.458775122728481E-4</v>
      </c>
      <c r="S103" s="2"/>
      <c r="T103" s="6">
        <v>2650</v>
      </c>
      <c r="U103" s="2"/>
      <c r="V103" s="7">
        <f t="shared" si="66"/>
        <v>1.1429128406041998E-3</v>
      </c>
      <c r="W103" s="2"/>
      <c r="X103" s="6">
        <f t="shared" si="67"/>
        <v>-2353.36</v>
      </c>
      <c r="Y103" s="2"/>
      <c r="Z103" s="7">
        <f t="shared" si="68"/>
        <v>-0.88806037735849064</v>
      </c>
    </row>
    <row r="104" spans="1:26" s="27" customFormat="1" outlineLevel="1" collapsed="1" x14ac:dyDescent="0.25">
      <c r="A104" s="26"/>
      <c r="B104" s="13" t="str">
        <f>CONCATENATE("     ","Supplies                                          ")</f>
        <v xml:space="preserve">     Supplies                                          </v>
      </c>
      <c r="C104" s="13"/>
      <c r="D104" s="1">
        <f>SUM(OSRRefD22_12x_0)</f>
        <v>73.23</v>
      </c>
      <c r="E104" s="1"/>
      <c r="F104" s="5">
        <f t="shared" ref="F104:F109" si="69">IF(D$12=0,0,D104/D$12)</f>
        <v>6.7863044351182324E-4</v>
      </c>
      <c r="G104" s="1"/>
      <c r="H104" s="1">
        <f>SUM(OSRRefH22_12x_0)</f>
        <v>625</v>
      </c>
      <c r="I104" s="1"/>
      <c r="J104" s="5">
        <f t="shared" ref="J104:J109" si="70">IF(H$12=0,0,H104/H$12)</f>
        <v>1.8099311646979442E-3</v>
      </c>
      <c r="K104" s="1"/>
      <c r="L104" s="1">
        <f t="shared" ref="L104:L109" si="71">+D104-H104</f>
        <v>-551.77</v>
      </c>
      <c r="M104" s="1"/>
      <c r="N104" s="5">
        <f t="shared" ref="N104:N109" si="72">IF(H104=0,0,L104/H104)</f>
        <v>-0.88283199999999995</v>
      </c>
      <c r="O104" s="13"/>
      <c r="P104" s="1">
        <f>SUM(OSRRefP22_12x_0)</f>
        <v>3415.8399999999997</v>
      </c>
      <c r="Q104" s="1"/>
      <c r="R104" s="5">
        <f t="shared" ref="R104:R109" si="73">IF(P$12=0,0,P104/P$12)</f>
        <v>1.6797945035129632E-3</v>
      </c>
      <c r="S104" s="1"/>
      <c r="T104" s="1">
        <f>SUM(OSRRefT22_12x_0)</f>
        <v>9225</v>
      </c>
      <c r="U104" s="1"/>
      <c r="V104" s="5">
        <f t="shared" ref="V104:V109" si="74">IF(T$12=0,0,T104/T$12)</f>
        <v>3.9786305488957521E-3</v>
      </c>
      <c r="W104" s="1"/>
      <c r="X104" s="1">
        <f t="shared" ref="X104:X109" si="75">+P104-T104</f>
        <v>-5809.16</v>
      </c>
      <c r="Y104" s="1"/>
      <c r="Z104" s="5">
        <f t="shared" ref="Z104:Z109" si="76">IF(T104=0,0,X104/T104)</f>
        <v>-0.62971924119241196</v>
      </c>
    </row>
    <row r="105" spans="1:26" s="24" customFormat="1" hidden="1" outlineLevel="2" x14ac:dyDescent="0.25">
      <c r="A105" s="25"/>
      <c r="B105" s="11" t="str">
        <f>CONCATENATE("          ", "6234", " - ", "EXPENDABLE SUPPLIES &amp; EQUIPMEN")</f>
        <v xml:space="preserve">          6234 - EXPENDABLE SUPPLIES &amp; EQUIPMEN</v>
      </c>
      <c r="C105" s="11"/>
      <c r="D105" s="6"/>
      <c r="E105" s="2"/>
      <c r="F105" s="7">
        <f t="shared" si="69"/>
        <v>0</v>
      </c>
      <c r="G105" s="2"/>
      <c r="H105" s="6">
        <v>200</v>
      </c>
      <c r="I105" s="2"/>
      <c r="J105" s="7">
        <f t="shared" si="70"/>
        <v>5.7917797270334219E-4</v>
      </c>
      <c r="K105" s="2"/>
      <c r="L105" s="6">
        <f t="shared" si="71"/>
        <v>-200</v>
      </c>
      <c r="M105" s="2"/>
      <c r="N105" s="7">
        <f t="shared" si="72"/>
        <v>-1</v>
      </c>
      <c r="O105" s="11"/>
      <c r="P105" s="6">
        <v>532.28</v>
      </c>
      <c r="Q105" s="2"/>
      <c r="R105" s="7">
        <f t="shared" si="73"/>
        <v>2.6175728907966417E-4</v>
      </c>
      <c r="S105" s="2"/>
      <c r="T105" s="6">
        <v>5100</v>
      </c>
      <c r="U105" s="2"/>
      <c r="V105" s="7">
        <f t="shared" si="74"/>
        <v>2.1995681083326109E-3</v>
      </c>
      <c r="W105" s="2"/>
      <c r="X105" s="6">
        <f t="shared" si="75"/>
        <v>-4567.72</v>
      </c>
      <c r="Y105" s="2"/>
      <c r="Z105" s="7">
        <f t="shared" si="76"/>
        <v>-0.8956313725490197</v>
      </c>
    </row>
    <row r="106" spans="1:26" s="24" customFormat="1" hidden="1" outlineLevel="2" x14ac:dyDescent="0.25">
      <c r="A106" s="25"/>
      <c r="B106" s="11" t="str">
        <f>CONCATENATE("          ", "6237", " - ", "JANITORIAL SUPPLIES")</f>
        <v xml:space="preserve">          6237 - JANITORIAL SUPPLIES</v>
      </c>
      <c r="C106" s="11"/>
      <c r="D106" s="6"/>
      <c r="E106" s="2"/>
      <c r="F106" s="7">
        <f t="shared" si="69"/>
        <v>0</v>
      </c>
      <c r="G106" s="2"/>
      <c r="H106" s="6">
        <v>25</v>
      </c>
      <c r="I106" s="2"/>
      <c r="J106" s="7">
        <f t="shared" si="70"/>
        <v>7.2397246587917774E-5</v>
      </c>
      <c r="K106" s="2"/>
      <c r="L106" s="6">
        <f t="shared" si="71"/>
        <v>-25</v>
      </c>
      <c r="M106" s="2"/>
      <c r="N106" s="7">
        <f t="shared" si="72"/>
        <v>-1</v>
      </c>
      <c r="O106" s="11"/>
      <c r="P106" s="6"/>
      <c r="Q106" s="2"/>
      <c r="R106" s="7">
        <f t="shared" si="73"/>
        <v>0</v>
      </c>
      <c r="S106" s="2"/>
      <c r="T106" s="6">
        <v>225</v>
      </c>
      <c r="U106" s="2"/>
      <c r="V106" s="7">
        <f t="shared" si="74"/>
        <v>9.7039769485262242E-5</v>
      </c>
      <c r="W106" s="2"/>
      <c r="X106" s="6">
        <f t="shared" si="75"/>
        <v>-225</v>
      </c>
      <c r="Y106" s="2"/>
      <c r="Z106" s="7">
        <f t="shared" si="76"/>
        <v>-1</v>
      </c>
    </row>
    <row r="107" spans="1:26" s="24" customFormat="1" hidden="1" outlineLevel="2" x14ac:dyDescent="0.25">
      <c r="A107" s="25"/>
      <c r="B107" s="11" t="str">
        <f>CONCATENATE("          ", "6241", " - ", "OFFICE EXPENSE")</f>
        <v xml:space="preserve">          6241 - OFFICE EXPENSE</v>
      </c>
      <c r="C107" s="11"/>
      <c r="D107" s="6">
        <v>73.23</v>
      </c>
      <c r="E107" s="2"/>
      <c r="F107" s="7">
        <f t="shared" si="69"/>
        <v>6.7863044351182324E-4</v>
      </c>
      <c r="G107" s="2"/>
      <c r="H107" s="6">
        <v>200</v>
      </c>
      <c r="I107" s="2"/>
      <c r="J107" s="7">
        <f t="shared" si="70"/>
        <v>5.7917797270334219E-4</v>
      </c>
      <c r="K107" s="2"/>
      <c r="L107" s="6">
        <f t="shared" si="71"/>
        <v>-126.77</v>
      </c>
      <c r="M107" s="2"/>
      <c r="N107" s="7">
        <f t="shared" si="72"/>
        <v>-0.63385000000000002</v>
      </c>
      <c r="O107" s="11"/>
      <c r="P107" s="6">
        <v>2649.5</v>
      </c>
      <c r="Q107" s="2"/>
      <c r="R107" s="7">
        <f t="shared" si="73"/>
        <v>1.3029344281516688E-3</v>
      </c>
      <c r="S107" s="2"/>
      <c r="T107" s="6">
        <v>1800</v>
      </c>
      <c r="U107" s="2"/>
      <c r="V107" s="7">
        <f t="shared" si="74"/>
        <v>7.7631815588209794E-4</v>
      </c>
      <c r="W107" s="2"/>
      <c r="X107" s="6">
        <f t="shared" si="75"/>
        <v>849.5</v>
      </c>
      <c r="Y107" s="2"/>
      <c r="Z107" s="7">
        <f t="shared" si="76"/>
        <v>0.47194444444444444</v>
      </c>
    </row>
    <row r="108" spans="1:26" s="24" customFormat="1" hidden="1" outlineLevel="2" x14ac:dyDescent="0.25">
      <c r="A108" s="25"/>
      <c r="B108" s="11" t="str">
        <f>CONCATENATE("          ", "6245", " - ", "PRINTING")</f>
        <v xml:space="preserve">          6245 - PRINTING</v>
      </c>
      <c r="C108" s="11"/>
      <c r="D108" s="6"/>
      <c r="E108" s="2"/>
      <c r="F108" s="7">
        <f t="shared" si="69"/>
        <v>0</v>
      </c>
      <c r="G108" s="2"/>
      <c r="H108" s="6"/>
      <c r="I108" s="2"/>
      <c r="J108" s="7">
        <f t="shared" si="70"/>
        <v>0</v>
      </c>
      <c r="K108" s="2"/>
      <c r="L108" s="6">
        <f t="shared" si="71"/>
        <v>0</v>
      </c>
      <c r="M108" s="2"/>
      <c r="N108" s="7">
        <f t="shared" si="72"/>
        <v>0</v>
      </c>
      <c r="O108" s="11"/>
      <c r="P108" s="6">
        <v>-528.98</v>
      </c>
      <c r="Q108" s="2"/>
      <c r="R108" s="7">
        <f t="shared" si="73"/>
        <v>-2.6013446076756741E-4</v>
      </c>
      <c r="S108" s="2"/>
      <c r="T108" s="6"/>
      <c r="U108" s="2"/>
      <c r="V108" s="7">
        <f t="shared" si="74"/>
        <v>0</v>
      </c>
      <c r="W108" s="2"/>
      <c r="X108" s="6">
        <f t="shared" si="75"/>
        <v>-528.98</v>
      </c>
      <c r="Y108" s="2"/>
      <c r="Z108" s="7">
        <f t="shared" si="76"/>
        <v>0</v>
      </c>
    </row>
    <row r="109" spans="1:26" s="24" customFormat="1" hidden="1" outlineLevel="2" x14ac:dyDescent="0.25">
      <c r="A109" s="25"/>
      <c r="B109" s="11" t="str">
        <f>CONCATENATE("          ", "6247", " - ", "STORE SUPPLIES")</f>
        <v xml:space="preserve">          6247 - STORE SUPPLIES</v>
      </c>
      <c r="C109" s="11"/>
      <c r="D109" s="6"/>
      <c r="E109" s="2"/>
      <c r="F109" s="7">
        <f t="shared" si="69"/>
        <v>0</v>
      </c>
      <c r="G109" s="2"/>
      <c r="H109" s="6">
        <v>200</v>
      </c>
      <c r="I109" s="2"/>
      <c r="J109" s="7">
        <f t="shared" si="70"/>
        <v>5.7917797270334219E-4</v>
      </c>
      <c r="K109" s="2"/>
      <c r="L109" s="6">
        <f t="shared" si="71"/>
        <v>-200</v>
      </c>
      <c r="M109" s="2"/>
      <c r="N109" s="7">
        <f t="shared" si="72"/>
        <v>-1</v>
      </c>
      <c r="O109" s="11"/>
      <c r="P109" s="6">
        <v>763.04</v>
      </c>
      <c r="Q109" s="2"/>
      <c r="R109" s="7">
        <f t="shared" si="73"/>
        <v>3.7523724704919772E-4</v>
      </c>
      <c r="S109" s="2"/>
      <c r="T109" s="6">
        <v>2100</v>
      </c>
      <c r="U109" s="2"/>
      <c r="V109" s="7">
        <f t="shared" si="74"/>
        <v>9.0570451519578102E-4</v>
      </c>
      <c r="W109" s="2"/>
      <c r="X109" s="6">
        <f t="shared" si="75"/>
        <v>-1336.96</v>
      </c>
      <c r="Y109" s="2"/>
      <c r="Z109" s="7">
        <f t="shared" si="76"/>
        <v>-0.63664761904761902</v>
      </c>
    </row>
    <row r="110" spans="1:26" s="27" customFormat="1" outlineLevel="1" collapsed="1" x14ac:dyDescent="0.25">
      <c r="A110" s="26"/>
      <c r="B110" s="13" t="str">
        <f>CONCATENATE("     ","Telephone/Data Lines                              ")</f>
        <v xml:space="preserve">     Telephone/Data Lines                              </v>
      </c>
      <c r="C110" s="13"/>
      <c r="D110" s="1">
        <f>SUM(OSRRefD22_13x_0)</f>
        <v>276.01</v>
      </c>
      <c r="E110" s="1"/>
      <c r="F110" s="5">
        <f t="shared" ref="F110:F116" si="77">IF(D$12=0,0,D110/D$12)</f>
        <v>2.5578149489785375E-3</v>
      </c>
      <c r="G110" s="1"/>
      <c r="H110" s="1">
        <f>SUM(OSRRefH22_13x_0)</f>
        <v>550</v>
      </c>
      <c r="I110" s="1"/>
      <c r="J110" s="5">
        <f t="shared" ref="J110:J116" si="78">IF(H$12=0,0,H110/H$12)</f>
        <v>1.5927394249341908E-3</v>
      </c>
      <c r="K110" s="1"/>
      <c r="L110" s="1">
        <f t="shared" ref="L110:L116" si="79">+D110-H110</f>
        <v>-273.99</v>
      </c>
      <c r="M110" s="1"/>
      <c r="N110" s="5">
        <f t="shared" ref="N110:N116" si="80">IF(H110=0,0,L110/H110)</f>
        <v>-0.49816363636363636</v>
      </c>
      <c r="O110" s="13"/>
      <c r="P110" s="1">
        <f>SUM(OSRRefP22_13x_0)</f>
        <v>4988.63</v>
      </c>
      <c r="Q110" s="1"/>
      <c r="R110" s="5">
        <f t="shared" ref="R110:R116" si="81">IF(P$12=0,0,P110/P$12)</f>
        <v>2.4532393947198565E-3</v>
      </c>
      <c r="S110" s="1"/>
      <c r="T110" s="1">
        <f>SUM(OSRRefT22_13x_0)</f>
        <v>5200</v>
      </c>
      <c r="U110" s="1"/>
      <c r="V110" s="5">
        <f t="shared" ref="V110:V116" si="82">IF(T$12=0,0,T110/T$12)</f>
        <v>2.2426968947705053E-3</v>
      </c>
      <c r="W110" s="1"/>
      <c r="X110" s="1">
        <f t="shared" ref="X110:X116" si="83">+P110-T110</f>
        <v>-211.36999999999989</v>
      </c>
      <c r="Y110" s="1"/>
      <c r="Z110" s="5">
        <f t="shared" ref="Z110:Z116" si="84">IF(T110=0,0,X110/T110)</f>
        <v>-4.0648076923076905E-2</v>
      </c>
    </row>
    <row r="111" spans="1:26" s="24" customFormat="1" hidden="1" outlineLevel="2" x14ac:dyDescent="0.25">
      <c r="A111" s="25"/>
      <c r="B111" s="11" t="str">
        <f>CONCATENATE("          ", "6309", " - ", "TELEPHONE")</f>
        <v xml:space="preserve">          6309 - TELEPHONE</v>
      </c>
      <c r="C111" s="11"/>
      <c r="D111" s="6">
        <v>276.01</v>
      </c>
      <c r="E111" s="2"/>
      <c r="F111" s="7">
        <f t="shared" si="77"/>
        <v>2.5578149489785375E-3</v>
      </c>
      <c r="G111" s="2"/>
      <c r="H111" s="6">
        <v>550</v>
      </c>
      <c r="I111" s="2"/>
      <c r="J111" s="7">
        <f t="shared" si="78"/>
        <v>1.5927394249341908E-3</v>
      </c>
      <c r="K111" s="2"/>
      <c r="L111" s="6">
        <f t="shared" si="79"/>
        <v>-273.99</v>
      </c>
      <c r="M111" s="2"/>
      <c r="N111" s="7">
        <f t="shared" si="80"/>
        <v>-0.49816363636363636</v>
      </c>
      <c r="O111" s="11"/>
      <c r="P111" s="6">
        <v>4988.63</v>
      </c>
      <c r="Q111" s="2"/>
      <c r="R111" s="7">
        <f t="shared" si="81"/>
        <v>2.4532393947198565E-3</v>
      </c>
      <c r="S111" s="2"/>
      <c r="T111" s="6">
        <v>5200</v>
      </c>
      <c r="U111" s="2"/>
      <c r="V111" s="7">
        <f t="shared" si="82"/>
        <v>2.2426968947705053E-3</v>
      </c>
      <c r="W111" s="2"/>
      <c r="X111" s="6">
        <f t="shared" si="83"/>
        <v>-211.36999999999989</v>
      </c>
      <c r="Y111" s="2"/>
      <c r="Z111" s="7">
        <f t="shared" si="84"/>
        <v>-4.0648076923076905E-2</v>
      </c>
    </row>
    <row r="112" spans="1:26" s="27" customFormat="1" outlineLevel="1" collapsed="1" x14ac:dyDescent="0.25">
      <c r="A112" s="26"/>
      <c r="B112" s="13" t="str">
        <f>CONCATENATE("     ","Training                                          ")</f>
        <v xml:space="preserve">     Training                                          </v>
      </c>
      <c r="C112" s="13"/>
      <c r="D112" s="1">
        <f>SUM(OSRRefD22_14x_0)</f>
        <v>756.39</v>
      </c>
      <c r="E112" s="1"/>
      <c r="F112" s="5">
        <f t="shared" si="77"/>
        <v>7.0095491078507157E-3</v>
      </c>
      <c r="G112" s="1"/>
      <c r="H112" s="1">
        <f>SUM(OSRRefH22_14x_0)</f>
        <v>1000</v>
      </c>
      <c r="I112" s="1"/>
      <c r="J112" s="5">
        <f t="shared" si="78"/>
        <v>2.8958898635167108E-3</v>
      </c>
      <c r="K112" s="1"/>
      <c r="L112" s="1">
        <f t="shared" si="79"/>
        <v>-243.61</v>
      </c>
      <c r="M112" s="1"/>
      <c r="N112" s="5">
        <f t="shared" si="80"/>
        <v>-0.24361000000000002</v>
      </c>
      <c r="O112" s="13"/>
      <c r="P112" s="1">
        <f>SUM(OSRRefP22_14x_0)</f>
        <v>3651.14</v>
      </c>
      <c r="Q112" s="1"/>
      <c r="R112" s="5">
        <f t="shared" si="81"/>
        <v>1.795507079827018E-3</v>
      </c>
      <c r="S112" s="1"/>
      <c r="T112" s="1">
        <f>SUM(OSRRefT22_14x_0)</f>
        <v>5500</v>
      </c>
      <c r="U112" s="1"/>
      <c r="V112" s="5">
        <f t="shared" si="82"/>
        <v>2.3720832540841882E-3</v>
      </c>
      <c r="W112" s="1"/>
      <c r="X112" s="1">
        <f t="shared" si="83"/>
        <v>-1848.8600000000001</v>
      </c>
      <c r="Y112" s="1"/>
      <c r="Z112" s="5">
        <f t="shared" si="84"/>
        <v>-0.33615636363636364</v>
      </c>
    </row>
    <row r="113" spans="1:26" s="24" customFormat="1" hidden="1" outlineLevel="2" x14ac:dyDescent="0.25">
      <c r="A113" s="25"/>
      <c r="B113" s="11" t="str">
        <f>CONCATENATE("          ", "6376", " - ", "TRAINING")</f>
        <v xml:space="preserve">          6376 - TRAINING</v>
      </c>
      <c r="C113" s="11"/>
      <c r="D113" s="6">
        <v>756.39</v>
      </c>
      <c r="E113" s="2"/>
      <c r="F113" s="7">
        <f t="shared" si="77"/>
        <v>7.0095491078507157E-3</v>
      </c>
      <c r="G113" s="2"/>
      <c r="H113" s="6">
        <v>1000</v>
      </c>
      <c r="I113" s="2"/>
      <c r="J113" s="7">
        <f t="shared" si="78"/>
        <v>2.8958898635167108E-3</v>
      </c>
      <c r="K113" s="2"/>
      <c r="L113" s="6">
        <f t="shared" si="79"/>
        <v>-243.61</v>
      </c>
      <c r="M113" s="2"/>
      <c r="N113" s="7">
        <f t="shared" si="80"/>
        <v>-0.24361000000000002</v>
      </c>
      <c r="O113" s="11"/>
      <c r="P113" s="6">
        <v>3651.14</v>
      </c>
      <c r="Q113" s="2"/>
      <c r="R113" s="7">
        <f t="shared" si="81"/>
        <v>1.795507079827018E-3</v>
      </c>
      <c r="S113" s="2"/>
      <c r="T113" s="6">
        <v>5500</v>
      </c>
      <c r="U113" s="2"/>
      <c r="V113" s="7">
        <f t="shared" si="82"/>
        <v>2.3720832540841882E-3</v>
      </c>
      <c r="W113" s="2"/>
      <c r="X113" s="6">
        <f t="shared" si="83"/>
        <v>-1848.8600000000001</v>
      </c>
      <c r="Y113" s="2"/>
      <c r="Z113" s="7">
        <f t="shared" si="84"/>
        <v>-0.33615636363636364</v>
      </c>
    </row>
    <row r="114" spans="1:26" s="27" customFormat="1" outlineLevel="1" collapsed="1" x14ac:dyDescent="0.25">
      <c r="A114" s="26"/>
      <c r="B114" s="13" t="str">
        <f>CONCATENATE("     ","Travel                                            ")</f>
        <v xml:space="preserve">     Travel                                            </v>
      </c>
      <c r="C114" s="13"/>
      <c r="D114" s="1">
        <f>SUM(OSRRefD22_15x_0)</f>
        <v>0</v>
      </c>
      <c r="E114" s="1"/>
      <c r="F114" s="5">
        <f t="shared" si="77"/>
        <v>0</v>
      </c>
      <c r="G114" s="1"/>
      <c r="H114" s="1">
        <f>SUM(OSRRefH22_15x_0)</f>
        <v>75</v>
      </c>
      <c r="I114" s="1"/>
      <c r="J114" s="5">
        <f t="shared" si="78"/>
        <v>2.1719173976375331E-4</v>
      </c>
      <c r="K114" s="1"/>
      <c r="L114" s="1">
        <f t="shared" si="79"/>
        <v>-75</v>
      </c>
      <c r="M114" s="1"/>
      <c r="N114" s="5">
        <f t="shared" si="80"/>
        <v>-1</v>
      </c>
      <c r="O114" s="13"/>
      <c r="P114" s="1">
        <f>SUM(OSRRefP22_15x_0)</f>
        <v>-99.159999999999982</v>
      </c>
      <c r="Q114" s="1"/>
      <c r="R114" s="5">
        <f t="shared" si="81"/>
        <v>-4.8763531947733333E-5</v>
      </c>
      <c r="S114" s="1"/>
      <c r="T114" s="1">
        <f>SUM(OSRRefT22_15x_0)</f>
        <v>475</v>
      </c>
      <c r="U114" s="1"/>
      <c r="V114" s="5">
        <f t="shared" si="82"/>
        <v>2.0486173557999807E-4</v>
      </c>
      <c r="W114" s="1"/>
      <c r="X114" s="1">
        <f t="shared" si="83"/>
        <v>-574.16</v>
      </c>
      <c r="Y114" s="1"/>
      <c r="Z114" s="5">
        <f t="shared" si="84"/>
        <v>-1.208757894736842</v>
      </c>
    </row>
    <row r="115" spans="1:26" s="24" customFormat="1" hidden="1" outlineLevel="2" x14ac:dyDescent="0.25">
      <c r="A115" s="25"/>
      <c r="B115" s="11" t="str">
        <f>CONCATENATE("          ", "6292", " - ", "TRAVEL/CONFERENCE")</f>
        <v xml:space="preserve">          6292 - TRAVEL/CONFERENCE</v>
      </c>
      <c r="C115" s="11"/>
      <c r="D115" s="6"/>
      <c r="E115" s="2"/>
      <c r="F115" s="7">
        <f t="shared" si="77"/>
        <v>0</v>
      </c>
      <c r="G115" s="2"/>
      <c r="H115" s="6"/>
      <c r="I115" s="2"/>
      <c r="J115" s="7">
        <f t="shared" si="78"/>
        <v>0</v>
      </c>
      <c r="K115" s="2"/>
      <c r="L115" s="6">
        <f t="shared" si="79"/>
        <v>0</v>
      </c>
      <c r="M115" s="2"/>
      <c r="N115" s="7">
        <f t="shared" si="80"/>
        <v>0</v>
      </c>
      <c r="O115" s="11"/>
      <c r="P115" s="6">
        <v>107.04</v>
      </c>
      <c r="Q115" s="2"/>
      <c r="R115" s="7">
        <f t="shared" si="81"/>
        <v>5.263864925055846E-5</v>
      </c>
      <c r="S115" s="2"/>
      <c r="T115" s="6"/>
      <c r="U115" s="2"/>
      <c r="V115" s="7">
        <f t="shared" si="82"/>
        <v>0</v>
      </c>
      <c r="W115" s="2"/>
      <c r="X115" s="6">
        <f t="shared" si="83"/>
        <v>107.04</v>
      </c>
      <c r="Y115" s="2"/>
      <c r="Z115" s="7">
        <f t="shared" si="84"/>
        <v>0</v>
      </c>
    </row>
    <row r="116" spans="1:26" s="24" customFormat="1" hidden="1" outlineLevel="2" x14ac:dyDescent="0.25">
      <c r="A116" s="25"/>
      <c r="B116" s="11" t="str">
        <f>CONCATENATE("          ", "6294", " - ", "TRAVEL OPERATIONAL")</f>
        <v xml:space="preserve">          6294 - TRAVEL OPERATIONAL</v>
      </c>
      <c r="C116" s="11"/>
      <c r="D116" s="6"/>
      <c r="E116" s="2"/>
      <c r="F116" s="7">
        <f t="shared" si="77"/>
        <v>0</v>
      </c>
      <c r="G116" s="2"/>
      <c r="H116" s="6">
        <v>75</v>
      </c>
      <c r="I116" s="2"/>
      <c r="J116" s="7">
        <f t="shared" si="78"/>
        <v>2.1719173976375331E-4</v>
      </c>
      <c r="K116" s="2"/>
      <c r="L116" s="6">
        <f t="shared" si="79"/>
        <v>-75</v>
      </c>
      <c r="M116" s="2"/>
      <c r="N116" s="7">
        <f t="shared" si="80"/>
        <v>-1</v>
      </c>
      <c r="O116" s="11"/>
      <c r="P116" s="6">
        <v>-206.2</v>
      </c>
      <c r="Q116" s="2"/>
      <c r="R116" s="7">
        <f t="shared" si="81"/>
        <v>-1.0140218119829179E-4</v>
      </c>
      <c r="S116" s="2"/>
      <c r="T116" s="6">
        <v>475</v>
      </c>
      <c r="U116" s="2"/>
      <c r="V116" s="7">
        <f t="shared" si="82"/>
        <v>2.0486173557999807E-4</v>
      </c>
      <c r="W116" s="2"/>
      <c r="X116" s="6">
        <f t="shared" si="83"/>
        <v>-681.2</v>
      </c>
      <c r="Y116" s="2"/>
      <c r="Z116" s="7">
        <f t="shared" si="84"/>
        <v>-1.4341052631578948</v>
      </c>
    </row>
    <row r="117" spans="1:26" s="56" customFormat="1" x14ac:dyDescent="0.25">
      <c r="A117" s="36"/>
      <c r="B117" s="36"/>
      <c r="C117" s="36"/>
      <c r="D117" s="1"/>
      <c r="E117" s="1"/>
      <c r="F117" s="5"/>
      <c r="G117" s="1"/>
      <c r="H117" s="1"/>
      <c r="I117" s="1"/>
      <c r="J117" s="5"/>
      <c r="K117" s="1"/>
      <c r="L117" s="1"/>
      <c r="M117" s="1"/>
      <c r="N117" s="5"/>
      <c r="O117" s="36"/>
      <c r="P117" s="1"/>
      <c r="Q117" s="1"/>
      <c r="R117" s="5"/>
      <c r="S117" s="1"/>
      <c r="T117" s="1"/>
      <c r="U117" s="1"/>
      <c r="V117" s="5"/>
      <c r="W117" s="1"/>
      <c r="X117" s="1"/>
      <c r="Y117" s="1"/>
      <c r="Z117" s="5"/>
    </row>
    <row r="118" spans="1:26" s="23" customFormat="1" collapsed="1" x14ac:dyDescent="0.25">
      <c r="A118" s="10"/>
      <c r="B118" s="29" t="s">
        <v>0</v>
      </c>
      <c r="C118" s="10"/>
      <c r="D118" s="4">
        <f>SUM(OSRRefD25x_0)</f>
        <v>3338.98</v>
      </c>
      <c r="E118" s="4"/>
      <c r="F118" s="12">
        <f t="shared" ref="F118:F121" si="85">IF(D$12=0,0,D118/D$12)</f>
        <v>3.0942693954350776E-2</v>
      </c>
      <c r="G118" s="4"/>
      <c r="H118" s="4">
        <f>SUM(OSRRefH25x_0)</f>
        <v>8625</v>
      </c>
      <c r="I118" s="4"/>
      <c r="J118" s="12">
        <f t="shared" ref="J118:J121" si="86">IF(H$12=0,0,H118/H$12)</f>
        <v>2.497705007283163E-2</v>
      </c>
      <c r="K118" s="4"/>
      <c r="L118" s="4">
        <f t="shared" ref="L118:L121" si="87">+D118-H118</f>
        <v>-5286.02</v>
      </c>
      <c r="M118" s="4"/>
      <c r="N118" s="12">
        <f t="shared" ref="N118:N121" si="88">IF(H118=0,0,L118/H118)</f>
        <v>-0.61287188405797111</v>
      </c>
      <c r="O118" s="10"/>
      <c r="P118" s="4">
        <f>SUM(OSRRefP25x_0)</f>
        <v>42793.87</v>
      </c>
      <c r="Q118" s="4"/>
      <c r="R118" s="12">
        <f t="shared" ref="R118:R121" si="89">IF(P$12=0,0,P118/P$12)</f>
        <v>2.1044576915209234E-2</v>
      </c>
      <c r="S118" s="4"/>
      <c r="T118" s="4">
        <f>SUM(OSRRefT25x_0)</f>
        <v>77625</v>
      </c>
      <c r="U118" s="4"/>
      <c r="V118" s="12">
        <f t="shared" ref="V118:V121" si="90">IF(T$12=0,0,T118/T$12)</f>
        <v>3.3478720472415478E-2</v>
      </c>
      <c r="W118" s="4"/>
      <c r="X118" s="4">
        <f t="shared" ref="X118:X121" si="91">+P118-T118</f>
        <v>-34831.129999999997</v>
      </c>
      <c r="Y118" s="4"/>
      <c r="Z118" s="12">
        <f t="shared" ref="Z118:Z121" si="92">IF(T118=0,0,X118/T118)</f>
        <v>-0.44871020933977451</v>
      </c>
    </row>
    <row r="119" spans="1:26" s="24" customFormat="1" hidden="1" outlineLevel="1" x14ac:dyDescent="0.25">
      <c r="A119" s="44"/>
      <c r="B119" s="11" t="str">
        <f>CONCATENATE("          ", "9150", " - ", "MISC. INCOME")</f>
        <v xml:space="preserve">          9150 - MISC. INCOME</v>
      </c>
      <c r="C119" s="11"/>
      <c r="D119" s="2">
        <f>--3338.98</f>
        <v>3338.98</v>
      </c>
      <c r="E119" s="2"/>
      <c r="F119" s="19">
        <f t="shared" si="85"/>
        <v>3.0942693954350776E-2</v>
      </c>
      <c r="G119" s="2"/>
      <c r="H119" s="2">
        <v>7725</v>
      </c>
      <c r="I119" s="2"/>
      <c r="J119" s="19">
        <f t="shared" si="86"/>
        <v>2.2370749195666589E-2</v>
      </c>
      <c r="K119" s="2"/>
      <c r="L119" s="2">
        <f t="shared" si="87"/>
        <v>-4386.0200000000004</v>
      </c>
      <c r="M119" s="2"/>
      <c r="N119" s="19">
        <f t="shared" si="88"/>
        <v>-0.56776957928802596</v>
      </c>
      <c r="O119" s="11"/>
      <c r="P119" s="2">
        <f>--42793.87</f>
        <v>42793.87</v>
      </c>
      <c r="Q119" s="2"/>
      <c r="R119" s="19">
        <f t="shared" si="89"/>
        <v>2.1044576915209234E-2</v>
      </c>
      <c r="S119" s="2"/>
      <c r="T119" s="2">
        <v>69525</v>
      </c>
      <c r="U119" s="2"/>
      <c r="V119" s="19">
        <f t="shared" si="90"/>
        <v>2.9985288770946035E-2</v>
      </c>
      <c r="W119" s="2"/>
      <c r="X119" s="2">
        <f t="shared" si="91"/>
        <v>-26731.129999999997</v>
      </c>
      <c r="Y119" s="2"/>
      <c r="Z119" s="19">
        <f t="shared" si="92"/>
        <v>-0.38448227256382594</v>
      </c>
    </row>
    <row r="120" spans="1:26" s="24" customFormat="1" hidden="1" outlineLevel="1" x14ac:dyDescent="0.25">
      <c r="A120" s="44"/>
      <c r="B120" s="11" t="str">
        <f>CONCATENATE("          ", "9151", " - ", "MISC. INCOME")</f>
        <v xml:space="preserve">          9151 - MISC. INCOME</v>
      </c>
      <c r="C120" s="11"/>
      <c r="D120" s="2">
        <f t="shared" ref="D120:D121" si="93">0</f>
        <v>0</v>
      </c>
      <c r="E120" s="2"/>
      <c r="F120" s="19">
        <f t="shared" si="85"/>
        <v>0</v>
      </c>
      <c r="G120" s="2"/>
      <c r="H120" s="2">
        <v>100</v>
      </c>
      <c r="I120" s="2"/>
      <c r="J120" s="19">
        <f t="shared" si="86"/>
        <v>2.895889863516711E-4</v>
      </c>
      <c r="K120" s="2"/>
      <c r="L120" s="2">
        <f t="shared" si="87"/>
        <v>-100</v>
      </c>
      <c r="M120" s="2"/>
      <c r="N120" s="19">
        <f t="shared" si="88"/>
        <v>-1</v>
      </c>
      <c r="O120" s="11"/>
      <c r="P120" s="2">
        <f t="shared" ref="P120:P121" si="94">0</f>
        <v>0</v>
      </c>
      <c r="Q120" s="2"/>
      <c r="R120" s="19">
        <f t="shared" si="89"/>
        <v>0</v>
      </c>
      <c r="S120" s="2"/>
      <c r="T120" s="2">
        <v>900</v>
      </c>
      <c r="U120" s="2"/>
      <c r="V120" s="19">
        <f t="shared" si="90"/>
        <v>3.8815907794104897E-4</v>
      </c>
      <c r="W120" s="2"/>
      <c r="X120" s="2">
        <f t="shared" si="91"/>
        <v>-900</v>
      </c>
      <c r="Y120" s="2"/>
      <c r="Z120" s="19">
        <f t="shared" si="92"/>
        <v>-1</v>
      </c>
    </row>
    <row r="121" spans="1:26" s="24" customFormat="1" hidden="1" outlineLevel="1" x14ac:dyDescent="0.25">
      <c r="A121" s="44"/>
      <c r="B121" s="11" t="str">
        <f>CONCATENATE("          ", "9160", " - ", "MISC. INCOME")</f>
        <v xml:space="preserve">          9160 - MISC. INCOME</v>
      </c>
      <c r="C121" s="11"/>
      <c r="D121" s="2">
        <f t="shared" si="93"/>
        <v>0</v>
      </c>
      <c r="E121" s="2"/>
      <c r="F121" s="19">
        <f t="shared" si="85"/>
        <v>0</v>
      </c>
      <c r="G121" s="2"/>
      <c r="H121" s="2">
        <v>800</v>
      </c>
      <c r="I121" s="2"/>
      <c r="J121" s="19">
        <f t="shared" si="86"/>
        <v>2.3167118908133688E-3</v>
      </c>
      <c r="K121" s="2"/>
      <c r="L121" s="2">
        <f t="shared" si="87"/>
        <v>-800</v>
      </c>
      <c r="M121" s="2"/>
      <c r="N121" s="19">
        <f t="shared" si="88"/>
        <v>-1</v>
      </c>
      <c r="O121" s="11"/>
      <c r="P121" s="2">
        <f t="shared" si="94"/>
        <v>0</v>
      </c>
      <c r="Q121" s="2"/>
      <c r="R121" s="19">
        <f t="shared" si="89"/>
        <v>0</v>
      </c>
      <c r="S121" s="2"/>
      <c r="T121" s="2">
        <v>7200</v>
      </c>
      <c r="U121" s="2"/>
      <c r="V121" s="19">
        <f t="shared" si="90"/>
        <v>3.1052726235283917E-3</v>
      </c>
      <c r="W121" s="2"/>
      <c r="X121" s="2">
        <f t="shared" si="91"/>
        <v>-7200</v>
      </c>
      <c r="Y121" s="2"/>
      <c r="Z121" s="19">
        <f t="shared" si="92"/>
        <v>-1</v>
      </c>
    </row>
    <row r="122" spans="1:26" x14ac:dyDescent="0.25">
      <c r="A122" s="9"/>
      <c r="B122" s="10"/>
      <c r="C122" s="10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0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x14ac:dyDescent="0.25">
      <c r="A123" s="10"/>
      <c r="B123" s="28" t="s">
        <v>3</v>
      </c>
      <c r="C123" s="28"/>
      <c r="D123" s="20">
        <f>+D54-D56+D118</f>
        <v>6394.1599999999926</v>
      </c>
      <c r="E123" s="14"/>
      <c r="F123" s="22">
        <f>IF(D$12=0,0,D123/D$12)</f>
        <v>5.925538217514071E-2</v>
      </c>
      <c r="G123" s="14"/>
      <c r="H123" s="20">
        <f>+H54-H56+H118</f>
        <v>138429.01820175577</v>
      </c>
      <c r="I123" s="14"/>
      <c r="J123" s="22">
        <f>IF(H$12=0,0,H123/H$12)</f>
        <v>0.40087519062703475</v>
      </c>
      <c r="K123" s="16"/>
      <c r="L123" s="20">
        <f>+D123-H123</f>
        <v>-132034.85820175576</v>
      </c>
      <c r="M123" s="16"/>
      <c r="N123" s="22">
        <f>IF(H123=0,0,L123/H123)</f>
        <v>-0.95380910676776798</v>
      </c>
      <c r="O123" s="29"/>
      <c r="P123" s="20">
        <f>+P54-P56+P118</f>
        <v>575367.72000000032</v>
      </c>
      <c r="Q123" s="14"/>
      <c r="R123" s="22">
        <f>IF(P$12=0,0,P123/P$12)</f>
        <v>0.28294637147957347</v>
      </c>
      <c r="S123" s="14"/>
      <c r="T123" s="20">
        <f>+T54-T56+T118</f>
        <v>792555.97561661876</v>
      </c>
      <c r="U123" s="14"/>
      <c r="V123" s="22">
        <f>IF(T$12=0,0,T123/T$12)</f>
        <v>0.34181977412446141</v>
      </c>
      <c r="W123" s="16"/>
      <c r="X123" s="20">
        <f>+P123-T123</f>
        <v>-217188.25561661844</v>
      </c>
      <c r="Y123" s="16"/>
      <c r="Z123" s="22">
        <f>IF(T123=0,0,X123/T123)</f>
        <v>-0.27403522564780763</v>
      </c>
    </row>
    <row r="124" spans="1:26" x14ac:dyDescent="0.25">
      <c r="A124" s="9"/>
      <c r="B124" s="10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x14ac:dyDescent="0.25">
      <c r="A125" s="52"/>
      <c r="B125" s="10" t="s">
        <v>14</v>
      </c>
      <c r="C125" s="10"/>
      <c r="D125" s="4">
        <v>21638.53</v>
      </c>
      <c r="E125" s="4"/>
      <c r="F125" s="12">
        <f>IF(D$12=0,0,D125/D$12)</f>
        <v>0.20052663131017193</v>
      </c>
      <c r="G125" s="4"/>
      <c r="H125" s="4">
        <v>33734</v>
      </c>
      <c r="I125" s="4"/>
      <c r="J125" s="12">
        <f>IF(H$12=0,0,H125/H$12)</f>
        <v>9.7689948655872716E-2</v>
      </c>
      <c r="K125" s="4"/>
      <c r="L125" s="4">
        <f>+D125-H125</f>
        <v>-12095.470000000001</v>
      </c>
      <c r="M125" s="4"/>
      <c r="N125" s="12">
        <f>IF(H125=0,0,L125/H125)</f>
        <v>-0.35855427758344699</v>
      </c>
      <c r="O125" s="10"/>
      <c r="P125" s="4">
        <v>217893.04</v>
      </c>
      <c r="Q125" s="4"/>
      <c r="R125" s="12">
        <f>IF(P$12=0,0,P125/P$12)</f>
        <v>0.10715242252146771</v>
      </c>
      <c r="S125" s="4"/>
      <c r="T125" s="4">
        <v>271028</v>
      </c>
      <c r="U125" s="4"/>
      <c r="V125" s="12">
        <f>IF(T$12=0,0,T125/T$12)</f>
        <v>0.11689108730689625</v>
      </c>
      <c r="W125" s="4"/>
      <c r="X125" s="4">
        <f>+P125-T125</f>
        <v>-53134.959999999992</v>
      </c>
      <c r="Y125" s="4"/>
      <c r="Z125" s="12">
        <f>IF(T125=0,0,X125/T125)</f>
        <v>-0.19604970704133887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8" t="s">
        <v>4</v>
      </c>
      <c r="C127" s="28"/>
      <c r="D127" s="31">
        <f>+D123-D125</f>
        <v>-15244.370000000006</v>
      </c>
      <c r="E127" s="14"/>
      <c r="F127" s="34">
        <f>IF(D$12=0,0,D127/D$12)</f>
        <v>-0.14127124913503122</v>
      </c>
      <c r="G127" s="14"/>
      <c r="H127" s="31">
        <f>+H123-H125</f>
        <v>104695.01820175577</v>
      </c>
      <c r="I127" s="14"/>
      <c r="J127" s="34">
        <f>IF(H$12=0,0,H127/H$12)</f>
        <v>0.30318524197116203</v>
      </c>
      <c r="K127" s="16"/>
      <c r="L127" s="31">
        <f>D127-H127</f>
        <v>-119939.38820175578</v>
      </c>
      <c r="M127" s="16"/>
      <c r="N127" s="34">
        <f>IF(H127=0,0,L127/H127)</f>
        <v>-1.1456074057948284</v>
      </c>
      <c r="O127" s="29"/>
      <c r="P127" s="31">
        <f>+P123-P125</f>
        <v>357474.68000000028</v>
      </c>
      <c r="Q127" s="14"/>
      <c r="R127" s="34">
        <f>IF(P$12=0,0,P127/P$12)</f>
        <v>0.17579394895810577</v>
      </c>
      <c r="S127" s="14"/>
      <c r="T127" s="31">
        <f>+T123-T125</f>
        <v>521527.97561661876</v>
      </c>
      <c r="U127" s="14"/>
      <c r="V127" s="34">
        <f>IF(T$12=0,0,T127/T$12)</f>
        <v>0.22492868681756512</v>
      </c>
      <c r="W127" s="16"/>
      <c r="X127" s="31">
        <f>P127-T127</f>
        <v>-164053.29561661847</v>
      </c>
      <c r="Y127" s="16"/>
      <c r="Z127" s="34">
        <f>IF(T127=0,0,X127/T127)</f>
        <v>-0.31456279104232743</v>
      </c>
    </row>
    <row r="128" spans="1:26" ht="15.75" thickTop="1" x14ac:dyDescent="0.25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ht="15.75" thickBot="1" x14ac:dyDescent="0.3">
      <c r="A130" s="10"/>
      <c r="B130" s="28" t="s">
        <v>5</v>
      </c>
      <c r="C130" s="28"/>
      <c r="D130" s="32">
        <f>SUM(D127:D129)</f>
        <v>-15244.370000000006</v>
      </c>
      <c r="E130" s="14"/>
      <c r="F130" s="35">
        <f>IF(D$12=0,0,D130/D$12)</f>
        <v>-0.14127124913503122</v>
      </c>
      <c r="G130" s="14"/>
      <c r="H130" s="32">
        <f>SUM(H127:H129)</f>
        <v>104695.01820175577</v>
      </c>
      <c r="I130" s="14"/>
      <c r="J130" s="35">
        <f>IF(H$12=0,0,H130/H$12)</f>
        <v>0.30318524197116203</v>
      </c>
      <c r="K130" s="16"/>
      <c r="L130" s="32">
        <f>+D130-H130</f>
        <v>-119939.38820175578</v>
      </c>
      <c r="M130" s="16"/>
      <c r="N130" s="35">
        <f>IF(H130=0,0,L130/H130)</f>
        <v>-1.1456074057948284</v>
      </c>
      <c r="O130" s="29"/>
      <c r="P130" s="32">
        <f>SUM(P127:P129)</f>
        <v>357474.68000000028</v>
      </c>
      <c r="Q130" s="14"/>
      <c r="R130" s="35">
        <f>IF(P$12=0,0,P130/P$12)</f>
        <v>0.17579394895810577</v>
      </c>
      <c r="S130" s="14"/>
      <c r="T130" s="32">
        <f>SUM(T127:T129)</f>
        <v>521527.97561661876</v>
      </c>
      <c r="U130" s="14"/>
      <c r="V130" s="35">
        <f>IF(T$12=0,0,T130/T$12)</f>
        <v>0.22492868681756512</v>
      </c>
      <c r="W130" s="16"/>
      <c r="X130" s="32">
        <f>+P130-T130</f>
        <v>-164053.29561661847</v>
      </c>
      <c r="Y130" s="16"/>
      <c r="Z130" s="35">
        <f>IF(T130=0,0,X130/T130)</f>
        <v>-0.31456279104232743</v>
      </c>
    </row>
    <row r="131" spans="1:26" ht="15.75" thickTop="1" x14ac:dyDescent="0.25">
      <c r="A131" s="9"/>
      <c r="C131" s="9"/>
      <c r="D131" s="18"/>
      <c r="E131" s="18"/>
      <c r="G131" s="18"/>
      <c r="H131" s="18"/>
      <c r="I131" s="18"/>
      <c r="J131" s="42"/>
      <c r="K131" s="18"/>
      <c r="L131" s="18"/>
      <c r="M131" s="18"/>
      <c r="P131" s="18"/>
      <c r="Q131" s="18"/>
      <c r="R131" s="42"/>
      <c r="S131" s="18"/>
      <c r="T131" s="18"/>
      <c r="U131" s="18"/>
      <c r="V131" s="42"/>
      <c r="W131" s="18"/>
      <c r="X131" s="18"/>
    </row>
    <row r="132" spans="1:26" x14ac:dyDescent="0.25">
      <c r="A132" s="9"/>
      <c r="B132" s="57">
        <v>43934.466473842593</v>
      </c>
      <c r="D132" s="18"/>
      <c r="E132" s="18"/>
      <c r="G132" s="18"/>
      <c r="H132" s="18"/>
      <c r="I132" s="18"/>
      <c r="J132" s="42"/>
      <c r="K132" s="18"/>
      <c r="L132" s="18"/>
      <c r="M132" s="18"/>
      <c r="P132" s="18"/>
      <c r="Q132" s="18"/>
      <c r="R132" s="42"/>
      <c r="S132" s="18"/>
      <c r="T132" s="18"/>
      <c r="U132" s="18"/>
      <c r="V132" s="42"/>
      <c r="W132" s="18"/>
      <c r="X132" s="18"/>
    </row>
    <row r="133" spans="1:26" x14ac:dyDescent="0.25">
      <c r="A133" s="9"/>
      <c r="B133" s="62" t="s">
        <v>314</v>
      </c>
      <c r="D133" s="18"/>
      <c r="E133" s="18"/>
      <c r="G133" s="18"/>
      <c r="H133" s="18"/>
      <c r="I133" s="18"/>
      <c r="J133" s="42"/>
      <c r="K133" s="18"/>
      <c r="L133" s="18"/>
      <c r="M133" s="18"/>
      <c r="P133" s="18"/>
      <c r="Q133" s="18"/>
      <c r="R133" s="42"/>
      <c r="S133" s="18"/>
      <c r="T133" s="18"/>
      <c r="U133" s="18"/>
      <c r="V133" s="42"/>
      <c r="W133" s="18"/>
      <c r="X133" s="18"/>
    </row>
    <row r="134" spans="1:26" x14ac:dyDescent="0.25">
      <c r="A134" s="9"/>
      <c r="B134" s="60"/>
      <c r="D134" s="18"/>
      <c r="E134" s="18"/>
      <c r="G134" s="18"/>
      <c r="H134" s="18"/>
      <c r="I134" s="18"/>
      <c r="J134" s="42"/>
      <c r="K134" s="18"/>
      <c r="L134" s="18"/>
      <c r="M134" s="18"/>
      <c r="P134" s="18"/>
      <c r="Q134" s="18"/>
      <c r="R134" s="42"/>
      <c r="S134" s="18"/>
      <c r="T134" s="18"/>
      <c r="U134" s="18"/>
      <c r="V134" s="42"/>
      <c r="W134" s="18"/>
      <c r="X134" s="18"/>
    </row>
    <row r="135" spans="1:26" x14ac:dyDescent="0.25">
      <c r="D135" s="18"/>
      <c r="E135" s="18"/>
      <c r="G135" s="18"/>
      <c r="H135" s="18"/>
      <c r="I135" s="18"/>
      <c r="J135" s="42"/>
      <c r="K135" s="18"/>
      <c r="L135" s="18"/>
      <c r="M135" s="18"/>
      <c r="P135" s="18"/>
      <c r="Q135" s="18"/>
      <c r="R135" s="42"/>
      <c r="S135" s="18"/>
      <c r="T135" s="18"/>
      <c r="U135" s="18"/>
      <c r="V135" s="42"/>
      <c r="W135" s="18"/>
      <c r="X135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","326", " - ", "2nd Street Store")</f>
        <v>Department 326 - 2nd Street Store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26933.38</v>
      </c>
      <c r="E12" s="4"/>
      <c r="F12" s="12"/>
      <c r="G12" s="4"/>
      <c r="H12" s="4">
        <f>SUM(OSRRefH13x_0)</f>
        <v>49113.391040000002</v>
      </c>
      <c r="I12" s="4"/>
      <c r="J12" s="12"/>
      <c r="K12" s="4"/>
      <c r="L12" s="4">
        <f t="shared" ref="L12:L33" si="0">+D12-H12</f>
        <v>-22180.011040000001</v>
      </c>
      <c r="M12" s="4"/>
      <c r="N12" s="12">
        <f t="shared" ref="N12:N33" si="1">IF(H12=0,0,L12/H12)</f>
        <v>-0.45160821866149847</v>
      </c>
      <c r="O12" s="10"/>
      <c r="P12" s="4">
        <f>SUM(OSRRefP13x_0)</f>
        <v>429840.87</v>
      </c>
      <c r="Q12" s="4"/>
      <c r="R12" s="12"/>
      <c r="S12" s="4"/>
      <c r="T12" s="4">
        <f>SUM(OSRRefT13x_0)</f>
        <v>419120.99818</v>
      </c>
      <c r="U12" s="4"/>
      <c r="V12" s="12"/>
      <c r="W12" s="4"/>
      <c r="X12" s="4">
        <f t="shared" ref="X12:X33" si="2">+P12-T12</f>
        <v>10719.87182</v>
      </c>
      <c r="Y12" s="4"/>
      <c r="Z12" s="12">
        <f t="shared" ref="Z12:Z33" si="3">IF(T12=0,0,X12/T12)</f>
        <v>2.5577033521465641E-2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49113.391040000002</v>
      </c>
      <c r="I13" s="2"/>
      <c r="J13" s="19"/>
      <c r="K13" s="2"/>
      <c r="L13" s="2">
        <f t="shared" si="0"/>
        <v>-49113.391040000002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419120.99818</v>
      </c>
      <c r="U13" s="2"/>
      <c r="V13" s="19"/>
      <c r="W13" s="2"/>
      <c r="X13" s="2">
        <f t="shared" si="2"/>
        <v>-419120.99818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"4025", " - ", "TAXABLE SALES-TEST FORMS")</f>
        <v xml:space="preserve">          4025 - TAXABLE SALES-TEST FORMS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--13.62</f>
        <v>13.62</v>
      </c>
      <c r="Q14" s="2"/>
      <c r="R14" s="19"/>
      <c r="S14" s="2"/>
      <c r="T14" s="2"/>
      <c r="U14" s="2"/>
      <c r="V14" s="19"/>
      <c r="W14" s="2"/>
      <c r="X14" s="2">
        <f t="shared" si="2"/>
        <v>13.62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>--4.44</f>
        <v>4.4400000000000004</v>
      </c>
      <c r="E15" s="2"/>
      <c r="F15" s="19"/>
      <c r="G15" s="2"/>
      <c r="H15" s="2"/>
      <c r="I15" s="2"/>
      <c r="J15" s="19"/>
      <c r="K15" s="2"/>
      <c r="L15" s="2">
        <f t="shared" si="0"/>
        <v>4.4400000000000004</v>
      </c>
      <c r="M15" s="2"/>
      <c r="N15" s="19">
        <f t="shared" si="1"/>
        <v>0</v>
      </c>
      <c r="O15" s="11"/>
      <c r="P15" s="2">
        <f>--229.51</f>
        <v>229.51</v>
      </c>
      <c r="Q15" s="2"/>
      <c r="R15" s="19"/>
      <c r="S15" s="2"/>
      <c r="T15" s="2"/>
      <c r="U15" s="2"/>
      <c r="V15" s="19"/>
      <c r="W15" s="2"/>
      <c r="X15" s="2">
        <f t="shared" si="2"/>
        <v>229.51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--161.59</f>
        <v>161.59</v>
      </c>
      <c r="Q16" s="2"/>
      <c r="R16" s="19"/>
      <c r="S16" s="2"/>
      <c r="T16" s="2"/>
      <c r="U16" s="2"/>
      <c r="V16" s="19"/>
      <c r="W16" s="2"/>
      <c r="X16" s="2">
        <f t="shared" si="2"/>
        <v>161.59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"4040", " - ", "TAXABLE SALES-LOGO CLOTHING")</f>
        <v xml:space="preserve">          4040 - TAXABLE SALES-LOGO CLOTHING</v>
      </c>
      <c r="C17" s="11"/>
      <c r="D17" s="2">
        <f>--22909.58</f>
        <v>22909.58</v>
      </c>
      <c r="E17" s="2"/>
      <c r="F17" s="19"/>
      <c r="G17" s="2"/>
      <c r="H17" s="2"/>
      <c r="I17" s="2"/>
      <c r="J17" s="19"/>
      <c r="K17" s="2"/>
      <c r="L17" s="2">
        <f t="shared" si="0"/>
        <v>22909.58</v>
      </c>
      <c r="M17" s="2"/>
      <c r="N17" s="19">
        <f t="shared" si="1"/>
        <v>0</v>
      </c>
      <c r="O17" s="11"/>
      <c r="P17" s="2">
        <f>--361873.67</f>
        <v>361873.67</v>
      </c>
      <c r="Q17" s="2"/>
      <c r="R17" s="19"/>
      <c r="S17" s="2"/>
      <c r="T17" s="2"/>
      <c r="U17" s="2"/>
      <c r="V17" s="19"/>
      <c r="W17" s="2"/>
      <c r="X17" s="2">
        <f t="shared" si="2"/>
        <v>361873.67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"4041", " - ", "TAXABLE SALES-LOGO GIFTS")</f>
        <v xml:space="preserve">          4041 - TAXABLE SALES-LOGO GIFTS</v>
      </c>
      <c r="C18" s="11"/>
      <c r="D18" s="2">
        <f>--3624.21</f>
        <v>3624.21</v>
      </c>
      <c r="E18" s="2"/>
      <c r="F18" s="19"/>
      <c r="G18" s="2"/>
      <c r="H18" s="2"/>
      <c r="I18" s="2"/>
      <c r="J18" s="19"/>
      <c r="K18" s="2"/>
      <c r="L18" s="2">
        <f t="shared" si="0"/>
        <v>3624.21</v>
      </c>
      <c r="M18" s="2"/>
      <c r="N18" s="19">
        <f t="shared" si="1"/>
        <v>0</v>
      </c>
      <c r="O18" s="11"/>
      <c r="P18" s="2">
        <f>--48550.34</f>
        <v>48550.34</v>
      </c>
      <c r="Q18" s="2"/>
      <c r="R18" s="19"/>
      <c r="S18" s="2"/>
      <c r="T18" s="2"/>
      <c r="U18" s="2"/>
      <c r="V18" s="19"/>
      <c r="W18" s="2"/>
      <c r="X18" s="2">
        <f t="shared" si="2"/>
        <v>48550.34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"4042", " - ", "TAXABLE SALES-EVERYDAY GIFTS")</f>
        <v xml:space="preserve">          4042 - TAXABLE SALES-EVERYDAY GIFTS</v>
      </c>
      <c r="C19" s="11"/>
      <c r="D19" s="2">
        <f>--973.42</f>
        <v>973.42</v>
      </c>
      <c r="E19" s="2"/>
      <c r="F19" s="19"/>
      <c r="G19" s="2"/>
      <c r="H19" s="2"/>
      <c r="I19" s="2"/>
      <c r="J19" s="19"/>
      <c r="K19" s="2"/>
      <c r="L19" s="2">
        <f t="shared" si="0"/>
        <v>973.42</v>
      </c>
      <c r="M19" s="2"/>
      <c r="N19" s="19">
        <f t="shared" si="1"/>
        <v>0</v>
      </c>
      <c r="O19" s="11"/>
      <c r="P19" s="2">
        <f>--30701.57</f>
        <v>30701.57</v>
      </c>
      <c r="Q19" s="2"/>
      <c r="R19" s="19"/>
      <c r="S19" s="2"/>
      <c r="T19" s="2"/>
      <c r="U19" s="2"/>
      <c r="V19" s="19"/>
      <c r="W19" s="2"/>
      <c r="X19" s="2">
        <f t="shared" si="2"/>
        <v>30701.57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"4043", " - ", "TAXABLE SALES-CARDS")</f>
        <v xml:space="preserve">          4043 - TAXABLE SALES-CARDS</v>
      </c>
      <c r="C20" s="11"/>
      <c r="D20" s="2">
        <f>--29.97</f>
        <v>29.97</v>
      </c>
      <c r="E20" s="2"/>
      <c r="F20" s="19"/>
      <c r="G20" s="2"/>
      <c r="H20" s="2"/>
      <c r="I20" s="2"/>
      <c r="J20" s="19"/>
      <c r="K20" s="2"/>
      <c r="L20" s="2">
        <f t="shared" si="0"/>
        <v>29.97</v>
      </c>
      <c r="M20" s="2"/>
      <c r="N20" s="19">
        <f t="shared" si="1"/>
        <v>0</v>
      </c>
      <c r="O20" s="11"/>
      <c r="P20" s="2">
        <f>--1544.02</f>
        <v>1544.02</v>
      </c>
      <c r="Q20" s="2"/>
      <c r="R20" s="19"/>
      <c r="S20" s="2"/>
      <c r="T20" s="2"/>
      <c r="U20" s="2"/>
      <c r="V20" s="19"/>
      <c r="W20" s="2"/>
      <c r="X20" s="2">
        <f t="shared" si="2"/>
        <v>1544.02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"4044", " - ", "TAXABLE SALES-ACCESSORIES")</f>
        <v xml:space="preserve">          4044 - TAXABLE SALES-ACCESSORIES</v>
      </c>
      <c r="C21" s="11"/>
      <c r="D21" s="2">
        <f>--240.45</f>
        <v>240.45</v>
      </c>
      <c r="E21" s="2"/>
      <c r="F21" s="19"/>
      <c r="G21" s="2"/>
      <c r="H21" s="2"/>
      <c r="I21" s="2"/>
      <c r="J21" s="19"/>
      <c r="K21" s="2"/>
      <c r="L21" s="2">
        <f t="shared" si="0"/>
        <v>240.45</v>
      </c>
      <c r="M21" s="2"/>
      <c r="N21" s="19">
        <f t="shared" si="1"/>
        <v>0</v>
      </c>
      <c r="O21" s="11"/>
      <c r="P21" s="2">
        <f>--4101.55</f>
        <v>4101.55</v>
      </c>
      <c r="Q21" s="2"/>
      <c r="R21" s="19"/>
      <c r="S21" s="2"/>
      <c r="T21" s="2"/>
      <c r="U21" s="2"/>
      <c r="V21" s="19"/>
      <c r="W21" s="2"/>
      <c r="X21" s="2">
        <f t="shared" si="2"/>
        <v>4101.55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"4045", " - ", "TAXABLE SALES-SPECIAL ORDERS")</f>
        <v xml:space="preserve">          4045 - TAXABLE SALES-SPECIAL ORDERS</v>
      </c>
      <c r="C22" s="11"/>
      <c r="D22" s="2">
        <f t="shared" ref="D22:D24" si="5">0</f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--467.6</f>
        <v>467.6</v>
      </c>
      <c r="Q22" s="2"/>
      <c r="R22" s="19"/>
      <c r="S22" s="2"/>
      <c r="T22" s="2"/>
      <c r="U22" s="2"/>
      <c r="V22" s="19"/>
      <c r="W22" s="2"/>
      <c r="X22" s="2">
        <f t="shared" si="2"/>
        <v>467.6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"4092", " - ", "TAXABLE SALES-GRAD MERCH")</f>
        <v xml:space="preserve">          4092 - TAXABLE SALES-GRAD MERCH</v>
      </c>
      <c r="C23" s="11"/>
      <c r="D23" s="2">
        <f t="shared" si="5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-39.95</f>
        <v>-39.950000000000003</v>
      </c>
      <c r="Q23" s="2"/>
      <c r="R23" s="19"/>
      <c r="S23" s="2"/>
      <c r="T23" s="2"/>
      <c r="U23" s="2"/>
      <c r="V23" s="19"/>
      <c r="W23" s="2"/>
      <c r="X23" s="2">
        <f t="shared" si="2"/>
        <v>-39.950000000000003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"4095", " - ", "TAXABLE SALES-CUSTOMER SERVICE")</f>
        <v xml:space="preserve">          4095 - TAXABLE SALES-CUSTOMER SERVICE</v>
      </c>
      <c r="C24" s="11"/>
      <c r="D24" s="2">
        <f t="shared" si="5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--29.7</f>
        <v>29.7</v>
      </c>
      <c r="Q24" s="2"/>
      <c r="R24" s="19"/>
      <c r="S24" s="2"/>
      <c r="T24" s="2"/>
      <c r="U24" s="2"/>
      <c r="V24" s="19"/>
      <c r="W24" s="2"/>
      <c r="X24" s="2">
        <f t="shared" si="2"/>
        <v>29.7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"4137", " - ", "NON-TAXABLE SALES-WATER")</f>
        <v xml:space="preserve">          4137 - NON-TAXABLE SALES-WATER</v>
      </c>
      <c r="C25" s="11"/>
      <c r="D25" s="2">
        <f>--7.5</f>
        <v>7.5</v>
      </c>
      <c r="E25" s="2"/>
      <c r="F25" s="19"/>
      <c r="G25" s="2"/>
      <c r="H25" s="2"/>
      <c r="I25" s="2"/>
      <c r="J25" s="19"/>
      <c r="K25" s="2"/>
      <c r="L25" s="2">
        <f t="shared" si="0"/>
        <v>7.5</v>
      </c>
      <c r="M25" s="2"/>
      <c r="N25" s="19">
        <f t="shared" si="1"/>
        <v>0</v>
      </c>
      <c r="O25" s="11"/>
      <c r="P25" s="2">
        <f>--123</f>
        <v>123</v>
      </c>
      <c r="Q25" s="2"/>
      <c r="R25" s="19"/>
      <c r="S25" s="2"/>
      <c r="T25" s="2"/>
      <c r="U25" s="2"/>
      <c r="V25" s="19"/>
      <c r="W25" s="2"/>
      <c r="X25" s="2">
        <f t="shared" si="2"/>
        <v>123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"4142", " - ", "NON-TAXABLE SALES-EVERYDAY GIF")</f>
        <v xml:space="preserve">          4142 - NON-TAXABLE SALES-EVERYDAY GIF</v>
      </c>
      <c r="C26" s="11"/>
      <c r="D26" s="2">
        <f>--14.54</f>
        <v>14.54</v>
      </c>
      <c r="E26" s="2"/>
      <c r="F26" s="19"/>
      <c r="G26" s="2"/>
      <c r="H26" s="2"/>
      <c r="I26" s="2"/>
      <c r="J26" s="19"/>
      <c r="K26" s="2"/>
      <c r="L26" s="2">
        <f t="shared" si="0"/>
        <v>14.54</v>
      </c>
      <c r="M26" s="2"/>
      <c r="N26" s="19">
        <f t="shared" si="1"/>
        <v>0</v>
      </c>
      <c r="O26" s="11"/>
      <c r="P26" s="2">
        <f>--591.86</f>
        <v>591.86</v>
      </c>
      <c r="Q26" s="2"/>
      <c r="R26" s="19"/>
      <c r="S26" s="2"/>
      <c r="T26" s="2"/>
      <c r="U26" s="2"/>
      <c r="V26" s="19"/>
      <c r="W26" s="2"/>
      <c r="X26" s="2">
        <f t="shared" si="2"/>
        <v>591.86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"4226", " - ", "SALES RETURN TAXABLE-WRITING I")</f>
        <v xml:space="preserve">          4226 - SALES RETURN TAXABLE-WRITING I</v>
      </c>
      <c r="C27" s="11"/>
      <c r="D27" s="2">
        <f>0</f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-134.8</f>
        <v>-134.80000000000001</v>
      </c>
      <c r="Q27" s="2"/>
      <c r="R27" s="19"/>
      <c r="S27" s="2"/>
      <c r="T27" s="2"/>
      <c r="U27" s="2"/>
      <c r="V27" s="19"/>
      <c r="W27" s="2"/>
      <c r="X27" s="2">
        <f t="shared" si="2"/>
        <v>-134.80000000000001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"4240", " - ", "SALES RETURN TAXABLE-LOGO CLOT")</f>
        <v xml:space="preserve">          4240 - SALES RETURN TAXABLE-LOGO CLOT</v>
      </c>
      <c r="C28" s="11"/>
      <c r="D28" s="2">
        <f>-862.73</f>
        <v>-862.73</v>
      </c>
      <c r="E28" s="2"/>
      <c r="F28" s="19"/>
      <c r="G28" s="2"/>
      <c r="H28" s="2"/>
      <c r="I28" s="2"/>
      <c r="J28" s="19"/>
      <c r="K28" s="2"/>
      <c r="L28" s="2">
        <f t="shared" si="0"/>
        <v>-862.73</v>
      </c>
      <c r="M28" s="2"/>
      <c r="N28" s="19">
        <f t="shared" si="1"/>
        <v>0</v>
      </c>
      <c r="O28" s="11"/>
      <c r="P28" s="2">
        <f>-16122.19</f>
        <v>-16122.19</v>
      </c>
      <c r="Q28" s="2"/>
      <c r="R28" s="19"/>
      <c r="S28" s="2"/>
      <c r="T28" s="2"/>
      <c r="U28" s="2"/>
      <c r="V28" s="19"/>
      <c r="W28" s="2"/>
      <c r="X28" s="2">
        <f t="shared" si="2"/>
        <v>-16122.19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"4241", " - ", "SALES RETURN TAXABLE-LOGO GIFT")</f>
        <v xml:space="preserve">          4241 - SALES RETURN TAXABLE-LOGO GIFT</v>
      </c>
      <c r="C29" s="11"/>
      <c r="D29" s="2">
        <f>-6.95</f>
        <v>-6.95</v>
      </c>
      <c r="E29" s="2"/>
      <c r="F29" s="19"/>
      <c r="G29" s="2"/>
      <c r="H29" s="2"/>
      <c r="I29" s="2"/>
      <c r="J29" s="19"/>
      <c r="K29" s="2"/>
      <c r="L29" s="2">
        <f t="shared" si="0"/>
        <v>-6.95</v>
      </c>
      <c r="M29" s="2"/>
      <c r="N29" s="19">
        <f t="shared" si="1"/>
        <v>0</v>
      </c>
      <c r="O29" s="11"/>
      <c r="P29" s="2">
        <f>-1260.11</f>
        <v>-1260.1099999999999</v>
      </c>
      <c r="Q29" s="2"/>
      <c r="R29" s="19"/>
      <c r="S29" s="2"/>
      <c r="T29" s="2"/>
      <c r="U29" s="2"/>
      <c r="V29" s="19"/>
      <c r="W29" s="2"/>
      <c r="X29" s="2">
        <f t="shared" si="2"/>
        <v>-1260.1099999999999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"4242", " - ", "SALES RETURN TAXABLE-EVERYDAY")</f>
        <v xml:space="preserve">          4242 - SALES RETURN TAXABLE-EVERYDAY</v>
      </c>
      <c r="C30" s="11"/>
      <c r="D30" s="2">
        <f>-1.05</f>
        <v>-1.05</v>
      </c>
      <c r="E30" s="2"/>
      <c r="F30" s="19"/>
      <c r="G30" s="2"/>
      <c r="H30" s="2"/>
      <c r="I30" s="2"/>
      <c r="J30" s="19"/>
      <c r="K30" s="2"/>
      <c r="L30" s="2">
        <f t="shared" si="0"/>
        <v>-1.05</v>
      </c>
      <c r="M30" s="2"/>
      <c r="N30" s="19">
        <f t="shared" si="1"/>
        <v>0</v>
      </c>
      <c r="O30" s="11"/>
      <c r="P30" s="2">
        <f>-850.31</f>
        <v>-850.31</v>
      </c>
      <c r="Q30" s="2"/>
      <c r="R30" s="19"/>
      <c r="S30" s="2"/>
      <c r="T30" s="2"/>
      <c r="U30" s="2"/>
      <c r="V30" s="19"/>
      <c r="W30" s="2"/>
      <c r="X30" s="2">
        <f t="shared" si="2"/>
        <v>-850.31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"4244", " - ", "SALES RETURN TAXABLE-ACCESSORI")</f>
        <v xml:space="preserve">          4244 - SALES RETURN TAXABLE-ACCESSORI</v>
      </c>
      <c r="C31" s="11"/>
      <c r="D31" s="2">
        <f t="shared" ref="D31:D33" si="6">0</f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-130.8</f>
        <v>-130.80000000000001</v>
      </c>
      <c r="Q31" s="2"/>
      <c r="R31" s="19"/>
      <c r="S31" s="2"/>
      <c r="T31" s="2"/>
      <c r="U31" s="2"/>
      <c r="V31" s="19"/>
      <c r="W31" s="2"/>
      <c r="X31" s="2">
        <f t="shared" si="2"/>
        <v>-130.80000000000001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"4245", " - ", "SALES RETURN TAXABLE-SPECIAL O")</f>
        <v xml:space="preserve">          4245 - SALES RETURN TAXABLE-SPECIAL O</v>
      </c>
      <c r="C32" s="11"/>
      <c r="D32" s="2">
        <f t="shared" si="6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-9.99</f>
        <v>-9.99</v>
      </c>
      <c r="Q32" s="2"/>
      <c r="R32" s="19"/>
      <c r="S32" s="2"/>
      <c r="T32" s="2"/>
      <c r="U32" s="2"/>
      <c r="V32" s="19"/>
      <c r="W32" s="2"/>
      <c r="X32" s="2">
        <f t="shared" si="2"/>
        <v>-9.99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"4295", " - ", "SALES RETURN TAXABLE-CUSTOMER")</f>
        <v xml:space="preserve">          4295 - SALES RETURN TAXABLE-CUSTOMER</v>
      </c>
      <c r="C33" s="11"/>
      <c r="D33" s="2">
        <f t="shared" si="6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--0.99</f>
        <v>0.99</v>
      </c>
      <c r="Q33" s="2"/>
      <c r="R33" s="19"/>
      <c r="S33" s="2"/>
      <c r="T33" s="2"/>
      <c r="U33" s="2"/>
      <c r="V33" s="19"/>
      <c r="W33" s="2"/>
      <c r="X33" s="2">
        <f t="shared" si="2"/>
        <v>0.99</v>
      </c>
      <c r="Y33" s="2"/>
      <c r="Z33" s="19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9" t="s">
        <v>8</v>
      </c>
      <c r="C35" s="10"/>
      <c r="D35" s="4">
        <f>SUM(OSRRefD16x_0)</f>
        <v>11524.12</v>
      </c>
      <c r="E35" s="4"/>
      <c r="F35" s="12">
        <f t="shared" ref="F35:F52" si="7">IF(D$12=0,0,D35/D$12)</f>
        <v>0.42787500120668109</v>
      </c>
      <c r="G35" s="4"/>
      <c r="H35" s="4">
        <f>SUM(OSRRefH16x_0)</f>
        <v>20823.732770000002</v>
      </c>
      <c r="I35" s="4"/>
      <c r="J35" s="12">
        <f t="shared" ref="J35:J52" si="8">IF(H$12=0,0,H35/H$12)</f>
        <v>0.42399297480885167</v>
      </c>
      <c r="K35" s="4"/>
      <c r="L35" s="4">
        <f t="shared" ref="L35:L52" si="9">+D35-H35</f>
        <v>-9299.6127700000015</v>
      </c>
      <c r="M35" s="4"/>
      <c r="N35" s="12">
        <f t="shared" ref="N35:N52" si="10">IF(H35=0,0,L35/H35)</f>
        <v>-0.44658721242320287</v>
      </c>
      <c r="O35" s="10"/>
      <c r="P35" s="4">
        <f>SUM(OSRRefP16x_0)</f>
        <v>183317.93000000002</v>
      </c>
      <c r="Q35" s="4"/>
      <c r="R35" s="12">
        <f t="shared" ref="R35:R52" si="11">IF(P$12=0,0,P35/P$12)</f>
        <v>0.42647859427606322</v>
      </c>
      <c r="S35" s="4"/>
      <c r="T35" s="4">
        <f>SUM(OSRRefT16x_0)</f>
        <v>178874.01700000002</v>
      </c>
      <c r="U35" s="4"/>
      <c r="V35" s="12">
        <f t="shared" ref="V35:V52" si="12">IF(T$12=0,0,T35/T$12)</f>
        <v>0.42678371586426445</v>
      </c>
      <c r="W35" s="4"/>
      <c r="X35" s="4">
        <f t="shared" ref="X35:X52" si="13">+P35-T35</f>
        <v>4443.9130000000005</v>
      </c>
      <c r="Y35" s="4"/>
      <c r="Z35" s="12">
        <f t="shared" ref="Z35:Z52" si="14">IF(T35=0,0,X35/T35)</f>
        <v>2.4843815074606392E-2</v>
      </c>
    </row>
    <row r="36" spans="1:26" s="24" customFormat="1" hidden="1" outlineLevel="1" x14ac:dyDescent="0.25">
      <c r="A36" s="44"/>
      <c r="B36" s="11" t="str">
        <f>CONCATENATE("          ", "5000", " - ", "PURCHASES @ COST")</f>
        <v xml:space="preserve">          5000 - PURCHASES @ COST</v>
      </c>
      <c r="C36" s="11"/>
      <c r="D36" s="2"/>
      <c r="E36" s="2"/>
      <c r="F36" s="19">
        <f t="shared" si="7"/>
        <v>0</v>
      </c>
      <c r="G36" s="2"/>
      <c r="H36" s="2">
        <v>20823.732770000002</v>
      </c>
      <c r="I36" s="2"/>
      <c r="J36" s="19">
        <f t="shared" si="8"/>
        <v>0.42399297480885167</v>
      </c>
      <c r="K36" s="2"/>
      <c r="L36" s="2">
        <f t="shared" si="9"/>
        <v>-20823.732770000002</v>
      </c>
      <c r="M36" s="2"/>
      <c r="N36" s="19">
        <f t="shared" si="10"/>
        <v>-1</v>
      </c>
      <c r="O36" s="11"/>
      <c r="P36" s="2"/>
      <c r="Q36" s="2"/>
      <c r="R36" s="19">
        <f t="shared" si="11"/>
        <v>0</v>
      </c>
      <c r="S36" s="2"/>
      <c r="T36" s="2">
        <v>178874.01700000002</v>
      </c>
      <c r="U36" s="2"/>
      <c r="V36" s="19">
        <f t="shared" si="12"/>
        <v>0.42678371586426445</v>
      </c>
      <c r="W36" s="2"/>
      <c r="X36" s="2">
        <f t="shared" si="13"/>
        <v>-178874.01700000002</v>
      </c>
      <c r="Y36" s="2"/>
      <c r="Z36" s="19">
        <f t="shared" si="14"/>
        <v>-1</v>
      </c>
    </row>
    <row r="37" spans="1:26" s="24" customFormat="1" hidden="1" outlineLevel="1" x14ac:dyDescent="0.25">
      <c r="A37" s="44"/>
      <c r="B37" s="11" t="str">
        <f>CONCATENATE("          ", "5025", " - ", "PURCHASES @ COST-TEST FORMS")</f>
        <v xml:space="preserve">          5025 - PURCHASES @ COST-TEST FORMS</v>
      </c>
      <c r="C37" s="11"/>
      <c r="D37" s="2"/>
      <c r="E37" s="2"/>
      <c r="F37" s="19">
        <f t="shared" si="7"/>
        <v>0</v>
      </c>
      <c r="G37" s="2"/>
      <c r="H37" s="2"/>
      <c r="I37" s="2"/>
      <c r="J37" s="19">
        <f t="shared" si="8"/>
        <v>0</v>
      </c>
      <c r="K37" s="2"/>
      <c r="L37" s="2">
        <f t="shared" si="9"/>
        <v>0</v>
      </c>
      <c r="M37" s="2"/>
      <c r="N37" s="19">
        <f t="shared" si="10"/>
        <v>0</v>
      </c>
      <c r="O37" s="11"/>
      <c r="P37" s="2">
        <v>6.06</v>
      </c>
      <c r="Q37" s="2"/>
      <c r="R37" s="19">
        <f t="shared" si="11"/>
        <v>1.4098240588429853E-5</v>
      </c>
      <c r="S37" s="2"/>
      <c r="T37" s="2"/>
      <c r="U37" s="2"/>
      <c r="V37" s="19">
        <f t="shared" si="12"/>
        <v>0</v>
      </c>
      <c r="W37" s="2"/>
      <c r="X37" s="2">
        <f t="shared" si="13"/>
        <v>6.06</v>
      </c>
      <c r="Y37" s="2"/>
      <c r="Z37" s="19">
        <f t="shared" si="14"/>
        <v>0</v>
      </c>
    </row>
    <row r="38" spans="1:26" s="24" customFormat="1" hidden="1" outlineLevel="1" x14ac:dyDescent="0.25">
      <c r="A38" s="44"/>
      <c r="B38" s="11" t="str">
        <f>CONCATENATE("          ", "5026", " - ", "PURCHASES @ COST-WRITING INSTR")</f>
        <v xml:space="preserve">          5026 - PURCHASES @ COST-WRITING INSTR</v>
      </c>
      <c r="C38" s="11"/>
      <c r="D38" s="2"/>
      <c r="E38" s="2"/>
      <c r="F38" s="19">
        <f t="shared" si="7"/>
        <v>0</v>
      </c>
      <c r="G38" s="2"/>
      <c r="H38" s="2"/>
      <c r="I38" s="2"/>
      <c r="J38" s="19">
        <f t="shared" si="8"/>
        <v>0</v>
      </c>
      <c r="K38" s="2"/>
      <c r="L38" s="2">
        <f t="shared" si="9"/>
        <v>0</v>
      </c>
      <c r="M38" s="2"/>
      <c r="N38" s="19">
        <f t="shared" si="10"/>
        <v>0</v>
      </c>
      <c r="O38" s="11"/>
      <c r="P38" s="2">
        <v>1198.07</v>
      </c>
      <c r="Q38" s="2"/>
      <c r="R38" s="19">
        <f t="shared" si="11"/>
        <v>2.7872407758713124E-3</v>
      </c>
      <c r="S38" s="2"/>
      <c r="T38" s="2"/>
      <c r="U38" s="2"/>
      <c r="V38" s="19">
        <f t="shared" si="12"/>
        <v>0</v>
      </c>
      <c r="W38" s="2"/>
      <c r="X38" s="2">
        <f t="shared" si="13"/>
        <v>1198.07</v>
      </c>
      <c r="Y38" s="2"/>
      <c r="Z38" s="19">
        <f t="shared" si="14"/>
        <v>0</v>
      </c>
    </row>
    <row r="39" spans="1:26" s="24" customFormat="1" hidden="1" outlineLevel="1" x14ac:dyDescent="0.25">
      <c r="A39" s="44"/>
      <c r="B39" s="11" t="str">
        <f>CONCATENATE("          ", "5027", " - ", "PURCHASES @ COST-SCHOOL SUPPLI")</f>
        <v xml:space="preserve">          5027 - PURCHASES @ COST-SCHOOL SUPPLI</v>
      </c>
      <c r="C39" s="11"/>
      <c r="D39" s="2"/>
      <c r="E39" s="2"/>
      <c r="F39" s="19">
        <f t="shared" si="7"/>
        <v>0</v>
      </c>
      <c r="G39" s="2"/>
      <c r="H39" s="2"/>
      <c r="I39" s="2"/>
      <c r="J39" s="19">
        <f t="shared" si="8"/>
        <v>0</v>
      </c>
      <c r="K39" s="2"/>
      <c r="L39" s="2">
        <f t="shared" si="9"/>
        <v>0</v>
      </c>
      <c r="M39" s="2"/>
      <c r="N39" s="19">
        <f t="shared" si="10"/>
        <v>0</v>
      </c>
      <c r="O39" s="11"/>
      <c r="P39" s="2">
        <v>325.45</v>
      </c>
      <c r="Q39" s="2"/>
      <c r="R39" s="19">
        <f t="shared" si="11"/>
        <v>7.5714065998424022E-4</v>
      </c>
      <c r="S39" s="2"/>
      <c r="T39" s="2"/>
      <c r="U39" s="2"/>
      <c r="V39" s="19">
        <f t="shared" si="12"/>
        <v>0</v>
      </c>
      <c r="W39" s="2"/>
      <c r="X39" s="2">
        <f t="shared" si="13"/>
        <v>325.45</v>
      </c>
      <c r="Y39" s="2"/>
      <c r="Z39" s="19">
        <f t="shared" si="14"/>
        <v>0</v>
      </c>
    </row>
    <row r="40" spans="1:26" s="24" customFormat="1" hidden="1" outlineLevel="1" x14ac:dyDescent="0.25">
      <c r="A40" s="44"/>
      <c r="B40" s="11" t="str">
        <f>CONCATENATE("          ", "5037", " - ", "PURCHASES @ COST-WATER")</f>
        <v xml:space="preserve">          5037 - PURCHASES @ COST-WATER</v>
      </c>
      <c r="C40" s="11"/>
      <c r="D40" s="2"/>
      <c r="E40" s="2"/>
      <c r="F40" s="19">
        <f t="shared" si="7"/>
        <v>0</v>
      </c>
      <c r="G40" s="2"/>
      <c r="H40" s="2"/>
      <c r="I40" s="2"/>
      <c r="J40" s="19">
        <f t="shared" si="8"/>
        <v>0</v>
      </c>
      <c r="K40" s="2"/>
      <c r="L40" s="2">
        <f t="shared" si="9"/>
        <v>0</v>
      </c>
      <c r="M40" s="2"/>
      <c r="N40" s="19">
        <f t="shared" si="10"/>
        <v>0</v>
      </c>
      <c r="O40" s="11"/>
      <c r="P40" s="2">
        <v>29.76</v>
      </c>
      <c r="Q40" s="2"/>
      <c r="R40" s="19">
        <f t="shared" si="11"/>
        <v>6.9234924077833738E-5</v>
      </c>
      <c r="S40" s="2"/>
      <c r="T40" s="2"/>
      <c r="U40" s="2"/>
      <c r="V40" s="19">
        <f t="shared" si="12"/>
        <v>0</v>
      </c>
      <c r="W40" s="2"/>
      <c r="X40" s="2">
        <f t="shared" si="13"/>
        <v>29.76</v>
      </c>
      <c r="Y40" s="2"/>
      <c r="Z40" s="19">
        <f t="shared" si="14"/>
        <v>0</v>
      </c>
    </row>
    <row r="41" spans="1:26" s="24" customFormat="1" hidden="1" outlineLevel="1" x14ac:dyDescent="0.25">
      <c r="A41" s="44"/>
      <c r="B41" s="11" t="str">
        <f>CONCATENATE("          ", "5040", " - ", "PURCHASES @ COST-LOGO CLOTHING")</f>
        <v xml:space="preserve">          5040 - PURCHASES @ COST-LOGO CLOTHING</v>
      </c>
      <c r="C41" s="11"/>
      <c r="D41" s="2">
        <v>5279.63</v>
      </c>
      <c r="E41" s="2"/>
      <c r="F41" s="19">
        <f t="shared" si="7"/>
        <v>0.19602552668844386</v>
      </c>
      <c r="G41" s="2"/>
      <c r="H41" s="2"/>
      <c r="I41" s="2"/>
      <c r="J41" s="19">
        <f t="shared" si="8"/>
        <v>0</v>
      </c>
      <c r="K41" s="2"/>
      <c r="L41" s="2">
        <f t="shared" si="9"/>
        <v>5279.63</v>
      </c>
      <c r="M41" s="2"/>
      <c r="N41" s="19">
        <f t="shared" si="10"/>
        <v>0</v>
      </c>
      <c r="O41" s="11"/>
      <c r="P41" s="2">
        <v>195724.82</v>
      </c>
      <c r="Q41" s="2"/>
      <c r="R41" s="19">
        <f t="shared" si="11"/>
        <v>0.4553425084962256</v>
      </c>
      <c r="S41" s="2"/>
      <c r="T41" s="2"/>
      <c r="U41" s="2"/>
      <c r="V41" s="19">
        <f t="shared" si="12"/>
        <v>0</v>
      </c>
      <c r="W41" s="2"/>
      <c r="X41" s="2">
        <f t="shared" si="13"/>
        <v>195724.82</v>
      </c>
      <c r="Y41" s="2"/>
      <c r="Z41" s="19">
        <f t="shared" si="14"/>
        <v>0</v>
      </c>
    </row>
    <row r="42" spans="1:26" s="24" customFormat="1" hidden="1" outlineLevel="1" x14ac:dyDescent="0.25">
      <c r="A42" s="44"/>
      <c r="B42" s="11" t="str">
        <f>CONCATENATE("          ", "5041", " - ", "PURCHASES @ COST-LOGO GIFTS")</f>
        <v xml:space="preserve">          5041 - PURCHASES @ COST-LOGO GIFTS</v>
      </c>
      <c r="C42" s="11"/>
      <c r="D42" s="2">
        <v>946.37</v>
      </c>
      <c r="E42" s="2"/>
      <c r="F42" s="19">
        <f t="shared" si="7"/>
        <v>3.5137439118298558E-2</v>
      </c>
      <c r="G42" s="2"/>
      <c r="H42" s="2"/>
      <c r="I42" s="2"/>
      <c r="J42" s="19">
        <f t="shared" si="8"/>
        <v>0</v>
      </c>
      <c r="K42" s="2"/>
      <c r="L42" s="2">
        <f t="shared" si="9"/>
        <v>946.37</v>
      </c>
      <c r="M42" s="2"/>
      <c r="N42" s="19">
        <f t="shared" si="10"/>
        <v>0</v>
      </c>
      <c r="O42" s="11"/>
      <c r="P42" s="2">
        <v>25927.26</v>
      </c>
      <c r="Q42" s="2"/>
      <c r="R42" s="19">
        <f t="shared" si="11"/>
        <v>6.0318275458543527E-2</v>
      </c>
      <c r="S42" s="2"/>
      <c r="T42" s="2"/>
      <c r="U42" s="2"/>
      <c r="V42" s="19">
        <f t="shared" si="12"/>
        <v>0</v>
      </c>
      <c r="W42" s="2"/>
      <c r="X42" s="2">
        <f t="shared" si="13"/>
        <v>25927.26</v>
      </c>
      <c r="Y42" s="2"/>
      <c r="Z42" s="19">
        <f t="shared" si="14"/>
        <v>0</v>
      </c>
    </row>
    <row r="43" spans="1:26" s="24" customFormat="1" hidden="1" outlineLevel="1" x14ac:dyDescent="0.25">
      <c r="A43" s="44"/>
      <c r="B43" s="11" t="str">
        <f>CONCATENATE("          ", "5042", " - ", "PURCHASES @ COST-EVERYDAY GIFT")</f>
        <v xml:space="preserve">          5042 - PURCHASES @ COST-EVERYDAY GIFT</v>
      </c>
      <c r="C43" s="11"/>
      <c r="D43" s="2">
        <v>967.68</v>
      </c>
      <c r="E43" s="2"/>
      <c r="F43" s="19">
        <f t="shared" si="7"/>
        <v>3.5928650618674667E-2</v>
      </c>
      <c r="G43" s="2"/>
      <c r="H43" s="2"/>
      <c r="I43" s="2"/>
      <c r="J43" s="19">
        <f t="shared" si="8"/>
        <v>0</v>
      </c>
      <c r="K43" s="2"/>
      <c r="L43" s="2">
        <f t="shared" si="9"/>
        <v>967.68</v>
      </c>
      <c r="M43" s="2"/>
      <c r="N43" s="19">
        <f t="shared" si="10"/>
        <v>0</v>
      </c>
      <c r="O43" s="11"/>
      <c r="P43" s="2">
        <v>20517.63</v>
      </c>
      <c r="Q43" s="2"/>
      <c r="R43" s="19">
        <f t="shared" si="11"/>
        <v>4.7733083175641261E-2</v>
      </c>
      <c r="S43" s="2"/>
      <c r="T43" s="2"/>
      <c r="U43" s="2"/>
      <c r="V43" s="19">
        <f t="shared" si="12"/>
        <v>0</v>
      </c>
      <c r="W43" s="2"/>
      <c r="X43" s="2">
        <f t="shared" si="13"/>
        <v>20517.63</v>
      </c>
      <c r="Y43" s="2"/>
      <c r="Z43" s="19">
        <f t="shared" si="14"/>
        <v>0</v>
      </c>
    </row>
    <row r="44" spans="1:26" s="24" customFormat="1" hidden="1" outlineLevel="1" x14ac:dyDescent="0.25">
      <c r="A44" s="44"/>
      <c r="B44" s="11" t="str">
        <f>CONCATENATE("          ", "5043", " - ", "PURCHASES @ COST-CARDS")</f>
        <v xml:space="preserve">          5043 - PURCHASES @ COST-CARDS</v>
      </c>
      <c r="C44" s="11"/>
      <c r="D44" s="2"/>
      <c r="E44" s="2"/>
      <c r="F44" s="19">
        <f t="shared" si="7"/>
        <v>0</v>
      </c>
      <c r="G44" s="2"/>
      <c r="H44" s="2"/>
      <c r="I44" s="2"/>
      <c r="J44" s="19">
        <f t="shared" si="8"/>
        <v>0</v>
      </c>
      <c r="K44" s="2"/>
      <c r="L44" s="2">
        <f t="shared" si="9"/>
        <v>0</v>
      </c>
      <c r="M44" s="2"/>
      <c r="N44" s="19">
        <f t="shared" si="10"/>
        <v>0</v>
      </c>
      <c r="O44" s="11"/>
      <c r="P44" s="2">
        <v>154.47</v>
      </c>
      <c r="Q44" s="2"/>
      <c r="R44" s="19">
        <f t="shared" si="11"/>
        <v>3.5936554846448173E-4</v>
      </c>
      <c r="S44" s="2"/>
      <c r="T44" s="2"/>
      <c r="U44" s="2"/>
      <c r="V44" s="19">
        <f t="shared" si="12"/>
        <v>0</v>
      </c>
      <c r="W44" s="2"/>
      <c r="X44" s="2">
        <f t="shared" si="13"/>
        <v>154.47</v>
      </c>
      <c r="Y44" s="2"/>
      <c r="Z44" s="19">
        <f t="shared" si="14"/>
        <v>0</v>
      </c>
    </row>
    <row r="45" spans="1:26" s="24" customFormat="1" hidden="1" outlineLevel="1" x14ac:dyDescent="0.25">
      <c r="A45" s="44"/>
      <c r="B45" s="11" t="str">
        <f>CONCATENATE("          ", "5044", " - ", "PURCHASES @ COST-ACCESSORIES")</f>
        <v xml:space="preserve">          5044 - PURCHASES @ COST-ACCESSORIES</v>
      </c>
      <c r="C45" s="11"/>
      <c r="D45" s="2">
        <v>80.930000000000007</v>
      </c>
      <c r="E45" s="2"/>
      <c r="F45" s="19">
        <f t="shared" si="7"/>
        <v>3.0048215262993357E-3</v>
      </c>
      <c r="G45" s="2"/>
      <c r="H45" s="2"/>
      <c r="I45" s="2"/>
      <c r="J45" s="19">
        <f t="shared" si="8"/>
        <v>0</v>
      </c>
      <c r="K45" s="2"/>
      <c r="L45" s="2">
        <f t="shared" si="9"/>
        <v>80.930000000000007</v>
      </c>
      <c r="M45" s="2"/>
      <c r="N45" s="19">
        <f t="shared" si="10"/>
        <v>0</v>
      </c>
      <c r="O45" s="11"/>
      <c r="P45" s="2">
        <v>-4381.05</v>
      </c>
      <c r="Q45" s="2"/>
      <c r="R45" s="19">
        <f t="shared" si="11"/>
        <v>-1.0192260219462146E-2</v>
      </c>
      <c r="S45" s="2"/>
      <c r="T45" s="2"/>
      <c r="U45" s="2"/>
      <c r="V45" s="19">
        <f t="shared" si="12"/>
        <v>0</v>
      </c>
      <c r="W45" s="2"/>
      <c r="X45" s="2">
        <f t="shared" si="13"/>
        <v>-4381.05</v>
      </c>
      <c r="Y45" s="2"/>
      <c r="Z45" s="19">
        <f t="shared" si="14"/>
        <v>0</v>
      </c>
    </row>
    <row r="46" spans="1:26" s="24" customFormat="1" hidden="1" outlineLevel="1" x14ac:dyDescent="0.25">
      <c r="A46" s="44"/>
      <c r="B46" s="11" t="str">
        <f>CONCATENATE("          ", "5045", " - ", "PURCHASES @ COST-SPECIAL ORDER")</f>
        <v xml:space="preserve">          5045 - PURCHASES @ COST-SPECIAL ORDER</v>
      </c>
      <c r="C46" s="11"/>
      <c r="D46" s="2"/>
      <c r="E46" s="2"/>
      <c r="F46" s="19">
        <f t="shared" si="7"/>
        <v>0</v>
      </c>
      <c r="G46" s="2"/>
      <c r="H46" s="2"/>
      <c r="I46" s="2"/>
      <c r="J46" s="19">
        <f t="shared" si="8"/>
        <v>0</v>
      </c>
      <c r="K46" s="2"/>
      <c r="L46" s="2">
        <f t="shared" si="9"/>
        <v>0</v>
      </c>
      <c r="M46" s="2"/>
      <c r="N46" s="19">
        <f t="shared" si="10"/>
        <v>0</v>
      </c>
      <c r="O46" s="11"/>
      <c r="P46" s="2">
        <v>-998.2</v>
      </c>
      <c r="Q46" s="2"/>
      <c r="R46" s="19">
        <f t="shared" si="11"/>
        <v>-2.3222547451106734E-3</v>
      </c>
      <c r="S46" s="2"/>
      <c r="T46" s="2"/>
      <c r="U46" s="2"/>
      <c r="V46" s="19">
        <f t="shared" si="12"/>
        <v>0</v>
      </c>
      <c r="W46" s="2"/>
      <c r="X46" s="2">
        <f t="shared" si="13"/>
        <v>-998.2</v>
      </c>
      <c r="Y46" s="2"/>
      <c r="Z46" s="19">
        <f t="shared" si="14"/>
        <v>0</v>
      </c>
    </row>
    <row r="47" spans="1:26" s="24" customFormat="1" hidden="1" outlineLevel="1" x14ac:dyDescent="0.25">
      <c r="A47" s="44"/>
      <c r="B47" s="11" t="str">
        <f>CONCATENATE("          ", "5083", " - ", "PURCHASES @ COST-COMPUTER EQUI")</f>
        <v xml:space="preserve">          5083 - PURCHASES @ COST-COMPUTER EQUI</v>
      </c>
      <c r="C47" s="11"/>
      <c r="D47" s="2"/>
      <c r="E47" s="2"/>
      <c r="F47" s="19">
        <f t="shared" si="7"/>
        <v>0</v>
      </c>
      <c r="G47" s="2"/>
      <c r="H47" s="2"/>
      <c r="I47" s="2"/>
      <c r="J47" s="19">
        <f t="shared" si="8"/>
        <v>0</v>
      </c>
      <c r="K47" s="2"/>
      <c r="L47" s="2">
        <f t="shared" si="9"/>
        <v>0</v>
      </c>
      <c r="M47" s="2"/>
      <c r="N47" s="19">
        <f t="shared" si="10"/>
        <v>0</v>
      </c>
      <c r="O47" s="11"/>
      <c r="P47" s="2">
        <v>90.35</v>
      </c>
      <c r="Q47" s="2"/>
      <c r="R47" s="19">
        <f t="shared" si="11"/>
        <v>2.1019406553871901E-4</v>
      </c>
      <c r="S47" s="2"/>
      <c r="T47" s="2"/>
      <c r="U47" s="2"/>
      <c r="V47" s="19">
        <f t="shared" si="12"/>
        <v>0</v>
      </c>
      <c r="W47" s="2"/>
      <c r="X47" s="2">
        <f t="shared" si="13"/>
        <v>90.35</v>
      </c>
      <c r="Y47" s="2"/>
      <c r="Z47" s="19">
        <f t="shared" si="14"/>
        <v>0</v>
      </c>
    </row>
    <row r="48" spans="1:26" s="24" customFormat="1" hidden="1" outlineLevel="1" x14ac:dyDescent="0.25">
      <c r="A48" s="44"/>
      <c r="B48" s="11" t="str">
        <f>CONCATENATE("          ", "5092", " - ", "PURCHASES @ COST-GRAD MERCH")</f>
        <v xml:space="preserve">          5092 - PURCHASES @ COST-GRAD MERCH</v>
      </c>
      <c r="C48" s="11"/>
      <c r="D48" s="2"/>
      <c r="E48" s="2"/>
      <c r="F48" s="19">
        <f t="shared" si="7"/>
        <v>0</v>
      </c>
      <c r="G48" s="2"/>
      <c r="H48" s="2"/>
      <c r="I48" s="2"/>
      <c r="J48" s="19">
        <f t="shared" si="8"/>
        <v>0</v>
      </c>
      <c r="K48" s="2"/>
      <c r="L48" s="2">
        <f t="shared" si="9"/>
        <v>0</v>
      </c>
      <c r="M48" s="2"/>
      <c r="N48" s="19">
        <f t="shared" si="10"/>
        <v>0</v>
      </c>
      <c r="O48" s="11"/>
      <c r="P48" s="2">
        <v>-60.35</v>
      </c>
      <c r="Q48" s="2"/>
      <c r="R48" s="19">
        <f t="shared" si="11"/>
        <v>-1.4040079529896728E-4</v>
      </c>
      <c r="S48" s="2"/>
      <c r="T48" s="2"/>
      <c r="U48" s="2"/>
      <c r="V48" s="19">
        <f t="shared" si="12"/>
        <v>0</v>
      </c>
      <c r="W48" s="2"/>
      <c r="X48" s="2">
        <f t="shared" si="13"/>
        <v>-60.35</v>
      </c>
      <c r="Y48" s="2"/>
      <c r="Z48" s="19">
        <f t="shared" si="14"/>
        <v>0</v>
      </c>
    </row>
    <row r="49" spans="1:26" s="24" customFormat="1" hidden="1" outlineLevel="1" x14ac:dyDescent="0.25">
      <c r="A49" s="44"/>
      <c r="B49" s="11" t="str">
        <f>CONCATENATE("          ", "5095", " - ", "PURCHASES @ COST-CUSTOMER SERV")</f>
        <v xml:space="preserve">          5095 - PURCHASES @ COST-CUSTOMER SERV</v>
      </c>
      <c r="C49" s="11"/>
      <c r="D49" s="2"/>
      <c r="E49" s="2"/>
      <c r="F49" s="19">
        <f t="shared" si="7"/>
        <v>0</v>
      </c>
      <c r="G49" s="2"/>
      <c r="H49" s="2"/>
      <c r="I49" s="2"/>
      <c r="J49" s="19">
        <f t="shared" si="8"/>
        <v>0</v>
      </c>
      <c r="K49" s="2"/>
      <c r="L49" s="2">
        <f t="shared" si="9"/>
        <v>0</v>
      </c>
      <c r="M49" s="2"/>
      <c r="N49" s="19">
        <f t="shared" si="10"/>
        <v>0</v>
      </c>
      <c r="O49" s="11"/>
      <c r="P49" s="2">
        <v>-11.85</v>
      </c>
      <c r="Q49" s="2"/>
      <c r="R49" s="19">
        <f t="shared" si="11"/>
        <v>-2.7568341744701939E-5</v>
      </c>
      <c r="S49" s="2"/>
      <c r="T49" s="2"/>
      <c r="U49" s="2"/>
      <c r="V49" s="19">
        <f t="shared" si="12"/>
        <v>0</v>
      </c>
      <c r="W49" s="2"/>
      <c r="X49" s="2">
        <f t="shared" si="13"/>
        <v>-11.85</v>
      </c>
      <c r="Y49" s="2"/>
      <c r="Z49" s="19">
        <f t="shared" si="14"/>
        <v>0</v>
      </c>
    </row>
    <row r="50" spans="1:26" s="24" customFormat="1" hidden="1" outlineLevel="1" x14ac:dyDescent="0.25">
      <c r="A50" s="44"/>
      <c r="B50" s="11" t="str">
        <f>CONCATENATE("          ", "5200", " - ", "PURCHASES OFFSET")</f>
        <v xml:space="preserve">          5200 - PURCHASES OFFSET</v>
      </c>
      <c r="C50" s="11"/>
      <c r="D50" s="2">
        <v>-7297</v>
      </c>
      <c r="E50" s="2"/>
      <c r="F50" s="19">
        <f t="shared" si="7"/>
        <v>-0.27092774839251516</v>
      </c>
      <c r="G50" s="2"/>
      <c r="H50" s="2"/>
      <c r="I50" s="2"/>
      <c r="J50" s="19">
        <f t="shared" si="8"/>
        <v>0</v>
      </c>
      <c r="K50" s="2"/>
      <c r="L50" s="2">
        <f t="shared" si="9"/>
        <v>-7297</v>
      </c>
      <c r="M50" s="2"/>
      <c r="N50" s="19">
        <f t="shared" si="10"/>
        <v>0</v>
      </c>
      <c r="O50" s="11"/>
      <c r="P50" s="2">
        <v>-200418</v>
      </c>
      <c r="Q50" s="2"/>
      <c r="R50" s="19">
        <f t="shared" si="11"/>
        <v>-0.46626092116368556</v>
      </c>
      <c r="S50" s="2"/>
      <c r="T50" s="2"/>
      <c r="U50" s="2"/>
      <c r="V50" s="19">
        <f t="shared" si="12"/>
        <v>0</v>
      </c>
      <c r="W50" s="2"/>
      <c r="X50" s="2">
        <f t="shared" si="13"/>
        <v>-200418</v>
      </c>
      <c r="Y50" s="2"/>
      <c r="Z50" s="19">
        <f t="shared" si="14"/>
        <v>0</v>
      </c>
    </row>
    <row r="51" spans="1:26" s="24" customFormat="1" hidden="1" outlineLevel="1" x14ac:dyDescent="0.25">
      <c r="A51" s="44"/>
      <c r="B51" s="11" t="str">
        <f>CONCATENATE("          ", "5300", " - ", "COG$ OFFSET")</f>
        <v xml:space="preserve">          5300 - COG$ OFFSET</v>
      </c>
      <c r="C51" s="11"/>
      <c r="D51" s="2">
        <v>11524</v>
      </c>
      <c r="E51" s="2"/>
      <c r="F51" s="19">
        <f t="shared" si="7"/>
        <v>0.4278705457688563</v>
      </c>
      <c r="G51" s="2"/>
      <c r="H51" s="2"/>
      <c r="I51" s="2"/>
      <c r="J51" s="19">
        <f t="shared" si="8"/>
        <v>0</v>
      </c>
      <c r="K51" s="2"/>
      <c r="L51" s="2">
        <f t="shared" si="9"/>
        <v>11524</v>
      </c>
      <c r="M51" s="2"/>
      <c r="N51" s="19">
        <f t="shared" si="10"/>
        <v>0</v>
      </c>
      <c r="O51" s="11"/>
      <c r="P51" s="2">
        <v>145191</v>
      </c>
      <c r="Q51" s="2"/>
      <c r="R51" s="19">
        <f t="shared" si="11"/>
        <v>0.33777848997932652</v>
      </c>
      <c r="S51" s="2"/>
      <c r="T51" s="2"/>
      <c r="U51" s="2"/>
      <c r="V51" s="19">
        <f t="shared" si="12"/>
        <v>0</v>
      </c>
      <c r="W51" s="2"/>
      <c r="X51" s="2">
        <f t="shared" si="13"/>
        <v>145191</v>
      </c>
      <c r="Y51" s="2"/>
      <c r="Z51" s="19">
        <f t="shared" si="14"/>
        <v>0</v>
      </c>
    </row>
    <row r="52" spans="1:26" s="24" customFormat="1" hidden="1" outlineLevel="1" x14ac:dyDescent="0.25">
      <c r="A52" s="44"/>
      <c r="B52" s="11" t="str">
        <f>CONCATENATE("          ", "5540", " - ", "FREIGHT-IN-LOGO CLOTHING")</f>
        <v xml:space="preserve">          5540 - FREIGHT-IN-LOGO CLOTHING</v>
      </c>
      <c r="C52" s="11"/>
      <c r="D52" s="2">
        <v>22.51</v>
      </c>
      <c r="E52" s="2"/>
      <c r="F52" s="19">
        <f t="shared" si="7"/>
        <v>8.3576587862347761E-4</v>
      </c>
      <c r="G52" s="2"/>
      <c r="H52" s="2"/>
      <c r="I52" s="2"/>
      <c r="J52" s="19">
        <f t="shared" si="8"/>
        <v>0</v>
      </c>
      <c r="K52" s="2"/>
      <c r="L52" s="2">
        <f t="shared" si="9"/>
        <v>22.51</v>
      </c>
      <c r="M52" s="2"/>
      <c r="N52" s="19">
        <f t="shared" si="10"/>
        <v>0</v>
      </c>
      <c r="O52" s="11"/>
      <c r="P52" s="2">
        <v>22.51</v>
      </c>
      <c r="Q52" s="2"/>
      <c r="R52" s="19">
        <f t="shared" si="11"/>
        <v>5.2368217103227063E-5</v>
      </c>
      <c r="S52" s="2"/>
      <c r="T52" s="2"/>
      <c r="U52" s="2"/>
      <c r="V52" s="19">
        <f t="shared" si="12"/>
        <v>0</v>
      </c>
      <c r="W52" s="2"/>
      <c r="X52" s="2">
        <f t="shared" si="13"/>
        <v>22.51</v>
      </c>
      <c r="Y52" s="2"/>
      <c r="Z52" s="19">
        <f t="shared" si="14"/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8" t="s">
        <v>6</v>
      </c>
      <c r="C54" s="28"/>
      <c r="D54" s="20">
        <f>D12-D35</f>
        <v>15409.26</v>
      </c>
      <c r="E54" s="14"/>
      <c r="F54" s="22">
        <f>IF(D$12=0,0,D54/D$12)</f>
        <v>0.57212499879331891</v>
      </c>
      <c r="G54" s="14"/>
      <c r="H54" s="20">
        <f>H12-H35</f>
        <v>28289.65827</v>
      </c>
      <c r="I54" s="14"/>
      <c r="J54" s="22">
        <f>IF(H$12=0,0,H54/H$12)</f>
        <v>0.57600702519114833</v>
      </c>
      <c r="K54" s="16"/>
      <c r="L54" s="20">
        <f>+D54-H54</f>
        <v>-12880.39827</v>
      </c>
      <c r="M54" s="16"/>
      <c r="N54" s="22">
        <f>IF(H54=0,0,L54/H54)</f>
        <v>-0.45530413082646259</v>
      </c>
      <c r="O54" s="29"/>
      <c r="P54" s="20">
        <f>P12-P35</f>
        <v>246522.93999999997</v>
      </c>
      <c r="Q54" s="14"/>
      <c r="R54" s="22">
        <f>IF(P$12=0,0,P54/P$12)</f>
        <v>0.57352140572393684</v>
      </c>
      <c r="S54" s="14"/>
      <c r="T54" s="20">
        <f>T12-T35</f>
        <v>240246.98117999997</v>
      </c>
      <c r="U54" s="14"/>
      <c r="V54" s="22">
        <f>IF(T$12=0,0,T54/T$12)</f>
        <v>0.57321628413573555</v>
      </c>
      <c r="W54" s="16"/>
      <c r="X54" s="20">
        <f>+P54-T54</f>
        <v>6275.9588199999998</v>
      </c>
      <c r="Y54" s="16"/>
      <c r="Z54" s="22">
        <f>IF(T54=0,0,X54/T54)</f>
        <v>2.6122945600294017E-2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9" t="s">
        <v>9</v>
      </c>
      <c r="C56" s="10"/>
      <c r="D56" s="21">
        <f>SUM(OSRRefD22x_0)</f>
        <v>27711.16</v>
      </c>
      <c r="E56" s="21"/>
      <c r="F56" s="30">
        <f t="shared" ref="F56:F66" si="15">IF(D$12=0,0,D56/D$12)</f>
        <v>1.0288779202610292</v>
      </c>
      <c r="G56" s="21"/>
      <c r="H56" s="21">
        <f>SUM(OSRRefH22x_0)</f>
        <v>23533.11852533077</v>
      </c>
      <c r="I56" s="21"/>
      <c r="J56" s="30">
        <f t="shared" ref="J56:J66" si="16">IF(H$12=0,0,H56/H$12)</f>
        <v>0.47915890202255457</v>
      </c>
      <c r="K56" s="4"/>
      <c r="L56" s="21">
        <f t="shared" ref="L56:L66" si="17">+D56-H56</f>
        <v>4178.0414746692295</v>
      </c>
      <c r="M56" s="4"/>
      <c r="N56" s="30">
        <f t="shared" ref="N56:N66" si="18">IF(H56=0,0,L56/H56)</f>
        <v>0.17753879368652459</v>
      </c>
      <c r="O56" s="10"/>
      <c r="P56" s="21">
        <f>SUM(OSRRefP22x_0)</f>
        <v>283553.67000000004</v>
      </c>
      <c r="Q56" s="21"/>
      <c r="R56" s="30">
        <f t="shared" ref="R56:R66" si="19">IF(P$12=0,0,P56/P$12)</f>
        <v>0.65967126392611308</v>
      </c>
      <c r="S56" s="21"/>
      <c r="T56" s="21">
        <f>SUM(OSRRefT22x_0)</f>
        <v>241503.42138097499</v>
      </c>
      <c r="U56" s="21"/>
      <c r="V56" s="30">
        <f t="shared" ref="V56:V66" si="20">IF(T$12=0,0,T56/T$12)</f>
        <v>0.5762140824002725</v>
      </c>
      <c r="W56" s="4"/>
      <c r="X56" s="21">
        <f t="shared" ref="X56:X66" si="21">+P56-T56</f>
        <v>42050.248619025049</v>
      </c>
      <c r="Y56" s="4"/>
      <c r="Z56" s="30">
        <f t="shared" ref="Z56:Z66" si="22">IF(T56=0,0,X56/T56)</f>
        <v>0.17411864551885664</v>
      </c>
    </row>
    <row r="57" spans="1:26" s="27" customFormat="1" outlineLevel="1" collapsed="1" x14ac:dyDescent="0.25">
      <c r="A57" s="26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2776.22</v>
      </c>
      <c r="E57" s="1"/>
      <c r="F57" s="5">
        <f t="shared" si="15"/>
        <v>0.10307729664824837</v>
      </c>
      <c r="G57" s="1"/>
      <c r="H57" s="1">
        <f>SUM(OSRRefH22_0x_0)</f>
        <v>1803.2727561000002</v>
      </c>
      <c r="I57" s="1"/>
      <c r="J57" s="5">
        <f t="shared" si="16"/>
        <v>3.6716519016806219E-2</v>
      </c>
      <c r="K57" s="1"/>
      <c r="L57" s="1">
        <f t="shared" si="17"/>
        <v>972.94724389999965</v>
      </c>
      <c r="M57" s="1"/>
      <c r="N57" s="5">
        <f t="shared" si="18"/>
        <v>0.53954524661273429</v>
      </c>
      <c r="O57" s="13"/>
      <c r="P57" s="1">
        <f>SUM(OSRRefP22_0x_0)</f>
        <v>19356.07</v>
      </c>
      <c r="Q57" s="1"/>
      <c r="R57" s="5">
        <f t="shared" si="19"/>
        <v>4.503078080965172E-2</v>
      </c>
      <c r="S57" s="1"/>
      <c r="T57" s="1">
        <f>SUM(OSRRefT22_0x_0)</f>
        <v>17867.210130975</v>
      </c>
      <c r="U57" s="1"/>
      <c r="V57" s="5">
        <f t="shared" si="20"/>
        <v>4.2630195596407613E-2</v>
      </c>
      <c r="W57" s="1"/>
      <c r="X57" s="1">
        <f t="shared" si="21"/>
        <v>1488.8598690250001</v>
      </c>
      <c r="Y57" s="1"/>
      <c r="Z57" s="5">
        <f t="shared" si="22"/>
        <v>8.3329174398854747E-2</v>
      </c>
    </row>
    <row r="58" spans="1:26" s="24" customFormat="1" hidden="1" outlineLevel="2" x14ac:dyDescent="0.25">
      <c r="A58" s="25"/>
      <c r="B58" s="11" t="str">
        <f>CONCATENATE("          ", "6111", " - ", "F.I.C.A.")</f>
        <v xml:space="preserve">          6111 - F.I.C.A.</v>
      </c>
      <c r="C58" s="11"/>
      <c r="D58" s="6">
        <v>555.48</v>
      </c>
      <c r="E58" s="2"/>
      <c r="F58" s="7">
        <f t="shared" si="15"/>
        <v>2.0624221690704991E-2</v>
      </c>
      <c r="G58" s="2"/>
      <c r="H58" s="6">
        <v>292.98280133076901</v>
      </c>
      <c r="I58" s="2"/>
      <c r="J58" s="7">
        <f t="shared" si="16"/>
        <v>5.9654362105062454E-3</v>
      </c>
      <c r="K58" s="2"/>
      <c r="L58" s="6">
        <f t="shared" si="17"/>
        <v>262.49719866923101</v>
      </c>
      <c r="M58" s="2"/>
      <c r="N58" s="7">
        <f t="shared" si="18"/>
        <v>0.89594746680327952</v>
      </c>
      <c r="O58" s="11"/>
      <c r="P58" s="6">
        <v>4013.28</v>
      </c>
      <c r="Q58" s="2"/>
      <c r="R58" s="7">
        <f t="shared" si="19"/>
        <v>9.3366645195930298E-3</v>
      </c>
      <c r="S58" s="2"/>
      <c r="T58" s="6">
        <v>3852.6585279749988</v>
      </c>
      <c r="U58" s="2"/>
      <c r="V58" s="7">
        <f t="shared" si="20"/>
        <v>9.1922345687876911E-3</v>
      </c>
      <c r="W58" s="2"/>
      <c r="X58" s="6">
        <f t="shared" si="21"/>
        <v>160.62147202500137</v>
      </c>
      <c r="Y58" s="2"/>
      <c r="Z58" s="7">
        <f t="shared" si="22"/>
        <v>4.1691074061896122E-2</v>
      </c>
    </row>
    <row r="59" spans="1:26" s="24" customFormat="1" hidden="1" outlineLevel="2" x14ac:dyDescent="0.25">
      <c r="A59" s="25"/>
      <c r="B59" s="11" t="str">
        <f>CONCATENATE("          ", "6112", " - ", "COMPENSATION INSURANCE")</f>
        <v xml:space="preserve">          6112 - COMPENSATION INSURANCE</v>
      </c>
      <c r="C59" s="11"/>
      <c r="D59" s="6">
        <v>281.92</v>
      </c>
      <c r="E59" s="2"/>
      <c r="F59" s="7">
        <f t="shared" si="15"/>
        <v>1.0467308596247482E-2</v>
      </c>
      <c r="G59" s="2"/>
      <c r="H59" s="6">
        <v>161.74052538461498</v>
      </c>
      <c r="I59" s="2"/>
      <c r="J59" s="7">
        <f t="shared" si="16"/>
        <v>3.2932062307179468E-3</v>
      </c>
      <c r="K59" s="2"/>
      <c r="L59" s="6">
        <f t="shared" si="17"/>
        <v>120.17947461538503</v>
      </c>
      <c r="M59" s="2"/>
      <c r="N59" s="7">
        <f t="shared" si="18"/>
        <v>0.74303873027246081</v>
      </c>
      <c r="O59" s="11"/>
      <c r="P59" s="6">
        <v>1644.67</v>
      </c>
      <c r="Q59" s="2"/>
      <c r="R59" s="7">
        <f t="shared" si="19"/>
        <v>3.8262299255070837E-3</v>
      </c>
      <c r="S59" s="2"/>
      <c r="T59" s="6">
        <v>1595.3685824999968</v>
      </c>
      <c r="U59" s="2"/>
      <c r="V59" s="7">
        <f t="shared" si="20"/>
        <v>3.8064630248251926E-3</v>
      </c>
      <c r="W59" s="2"/>
      <c r="X59" s="6">
        <f t="shared" si="21"/>
        <v>49.301417500003254</v>
      </c>
      <c r="Y59" s="2"/>
      <c r="Z59" s="7">
        <f t="shared" si="22"/>
        <v>3.0902838404117408E-2</v>
      </c>
    </row>
    <row r="60" spans="1:26" s="24" customFormat="1" hidden="1" outlineLevel="2" x14ac:dyDescent="0.25">
      <c r="A60" s="25"/>
      <c r="B60" s="11" t="str">
        <f>CONCATENATE("          ", "6113", " - ", "GROUP INSURANCE")</f>
        <v xml:space="preserve">          6113 - GROUP INSURANCE</v>
      </c>
      <c r="C60" s="11"/>
      <c r="D60" s="6">
        <v>988.45</v>
      </c>
      <c r="E60" s="2"/>
      <c r="F60" s="7">
        <f t="shared" si="15"/>
        <v>3.6699812648839474E-2</v>
      </c>
      <c r="G60" s="2"/>
      <c r="H60" s="6">
        <v>988.5</v>
      </c>
      <c r="I60" s="2"/>
      <c r="J60" s="7">
        <f t="shared" si="16"/>
        <v>2.0126893685571908E-2</v>
      </c>
      <c r="K60" s="2"/>
      <c r="L60" s="6">
        <f t="shared" si="17"/>
        <v>-4.9999999999954525E-2</v>
      </c>
      <c r="M60" s="2"/>
      <c r="N60" s="7">
        <f t="shared" si="18"/>
        <v>-5.0581689428380903E-5</v>
      </c>
      <c r="O60" s="11"/>
      <c r="P60" s="6">
        <v>8309.11</v>
      </c>
      <c r="Q60" s="2"/>
      <c r="R60" s="7">
        <f t="shared" si="19"/>
        <v>1.9330665322727456E-2</v>
      </c>
      <c r="S60" s="2"/>
      <c r="T60" s="6">
        <v>8896.5</v>
      </c>
      <c r="U60" s="2"/>
      <c r="V60" s="7">
        <f t="shared" si="20"/>
        <v>2.1226567121743724E-2</v>
      </c>
      <c r="W60" s="2"/>
      <c r="X60" s="6">
        <f t="shared" si="21"/>
        <v>-587.38999999999942</v>
      </c>
      <c r="Y60" s="2"/>
      <c r="Z60" s="7">
        <f t="shared" si="22"/>
        <v>-6.6024841229697012E-2</v>
      </c>
    </row>
    <row r="61" spans="1:26" s="24" customFormat="1" hidden="1" outlineLevel="2" x14ac:dyDescent="0.25">
      <c r="A61" s="25"/>
      <c r="B61" s="11" t="str">
        <f>CONCATENATE("          ", "6114", " - ", "STATE UNEMPLOYMENT INSURANCE")</f>
        <v xml:space="preserve">          6114 - STATE UNEMPLOYMENT INSURANCE</v>
      </c>
      <c r="C61" s="11"/>
      <c r="D61" s="6">
        <v>38.58</v>
      </c>
      <c r="E61" s="2"/>
      <c r="F61" s="7">
        <f t="shared" si="15"/>
        <v>1.432423260652766E-3</v>
      </c>
      <c r="G61" s="2"/>
      <c r="H61" s="6">
        <v>22.132914</v>
      </c>
      <c r="I61" s="2"/>
      <c r="J61" s="7">
        <f t="shared" si="16"/>
        <v>4.5064927367719382E-4</v>
      </c>
      <c r="K61" s="2"/>
      <c r="L61" s="6">
        <f t="shared" si="17"/>
        <v>16.447085999999999</v>
      </c>
      <c r="M61" s="2"/>
      <c r="N61" s="7">
        <f t="shared" si="18"/>
        <v>0.74310531365187604</v>
      </c>
      <c r="O61" s="11"/>
      <c r="P61" s="6">
        <v>257.77</v>
      </c>
      <c r="Q61" s="2"/>
      <c r="R61" s="7">
        <f t="shared" si="19"/>
        <v>5.9968704232336021E-4</v>
      </c>
      <c r="S61" s="2"/>
      <c r="T61" s="6">
        <v>218.31359549999999</v>
      </c>
      <c r="U61" s="2"/>
      <c r="V61" s="7">
        <f t="shared" si="20"/>
        <v>5.2088441392344846E-4</v>
      </c>
      <c r="W61" s="2"/>
      <c r="X61" s="6">
        <f t="shared" si="21"/>
        <v>39.456404499999991</v>
      </c>
      <c r="Y61" s="2"/>
      <c r="Z61" s="7">
        <f t="shared" si="22"/>
        <v>0.18073269513808174</v>
      </c>
    </row>
    <row r="62" spans="1:26" s="24" customFormat="1" hidden="1" outlineLevel="2" x14ac:dyDescent="0.25">
      <c r="A62" s="25"/>
      <c r="B62" s="11" t="str">
        <f>CONCATENATE("          ", "6115", " - ", "P.E.R.S.")</f>
        <v xml:space="preserve">          6115 - P.E.R.S.</v>
      </c>
      <c r="C62" s="11"/>
      <c r="D62" s="6">
        <v>163.61000000000001</v>
      </c>
      <c r="E62" s="2"/>
      <c r="F62" s="7">
        <f t="shared" si="15"/>
        <v>6.0746181875427447E-3</v>
      </c>
      <c r="G62" s="2"/>
      <c r="H62" s="6">
        <v>172.53915384615402</v>
      </c>
      <c r="I62" s="2"/>
      <c r="J62" s="7">
        <f t="shared" si="16"/>
        <v>3.5130775984421624E-3</v>
      </c>
      <c r="K62" s="2"/>
      <c r="L62" s="6">
        <f t="shared" si="17"/>
        <v>-8.9291538461540085</v>
      </c>
      <c r="M62" s="2"/>
      <c r="N62" s="7">
        <f t="shared" si="18"/>
        <v>-5.1751464216149817E-2</v>
      </c>
      <c r="O62" s="11"/>
      <c r="P62" s="6">
        <v>1706.91</v>
      </c>
      <c r="Q62" s="2"/>
      <c r="R62" s="7">
        <f t="shared" si="19"/>
        <v>3.9710276968311555E-3</v>
      </c>
      <c r="S62" s="2"/>
      <c r="T62" s="6">
        <v>1682.25675</v>
      </c>
      <c r="U62" s="2"/>
      <c r="V62" s="7">
        <f t="shared" si="20"/>
        <v>4.0137734861891141E-3</v>
      </c>
      <c r="W62" s="2"/>
      <c r="X62" s="6">
        <f t="shared" si="21"/>
        <v>24.653250000000071</v>
      </c>
      <c r="Y62" s="2"/>
      <c r="Z62" s="7">
        <f t="shared" si="22"/>
        <v>1.4654867635395174E-2</v>
      </c>
    </row>
    <row r="63" spans="1:26" s="24" customFormat="1" hidden="1" outlineLevel="2" x14ac:dyDescent="0.25">
      <c r="A63" s="25"/>
      <c r="B63" s="11" t="str">
        <f>CONCATENATE("          ", "6116", " - ", "EDUCATIONAL BENEFITS")</f>
        <v xml:space="preserve">          6116 - EDUCATIONAL BENEFITS</v>
      </c>
      <c r="C63" s="11"/>
      <c r="D63" s="6"/>
      <c r="E63" s="2"/>
      <c r="F63" s="7">
        <f t="shared" si="15"/>
        <v>0</v>
      </c>
      <c r="G63" s="2"/>
      <c r="H63" s="6">
        <v>0</v>
      </c>
      <c r="I63" s="2"/>
      <c r="J63" s="7">
        <f t="shared" si="16"/>
        <v>0</v>
      </c>
      <c r="K63" s="2"/>
      <c r="L63" s="6">
        <f t="shared" si="17"/>
        <v>0</v>
      </c>
      <c r="M63" s="2"/>
      <c r="N63" s="7">
        <f t="shared" si="18"/>
        <v>0</v>
      </c>
      <c r="O63" s="11"/>
      <c r="P63" s="6"/>
      <c r="Q63" s="2"/>
      <c r="R63" s="7">
        <f t="shared" si="19"/>
        <v>0</v>
      </c>
      <c r="S63" s="2"/>
      <c r="T63" s="6">
        <v>0</v>
      </c>
      <c r="U63" s="2"/>
      <c r="V63" s="7">
        <f t="shared" si="20"/>
        <v>0</v>
      </c>
      <c r="W63" s="2"/>
      <c r="X63" s="6">
        <f t="shared" si="21"/>
        <v>0</v>
      </c>
      <c r="Y63" s="2"/>
      <c r="Z63" s="7">
        <f t="shared" si="22"/>
        <v>0</v>
      </c>
    </row>
    <row r="64" spans="1:26" s="24" customFormat="1" hidden="1" outlineLevel="2" x14ac:dyDescent="0.25">
      <c r="A64" s="25"/>
      <c r="B64" s="11" t="str">
        <f>CONCATENATE("          ", "6118", " - ", "VACATION")</f>
        <v xml:space="preserve">          6118 - VACATION</v>
      </c>
      <c r="C64" s="11"/>
      <c r="D64" s="6">
        <v>506.21</v>
      </c>
      <c r="E64" s="2"/>
      <c r="F64" s="7">
        <f t="shared" si="15"/>
        <v>1.8794893177165286E-2</v>
      </c>
      <c r="G64" s="2"/>
      <c r="H64" s="6">
        <v>60.188076923076899</v>
      </c>
      <c r="I64" s="2"/>
      <c r="J64" s="7">
        <f t="shared" si="16"/>
        <v>1.2254921855030781E-3</v>
      </c>
      <c r="K64" s="2"/>
      <c r="L64" s="6">
        <f t="shared" si="17"/>
        <v>446.02192307692309</v>
      </c>
      <c r="M64" s="2"/>
      <c r="N64" s="7">
        <f t="shared" si="18"/>
        <v>7.4104697454773207</v>
      </c>
      <c r="O64" s="11"/>
      <c r="P64" s="6">
        <v>2103.0500000000002</v>
      </c>
      <c r="Q64" s="2"/>
      <c r="R64" s="7">
        <f t="shared" si="19"/>
        <v>4.8926245659236646E-3</v>
      </c>
      <c r="S64" s="2"/>
      <c r="T64" s="6">
        <v>586.83375000000001</v>
      </c>
      <c r="U64" s="2"/>
      <c r="V64" s="7">
        <f t="shared" si="20"/>
        <v>1.4001535416938772E-3</v>
      </c>
      <c r="W64" s="2"/>
      <c r="X64" s="6">
        <f t="shared" si="21"/>
        <v>1516.2162500000002</v>
      </c>
      <c r="Y64" s="2"/>
      <c r="Z64" s="7">
        <f t="shared" si="22"/>
        <v>2.5837236696083008</v>
      </c>
    </row>
    <row r="65" spans="1:26" s="24" customFormat="1" hidden="1" outlineLevel="2" x14ac:dyDescent="0.25">
      <c r="A65" s="25"/>
      <c r="B65" s="11" t="str">
        <f>CONCATENATE("          ", "6119", " - ", "SICK LEAVE")</f>
        <v xml:space="preserve">          6119 - SICK LEAVE</v>
      </c>
      <c r="C65" s="11"/>
      <c r="D65" s="6">
        <v>241.97</v>
      </c>
      <c r="E65" s="2"/>
      <c r="F65" s="7">
        <f t="shared" si="15"/>
        <v>8.9840190870956408E-3</v>
      </c>
      <c r="G65" s="2"/>
      <c r="H65" s="6">
        <v>105.18928461538499</v>
      </c>
      <c r="I65" s="2"/>
      <c r="J65" s="7">
        <f t="shared" si="16"/>
        <v>2.1417638323876767E-3</v>
      </c>
      <c r="K65" s="2"/>
      <c r="L65" s="6">
        <f t="shared" si="17"/>
        <v>136.78071538461501</v>
      </c>
      <c r="M65" s="2"/>
      <c r="N65" s="7">
        <f t="shared" si="18"/>
        <v>1.3003293622990326</v>
      </c>
      <c r="O65" s="11"/>
      <c r="P65" s="6">
        <v>831.78</v>
      </c>
      <c r="Q65" s="2"/>
      <c r="R65" s="7">
        <f t="shared" si="19"/>
        <v>1.935088210667357E-3</v>
      </c>
      <c r="S65" s="2"/>
      <c r="T65" s="6">
        <v>1035.278925000003</v>
      </c>
      <c r="U65" s="2"/>
      <c r="V65" s="7">
        <f t="shared" si="20"/>
        <v>2.4701194392445628E-3</v>
      </c>
      <c r="W65" s="2"/>
      <c r="X65" s="6">
        <f t="shared" si="21"/>
        <v>-203.49892500000306</v>
      </c>
      <c r="Y65" s="2"/>
      <c r="Z65" s="7">
        <f t="shared" si="22"/>
        <v>-0.19656434617366761</v>
      </c>
    </row>
    <row r="66" spans="1:26" s="24" customFormat="1" hidden="1" outlineLevel="2" x14ac:dyDescent="0.25">
      <c r="A66" s="25"/>
      <c r="B66" s="11" t="str">
        <f>CONCATENATE("          ", "6156", " - ", "EMPLOYEE MEALS")</f>
        <v xml:space="preserve">          6156 - EMPLOYEE MEALS</v>
      </c>
      <c r="C66" s="11"/>
      <c r="D66" s="6"/>
      <c r="E66" s="2"/>
      <c r="F66" s="7">
        <f t="shared" si="15"/>
        <v>0</v>
      </c>
      <c r="G66" s="2"/>
      <c r="H66" s="6"/>
      <c r="I66" s="2"/>
      <c r="J66" s="7">
        <f t="shared" si="16"/>
        <v>0</v>
      </c>
      <c r="K66" s="2"/>
      <c r="L66" s="6">
        <f t="shared" si="17"/>
        <v>0</v>
      </c>
      <c r="M66" s="2"/>
      <c r="N66" s="7">
        <f t="shared" si="18"/>
        <v>0</v>
      </c>
      <c r="O66" s="11"/>
      <c r="P66" s="6">
        <v>489.5</v>
      </c>
      <c r="Q66" s="2"/>
      <c r="R66" s="7">
        <f t="shared" si="19"/>
        <v>1.1387935260786161E-3</v>
      </c>
      <c r="S66" s="2"/>
      <c r="T66" s="6"/>
      <c r="U66" s="2"/>
      <c r="V66" s="7">
        <f t="shared" si="20"/>
        <v>0</v>
      </c>
      <c r="W66" s="2"/>
      <c r="X66" s="6">
        <f t="shared" si="21"/>
        <v>489.5</v>
      </c>
      <c r="Y66" s="2"/>
      <c r="Z66" s="7">
        <f t="shared" si="22"/>
        <v>0</v>
      </c>
    </row>
    <row r="67" spans="1:26" s="27" customFormat="1" outlineLevel="1" collapsed="1" x14ac:dyDescent="0.25">
      <c r="A67" s="26"/>
      <c r="B67" s="13" t="str">
        <f>CONCATENATE("     ","*Payroll                                          ")</f>
        <v xml:space="preserve">     *Payroll                                          </v>
      </c>
      <c r="C67" s="13"/>
      <c r="D67" s="1">
        <f>SUM(OSRRefD22_1x_0)</f>
        <v>13576.32</v>
      </c>
      <c r="E67" s="1"/>
      <c r="F67" s="5">
        <f t="shared" ref="F67:F77" si="23">IF(D$12=0,0,D67/D$12)</f>
        <v>0.50407041373938211</v>
      </c>
      <c r="G67" s="1"/>
      <c r="H67" s="1">
        <f>SUM(OSRRefH22_1x_0)</f>
        <v>8412.3457692307693</v>
      </c>
      <c r="I67" s="1"/>
      <c r="J67" s="5">
        <f t="shared" ref="J67:J77" si="24">IF(H$12=0,0,H67/H$12)</f>
        <v>0.17128415674615916</v>
      </c>
      <c r="K67" s="1"/>
      <c r="L67" s="1">
        <f t="shared" ref="L67:L77" si="25">+D67-H67</f>
        <v>5163.9742307692304</v>
      </c>
      <c r="M67" s="1"/>
      <c r="N67" s="5">
        <f t="shared" ref="N67:N77" si="26">IF(H67=0,0,L67/H67)</f>
        <v>0.61385663076963937</v>
      </c>
      <c r="O67" s="13"/>
      <c r="P67" s="1">
        <f>SUM(OSRRefP22_1x_0)</f>
        <v>103936.21000000002</v>
      </c>
      <c r="Q67" s="1"/>
      <c r="R67" s="5">
        <f t="shared" ref="R67:R77" si="27">IF(P$12=0,0,P67/P$12)</f>
        <v>0.241801599740853</v>
      </c>
      <c r="S67" s="1"/>
      <c r="T67" s="1">
        <f>SUM(OSRRefT22_1x_0)</f>
        <v>82988.711249999993</v>
      </c>
      <c r="U67" s="1"/>
      <c r="V67" s="5">
        <f t="shared" ref="V67:V77" si="28">IF(T$12=0,0,T67/T$12)</f>
        <v>0.19800656996516985</v>
      </c>
      <c r="W67" s="1"/>
      <c r="X67" s="1">
        <f t="shared" ref="X67:X77" si="29">+P67-T67</f>
        <v>20947.498750000028</v>
      </c>
      <c r="Y67" s="1"/>
      <c r="Z67" s="5">
        <f t="shared" ref="Z67:Z77" si="30">IF(T67=0,0,X67/T67)</f>
        <v>0.25241383357426256</v>
      </c>
    </row>
    <row r="68" spans="1:26" s="24" customFormat="1" hidden="1" outlineLevel="2" x14ac:dyDescent="0.25">
      <c r="A68" s="25"/>
      <c r="B68" s="11" t="str">
        <f>CONCATENATE("          ", "6001", " - ", "ADMINISTRATIVE SALARIES")</f>
        <v xml:space="preserve">          6001 - ADMINISTRATIVE SALARIES</v>
      </c>
      <c r="C68" s="11"/>
      <c r="D68" s="6"/>
      <c r="E68" s="2"/>
      <c r="F68" s="7">
        <f t="shared" si="23"/>
        <v>0</v>
      </c>
      <c r="G68" s="2"/>
      <c r="H68" s="6">
        <v>0</v>
      </c>
      <c r="I68" s="2"/>
      <c r="J68" s="7">
        <f t="shared" si="24"/>
        <v>0</v>
      </c>
      <c r="K68" s="2"/>
      <c r="L68" s="6">
        <f t="shared" si="25"/>
        <v>0</v>
      </c>
      <c r="M68" s="2"/>
      <c r="N68" s="7">
        <f t="shared" si="26"/>
        <v>0</v>
      </c>
      <c r="O68" s="11"/>
      <c r="P68" s="6"/>
      <c r="Q68" s="2"/>
      <c r="R68" s="7">
        <f t="shared" si="27"/>
        <v>0</v>
      </c>
      <c r="S68" s="2"/>
      <c r="T68" s="6">
        <v>0</v>
      </c>
      <c r="U68" s="2"/>
      <c r="V68" s="7">
        <f t="shared" si="28"/>
        <v>0</v>
      </c>
      <c r="W68" s="2"/>
      <c r="X68" s="6">
        <f t="shared" si="29"/>
        <v>0</v>
      </c>
      <c r="Y68" s="2"/>
      <c r="Z68" s="7">
        <f t="shared" si="30"/>
        <v>0</v>
      </c>
    </row>
    <row r="69" spans="1:26" s="24" customFormat="1" hidden="1" outlineLevel="2" x14ac:dyDescent="0.25">
      <c r="A69" s="25"/>
      <c r="B69" s="11" t="str">
        <f>CONCATENATE("          ", "6002", " - ", "STAFF SALARIES")</f>
        <v xml:space="preserve">          6002 - STAFF SALARIES</v>
      </c>
      <c r="C69" s="11"/>
      <c r="D69" s="6">
        <v>3485.11</v>
      </c>
      <c r="E69" s="2"/>
      <c r="F69" s="7">
        <f t="shared" si="23"/>
        <v>0.12939742431139353</v>
      </c>
      <c r="G69" s="2"/>
      <c r="H69" s="6">
        <v>1905.9557692307701</v>
      </c>
      <c r="I69" s="2"/>
      <c r="J69" s="7">
        <f t="shared" si="24"/>
        <v>3.8807252540930842E-2</v>
      </c>
      <c r="K69" s="2"/>
      <c r="L69" s="6">
        <f t="shared" si="25"/>
        <v>1579.15423076923</v>
      </c>
      <c r="M69" s="2"/>
      <c r="N69" s="7">
        <f t="shared" si="26"/>
        <v>0.82853666190090303</v>
      </c>
      <c r="O69" s="11"/>
      <c r="P69" s="6">
        <v>19938.060000000001</v>
      </c>
      <c r="Q69" s="2"/>
      <c r="R69" s="7">
        <f t="shared" si="27"/>
        <v>4.6384746987879498E-2</v>
      </c>
      <c r="S69" s="2"/>
      <c r="T69" s="6">
        <v>18583.068749999999</v>
      </c>
      <c r="U69" s="2"/>
      <c r="V69" s="7">
        <f t="shared" si="28"/>
        <v>4.4338195486972772E-2</v>
      </c>
      <c r="W69" s="2"/>
      <c r="X69" s="6">
        <f t="shared" si="29"/>
        <v>1354.9912500000028</v>
      </c>
      <c r="Y69" s="2"/>
      <c r="Z69" s="7">
        <f t="shared" si="30"/>
        <v>7.2915365499038085E-2</v>
      </c>
    </row>
    <row r="70" spans="1:26" s="24" customFormat="1" hidden="1" outlineLevel="2" x14ac:dyDescent="0.25">
      <c r="A70" s="25"/>
      <c r="B70" s="11" t="str">
        <f>CONCATENATE("          ", "6003", " - ", "STAFF HOURLY-9 MONTH")</f>
        <v xml:space="preserve">          6003 - STAFF HOURLY-9 MONTH</v>
      </c>
      <c r="C70" s="11"/>
      <c r="D70" s="6"/>
      <c r="E70" s="2"/>
      <c r="F70" s="7">
        <f t="shared" si="23"/>
        <v>0</v>
      </c>
      <c r="G70" s="2"/>
      <c r="H70" s="6">
        <v>0</v>
      </c>
      <c r="I70" s="2"/>
      <c r="J70" s="7">
        <f t="shared" si="24"/>
        <v>0</v>
      </c>
      <c r="K70" s="2"/>
      <c r="L70" s="6">
        <f t="shared" si="25"/>
        <v>0</v>
      </c>
      <c r="M70" s="2"/>
      <c r="N70" s="7">
        <f t="shared" si="26"/>
        <v>0</v>
      </c>
      <c r="O70" s="11"/>
      <c r="P70" s="6"/>
      <c r="Q70" s="2"/>
      <c r="R70" s="7">
        <f t="shared" si="27"/>
        <v>0</v>
      </c>
      <c r="S70" s="2"/>
      <c r="T70" s="6">
        <v>0</v>
      </c>
      <c r="U70" s="2"/>
      <c r="V70" s="7">
        <f t="shared" si="28"/>
        <v>0</v>
      </c>
      <c r="W70" s="2"/>
      <c r="X70" s="6">
        <f t="shared" si="29"/>
        <v>0</v>
      </c>
      <c r="Y70" s="2"/>
      <c r="Z70" s="7">
        <f t="shared" si="30"/>
        <v>0</v>
      </c>
    </row>
    <row r="71" spans="1:26" s="24" customFormat="1" hidden="1" outlineLevel="2" x14ac:dyDescent="0.25">
      <c r="A71" s="25"/>
      <c r="B71" s="11" t="str">
        <f>CONCATENATE("          ", "6004", " - ", "STAFF HOURLY")</f>
        <v xml:space="preserve">          6004 - STAFF HOURLY</v>
      </c>
      <c r="C71" s="11"/>
      <c r="D71" s="6"/>
      <c r="E71" s="2"/>
      <c r="F71" s="7">
        <f t="shared" si="23"/>
        <v>0</v>
      </c>
      <c r="G71" s="2"/>
      <c r="H71" s="6">
        <v>1822.07</v>
      </c>
      <c r="I71" s="2"/>
      <c r="J71" s="7">
        <f t="shared" si="24"/>
        <v>3.7099250559099656E-2</v>
      </c>
      <c r="K71" s="2"/>
      <c r="L71" s="6">
        <f t="shared" si="25"/>
        <v>-1822.07</v>
      </c>
      <c r="M71" s="2"/>
      <c r="N71" s="7">
        <f t="shared" si="26"/>
        <v>-1</v>
      </c>
      <c r="O71" s="11"/>
      <c r="P71" s="6"/>
      <c r="Q71" s="2"/>
      <c r="R71" s="7">
        <f t="shared" si="27"/>
        <v>0</v>
      </c>
      <c r="S71" s="2"/>
      <c r="T71" s="6">
        <v>17765.182499999999</v>
      </c>
      <c r="U71" s="2"/>
      <c r="V71" s="7">
        <f t="shared" si="28"/>
        <v>4.2386763195220258E-2</v>
      </c>
      <c r="W71" s="2"/>
      <c r="X71" s="6">
        <f t="shared" si="29"/>
        <v>-17765.182499999999</v>
      </c>
      <c r="Y71" s="2"/>
      <c r="Z71" s="7">
        <f t="shared" si="30"/>
        <v>-1</v>
      </c>
    </row>
    <row r="72" spans="1:26" s="24" customFormat="1" hidden="1" outlineLevel="2" x14ac:dyDescent="0.25">
      <c r="A72" s="25"/>
      <c r="B72" s="11" t="str">
        <f>CONCATENATE("          ", "6005", " - ", "TEMPORARY WAGES-HOURLY")</f>
        <v xml:space="preserve">          6005 - TEMPORARY WAGES-HOURLY</v>
      </c>
      <c r="C72" s="11"/>
      <c r="D72" s="6">
        <v>3660.26</v>
      </c>
      <c r="E72" s="2"/>
      <c r="F72" s="7">
        <f t="shared" si="23"/>
        <v>0.13590050710308174</v>
      </c>
      <c r="G72" s="2"/>
      <c r="H72" s="6">
        <v>0</v>
      </c>
      <c r="I72" s="2"/>
      <c r="J72" s="7">
        <f t="shared" si="24"/>
        <v>0</v>
      </c>
      <c r="K72" s="2"/>
      <c r="L72" s="6">
        <f t="shared" si="25"/>
        <v>3660.26</v>
      </c>
      <c r="M72" s="2"/>
      <c r="N72" s="7">
        <f t="shared" si="26"/>
        <v>0</v>
      </c>
      <c r="O72" s="11"/>
      <c r="P72" s="6">
        <v>11485.07</v>
      </c>
      <c r="Q72" s="2"/>
      <c r="R72" s="7">
        <f t="shared" si="27"/>
        <v>2.6719353141082185E-2</v>
      </c>
      <c r="S72" s="2"/>
      <c r="T72" s="6">
        <v>0</v>
      </c>
      <c r="U72" s="2"/>
      <c r="V72" s="7">
        <f t="shared" si="28"/>
        <v>0</v>
      </c>
      <c r="W72" s="2"/>
      <c r="X72" s="6">
        <f t="shared" si="29"/>
        <v>11485.07</v>
      </c>
      <c r="Y72" s="2"/>
      <c r="Z72" s="7">
        <f t="shared" si="30"/>
        <v>0</v>
      </c>
    </row>
    <row r="73" spans="1:26" s="24" customFormat="1" hidden="1" outlineLevel="2" x14ac:dyDescent="0.25">
      <c r="A73" s="25"/>
      <c r="B73" s="11" t="str">
        <f>CONCATENATE("          ", "6006", " - ", "TEMPORARY PART TIME")</f>
        <v xml:space="preserve">          6006 - TEMPORARY PART TIME</v>
      </c>
      <c r="C73" s="11"/>
      <c r="D73" s="6"/>
      <c r="E73" s="2"/>
      <c r="F73" s="7">
        <f t="shared" si="23"/>
        <v>0</v>
      </c>
      <c r="G73" s="2"/>
      <c r="H73" s="6">
        <v>0</v>
      </c>
      <c r="I73" s="2"/>
      <c r="J73" s="7">
        <f t="shared" si="24"/>
        <v>0</v>
      </c>
      <c r="K73" s="2"/>
      <c r="L73" s="6">
        <f t="shared" si="25"/>
        <v>0</v>
      </c>
      <c r="M73" s="2"/>
      <c r="N73" s="7">
        <f t="shared" si="26"/>
        <v>0</v>
      </c>
      <c r="O73" s="11"/>
      <c r="P73" s="6">
        <v>316.16000000000003</v>
      </c>
      <c r="Q73" s="2"/>
      <c r="R73" s="7">
        <f t="shared" si="27"/>
        <v>7.3552801063333053E-4</v>
      </c>
      <c r="S73" s="2"/>
      <c r="T73" s="6">
        <v>0</v>
      </c>
      <c r="U73" s="2"/>
      <c r="V73" s="7">
        <f t="shared" si="28"/>
        <v>0</v>
      </c>
      <c r="W73" s="2"/>
      <c r="X73" s="6">
        <f t="shared" si="29"/>
        <v>316.16000000000003</v>
      </c>
      <c r="Y73" s="2"/>
      <c r="Z73" s="7">
        <f t="shared" si="30"/>
        <v>0</v>
      </c>
    </row>
    <row r="74" spans="1:26" s="24" customFormat="1" hidden="1" outlineLevel="2" x14ac:dyDescent="0.25">
      <c r="A74" s="25"/>
      <c r="B74" s="11" t="str">
        <f>CONCATENATE("          ", "6007", " - ", "STUDENT HOURLY")</f>
        <v xml:space="preserve">          6007 - STUDENT HOURLY</v>
      </c>
      <c r="C74" s="11"/>
      <c r="D74" s="6">
        <v>6430.95</v>
      </c>
      <c r="E74" s="2"/>
      <c r="F74" s="7">
        <f t="shared" si="23"/>
        <v>0.23877248232490686</v>
      </c>
      <c r="G74" s="2"/>
      <c r="H74" s="6">
        <v>0</v>
      </c>
      <c r="I74" s="2"/>
      <c r="J74" s="7">
        <f t="shared" si="24"/>
        <v>0</v>
      </c>
      <c r="K74" s="2"/>
      <c r="L74" s="6">
        <f t="shared" si="25"/>
        <v>6430.95</v>
      </c>
      <c r="M74" s="2"/>
      <c r="N74" s="7">
        <f t="shared" si="26"/>
        <v>0</v>
      </c>
      <c r="O74" s="11"/>
      <c r="P74" s="6">
        <v>72196.920000000013</v>
      </c>
      <c r="Q74" s="2"/>
      <c r="R74" s="7">
        <f t="shared" si="27"/>
        <v>0.16796197160125795</v>
      </c>
      <c r="S74" s="2"/>
      <c r="T74" s="6">
        <v>13015.5</v>
      </c>
      <c r="U74" s="2"/>
      <c r="V74" s="7">
        <f t="shared" si="28"/>
        <v>3.1054278016417181E-2</v>
      </c>
      <c r="W74" s="2"/>
      <c r="X74" s="6">
        <f t="shared" si="29"/>
        <v>59181.420000000013</v>
      </c>
      <c r="Y74" s="2"/>
      <c r="Z74" s="7">
        <f t="shared" si="30"/>
        <v>4.5469955053589963</v>
      </c>
    </row>
    <row r="75" spans="1:26" s="24" customFormat="1" hidden="1" outlineLevel="2" x14ac:dyDescent="0.25">
      <c r="A75" s="25"/>
      <c r="B75" s="11" t="str">
        <f>CONCATENATE("          ", "6008", " - ", "STUDENT HOURLY-FICA EXEMPT")</f>
        <v xml:space="preserve">          6008 - STUDENT HOURLY-FICA EXEMPT</v>
      </c>
      <c r="C75" s="11"/>
      <c r="D75" s="6"/>
      <c r="E75" s="2"/>
      <c r="F75" s="7">
        <f t="shared" si="23"/>
        <v>0</v>
      </c>
      <c r="G75" s="2"/>
      <c r="H75" s="6">
        <v>4684.32</v>
      </c>
      <c r="I75" s="2"/>
      <c r="J75" s="7">
        <f t="shared" si="24"/>
        <v>9.5377653646128671E-2</v>
      </c>
      <c r="K75" s="2"/>
      <c r="L75" s="6">
        <f t="shared" si="25"/>
        <v>-4684.32</v>
      </c>
      <c r="M75" s="2"/>
      <c r="N75" s="7">
        <f t="shared" si="26"/>
        <v>-1</v>
      </c>
      <c r="O75" s="11"/>
      <c r="P75" s="6"/>
      <c r="Q75" s="2"/>
      <c r="R75" s="7">
        <f t="shared" si="27"/>
        <v>0</v>
      </c>
      <c r="S75" s="2"/>
      <c r="T75" s="6">
        <v>33624.959999999999</v>
      </c>
      <c r="U75" s="2"/>
      <c r="V75" s="7">
        <f t="shared" si="28"/>
        <v>8.0227333266559647E-2</v>
      </c>
      <c r="W75" s="2"/>
      <c r="X75" s="6">
        <f t="shared" si="29"/>
        <v>-33624.959999999999</v>
      </c>
      <c r="Y75" s="2"/>
      <c r="Z75" s="7">
        <f t="shared" si="30"/>
        <v>-1</v>
      </c>
    </row>
    <row r="76" spans="1:26" s="24" customFormat="1" hidden="1" outlineLevel="2" x14ac:dyDescent="0.25">
      <c r="A76" s="25"/>
      <c r="B76" s="11" t="str">
        <f>CONCATENATE("          ", "6009", " - ", "TEMPORARY-SEASONAL")</f>
        <v xml:space="preserve">          6009 - TEMPORARY-SEASONAL</v>
      </c>
      <c r="C76" s="11"/>
      <c r="D76" s="6"/>
      <c r="E76" s="2"/>
      <c r="F76" s="7">
        <f t="shared" si="23"/>
        <v>0</v>
      </c>
      <c r="G76" s="2"/>
      <c r="H76" s="6">
        <v>0</v>
      </c>
      <c r="I76" s="2"/>
      <c r="J76" s="7">
        <f t="shared" si="24"/>
        <v>0</v>
      </c>
      <c r="K76" s="2"/>
      <c r="L76" s="6">
        <f t="shared" si="25"/>
        <v>0</v>
      </c>
      <c r="M76" s="2"/>
      <c r="N76" s="7">
        <f t="shared" si="26"/>
        <v>0</v>
      </c>
      <c r="O76" s="11"/>
      <c r="P76" s="6"/>
      <c r="Q76" s="2"/>
      <c r="R76" s="7">
        <f t="shared" si="27"/>
        <v>0</v>
      </c>
      <c r="S76" s="2"/>
      <c r="T76" s="6">
        <v>0</v>
      </c>
      <c r="U76" s="2"/>
      <c r="V76" s="7">
        <f t="shared" si="28"/>
        <v>0</v>
      </c>
      <c r="W76" s="2"/>
      <c r="X76" s="6">
        <f t="shared" si="29"/>
        <v>0</v>
      </c>
      <c r="Y76" s="2"/>
      <c r="Z76" s="7">
        <f t="shared" si="30"/>
        <v>0</v>
      </c>
    </row>
    <row r="77" spans="1:26" s="24" customFormat="1" hidden="1" outlineLevel="2" x14ac:dyDescent="0.25">
      <c r="A77" s="25"/>
      <c r="B77" s="11" t="str">
        <f>CONCATENATE("          ", "6010", " - ", "GRATUITY")</f>
        <v xml:space="preserve">          6010 - GRATUITY</v>
      </c>
      <c r="C77" s="11"/>
      <c r="D77" s="6"/>
      <c r="E77" s="2"/>
      <c r="F77" s="7">
        <f t="shared" si="23"/>
        <v>0</v>
      </c>
      <c r="G77" s="2"/>
      <c r="H77" s="6">
        <v>0</v>
      </c>
      <c r="I77" s="2"/>
      <c r="J77" s="7">
        <f t="shared" si="24"/>
        <v>0</v>
      </c>
      <c r="K77" s="2"/>
      <c r="L77" s="6">
        <f t="shared" si="25"/>
        <v>0</v>
      </c>
      <c r="M77" s="2"/>
      <c r="N77" s="7">
        <f t="shared" si="26"/>
        <v>0</v>
      </c>
      <c r="O77" s="11"/>
      <c r="P77" s="6"/>
      <c r="Q77" s="2"/>
      <c r="R77" s="7">
        <f t="shared" si="27"/>
        <v>0</v>
      </c>
      <c r="S77" s="2"/>
      <c r="T77" s="6">
        <v>0</v>
      </c>
      <c r="U77" s="2"/>
      <c r="V77" s="7">
        <f t="shared" si="28"/>
        <v>0</v>
      </c>
      <c r="W77" s="2"/>
      <c r="X77" s="6">
        <f t="shared" si="29"/>
        <v>0</v>
      </c>
      <c r="Y77" s="2"/>
      <c r="Z77" s="7">
        <f t="shared" si="30"/>
        <v>0</v>
      </c>
    </row>
    <row r="78" spans="1:26" s="27" customFormat="1" outlineLevel="1" collapsed="1" x14ac:dyDescent="0.25">
      <c r="A78" s="26"/>
      <c r="B78" s="13" t="str">
        <f>CONCATENATE("     ","Advertising/Promo                                 ")</f>
        <v xml:space="preserve">     Advertising/Promo                                 </v>
      </c>
      <c r="C78" s="13"/>
      <c r="D78" s="1">
        <f>SUM(OSRRefD22_2x_0)</f>
        <v>0</v>
      </c>
      <c r="E78" s="1"/>
      <c r="F78" s="5">
        <f t="shared" ref="F78:F82" si="31">IF(D$12=0,0,D78/D$12)</f>
        <v>0</v>
      </c>
      <c r="G78" s="1"/>
      <c r="H78" s="1">
        <f>SUM(OSRRefH22_2x_0)</f>
        <v>250</v>
      </c>
      <c r="I78" s="1"/>
      <c r="J78" s="5">
        <f t="shared" ref="J78:J82" si="32">IF(H$12=0,0,H78/H$12)</f>
        <v>5.0902614278128247E-3</v>
      </c>
      <c r="K78" s="1"/>
      <c r="L78" s="1">
        <f t="shared" ref="L78:L82" si="33">+D78-H78</f>
        <v>-250</v>
      </c>
      <c r="M78" s="1"/>
      <c r="N78" s="5">
        <f t="shared" ref="N78:N82" si="34">IF(H78=0,0,L78/H78)</f>
        <v>-1</v>
      </c>
      <c r="O78" s="13"/>
      <c r="P78" s="1">
        <f>SUM(OSRRefP22_2x_0)</f>
        <v>2838.98</v>
      </c>
      <c r="Q78" s="1"/>
      <c r="R78" s="5">
        <f t="shared" ref="R78:R82" si="35">IF(P$12=0,0,P78/P$12)</f>
        <v>6.6047232781750141E-3</v>
      </c>
      <c r="S78" s="1"/>
      <c r="T78" s="1">
        <f>SUM(OSRRefT22_2x_0)</f>
        <v>5000</v>
      </c>
      <c r="U78" s="1"/>
      <c r="V78" s="5">
        <f t="shared" ref="V78:V82" si="36">IF(T$12=0,0,T78/T$12)</f>
        <v>1.1929729175374432E-2</v>
      </c>
      <c r="W78" s="1"/>
      <c r="X78" s="1">
        <f t="shared" ref="X78:X82" si="37">+P78-T78</f>
        <v>-2161.02</v>
      </c>
      <c r="Y78" s="1"/>
      <c r="Z78" s="5">
        <f t="shared" ref="Z78:Z82" si="38">IF(T78=0,0,X78/T78)</f>
        <v>-0.43220399999999998</v>
      </c>
    </row>
    <row r="79" spans="1:26" s="24" customFormat="1" hidden="1" outlineLevel="2" x14ac:dyDescent="0.25">
      <c r="A79" s="25"/>
      <c r="B79" s="11" t="str">
        <f>CONCATENATE("          ", "6362", " - ", "ADVERTISING EXPENSE")</f>
        <v xml:space="preserve">          6362 - ADVERTISING EXPENSE</v>
      </c>
      <c r="C79" s="11"/>
      <c r="D79" s="6"/>
      <c r="E79" s="2"/>
      <c r="F79" s="7">
        <f t="shared" si="31"/>
        <v>0</v>
      </c>
      <c r="G79" s="2"/>
      <c r="H79" s="6">
        <v>250</v>
      </c>
      <c r="I79" s="2"/>
      <c r="J79" s="7">
        <f t="shared" si="32"/>
        <v>5.0902614278128247E-3</v>
      </c>
      <c r="K79" s="2"/>
      <c r="L79" s="6">
        <f t="shared" si="33"/>
        <v>-250</v>
      </c>
      <c r="M79" s="2"/>
      <c r="N79" s="7">
        <f t="shared" si="34"/>
        <v>-1</v>
      </c>
      <c r="O79" s="11"/>
      <c r="P79" s="6">
        <v>2838.98</v>
      </c>
      <c r="Q79" s="2"/>
      <c r="R79" s="7">
        <f t="shared" si="35"/>
        <v>6.6047232781750141E-3</v>
      </c>
      <c r="S79" s="2"/>
      <c r="T79" s="6">
        <v>5000</v>
      </c>
      <c r="U79" s="2"/>
      <c r="V79" s="7">
        <f t="shared" si="36"/>
        <v>1.1929729175374432E-2</v>
      </c>
      <c r="W79" s="2"/>
      <c r="X79" s="6">
        <f t="shared" si="37"/>
        <v>-2161.02</v>
      </c>
      <c r="Y79" s="2"/>
      <c r="Z79" s="7">
        <f t="shared" si="38"/>
        <v>-0.43220399999999998</v>
      </c>
    </row>
    <row r="80" spans="1:26" s="27" customFormat="1" outlineLevel="1" collapsed="1" x14ac:dyDescent="0.25">
      <c r="A80" s="26"/>
      <c r="B80" s="13" t="str">
        <f>CONCATENATE("     ","Bad Debts/Over/Short                              ")</f>
        <v xml:space="preserve">     Bad Debts/Over/Short                              </v>
      </c>
      <c r="C80" s="13"/>
      <c r="D80" s="1">
        <f>SUM(OSRRefD22_3x_0)</f>
        <v>-0.03</v>
      </c>
      <c r="E80" s="1"/>
      <c r="F80" s="5">
        <f t="shared" si="31"/>
        <v>-1.1138594561841106E-6</v>
      </c>
      <c r="G80" s="1"/>
      <c r="H80" s="1">
        <f>SUM(OSRRefH22_3x_0)</f>
        <v>10</v>
      </c>
      <c r="I80" s="1"/>
      <c r="J80" s="5">
        <f t="shared" si="32"/>
        <v>2.0361045711251297E-4</v>
      </c>
      <c r="K80" s="1"/>
      <c r="L80" s="1">
        <f t="shared" si="33"/>
        <v>-10.029999999999999</v>
      </c>
      <c r="M80" s="1"/>
      <c r="N80" s="5">
        <f t="shared" si="34"/>
        <v>-1.0029999999999999</v>
      </c>
      <c r="O80" s="13"/>
      <c r="P80" s="1">
        <f>SUM(OSRRefP22_3x_0)</f>
        <v>44.45</v>
      </c>
      <c r="Q80" s="1"/>
      <c r="R80" s="5">
        <f t="shared" si="35"/>
        <v>1.0341036207189884E-4</v>
      </c>
      <c r="S80" s="1"/>
      <c r="T80" s="1">
        <f>SUM(OSRRefT22_3x_0)</f>
        <v>90</v>
      </c>
      <c r="U80" s="1"/>
      <c r="V80" s="5">
        <f t="shared" si="36"/>
        <v>2.1473512515673976E-4</v>
      </c>
      <c r="W80" s="1"/>
      <c r="X80" s="1">
        <f t="shared" si="37"/>
        <v>-45.55</v>
      </c>
      <c r="Y80" s="1"/>
      <c r="Z80" s="5">
        <f t="shared" si="38"/>
        <v>-0.50611111111111107</v>
      </c>
    </row>
    <row r="81" spans="1:26" s="24" customFormat="1" hidden="1" outlineLevel="2" x14ac:dyDescent="0.25">
      <c r="A81" s="25"/>
      <c r="B81" s="11" t="str">
        <f>CONCATENATE("          ", "6272", " - ", "CASH (OVER/SHORT)")</f>
        <v xml:space="preserve">          6272 - CASH (OVER/SHORT)</v>
      </c>
      <c r="C81" s="11"/>
      <c r="D81" s="6">
        <v>-0.03</v>
      </c>
      <c r="E81" s="2"/>
      <c r="F81" s="7">
        <f t="shared" si="31"/>
        <v>-1.1138594561841106E-6</v>
      </c>
      <c r="G81" s="2"/>
      <c r="H81" s="6"/>
      <c r="I81" s="2"/>
      <c r="J81" s="7">
        <f t="shared" si="32"/>
        <v>0</v>
      </c>
      <c r="K81" s="2"/>
      <c r="L81" s="6">
        <f t="shared" si="33"/>
        <v>-0.03</v>
      </c>
      <c r="M81" s="2"/>
      <c r="N81" s="7">
        <f t="shared" si="34"/>
        <v>0</v>
      </c>
      <c r="O81" s="11"/>
      <c r="P81" s="6">
        <v>44.45</v>
      </c>
      <c r="Q81" s="2"/>
      <c r="R81" s="7">
        <f t="shared" si="35"/>
        <v>1.0341036207189884E-4</v>
      </c>
      <c r="S81" s="2"/>
      <c r="T81" s="6"/>
      <c r="U81" s="2"/>
      <c r="V81" s="7">
        <f t="shared" si="36"/>
        <v>0</v>
      </c>
      <c r="W81" s="2"/>
      <c r="X81" s="6">
        <f t="shared" si="37"/>
        <v>44.45</v>
      </c>
      <c r="Y81" s="2"/>
      <c r="Z81" s="7">
        <f t="shared" si="38"/>
        <v>0</v>
      </c>
    </row>
    <row r="82" spans="1:26" s="24" customFormat="1" hidden="1" outlineLevel="2" x14ac:dyDescent="0.25">
      <c r="A82" s="25"/>
      <c r="B82" s="11" t="str">
        <f>CONCATENATE("          ", "6342", " - ", "BAD DEBT")</f>
        <v xml:space="preserve">          6342 - BAD DEBT</v>
      </c>
      <c r="C82" s="11"/>
      <c r="D82" s="6"/>
      <c r="E82" s="2"/>
      <c r="F82" s="7">
        <f t="shared" si="31"/>
        <v>0</v>
      </c>
      <c r="G82" s="2"/>
      <c r="H82" s="6">
        <v>10</v>
      </c>
      <c r="I82" s="2"/>
      <c r="J82" s="7">
        <f t="shared" si="32"/>
        <v>2.0361045711251297E-4</v>
      </c>
      <c r="K82" s="2"/>
      <c r="L82" s="6">
        <f t="shared" si="33"/>
        <v>-10</v>
      </c>
      <c r="M82" s="2"/>
      <c r="N82" s="7">
        <f t="shared" si="34"/>
        <v>-1</v>
      </c>
      <c r="O82" s="11"/>
      <c r="P82" s="6"/>
      <c r="Q82" s="2"/>
      <c r="R82" s="7">
        <f t="shared" si="35"/>
        <v>0</v>
      </c>
      <c r="S82" s="2"/>
      <c r="T82" s="6">
        <v>90</v>
      </c>
      <c r="U82" s="2"/>
      <c r="V82" s="7">
        <f t="shared" si="36"/>
        <v>2.1473512515673976E-4</v>
      </c>
      <c r="W82" s="2"/>
      <c r="X82" s="6">
        <f t="shared" si="37"/>
        <v>-90</v>
      </c>
      <c r="Y82" s="2"/>
      <c r="Z82" s="7">
        <f t="shared" si="38"/>
        <v>-1</v>
      </c>
    </row>
    <row r="83" spans="1:26" s="27" customFormat="1" outlineLevel="1" collapsed="1" x14ac:dyDescent="0.25">
      <c r="A83" s="26"/>
      <c r="B83" s="13" t="str">
        <f>CONCATENATE("     ","Bank/card Fees                                    ")</f>
        <v xml:space="preserve">     Bank/card Fees                                    </v>
      </c>
      <c r="C83" s="13"/>
      <c r="D83" s="1">
        <f>SUM(OSRRefD22_4x_0)</f>
        <v>347.43</v>
      </c>
      <c r="E83" s="1"/>
      <c r="F83" s="5">
        <f t="shared" ref="F83:F103" si="39">IF(D$12=0,0,D83/D$12)</f>
        <v>1.2899606362068184E-2</v>
      </c>
      <c r="G83" s="1"/>
      <c r="H83" s="1">
        <f>SUM(OSRRefH22_4x_0)</f>
        <v>700</v>
      </c>
      <c r="I83" s="1"/>
      <c r="J83" s="5">
        <f t="shared" ref="J83:J103" si="40">IF(H$12=0,0,H83/H$12)</f>
        <v>1.425273199787591E-2</v>
      </c>
      <c r="K83" s="1"/>
      <c r="L83" s="1">
        <f t="shared" ref="L83:L103" si="41">+D83-H83</f>
        <v>-352.57</v>
      </c>
      <c r="M83" s="1"/>
      <c r="N83" s="5">
        <f t="shared" ref="N83:N103" si="42">IF(H83=0,0,L83/H83)</f>
        <v>-0.50367142857142855</v>
      </c>
      <c r="O83" s="13"/>
      <c r="P83" s="1">
        <f>SUM(OSRRefP22_4x_0)</f>
        <v>6147.88</v>
      </c>
      <c r="Q83" s="1"/>
      <c r="R83" s="5">
        <f t="shared" ref="R83:R103" si="43">IF(P$12=0,0,P83/P$12)</f>
        <v>1.4302688341385499E-2</v>
      </c>
      <c r="S83" s="1"/>
      <c r="T83" s="1">
        <f>SUM(OSRRefT22_4x_0)</f>
        <v>6285</v>
      </c>
      <c r="U83" s="1"/>
      <c r="V83" s="5">
        <f t="shared" ref="V83:V103" si="44">IF(T$12=0,0,T83/T$12)</f>
        <v>1.499566957344566E-2</v>
      </c>
      <c r="W83" s="1"/>
      <c r="X83" s="1">
        <f t="shared" ref="X83:X103" si="45">+P83-T83</f>
        <v>-137.11999999999989</v>
      </c>
      <c r="Y83" s="1"/>
      <c r="Z83" s="5">
        <f t="shared" ref="Z83:Z103" si="46">IF(T83=0,0,X83/T83)</f>
        <v>-2.1817024661893381E-2</v>
      </c>
    </row>
    <row r="84" spans="1:26" s="24" customFormat="1" hidden="1" outlineLevel="2" x14ac:dyDescent="0.25">
      <c r="A84" s="25"/>
      <c r="B84" s="11" t="str">
        <f>CONCATENATE("          ", "6381", " - ", "BANK/CREDIT CARD FEES")</f>
        <v xml:space="preserve">          6381 - BANK/CREDIT CARD FEES</v>
      </c>
      <c r="C84" s="11"/>
      <c r="D84" s="6">
        <v>347.43</v>
      </c>
      <c r="E84" s="2"/>
      <c r="F84" s="7">
        <f t="shared" si="39"/>
        <v>1.2899606362068184E-2</v>
      </c>
      <c r="G84" s="2"/>
      <c r="H84" s="6">
        <v>700</v>
      </c>
      <c r="I84" s="2"/>
      <c r="J84" s="7">
        <f t="shared" si="40"/>
        <v>1.425273199787591E-2</v>
      </c>
      <c r="K84" s="2"/>
      <c r="L84" s="6">
        <f t="shared" si="41"/>
        <v>-352.57</v>
      </c>
      <c r="M84" s="2"/>
      <c r="N84" s="7">
        <f t="shared" si="42"/>
        <v>-0.50367142857142855</v>
      </c>
      <c r="O84" s="11"/>
      <c r="P84" s="6">
        <v>6147.88</v>
      </c>
      <c r="Q84" s="2"/>
      <c r="R84" s="7">
        <f t="shared" si="43"/>
        <v>1.4302688341385499E-2</v>
      </c>
      <c r="S84" s="2"/>
      <c r="T84" s="6">
        <v>6285</v>
      </c>
      <c r="U84" s="2"/>
      <c r="V84" s="7">
        <f t="shared" si="44"/>
        <v>1.499566957344566E-2</v>
      </c>
      <c r="W84" s="2"/>
      <c r="X84" s="6">
        <f t="shared" si="45"/>
        <v>-137.11999999999989</v>
      </c>
      <c r="Y84" s="2"/>
      <c r="Z84" s="7">
        <f t="shared" si="46"/>
        <v>-2.1817024661893381E-2</v>
      </c>
    </row>
    <row r="85" spans="1:26" s="27" customFormat="1" outlineLevel="1" collapsed="1" x14ac:dyDescent="0.25">
      <c r="A85" s="26"/>
      <c r="B85" s="13" t="str">
        <f>CONCATENATE("     ","Discounts and Markdowns                           ")</f>
        <v xml:space="preserve">     Discounts and Markdowns                           </v>
      </c>
      <c r="C85" s="13"/>
      <c r="D85" s="1">
        <f>SUM(OSRRefD22_5x_0)</f>
        <v>2330.0300000000002</v>
      </c>
      <c r="E85" s="1"/>
      <c r="F85" s="5">
        <f t="shared" si="39"/>
        <v>8.6510864956422115E-2</v>
      </c>
      <c r="G85" s="1"/>
      <c r="H85" s="1">
        <f>SUM(OSRRefH22_5x_0)</f>
        <v>3000</v>
      </c>
      <c r="I85" s="1"/>
      <c r="J85" s="5">
        <f t="shared" si="40"/>
        <v>6.1083137133753893E-2</v>
      </c>
      <c r="K85" s="1"/>
      <c r="L85" s="1">
        <f t="shared" si="41"/>
        <v>-669.9699999999998</v>
      </c>
      <c r="M85" s="1"/>
      <c r="N85" s="5">
        <f t="shared" si="42"/>
        <v>-0.22332333333333326</v>
      </c>
      <c r="O85" s="13"/>
      <c r="P85" s="1">
        <f>SUM(OSRRefP22_5x_0)</f>
        <v>68571.64</v>
      </c>
      <c r="Q85" s="1"/>
      <c r="R85" s="5">
        <f t="shared" si="43"/>
        <v>0.15952796671009903</v>
      </c>
      <c r="S85" s="1"/>
      <c r="T85" s="1">
        <f>SUM(OSRRefT22_5x_0)</f>
        <v>37000</v>
      </c>
      <c r="U85" s="1"/>
      <c r="V85" s="5">
        <f t="shared" si="44"/>
        <v>8.8279995897770788E-2</v>
      </c>
      <c r="W85" s="1"/>
      <c r="X85" s="1">
        <f t="shared" si="45"/>
        <v>31571.64</v>
      </c>
      <c r="Y85" s="1"/>
      <c r="Z85" s="5">
        <f t="shared" si="46"/>
        <v>0.85328756756756752</v>
      </c>
    </row>
    <row r="86" spans="1:26" s="24" customFormat="1" hidden="1" outlineLevel="2" x14ac:dyDescent="0.25">
      <c r="A86" s="25"/>
      <c r="B86" s="11" t="str">
        <f>CONCATENATE("          ", "6382", " - ", "DISCOUNTS/MARK DOWNS")</f>
        <v xml:space="preserve">          6382 - DISCOUNTS/MARK DOWNS</v>
      </c>
      <c r="C86" s="11"/>
      <c r="D86" s="6">
        <v>2330.0300000000002</v>
      </c>
      <c r="E86" s="2"/>
      <c r="F86" s="7">
        <f t="shared" si="39"/>
        <v>8.6510864956422115E-2</v>
      </c>
      <c r="G86" s="2"/>
      <c r="H86" s="6">
        <v>3000</v>
      </c>
      <c r="I86" s="2"/>
      <c r="J86" s="7">
        <f t="shared" si="40"/>
        <v>6.1083137133753893E-2</v>
      </c>
      <c r="K86" s="2"/>
      <c r="L86" s="6">
        <f t="shared" si="41"/>
        <v>-669.9699999999998</v>
      </c>
      <c r="M86" s="2"/>
      <c r="N86" s="7">
        <f t="shared" si="42"/>
        <v>-0.22332333333333326</v>
      </c>
      <c r="O86" s="11"/>
      <c r="P86" s="6">
        <v>68571.64</v>
      </c>
      <c r="Q86" s="2"/>
      <c r="R86" s="7">
        <f t="shared" si="43"/>
        <v>0.15952796671009903</v>
      </c>
      <c r="S86" s="2"/>
      <c r="T86" s="6">
        <v>37000</v>
      </c>
      <c r="U86" s="2"/>
      <c r="V86" s="7">
        <f t="shared" si="44"/>
        <v>8.8279995897770788E-2</v>
      </c>
      <c r="W86" s="2"/>
      <c r="X86" s="6">
        <f t="shared" si="45"/>
        <v>31571.64</v>
      </c>
      <c r="Y86" s="2"/>
      <c r="Z86" s="7">
        <f t="shared" si="46"/>
        <v>0.85328756756756752</v>
      </c>
    </row>
    <row r="87" spans="1:26" s="27" customFormat="1" outlineLevel="1" collapsed="1" x14ac:dyDescent="0.25">
      <c r="A87" s="26"/>
      <c r="B87" s="13" t="str">
        <f>CONCATENATE("     ","Donations                                         ")</f>
        <v xml:space="preserve">     Donations                                         </v>
      </c>
      <c r="C87" s="13"/>
      <c r="D87" s="1">
        <f>SUM(OSRRefD22_6x_0)</f>
        <v>0</v>
      </c>
      <c r="E87" s="1"/>
      <c r="F87" s="5">
        <f t="shared" si="39"/>
        <v>0</v>
      </c>
      <c r="G87" s="1"/>
      <c r="H87" s="1">
        <f>SUM(OSRRefH22_6x_0)</f>
        <v>25</v>
      </c>
      <c r="I87" s="1"/>
      <c r="J87" s="5">
        <f t="shared" si="40"/>
        <v>5.0902614278128245E-4</v>
      </c>
      <c r="K87" s="1"/>
      <c r="L87" s="1">
        <f t="shared" si="41"/>
        <v>-25</v>
      </c>
      <c r="M87" s="1"/>
      <c r="N87" s="5">
        <f t="shared" si="42"/>
        <v>-1</v>
      </c>
      <c r="O87" s="13"/>
      <c r="P87" s="1">
        <f>SUM(OSRRefP22_6x_0)</f>
        <v>0</v>
      </c>
      <c r="Q87" s="1"/>
      <c r="R87" s="5">
        <f t="shared" si="43"/>
        <v>0</v>
      </c>
      <c r="S87" s="1"/>
      <c r="T87" s="1">
        <f>SUM(OSRRefT22_6x_0)</f>
        <v>300</v>
      </c>
      <c r="U87" s="1"/>
      <c r="V87" s="5">
        <f t="shared" si="44"/>
        <v>7.157837505224659E-4</v>
      </c>
      <c r="W87" s="1"/>
      <c r="X87" s="1">
        <f t="shared" si="45"/>
        <v>-300</v>
      </c>
      <c r="Y87" s="1"/>
      <c r="Z87" s="5">
        <f t="shared" si="46"/>
        <v>-1</v>
      </c>
    </row>
    <row r="88" spans="1:26" s="24" customFormat="1" hidden="1" outlineLevel="2" x14ac:dyDescent="0.25">
      <c r="A88" s="25"/>
      <c r="B88" s="11" t="str">
        <f>CONCATENATE("          ", "6395", " - ", "DONATION-OFF CAMPUS")</f>
        <v xml:space="preserve">          6395 - DONATION-OFF CAMPUS</v>
      </c>
      <c r="C88" s="11"/>
      <c r="D88" s="6"/>
      <c r="E88" s="2"/>
      <c r="F88" s="7">
        <f t="shared" si="39"/>
        <v>0</v>
      </c>
      <c r="G88" s="2"/>
      <c r="H88" s="6">
        <v>25</v>
      </c>
      <c r="I88" s="2"/>
      <c r="J88" s="7">
        <f t="shared" si="40"/>
        <v>5.0902614278128245E-4</v>
      </c>
      <c r="K88" s="2"/>
      <c r="L88" s="6">
        <f t="shared" si="41"/>
        <v>-25</v>
      </c>
      <c r="M88" s="2"/>
      <c r="N88" s="7">
        <f t="shared" si="42"/>
        <v>-1</v>
      </c>
      <c r="O88" s="11"/>
      <c r="P88" s="6"/>
      <c r="Q88" s="2"/>
      <c r="R88" s="7">
        <f t="shared" si="43"/>
        <v>0</v>
      </c>
      <c r="S88" s="2"/>
      <c r="T88" s="6">
        <v>300</v>
      </c>
      <c r="U88" s="2"/>
      <c r="V88" s="7">
        <f t="shared" si="44"/>
        <v>7.157837505224659E-4</v>
      </c>
      <c r="W88" s="2"/>
      <c r="X88" s="6">
        <f t="shared" si="45"/>
        <v>-300</v>
      </c>
      <c r="Y88" s="2"/>
      <c r="Z88" s="7">
        <f t="shared" si="46"/>
        <v>-1</v>
      </c>
    </row>
    <row r="89" spans="1:26" s="27" customFormat="1" outlineLevel="1" collapsed="1" x14ac:dyDescent="0.25">
      <c r="A89" s="26"/>
      <c r="B89" s="13" t="str">
        <f>CONCATENATE("     ","Employees' Appreciation                           ")</f>
        <v xml:space="preserve">     Employees' Appreciation                           </v>
      </c>
      <c r="C89" s="13"/>
      <c r="D89" s="1">
        <f>SUM(OSRRefD22_7x_0)</f>
        <v>0</v>
      </c>
      <c r="E89" s="1"/>
      <c r="F89" s="5">
        <f t="shared" si="39"/>
        <v>0</v>
      </c>
      <c r="G89" s="1"/>
      <c r="H89" s="1">
        <f>SUM(OSRRefH22_7x_0)</f>
        <v>50</v>
      </c>
      <c r="I89" s="1"/>
      <c r="J89" s="5">
        <f t="shared" si="40"/>
        <v>1.0180522855625649E-3</v>
      </c>
      <c r="K89" s="1"/>
      <c r="L89" s="1">
        <f t="shared" si="41"/>
        <v>-50</v>
      </c>
      <c r="M89" s="1"/>
      <c r="N89" s="5">
        <f t="shared" si="42"/>
        <v>-1</v>
      </c>
      <c r="O89" s="13"/>
      <c r="P89" s="1">
        <f>SUM(OSRRefP22_7x_0)</f>
        <v>120.93</v>
      </c>
      <c r="Q89" s="1"/>
      <c r="R89" s="5">
        <f t="shared" si="43"/>
        <v>2.8133667233643932E-4</v>
      </c>
      <c r="S89" s="1"/>
      <c r="T89" s="1">
        <f>SUM(OSRRefT22_7x_0)</f>
        <v>450</v>
      </c>
      <c r="U89" s="1"/>
      <c r="V89" s="5">
        <f t="shared" si="44"/>
        <v>1.0736756257836988E-3</v>
      </c>
      <c r="W89" s="1"/>
      <c r="X89" s="1">
        <f t="shared" si="45"/>
        <v>-329.07</v>
      </c>
      <c r="Y89" s="1"/>
      <c r="Z89" s="5">
        <f t="shared" si="46"/>
        <v>-0.73126666666666662</v>
      </c>
    </row>
    <row r="90" spans="1:26" s="24" customFormat="1" hidden="1" outlineLevel="2" x14ac:dyDescent="0.25">
      <c r="A90" s="25"/>
      <c r="B90" s="11" t="str">
        <f>CONCATENATE("          ", "6277", " - ", "EMPLOYEE APPRECIATION")</f>
        <v xml:space="preserve">          6277 - EMPLOYEE APPRECIATION</v>
      </c>
      <c r="C90" s="11"/>
      <c r="D90" s="6"/>
      <c r="E90" s="2"/>
      <c r="F90" s="7">
        <f t="shared" si="39"/>
        <v>0</v>
      </c>
      <c r="G90" s="2"/>
      <c r="H90" s="6">
        <v>50</v>
      </c>
      <c r="I90" s="2"/>
      <c r="J90" s="7">
        <f t="shared" si="40"/>
        <v>1.0180522855625649E-3</v>
      </c>
      <c r="K90" s="2"/>
      <c r="L90" s="6">
        <f t="shared" si="41"/>
        <v>-50</v>
      </c>
      <c r="M90" s="2"/>
      <c r="N90" s="7">
        <f t="shared" si="42"/>
        <v>-1</v>
      </c>
      <c r="O90" s="11"/>
      <c r="P90" s="6">
        <v>120.93</v>
      </c>
      <c r="Q90" s="2"/>
      <c r="R90" s="7">
        <f t="shared" si="43"/>
        <v>2.8133667233643932E-4</v>
      </c>
      <c r="S90" s="2"/>
      <c r="T90" s="6">
        <v>450</v>
      </c>
      <c r="U90" s="2"/>
      <c r="V90" s="7">
        <f t="shared" si="44"/>
        <v>1.0736756257836988E-3</v>
      </c>
      <c r="W90" s="2"/>
      <c r="X90" s="6">
        <f t="shared" si="45"/>
        <v>-329.07</v>
      </c>
      <c r="Y90" s="2"/>
      <c r="Z90" s="7">
        <f t="shared" si="46"/>
        <v>-0.73126666666666662</v>
      </c>
    </row>
    <row r="91" spans="1:26" s="27" customFormat="1" outlineLevel="1" collapsed="1" x14ac:dyDescent="0.25">
      <c r="A91" s="26"/>
      <c r="B91" s="13" t="str">
        <f>CONCATENATE("     ","General                                           ")</f>
        <v xml:space="preserve">     General                                           </v>
      </c>
      <c r="C91" s="13"/>
      <c r="D91" s="1">
        <f>SUM(OSRRefD22_8x_0)</f>
        <v>0</v>
      </c>
      <c r="E91" s="1"/>
      <c r="F91" s="5">
        <f t="shared" si="39"/>
        <v>0</v>
      </c>
      <c r="G91" s="1"/>
      <c r="H91" s="1">
        <f>SUM(OSRRefH22_8x_0)</f>
        <v>0</v>
      </c>
      <c r="I91" s="1"/>
      <c r="J91" s="5">
        <f t="shared" si="40"/>
        <v>0</v>
      </c>
      <c r="K91" s="1"/>
      <c r="L91" s="1">
        <f t="shared" si="41"/>
        <v>0</v>
      </c>
      <c r="M91" s="1"/>
      <c r="N91" s="5">
        <f t="shared" si="42"/>
        <v>0</v>
      </c>
      <c r="O91" s="13"/>
      <c r="P91" s="1">
        <f>SUM(OSRRefP22_8x_0)</f>
        <v>1271.44</v>
      </c>
      <c r="Q91" s="1"/>
      <c r="R91" s="5">
        <f t="shared" si="43"/>
        <v>2.9579318504543324E-3</v>
      </c>
      <c r="S91" s="1"/>
      <c r="T91" s="1">
        <f>SUM(OSRRefT22_8x_0)</f>
        <v>1615</v>
      </c>
      <c r="U91" s="1"/>
      <c r="V91" s="5">
        <f t="shared" si="44"/>
        <v>3.8533025236459416E-3</v>
      </c>
      <c r="W91" s="1"/>
      <c r="X91" s="1">
        <f t="shared" si="45"/>
        <v>-343.55999999999995</v>
      </c>
      <c r="Y91" s="1"/>
      <c r="Z91" s="5">
        <f t="shared" si="46"/>
        <v>-0.21273065015479872</v>
      </c>
    </row>
    <row r="92" spans="1:26" s="24" customFormat="1" hidden="1" outlineLevel="2" x14ac:dyDescent="0.25">
      <c r="A92" s="25"/>
      <c r="B92" s="11" t="str">
        <f>CONCATENATE("          ", "6279", " - ", "GENERAL EXPENSE")</f>
        <v xml:space="preserve">          6279 - GENERAL EXPENSE</v>
      </c>
      <c r="C92" s="11"/>
      <c r="D92" s="6"/>
      <c r="E92" s="2"/>
      <c r="F92" s="7">
        <f t="shared" si="39"/>
        <v>0</v>
      </c>
      <c r="G92" s="2"/>
      <c r="H92" s="6">
        <v>0</v>
      </c>
      <c r="I92" s="2"/>
      <c r="J92" s="7">
        <f t="shared" si="40"/>
        <v>0</v>
      </c>
      <c r="K92" s="2"/>
      <c r="L92" s="6">
        <f t="shared" si="41"/>
        <v>0</v>
      </c>
      <c r="M92" s="2"/>
      <c r="N92" s="7">
        <f t="shared" si="42"/>
        <v>0</v>
      </c>
      <c r="O92" s="11"/>
      <c r="P92" s="6">
        <v>1271.44</v>
      </c>
      <c r="Q92" s="2"/>
      <c r="R92" s="7">
        <f t="shared" si="43"/>
        <v>2.9579318504543324E-3</v>
      </c>
      <c r="S92" s="2"/>
      <c r="T92" s="6">
        <v>1615</v>
      </c>
      <c r="U92" s="2"/>
      <c r="V92" s="7">
        <f t="shared" si="44"/>
        <v>3.8533025236459416E-3</v>
      </c>
      <c r="W92" s="2"/>
      <c r="X92" s="6">
        <f t="shared" si="45"/>
        <v>-343.55999999999995</v>
      </c>
      <c r="Y92" s="2"/>
      <c r="Z92" s="7">
        <f t="shared" si="46"/>
        <v>-0.21273065015479872</v>
      </c>
    </row>
    <row r="93" spans="1:26" s="27" customFormat="1" outlineLevel="1" collapsed="1" x14ac:dyDescent="0.25">
      <c r="A93" s="26"/>
      <c r="B93" s="13" t="str">
        <f>CONCATENATE("     ","Insurance                                         ")</f>
        <v xml:space="preserve">     Insurance                                         </v>
      </c>
      <c r="C93" s="13"/>
      <c r="D93" s="1">
        <f>SUM(OSRRefD22_9x_0)</f>
        <v>161.18</v>
      </c>
      <c r="E93" s="1"/>
      <c r="F93" s="5">
        <f t="shared" si="39"/>
        <v>5.9843955715918312E-3</v>
      </c>
      <c r="G93" s="1"/>
      <c r="H93" s="1">
        <f>SUM(OSRRefH22_9x_0)</f>
        <v>155</v>
      </c>
      <c r="I93" s="1"/>
      <c r="J93" s="5">
        <f t="shared" si="40"/>
        <v>3.1559620852439512E-3</v>
      </c>
      <c r="K93" s="1"/>
      <c r="L93" s="1">
        <f t="shared" si="41"/>
        <v>6.1800000000000068</v>
      </c>
      <c r="M93" s="1"/>
      <c r="N93" s="5">
        <f t="shared" si="42"/>
        <v>3.9870967741935527E-2</v>
      </c>
      <c r="O93" s="13"/>
      <c r="P93" s="1">
        <f>SUM(OSRRefP22_9x_0)</f>
        <v>1450.62</v>
      </c>
      <c r="Q93" s="1"/>
      <c r="R93" s="5">
        <f t="shared" si="43"/>
        <v>3.3747837891729558E-3</v>
      </c>
      <c r="S93" s="1"/>
      <c r="T93" s="1">
        <f>SUM(OSRRefT22_9x_0)</f>
        <v>1395</v>
      </c>
      <c r="U93" s="1"/>
      <c r="V93" s="5">
        <f t="shared" si="44"/>
        <v>3.3283944399294663E-3</v>
      </c>
      <c r="W93" s="1"/>
      <c r="X93" s="1">
        <f t="shared" si="45"/>
        <v>55.619999999999891</v>
      </c>
      <c r="Y93" s="1"/>
      <c r="Z93" s="5">
        <f t="shared" si="46"/>
        <v>3.9870967741935402E-2</v>
      </c>
    </row>
    <row r="94" spans="1:26" s="24" customFormat="1" hidden="1" outlineLevel="2" x14ac:dyDescent="0.25">
      <c r="A94" s="25"/>
      <c r="B94" s="11" t="str">
        <f>CONCATENATE("          ", "6314", " - ", "LIABILITY INSURANCE")</f>
        <v xml:space="preserve">          6314 - LIABILITY INSURANCE</v>
      </c>
      <c r="C94" s="11"/>
      <c r="D94" s="6">
        <v>161.18</v>
      </c>
      <c r="E94" s="2"/>
      <c r="F94" s="7">
        <f t="shared" si="39"/>
        <v>5.9843955715918312E-3</v>
      </c>
      <c r="G94" s="2"/>
      <c r="H94" s="6">
        <v>155</v>
      </c>
      <c r="I94" s="2"/>
      <c r="J94" s="7">
        <f t="shared" si="40"/>
        <v>3.1559620852439512E-3</v>
      </c>
      <c r="K94" s="2"/>
      <c r="L94" s="6">
        <f t="shared" si="41"/>
        <v>6.1800000000000068</v>
      </c>
      <c r="M94" s="2"/>
      <c r="N94" s="7">
        <f t="shared" si="42"/>
        <v>3.9870967741935527E-2</v>
      </c>
      <c r="O94" s="11"/>
      <c r="P94" s="6">
        <v>1450.62</v>
      </c>
      <c r="Q94" s="2"/>
      <c r="R94" s="7">
        <f t="shared" si="43"/>
        <v>3.3747837891729558E-3</v>
      </c>
      <c r="S94" s="2"/>
      <c r="T94" s="6">
        <v>1395</v>
      </c>
      <c r="U94" s="2"/>
      <c r="V94" s="7">
        <f t="shared" si="44"/>
        <v>3.3283944399294663E-3</v>
      </c>
      <c r="W94" s="2"/>
      <c r="X94" s="6">
        <f t="shared" si="45"/>
        <v>55.619999999999891</v>
      </c>
      <c r="Y94" s="2"/>
      <c r="Z94" s="7">
        <f t="shared" si="46"/>
        <v>3.9870967741935402E-2</v>
      </c>
    </row>
    <row r="95" spans="1:26" s="27" customFormat="1" outlineLevel="1" collapsed="1" x14ac:dyDescent="0.25">
      <c r="A95" s="26"/>
      <c r="B95" s="13" t="str">
        <f>CONCATENATE("     ","Inventory Adjustment                              ")</f>
        <v xml:space="preserve">     Inventory Adjustment                              </v>
      </c>
      <c r="C95" s="13"/>
      <c r="D95" s="1">
        <f>SUM(OSRRefD22_10x_0)</f>
        <v>600</v>
      </c>
      <c r="E95" s="1"/>
      <c r="F95" s="5">
        <f t="shared" si="39"/>
        <v>2.227718912368221E-2</v>
      </c>
      <c r="G95" s="1"/>
      <c r="H95" s="1">
        <f>SUM(OSRRefH22_10x_0)</f>
        <v>600</v>
      </c>
      <c r="I95" s="1"/>
      <c r="J95" s="5">
        <f t="shared" si="40"/>
        <v>1.221662742675078E-2</v>
      </c>
      <c r="K95" s="1"/>
      <c r="L95" s="1">
        <f t="shared" si="41"/>
        <v>0</v>
      </c>
      <c r="M95" s="1"/>
      <c r="N95" s="5">
        <f t="shared" si="42"/>
        <v>0</v>
      </c>
      <c r="O95" s="13"/>
      <c r="P95" s="1">
        <f>SUM(OSRRefP22_10x_0)</f>
        <v>3000</v>
      </c>
      <c r="Q95" s="1"/>
      <c r="R95" s="5">
        <f t="shared" si="43"/>
        <v>6.9793270239751747E-3</v>
      </c>
      <c r="S95" s="1"/>
      <c r="T95" s="1">
        <f>SUM(OSRRefT22_10x_0)</f>
        <v>3000</v>
      </c>
      <c r="U95" s="1"/>
      <c r="V95" s="5">
        <f t="shared" si="44"/>
        <v>7.1578375052246592E-3</v>
      </c>
      <c r="W95" s="1"/>
      <c r="X95" s="1">
        <f t="shared" si="45"/>
        <v>0</v>
      </c>
      <c r="Y95" s="1"/>
      <c r="Z95" s="5">
        <f t="shared" si="46"/>
        <v>0</v>
      </c>
    </row>
    <row r="96" spans="1:26" s="24" customFormat="1" hidden="1" outlineLevel="2" x14ac:dyDescent="0.25">
      <c r="A96" s="25"/>
      <c r="B96" s="11" t="str">
        <f>CONCATENATE("          ", "6408", " - ", "INVENTORY ADJUSTMENT")</f>
        <v xml:space="preserve">          6408 - INVENTORY ADJUSTMENT</v>
      </c>
      <c r="C96" s="11"/>
      <c r="D96" s="6">
        <v>600</v>
      </c>
      <c r="E96" s="2"/>
      <c r="F96" s="7">
        <f t="shared" si="39"/>
        <v>2.227718912368221E-2</v>
      </c>
      <c r="G96" s="2"/>
      <c r="H96" s="6">
        <v>600</v>
      </c>
      <c r="I96" s="2"/>
      <c r="J96" s="7">
        <f t="shared" si="40"/>
        <v>1.221662742675078E-2</v>
      </c>
      <c r="K96" s="2"/>
      <c r="L96" s="6">
        <f t="shared" si="41"/>
        <v>0</v>
      </c>
      <c r="M96" s="2"/>
      <c r="N96" s="7">
        <f t="shared" si="42"/>
        <v>0</v>
      </c>
      <c r="O96" s="11"/>
      <c r="P96" s="6">
        <v>3000</v>
      </c>
      <c r="Q96" s="2"/>
      <c r="R96" s="7">
        <f t="shared" si="43"/>
        <v>6.9793270239751747E-3</v>
      </c>
      <c r="S96" s="2"/>
      <c r="T96" s="6">
        <v>3000</v>
      </c>
      <c r="U96" s="2"/>
      <c r="V96" s="7">
        <f t="shared" si="44"/>
        <v>7.1578375052246592E-3</v>
      </c>
      <c r="W96" s="2"/>
      <c r="X96" s="6">
        <f t="shared" si="45"/>
        <v>0</v>
      </c>
      <c r="Y96" s="2"/>
      <c r="Z96" s="7">
        <f t="shared" si="46"/>
        <v>0</v>
      </c>
    </row>
    <row r="97" spans="1:26" s="27" customFormat="1" outlineLevel="1" collapsed="1" x14ac:dyDescent="0.25">
      <c r="A97" s="26"/>
      <c r="B97" s="13" t="str">
        <f>CONCATENATE("     ","Professional Services                             ")</f>
        <v xml:space="preserve">     Professional Services                             </v>
      </c>
      <c r="C97" s="13"/>
      <c r="D97" s="1">
        <f>SUM(OSRRefD22_11x_0)</f>
        <v>0</v>
      </c>
      <c r="E97" s="1"/>
      <c r="F97" s="5">
        <f t="shared" si="39"/>
        <v>0</v>
      </c>
      <c r="G97" s="1"/>
      <c r="H97" s="1">
        <f>SUM(OSRRefH22_11x_0)</f>
        <v>0</v>
      </c>
      <c r="I97" s="1"/>
      <c r="J97" s="5">
        <f t="shared" si="40"/>
        <v>0</v>
      </c>
      <c r="K97" s="1"/>
      <c r="L97" s="1">
        <f t="shared" si="41"/>
        <v>0</v>
      </c>
      <c r="M97" s="1"/>
      <c r="N97" s="5">
        <f t="shared" si="42"/>
        <v>0</v>
      </c>
      <c r="O97" s="13"/>
      <c r="P97" s="1">
        <f>SUM(OSRRefP22_11x_0)</f>
        <v>750</v>
      </c>
      <c r="Q97" s="1"/>
      <c r="R97" s="5">
        <f t="shared" si="43"/>
        <v>1.7448317559937937E-3</v>
      </c>
      <c r="S97" s="1"/>
      <c r="T97" s="1">
        <f>SUM(OSRRefT22_11x_0)</f>
        <v>900</v>
      </c>
      <c r="U97" s="1"/>
      <c r="V97" s="5">
        <f t="shared" si="44"/>
        <v>2.1473512515673976E-3</v>
      </c>
      <c r="W97" s="1"/>
      <c r="X97" s="1">
        <f t="shared" si="45"/>
        <v>-150</v>
      </c>
      <c r="Y97" s="1"/>
      <c r="Z97" s="5">
        <f t="shared" si="46"/>
        <v>-0.16666666666666666</v>
      </c>
    </row>
    <row r="98" spans="1:26" s="24" customFormat="1" hidden="1" outlineLevel="2" x14ac:dyDescent="0.25">
      <c r="A98" s="25"/>
      <c r="B98" s="11" t="str">
        <f>CONCATENATE("          ", "6336", " - ", "PROFESSIONAL SERVICES")</f>
        <v xml:space="preserve">          6336 - PROFESSIONAL SERVICES</v>
      </c>
      <c r="C98" s="11"/>
      <c r="D98" s="6"/>
      <c r="E98" s="2"/>
      <c r="F98" s="7">
        <f t="shared" si="39"/>
        <v>0</v>
      </c>
      <c r="G98" s="2"/>
      <c r="H98" s="6">
        <v>0</v>
      </c>
      <c r="I98" s="2"/>
      <c r="J98" s="7">
        <f t="shared" si="40"/>
        <v>0</v>
      </c>
      <c r="K98" s="2"/>
      <c r="L98" s="6">
        <f t="shared" si="41"/>
        <v>0</v>
      </c>
      <c r="M98" s="2"/>
      <c r="N98" s="7">
        <f t="shared" si="42"/>
        <v>0</v>
      </c>
      <c r="O98" s="11"/>
      <c r="P98" s="6">
        <v>750</v>
      </c>
      <c r="Q98" s="2"/>
      <c r="R98" s="7">
        <f t="shared" si="43"/>
        <v>1.7448317559937937E-3</v>
      </c>
      <c r="S98" s="2"/>
      <c r="T98" s="6">
        <v>900</v>
      </c>
      <c r="U98" s="2"/>
      <c r="V98" s="7">
        <f t="shared" si="44"/>
        <v>2.1473512515673976E-3</v>
      </c>
      <c r="W98" s="2"/>
      <c r="X98" s="6">
        <f t="shared" si="45"/>
        <v>-150</v>
      </c>
      <c r="Y98" s="2"/>
      <c r="Z98" s="7">
        <f t="shared" si="46"/>
        <v>-0.16666666666666666</v>
      </c>
    </row>
    <row r="99" spans="1:26" s="27" customFormat="1" outlineLevel="1" collapsed="1" x14ac:dyDescent="0.25">
      <c r="A99" s="26"/>
      <c r="B99" s="13" t="str">
        <f>CONCATENATE("     ","Rent                                              ")</f>
        <v xml:space="preserve">     Rent                                              </v>
      </c>
      <c r="C99" s="13"/>
      <c r="D99" s="1">
        <f>SUM(OSRRefD22_12x_0)</f>
        <v>6900</v>
      </c>
      <c r="E99" s="1"/>
      <c r="F99" s="5">
        <f t="shared" si="39"/>
        <v>0.2561876749223454</v>
      </c>
      <c r="G99" s="1"/>
      <c r="H99" s="1">
        <f>SUM(OSRRefH22_12x_0)</f>
        <v>7200</v>
      </c>
      <c r="I99" s="1"/>
      <c r="J99" s="5">
        <f t="shared" si="40"/>
        <v>0.14659952912100935</v>
      </c>
      <c r="K99" s="1"/>
      <c r="L99" s="1">
        <f t="shared" si="41"/>
        <v>-300</v>
      </c>
      <c r="M99" s="1"/>
      <c r="N99" s="5">
        <f t="shared" si="42"/>
        <v>-4.1666666666666664E-2</v>
      </c>
      <c r="O99" s="13"/>
      <c r="P99" s="1">
        <f>SUM(OSRRefP22_12x_0)</f>
        <v>62100</v>
      </c>
      <c r="Q99" s="1"/>
      <c r="R99" s="5">
        <f t="shared" si="43"/>
        <v>0.14447206939628612</v>
      </c>
      <c r="S99" s="1"/>
      <c r="T99" s="1">
        <f>SUM(OSRRefT22_12x_0)</f>
        <v>64800</v>
      </c>
      <c r="U99" s="1"/>
      <c r="V99" s="5">
        <f t="shared" si="44"/>
        <v>0.15460929011285263</v>
      </c>
      <c r="W99" s="1"/>
      <c r="X99" s="1">
        <f t="shared" si="45"/>
        <v>-2700</v>
      </c>
      <c r="Y99" s="1"/>
      <c r="Z99" s="5">
        <f t="shared" si="46"/>
        <v>-4.1666666666666664E-2</v>
      </c>
    </row>
    <row r="100" spans="1:26" s="24" customFormat="1" hidden="1" outlineLevel="2" x14ac:dyDescent="0.25">
      <c r="A100" s="25"/>
      <c r="B100" s="11" t="str">
        <f>CONCATENATE("          ", "6273", " - ", "RENT")</f>
        <v xml:space="preserve">          6273 - RENT</v>
      </c>
      <c r="C100" s="11"/>
      <c r="D100" s="6">
        <v>6900</v>
      </c>
      <c r="E100" s="2"/>
      <c r="F100" s="7">
        <f t="shared" si="39"/>
        <v>0.2561876749223454</v>
      </c>
      <c r="G100" s="2"/>
      <c r="H100" s="6">
        <v>7200</v>
      </c>
      <c r="I100" s="2"/>
      <c r="J100" s="7">
        <f t="shared" si="40"/>
        <v>0.14659952912100935</v>
      </c>
      <c r="K100" s="2"/>
      <c r="L100" s="6">
        <f t="shared" si="41"/>
        <v>-300</v>
      </c>
      <c r="M100" s="2"/>
      <c r="N100" s="7">
        <f t="shared" si="42"/>
        <v>-4.1666666666666664E-2</v>
      </c>
      <c r="O100" s="11"/>
      <c r="P100" s="6">
        <v>62100</v>
      </c>
      <c r="Q100" s="2"/>
      <c r="R100" s="7">
        <f t="shared" si="43"/>
        <v>0.14447206939628612</v>
      </c>
      <c r="S100" s="2"/>
      <c r="T100" s="6">
        <v>64800</v>
      </c>
      <c r="U100" s="2"/>
      <c r="V100" s="7">
        <f t="shared" si="44"/>
        <v>0.15460929011285263</v>
      </c>
      <c r="W100" s="2"/>
      <c r="X100" s="6">
        <f t="shared" si="45"/>
        <v>-2700</v>
      </c>
      <c r="Y100" s="2"/>
      <c r="Z100" s="7">
        <f t="shared" si="46"/>
        <v>-4.1666666666666664E-2</v>
      </c>
    </row>
    <row r="101" spans="1:26" s="27" customFormat="1" outlineLevel="1" collapsed="1" x14ac:dyDescent="0.25">
      <c r="A101" s="26"/>
      <c r="B101" s="13" t="str">
        <f>CONCATENATE("     ","Repair and Maintenance                            ")</f>
        <v xml:space="preserve">     Repair and Maintenance                            </v>
      </c>
      <c r="C101" s="13"/>
      <c r="D101" s="1">
        <f>SUM(OSRRefD22_13x_0)</f>
        <v>48.23</v>
      </c>
      <c r="E101" s="1"/>
      <c r="F101" s="5">
        <f t="shared" si="39"/>
        <v>1.790714719058655E-3</v>
      </c>
      <c r="G101" s="1"/>
      <c r="H101" s="1">
        <f>SUM(OSRRefH22_13x_0)</f>
        <v>100</v>
      </c>
      <c r="I101" s="1"/>
      <c r="J101" s="5">
        <f t="shared" si="40"/>
        <v>2.0361045711251298E-3</v>
      </c>
      <c r="K101" s="1"/>
      <c r="L101" s="1">
        <f t="shared" si="41"/>
        <v>-51.77</v>
      </c>
      <c r="M101" s="1"/>
      <c r="N101" s="5">
        <f t="shared" si="42"/>
        <v>-0.51770000000000005</v>
      </c>
      <c r="O101" s="13"/>
      <c r="P101" s="1">
        <f>SUM(OSRRefP22_13x_0)</f>
        <v>323.98</v>
      </c>
      <c r="Q101" s="1"/>
      <c r="R101" s="5">
        <f t="shared" si="43"/>
        <v>7.5372078974249247E-4</v>
      </c>
      <c r="S101" s="1"/>
      <c r="T101" s="1">
        <f>SUM(OSRRefT22_13x_0)</f>
        <v>1250</v>
      </c>
      <c r="U101" s="1"/>
      <c r="V101" s="5">
        <f t="shared" si="44"/>
        <v>2.982432293843608E-3</v>
      </c>
      <c r="W101" s="1"/>
      <c r="X101" s="1">
        <f t="shared" si="45"/>
        <v>-926.02</v>
      </c>
      <c r="Y101" s="1"/>
      <c r="Z101" s="5">
        <f t="shared" si="46"/>
        <v>-0.74081600000000003</v>
      </c>
    </row>
    <row r="102" spans="1:26" s="24" customFormat="1" hidden="1" outlineLevel="2" x14ac:dyDescent="0.25">
      <c r="A102" s="25"/>
      <c r="B102" s="11" t="str">
        <f>CONCATENATE("          ", "6373", " - ", "MAINTENANCE CONTRACTS")</f>
        <v xml:space="preserve">          6373 - MAINTENANCE CONTRACTS</v>
      </c>
      <c r="C102" s="11"/>
      <c r="D102" s="6">
        <v>48.23</v>
      </c>
      <c r="E102" s="2"/>
      <c r="F102" s="7">
        <f t="shared" si="39"/>
        <v>1.790714719058655E-3</v>
      </c>
      <c r="G102" s="2"/>
      <c r="H102" s="6">
        <v>0</v>
      </c>
      <c r="I102" s="2"/>
      <c r="J102" s="7">
        <f t="shared" si="40"/>
        <v>0</v>
      </c>
      <c r="K102" s="2"/>
      <c r="L102" s="6">
        <f t="shared" si="41"/>
        <v>48.23</v>
      </c>
      <c r="M102" s="2"/>
      <c r="N102" s="7">
        <f t="shared" si="42"/>
        <v>0</v>
      </c>
      <c r="O102" s="11"/>
      <c r="P102" s="6">
        <v>141.44999999999999</v>
      </c>
      <c r="Q102" s="2"/>
      <c r="R102" s="7">
        <f t="shared" si="43"/>
        <v>3.2907526918042948E-4</v>
      </c>
      <c r="S102" s="2"/>
      <c r="T102" s="6">
        <v>75</v>
      </c>
      <c r="U102" s="2"/>
      <c r="V102" s="7">
        <f t="shared" si="44"/>
        <v>1.7894593763061647E-4</v>
      </c>
      <c r="W102" s="2"/>
      <c r="X102" s="6">
        <f t="shared" si="45"/>
        <v>66.449999999999989</v>
      </c>
      <c r="Y102" s="2"/>
      <c r="Z102" s="7">
        <f t="shared" si="46"/>
        <v>0.8859999999999999</v>
      </c>
    </row>
    <row r="103" spans="1:26" s="24" customFormat="1" hidden="1" outlineLevel="2" x14ac:dyDescent="0.25">
      <c r="A103" s="25"/>
      <c r="B103" s="11" t="str">
        <f>CONCATENATE("          ", "6375", " - ", "OUTSIDE REPAIRS &amp; MAINTENANCE")</f>
        <v xml:space="preserve">          6375 - OUTSIDE REPAIRS &amp; MAINTENANCE</v>
      </c>
      <c r="C103" s="11"/>
      <c r="D103" s="6"/>
      <c r="E103" s="2"/>
      <c r="F103" s="7">
        <f t="shared" si="39"/>
        <v>0</v>
      </c>
      <c r="G103" s="2"/>
      <c r="H103" s="6">
        <v>100</v>
      </c>
      <c r="I103" s="2"/>
      <c r="J103" s="7">
        <f t="shared" si="40"/>
        <v>2.0361045711251298E-3</v>
      </c>
      <c r="K103" s="2"/>
      <c r="L103" s="6">
        <f t="shared" si="41"/>
        <v>-100</v>
      </c>
      <c r="M103" s="2"/>
      <c r="N103" s="7">
        <f t="shared" si="42"/>
        <v>-1</v>
      </c>
      <c r="O103" s="11"/>
      <c r="P103" s="6">
        <v>182.53</v>
      </c>
      <c r="Q103" s="2"/>
      <c r="R103" s="7">
        <f t="shared" si="43"/>
        <v>4.2464552056206288E-4</v>
      </c>
      <c r="S103" s="2"/>
      <c r="T103" s="6">
        <v>1175</v>
      </c>
      <c r="U103" s="2"/>
      <c r="V103" s="7">
        <f t="shared" si="44"/>
        <v>2.8034863562129914E-3</v>
      </c>
      <c r="W103" s="2"/>
      <c r="X103" s="6">
        <f t="shared" si="45"/>
        <v>-992.47</v>
      </c>
      <c r="Y103" s="2"/>
      <c r="Z103" s="7">
        <f t="shared" si="46"/>
        <v>-0.84465531914893621</v>
      </c>
    </row>
    <row r="104" spans="1:26" s="27" customFormat="1" outlineLevel="1" collapsed="1" x14ac:dyDescent="0.25">
      <c r="A104" s="26"/>
      <c r="B104" s="13" t="str">
        <f>CONCATENATE("     ","Services                                          ")</f>
        <v xml:space="preserve">     Services                                          </v>
      </c>
      <c r="C104" s="13"/>
      <c r="D104" s="1">
        <f>SUM(OSRRefD22_14x_0)</f>
        <v>250.18</v>
      </c>
      <c r="E104" s="1"/>
      <c r="F104" s="5">
        <f t="shared" ref="F104:F107" si="47">IF(D$12=0,0,D104/D$12)</f>
        <v>9.2888452916046922E-3</v>
      </c>
      <c r="G104" s="1"/>
      <c r="H104" s="1">
        <f>SUM(OSRRefH22_14x_0)</f>
        <v>242.5</v>
      </c>
      <c r="I104" s="1"/>
      <c r="J104" s="5">
        <f t="shared" ref="J104:J107" si="48">IF(H$12=0,0,H104/H$12)</f>
        <v>4.9375535849784397E-3</v>
      </c>
      <c r="K104" s="1"/>
      <c r="L104" s="1">
        <f t="shared" ref="L104:L107" si="49">+D104-H104</f>
        <v>7.6800000000000068</v>
      </c>
      <c r="M104" s="1"/>
      <c r="N104" s="5">
        <f t="shared" ref="N104:N107" si="50">IF(H104=0,0,L104/H104)</f>
        <v>3.1670103092783536E-2</v>
      </c>
      <c r="O104" s="13"/>
      <c r="P104" s="1">
        <f>SUM(OSRRefP22_14x_0)</f>
        <v>2631.36</v>
      </c>
      <c r="Q104" s="1"/>
      <c r="R104" s="5">
        <f t="shared" ref="R104:R107" si="51">IF(P$12=0,0,P104/P$12)</f>
        <v>6.1217073192691056E-3</v>
      </c>
      <c r="S104" s="1"/>
      <c r="T104" s="1">
        <f>SUM(OSRRefT22_14x_0)</f>
        <v>2447.5</v>
      </c>
      <c r="U104" s="1"/>
      <c r="V104" s="5">
        <f t="shared" ref="V104:V107" si="52">IF(T$12=0,0,T104/T$12)</f>
        <v>5.8396024313457839E-3</v>
      </c>
      <c r="W104" s="1"/>
      <c r="X104" s="1">
        <f t="shared" ref="X104:X107" si="53">+P104-T104</f>
        <v>183.86000000000013</v>
      </c>
      <c r="Y104" s="1"/>
      <c r="Z104" s="5">
        <f t="shared" ref="Z104:Z107" si="54">IF(T104=0,0,X104/T104)</f>
        <v>7.512155260469873E-2</v>
      </c>
    </row>
    <row r="105" spans="1:26" s="24" customFormat="1" hidden="1" outlineLevel="2" x14ac:dyDescent="0.25">
      <c r="A105" s="25"/>
      <c r="B105" s="11" t="str">
        <f>CONCATENATE("          ", "6283", " - ", "PLANT SERVICE")</f>
        <v xml:space="preserve">          6283 - PLANT SERVICE</v>
      </c>
      <c r="C105" s="11"/>
      <c r="D105" s="6"/>
      <c r="E105" s="2"/>
      <c r="F105" s="7">
        <f t="shared" si="47"/>
        <v>0</v>
      </c>
      <c r="G105" s="2"/>
      <c r="H105" s="6">
        <v>60</v>
      </c>
      <c r="I105" s="2"/>
      <c r="J105" s="7">
        <f t="shared" si="48"/>
        <v>1.221662742675078E-3</v>
      </c>
      <c r="K105" s="2"/>
      <c r="L105" s="6">
        <f t="shared" si="49"/>
        <v>-60</v>
      </c>
      <c r="M105" s="2"/>
      <c r="N105" s="7">
        <f t="shared" si="50"/>
        <v>-1</v>
      </c>
      <c r="O105" s="11"/>
      <c r="P105" s="6">
        <v>178.65</v>
      </c>
      <c r="Q105" s="2"/>
      <c r="R105" s="7">
        <f t="shared" si="51"/>
        <v>4.1561892427772166E-4</v>
      </c>
      <c r="S105" s="2"/>
      <c r="T105" s="6">
        <v>540</v>
      </c>
      <c r="U105" s="2"/>
      <c r="V105" s="7">
        <f t="shared" si="52"/>
        <v>1.2884107509404386E-3</v>
      </c>
      <c r="W105" s="2"/>
      <c r="X105" s="6">
        <f t="shared" si="53"/>
        <v>-361.35</v>
      </c>
      <c r="Y105" s="2"/>
      <c r="Z105" s="7">
        <f t="shared" si="54"/>
        <v>-0.66916666666666669</v>
      </c>
    </row>
    <row r="106" spans="1:26" s="24" customFormat="1" hidden="1" outlineLevel="2" x14ac:dyDescent="0.25">
      <c r="A106" s="25"/>
      <c r="B106" s="11" t="str">
        <f>CONCATENATE("          ", "6284", " - ", "TRASH REMOVAL EXPENSE")</f>
        <v xml:space="preserve">          6284 - TRASH REMOVAL EXPENSE</v>
      </c>
      <c r="C106" s="11"/>
      <c r="D106" s="6">
        <v>134.82</v>
      </c>
      <c r="E106" s="2"/>
      <c r="F106" s="7">
        <f t="shared" si="47"/>
        <v>5.0056843960913922E-3</v>
      </c>
      <c r="G106" s="2"/>
      <c r="H106" s="6">
        <v>62.5</v>
      </c>
      <c r="I106" s="2"/>
      <c r="J106" s="7">
        <f t="shared" si="48"/>
        <v>1.2725653569532062E-3</v>
      </c>
      <c r="K106" s="2"/>
      <c r="L106" s="6">
        <f t="shared" si="49"/>
        <v>72.319999999999993</v>
      </c>
      <c r="M106" s="2"/>
      <c r="N106" s="7">
        <f t="shared" si="50"/>
        <v>1.1571199999999999</v>
      </c>
      <c r="O106" s="11"/>
      <c r="P106" s="6">
        <v>1213.3800000000001</v>
      </c>
      <c r="Q106" s="2"/>
      <c r="R106" s="7">
        <f t="shared" si="51"/>
        <v>2.8228586081169996E-3</v>
      </c>
      <c r="S106" s="2"/>
      <c r="T106" s="6">
        <v>562.5</v>
      </c>
      <c r="U106" s="2"/>
      <c r="V106" s="7">
        <f t="shared" si="52"/>
        <v>1.3420945322296235E-3</v>
      </c>
      <c r="W106" s="2"/>
      <c r="X106" s="6">
        <f t="shared" si="53"/>
        <v>650.88000000000011</v>
      </c>
      <c r="Y106" s="2"/>
      <c r="Z106" s="7">
        <f t="shared" si="54"/>
        <v>1.1571200000000001</v>
      </c>
    </row>
    <row r="107" spans="1:26" s="24" customFormat="1" hidden="1" outlineLevel="2" x14ac:dyDescent="0.25">
      <c r="A107" s="25"/>
      <c r="B107" s="11" t="str">
        <f>CONCATENATE("          ", "6285", " - ", "JANITORIAL SERVICES")</f>
        <v xml:space="preserve">          6285 - JANITORIAL SERVICES</v>
      </c>
      <c r="C107" s="11"/>
      <c r="D107" s="6">
        <v>115.36</v>
      </c>
      <c r="E107" s="2"/>
      <c r="F107" s="7">
        <f t="shared" si="47"/>
        <v>4.2831608955133001E-3</v>
      </c>
      <c r="G107" s="2"/>
      <c r="H107" s="6">
        <v>120</v>
      </c>
      <c r="I107" s="2"/>
      <c r="J107" s="7">
        <f t="shared" si="48"/>
        <v>2.443325485350156E-3</v>
      </c>
      <c r="K107" s="2"/>
      <c r="L107" s="6">
        <f t="shared" si="49"/>
        <v>-4.6400000000000006</v>
      </c>
      <c r="M107" s="2"/>
      <c r="N107" s="7">
        <f t="shared" si="50"/>
        <v>-3.8666666666666669E-2</v>
      </c>
      <c r="O107" s="11"/>
      <c r="P107" s="6">
        <v>1239.33</v>
      </c>
      <c r="Q107" s="2"/>
      <c r="R107" s="7">
        <f t="shared" si="51"/>
        <v>2.8832297868743844E-3</v>
      </c>
      <c r="S107" s="2"/>
      <c r="T107" s="6">
        <v>1345</v>
      </c>
      <c r="U107" s="2"/>
      <c r="V107" s="7">
        <f t="shared" si="52"/>
        <v>3.2090971481757223E-3</v>
      </c>
      <c r="W107" s="2"/>
      <c r="X107" s="6">
        <f t="shared" si="53"/>
        <v>-105.67000000000007</v>
      </c>
      <c r="Y107" s="2"/>
      <c r="Z107" s="7">
        <f t="shared" si="54"/>
        <v>-7.8565055762081837E-2</v>
      </c>
    </row>
    <row r="108" spans="1:26" s="27" customFormat="1" outlineLevel="1" collapsed="1" x14ac:dyDescent="0.25">
      <c r="A108" s="26"/>
      <c r="B108" s="13" t="str">
        <f>CONCATENATE("     ","Subscriptions &amp; Dues                              ")</f>
        <v xml:space="preserve">     Subscriptions &amp; Dues                              </v>
      </c>
      <c r="C108" s="13"/>
      <c r="D108" s="1">
        <f>SUM(OSRRefD22_15x_0)</f>
        <v>29.99</v>
      </c>
      <c r="E108" s="1"/>
      <c r="F108" s="5">
        <f t="shared" ref="F108:F110" si="55">IF(D$12=0,0,D108/D$12)</f>
        <v>1.1134881696987157E-3</v>
      </c>
      <c r="G108" s="1"/>
      <c r="H108" s="1">
        <f>SUM(OSRRefH22_15x_0)</f>
        <v>215</v>
      </c>
      <c r="I108" s="1"/>
      <c r="J108" s="5">
        <f t="shared" ref="J108:J110" si="56">IF(H$12=0,0,H108/H$12)</f>
        <v>4.3776248279190294E-3</v>
      </c>
      <c r="K108" s="1"/>
      <c r="L108" s="1">
        <f t="shared" ref="L108:L110" si="57">+D108-H108</f>
        <v>-185.01</v>
      </c>
      <c r="M108" s="1"/>
      <c r="N108" s="5">
        <f t="shared" ref="N108:N110" si="58">IF(H108=0,0,L108/H108)</f>
        <v>-0.86051162790697666</v>
      </c>
      <c r="O108" s="13"/>
      <c r="P108" s="1">
        <f>SUM(OSRRefP22_15x_0)</f>
        <v>193.41</v>
      </c>
      <c r="Q108" s="1"/>
      <c r="R108" s="5">
        <f t="shared" ref="R108:R110" si="59">IF(P$12=0,0,P108/P$12)</f>
        <v>4.4995721323567951E-4</v>
      </c>
      <c r="S108" s="1"/>
      <c r="T108" s="1">
        <f>SUM(OSRRefT22_15x_0)</f>
        <v>2555</v>
      </c>
      <c r="U108" s="1"/>
      <c r="V108" s="5">
        <f t="shared" ref="V108:V110" si="60">IF(T$12=0,0,T108/T$12)</f>
        <v>6.0960916086163349E-3</v>
      </c>
      <c r="W108" s="1"/>
      <c r="X108" s="1">
        <f t="shared" ref="X108:X110" si="61">+P108-T108</f>
        <v>-2361.59</v>
      </c>
      <c r="Y108" s="1"/>
      <c r="Z108" s="5">
        <f t="shared" ref="Z108:Z110" si="62">IF(T108=0,0,X108/T108)</f>
        <v>-0.92430136986301381</v>
      </c>
    </row>
    <row r="109" spans="1:26" s="24" customFormat="1" hidden="1" outlineLevel="2" x14ac:dyDescent="0.25">
      <c r="A109" s="25"/>
      <c r="B109" s="11" t="str">
        <f>CONCATENATE("          ", "6258", " - ", "MEMBERSHIP DUES")</f>
        <v xml:space="preserve">          6258 - MEMBERSHIP DUES</v>
      </c>
      <c r="C109" s="11"/>
      <c r="D109" s="6">
        <v>29.99</v>
      </c>
      <c r="E109" s="2"/>
      <c r="F109" s="7">
        <f t="shared" si="55"/>
        <v>1.1134881696987157E-3</v>
      </c>
      <c r="G109" s="2"/>
      <c r="H109" s="6">
        <v>0</v>
      </c>
      <c r="I109" s="2"/>
      <c r="J109" s="7">
        <f t="shared" si="56"/>
        <v>0</v>
      </c>
      <c r="K109" s="2"/>
      <c r="L109" s="6">
        <f t="shared" si="57"/>
        <v>29.99</v>
      </c>
      <c r="M109" s="2"/>
      <c r="N109" s="7">
        <f t="shared" si="58"/>
        <v>0</v>
      </c>
      <c r="O109" s="11"/>
      <c r="P109" s="6">
        <v>29.99</v>
      </c>
      <c r="Q109" s="2"/>
      <c r="R109" s="7">
        <f t="shared" si="59"/>
        <v>6.9770005816338491E-5</v>
      </c>
      <c r="S109" s="2"/>
      <c r="T109" s="6">
        <v>395</v>
      </c>
      <c r="U109" s="2"/>
      <c r="V109" s="7">
        <f t="shared" si="60"/>
        <v>9.4244860485458008E-4</v>
      </c>
      <c r="W109" s="2"/>
      <c r="X109" s="6">
        <f t="shared" si="61"/>
        <v>-365.01</v>
      </c>
      <c r="Y109" s="2"/>
      <c r="Z109" s="7">
        <f t="shared" si="62"/>
        <v>-0.92407594936708859</v>
      </c>
    </row>
    <row r="110" spans="1:26" s="24" customFormat="1" hidden="1" outlineLevel="2" x14ac:dyDescent="0.25">
      <c r="A110" s="25"/>
      <c r="B110" s="11" t="str">
        <f>CONCATENATE("          ", "6275", " - ", "SUBSCRIPTIONS")</f>
        <v xml:space="preserve">          6275 - SUBSCRIPTIONS</v>
      </c>
      <c r="C110" s="11"/>
      <c r="D110" s="6"/>
      <c r="E110" s="2"/>
      <c r="F110" s="7">
        <f t="shared" si="55"/>
        <v>0</v>
      </c>
      <c r="G110" s="2"/>
      <c r="H110" s="6">
        <v>215</v>
      </c>
      <c r="I110" s="2"/>
      <c r="J110" s="7">
        <f t="shared" si="56"/>
        <v>4.3776248279190294E-3</v>
      </c>
      <c r="K110" s="2"/>
      <c r="L110" s="6">
        <f t="shared" si="57"/>
        <v>-215</v>
      </c>
      <c r="M110" s="2"/>
      <c r="N110" s="7">
        <f t="shared" si="58"/>
        <v>-1</v>
      </c>
      <c r="O110" s="11"/>
      <c r="P110" s="6">
        <v>163.41999999999999</v>
      </c>
      <c r="Q110" s="2"/>
      <c r="R110" s="7">
        <f t="shared" si="59"/>
        <v>3.8018720741934102E-4</v>
      </c>
      <c r="S110" s="2"/>
      <c r="T110" s="6">
        <v>2160</v>
      </c>
      <c r="U110" s="2"/>
      <c r="V110" s="7">
        <f t="shared" si="60"/>
        <v>5.1536430037617542E-3</v>
      </c>
      <c r="W110" s="2"/>
      <c r="X110" s="6">
        <f t="shared" si="61"/>
        <v>-1996.58</v>
      </c>
      <c r="Y110" s="2"/>
      <c r="Z110" s="7">
        <f t="shared" si="62"/>
        <v>-0.92434259259259255</v>
      </c>
    </row>
    <row r="111" spans="1:26" s="27" customFormat="1" outlineLevel="1" collapsed="1" x14ac:dyDescent="0.25">
      <c r="A111" s="26"/>
      <c r="B111" s="13" t="str">
        <f>CONCATENATE("     ","Supplies                                          ")</f>
        <v xml:space="preserve">     Supplies                                          </v>
      </c>
      <c r="C111" s="13"/>
      <c r="D111" s="1">
        <f>SUM(OSRRefD22_16x_0)</f>
        <v>462.81</v>
      </c>
      <c r="E111" s="1"/>
      <c r="F111" s="5">
        <f t="shared" ref="F111:F117" si="63">IF(D$12=0,0,D111/D$12)</f>
        <v>1.7183509830552272E-2</v>
      </c>
      <c r="G111" s="1"/>
      <c r="H111" s="1">
        <f>SUM(OSRRefH22_16x_0)</f>
        <v>270</v>
      </c>
      <c r="I111" s="1"/>
      <c r="J111" s="5">
        <f t="shared" ref="J111:J117" si="64">IF(H$12=0,0,H111/H$12)</f>
        <v>5.4974823420378509E-3</v>
      </c>
      <c r="K111" s="1"/>
      <c r="L111" s="1">
        <f t="shared" ref="L111:L117" si="65">+D111-H111</f>
        <v>192.81</v>
      </c>
      <c r="M111" s="1"/>
      <c r="N111" s="5">
        <f t="shared" ref="N111:N117" si="66">IF(H111=0,0,L111/H111)</f>
        <v>0.71411111111111114</v>
      </c>
      <c r="O111" s="13"/>
      <c r="P111" s="1">
        <f>SUM(OSRRefP22_16x_0)</f>
        <v>3601.69</v>
      </c>
      <c r="Q111" s="1"/>
      <c r="R111" s="5">
        <f t="shared" ref="R111:R117" si="67">IF(P$12=0,0,P111/P$12)</f>
        <v>8.3791241163270486E-3</v>
      </c>
      <c r="S111" s="1"/>
      <c r="T111" s="1">
        <f>SUM(OSRRefT22_16x_0)</f>
        <v>4175</v>
      </c>
      <c r="U111" s="1"/>
      <c r="V111" s="5">
        <f t="shared" ref="V111:V117" si="68">IF(T$12=0,0,T111/T$12)</f>
        <v>9.9613238614376497E-3</v>
      </c>
      <c r="W111" s="1"/>
      <c r="X111" s="1">
        <f t="shared" ref="X111:X117" si="69">+P111-T111</f>
        <v>-573.30999999999995</v>
      </c>
      <c r="Y111" s="1"/>
      <c r="Z111" s="5">
        <f t="shared" ref="Z111:Z117" si="70">IF(T111=0,0,X111/T111)</f>
        <v>-0.1373197604790419</v>
      </c>
    </row>
    <row r="112" spans="1:26" s="24" customFormat="1" hidden="1" outlineLevel="2" x14ac:dyDescent="0.25">
      <c r="A112" s="25"/>
      <c r="B112" s="11" t="str">
        <f>CONCATENATE("          ", "6234", " - ", "EXPENDABLE SUPPLIES &amp; EQUIPMEN")</f>
        <v xml:space="preserve">          6234 - EXPENDABLE SUPPLIES &amp; EQUIPMEN</v>
      </c>
      <c r="C112" s="11"/>
      <c r="D112" s="6"/>
      <c r="E112" s="2"/>
      <c r="F112" s="7">
        <f t="shared" si="63"/>
        <v>0</v>
      </c>
      <c r="G112" s="2"/>
      <c r="H112" s="6">
        <v>100</v>
      </c>
      <c r="I112" s="2"/>
      <c r="J112" s="7">
        <f t="shared" si="64"/>
        <v>2.0361045711251298E-3</v>
      </c>
      <c r="K112" s="2"/>
      <c r="L112" s="6">
        <f t="shared" si="65"/>
        <v>-100</v>
      </c>
      <c r="M112" s="2"/>
      <c r="N112" s="7">
        <f t="shared" si="66"/>
        <v>-1</v>
      </c>
      <c r="O112" s="11"/>
      <c r="P112" s="6">
        <v>303.86</v>
      </c>
      <c r="Q112" s="2"/>
      <c r="R112" s="7">
        <f t="shared" si="67"/>
        <v>7.0691276983503228E-4</v>
      </c>
      <c r="S112" s="2"/>
      <c r="T112" s="6">
        <v>1450</v>
      </c>
      <c r="U112" s="2"/>
      <c r="V112" s="7">
        <f t="shared" si="68"/>
        <v>3.4596214608585852E-3</v>
      </c>
      <c r="W112" s="2"/>
      <c r="X112" s="6">
        <f t="shared" si="69"/>
        <v>-1146.1399999999999</v>
      </c>
      <c r="Y112" s="2"/>
      <c r="Z112" s="7">
        <f t="shared" si="70"/>
        <v>-0.79044137931034475</v>
      </c>
    </row>
    <row r="113" spans="1:26" s="24" customFormat="1" hidden="1" outlineLevel="2" x14ac:dyDescent="0.25">
      <c r="A113" s="25"/>
      <c r="B113" s="11" t="str">
        <f>CONCATENATE("          ", "6237", " - ", "JANITORIAL SUPPLIES")</f>
        <v xml:space="preserve">          6237 - JANITORIAL SUPPLIES</v>
      </c>
      <c r="C113" s="11"/>
      <c r="D113" s="6">
        <v>382.7</v>
      </c>
      <c r="E113" s="2"/>
      <c r="F113" s="7">
        <f t="shared" si="63"/>
        <v>1.4209133796055302E-2</v>
      </c>
      <c r="G113" s="2"/>
      <c r="H113" s="6">
        <v>20</v>
      </c>
      <c r="I113" s="2"/>
      <c r="J113" s="7">
        <f t="shared" si="64"/>
        <v>4.0722091422502595E-4</v>
      </c>
      <c r="K113" s="2"/>
      <c r="L113" s="6">
        <f t="shared" si="65"/>
        <v>362.7</v>
      </c>
      <c r="M113" s="2"/>
      <c r="N113" s="7">
        <f t="shared" si="66"/>
        <v>18.134999999999998</v>
      </c>
      <c r="O113" s="11"/>
      <c r="P113" s="6">
        <v>670.42</v>
      </c>
      <c r="Q113" s="2"/>
      <c r="R113" s="7">
        <f t="shared" si="67"/>
        <v>1.5596934744711455E-3</v>
      </c>
      <c r="S113" s="2"/>
      <c r="T113" s="6">
        <v>175</v>
      </c>
      <c r="U113" s="2"/>
      <c r="V113" s="7">
        <f t="shared" si="68"/>
        <v>4.175405211381051E-4</v>
      </c>
      <c r="W113" s="2"/>
      <c r="X113" s="6">
        <f t="shared" si="69"/>
        <v>495.41999999999996</v>
      </c>
      <c r="Y113" s="2"/>
      <c r="Z113" s="7">
        <f t="shared" si="70"/>
        <v>2.8309714285714285</v>
      </c>
    </row>
    <row r="114" spans="1:26" s="24" customFormat="1" hidden="1" outlineLevel="2" x14ac:dyDescent="0.25">
      <c r="A114" s="25"/>
      <c r="B114" s="11" t="str">
        <f>CONCATENATE("          ", "6241", " - ", "OFFICE EXPENSE")</f>
        <v xml:space="preserve">          6241 - OFFICE EXPENSE</v>
      </c>
      <c r="C114" s="11"/>
      <c r="D114" s="6">
        <v>84.11</v>
      </c>
      <c r="E114" s="2"/>
      <c r="F114" s="7">
        <f t="shared" si="63"/>
        <v>3.1228906286548514E-3</v>
      </c>
      <c r="G114" s="2"/>
      <c r="H114" s="6">
        <v>125</v>
      </c>
      <c r="I114" s="2"/>
      <c r="J114" s="7">
        <f t="shared" si="64"/>
        <v>2.5451307139064123E-3</v>
      </c>
      <c r="K114" s="2"/>
      <c r="L114" s="6">
        <f t="shared" si="65"/>
        <v>-40.89</v>
      </c>
      <c r="M114" s="2"/>
      <c r="N114" s="7">
        <f t="shared" si="66"/>
        <v>-0.32712000000000002</v>
      </c>
      <c r="O114" s="11"/>
      <c r="P114" s="6">
        <v>2129.04</v>
      </c>
      <c r="Q114" s="2"/>
      <c r="R114" s="7">
        <f t="shared" si="67"/>
        <v>4.9530888023747019E-3</v>
      </c>
      <c r="S114" s="2"/>
      <c r="T114" s="6">
        <v>1825</v>
      </c>
      <c r="U114" s="2"/>
      <c r="V114" s="7">
        <f t="shared" si="68"/>
        <v>4.3543511490116678E-3</v>
      </c>
      <c r="W114" s="2"/>
      <c r="X114" s="6">
        <f t="shared" si="69"/>
        <v>304.03999999999996</v>
      </c>
      <c r="Y114" s="2"/>
      <c r="Z114" s="7">
        <f t="shared" si="70"/>
        <v>0.16659726027397259</v>
      </c>
    </row>
    <row r="115" spans="1:26" s="24" customFormat="1" hidden="1" outlineLevel="2" x14ac:dyDescent="0.25">
      <c r="A115" s="25"/>
      <c r="B115" s="11" t="str">
        <f>CONCATENATE("          ", "6245", " - ", "PRINTING")</f>
        <v xml:space="preserve">          6245 - PRINTING</v>
      </c>
      <c r="C115" s="11"/>
      <c r="D115" s="6"/>
      <c r="E115" s="2"/>
      <c r="F115" s="7">
        <f t="shared" si="63"/>
        <v>0</v>
      </c>
      <c r="G115" s="2"/>
      <c r="H115" s="6"/>
      <c r="I115" s="2"/>
      <c r="J115" s="7">
        <f t="shared" si="64"/>
        <v>0</v>
      </c>
      <c r="K115" s="2"/>
      <c r="L115" s="6">
        <f t="shared" si="65"/>
        <v>0</v>
      </c>
      <c r="M115" s="2"/>
      <c r="N115" s="7">
        <f t="shared" si="66"/>
        <v>0</v>
      </c>
      <c r="O115" s="11"/>
      <c r="P115" s="6">
        <v>22.05</v>
      </c>
      <c r="Q115" s="2"/>
      <c r="R115" s="7">
        <f t="shared" si="67"/>
        <v>5.1298053626217537E-5</v>
      </c>
      <c r="S115" s="2"/>
      <c r="T115" s="6"/>
      <c r="U115" s="2"/>
      <c r="V115" s="7">
        <f t="shared" si="68"/>
        <v>0</v>
      </c>
      <c r="W115" s="2"/>
      <c r="X115" s="6">
        <f t="shared" si="69"/>
        <v>22.05</v>
      </c>
      <c r="Y115" s="2"/>
      <c r="Z115" s="7">
        <f t="shared" si="70"/>
        <v>0</v>
      </c>
    </row>
    <row r="116" spans="1:26" s="24" customFormat="1" hidden="1" outlineLevel="2" x14ac:dyDescent="0.25">
      <c r="A116" s="25"/>
      <c r="B116" s="11" t="str">
        <f>CONCATENATE("          ", "6247", " - ", "STORE SUPPLIES")</f>
        <v xml:space="preserve">          6247 - STORE SUPPLIES</v>
      </c>
      <c r="C116" s="11"/>
      <c r="D116" s="6">
        <v>-4</v>
      </c>
      <c r="E116" s="2"/>
      <c r="F116" s="7">
        <f t="shared" si="63"/>
        <v>-1.485145941578814E-4</v>
      </c>
      <c r="G116" s="2"/>
      <c r="H116" s="6">
        <v>25</v>
      </c>
      <c r="I116" s="2"/>
      <c r="J116" s="7">
        <f t="shared" si="64"/>
        <v>5.0902614278128245E-4</v>
      </c>
      <c r="K116" s="2"/>
      <c r="L116" s="6">
        <f t="shared" si="65"/>
        <v>-29</v>
      </c>
      <c r="M116" s="2"/>
      <c r="N116" s="7">
        <f t="shared" si="66"/>
        <v>-1.1599999999999999</v>
      </c>
      <c r="O116" s="11"/>
      <c r="P116" s="6">
        <v>476.32</v>
      </c>
      <c r="Q116" s="2"/>
      <c r="R116" s="7">
        <f t="shared" si="67"/>
        <v>1.1081310160199517E-3</v>
      </c>
      <c r="S116" s="2"/>
      <c r="T116" s="6">
        <v>225</v>
      </c>
      <c r="U116" s="2"/>
      <c r="V116" s="7">
        <f t="shared" si="68"/>
        <v>5.368378128918494E-4</v>
      </c>
      <c r="W116" s="2"/>
      <c r="X116" s="6">
        <f t="shared" si="69"/>
        <v>251.32</v>
      </c>
      <c r="Y116" s="2"/>
      <c r="Z116" s="7">
        <f t="shared" si="70"/>
        <v>1.1169777777777778</v>
      </c>
    </row>
    <row r="117" spans="1:26" s="24" customFormat="1" hidden="1" outlineLevel="2" x14ac:dyDescent="0.25">
      <c r="A117" s="25"/>
      <c r="B117" s="11" t="str">
        <f>CONCATENATE("          ", "6248", " - ", "UNIFORMS")</f>
        <v xml:space="preserve">          6248 - UNIFORMS</v>
      </c>
      <c r="C117" s="11"/>
      <c r="D117" s="6"/>
      <c r="E117" s="2"/>
      <c r="F117" s="7">
        <f t="shared" si="63"/>
        <v>0</v>
      </c>
      <c r="G117" s="2"/>
      <c r="H117" s="6">
        <v>0</v>
      </c>
      <c r="I117" s="2"/>
      <c r="J117" s="7">
        <f t="shared" si="64"/>
        <v>0</v>
      </c>
      <c r="K117" s="2"/>
      <c r="L117" s="6">
        <f t="shared" si="65"/>
        <v>0</v>
      </c>
      <c r="M117" s="2"/>
      <c r="N117" s="7">
        <f t="shared" si="66"/>
        <v>0</v>
      </c>
      <c r="O117" s="11"/>
      <c r="P117" s="6"/>
      <c r="Q117" s="2"/>
      <c r="R117" s="7">
        <f t="shared" si="67"/>
        <v>0</v>
      </c>
      <c r="S117" s="2"/>
      <c r="T117" s="6">
        <v>500</v>
      </c>
      <c r="U117" s="2"/>
      <c r="V117" s="7">
        <f t="shared" si="68"/>
        <v>1.1929729175374432E-3</v>
      </c>
      <c r="W117" s="2"/>
      <c r="X117" s="6">
        <f t="shared" si="69"/>
        <v>-500</v>
      </c>
      <c r="Y117" s="2"/>
      <c r="Z117" s="7">
        <f t="shared" si="70"/>
        <v>-1</v>
      </c>
    </row>
    <row r="118" spans="1:26" s="27" customFormat="1" outlineLevel="1" collapsed="1" x14ac:dyDescent="0.25">
      <c r="A118" s="26"/>
      <c r="B118" s="13" t="str">
        <f>CONCATENATE("     ","Telephone/Data Lines                              ")</f>
        <v xml:space="preserve">     Telephone/Data Lines                              </v>
      </c>
      <c r="C118" s="13"/>
      <c r="D118" s="1">
        <f>SUM(OSRRefD22_17x_0)</f>
        <v>-600</v>
      </c>
      <c r="E118" s="1"/>
      <c r="F118" s="5">
        <f t="shared" ref="F118:F120" si="71">IF(D$12=0,0,D118/D$12)</f>
        <v>-2.227718912368221E-2</v>
      </c>
      <c r="G118" s="1"/>
      <c r="H118" s="1">
        <f>SUM(OSRRefH22_17x_0)</f>
        <v>250</v>
      </c>
      <c r="I118" s="1"/>
      <c r="J118" s="5">
        <f t="shared" ref="J118:J120" si="72">IF(H$12=0,0,H118/H$12)</f>
        <v>5.0902614278128247E-3</v>
      </c>
      <c r="K118" s="1"/>
      <c r="L118" s="1">
        <f t="shared" ref="L118:L120" si="73">+D118-H118</f>
        <v>-850</v>
      </c>
      <c r="M118" s="1"/>
      <c r="N118" s="5">
        <f t="shared" ref="N118:N120" si="74">IF(H118=0,0,L118/H118)</f>
        <v>-3.4</v>
      </c>
      <c r="O118" s="13"/>
      <c r="P118" s="1">
        <f>SUM(OSRRefP22_17x_0)</f>
        <v>2023.17</v>
      </c>
      <c r="Q118" s="1"/>
      <c r="R118" s="5">
        <f t="shared" ref="R118:R120" si="75">IF(P$12=0,0,P118/P$12)</f>
        <v>4.7067883516986181E-3</v>
      </c>
      <c r="S118" s="1"/>
      <c r="T118" s="1">
        <f>SUM(OSRRefT22_17x_0)</f>
        <v>4975</v>
      </c>
      <c r="U118" s="1"/>
      <c r="V118" s="5">
        <f t="shared" ref="V118:V120" si="76">IF(T$12=0,0,T118/T$12)</f>
        <v>1.187008052949756E-2</v>
      </c>
      <c r="W118" s="1"/>
      <c r="X118" s="1">
        <f t="shared" ref="X118:X120" si="77">+P118-T118</f>
        <v>-2951.83</v>
      </c>
      <c r="Y118" s="1"/>
      <c r="Z118" s="5">
        <f t="shared" ref="Z118:Z120" si="78">IF(T118=0,0,X118/T118)</f>
        <v>-0.59333266331658285</v>
      </c>
    </row>
    <row r="119" spans="1:26" s="24" customFormat="1" hidden="1" outlineLevel="2" x14ac:dyDescent="0.25">
      <c r="A119" s="25"/>
      <c r="B119" s="11" t="str">
        <f>CONCATENATE("          ", "6303", " - ", "DATA PHONE LINES")</f>
        <v xml:space="preserve">          6303 - DATA PHONE LINES</v>
      </c>
      <c r="C119" s="11"/>
      <c r="D119" s="6"/>
      <c r="E119" s="2"/>
      <c r="F119" s="7">
        <f t="shared" si="71"/>
        <v>0</v>
      </c>
      <c r="G119" s="2"/>
      <c r="H119" s="6">
        <v>250</v>
      </c>
      <c r="I119" s="2"/>
      <c r="J119" s="7">
        <f t="shared" si="72"/>
        <v>5.0902614278128247E-3</v>
      </c>
      <c r="K119" s="2"/>
      <c r="L119" s="6">
        <f t="shared" si="73"/>
        <v>-250</v>
      </c>
      <c r="M119" s="2"/>
      <c r="N119" s="7">
        <f t="shared" si="74"/>
        <v>-1</v>
      </c>
      <c r="O119" s="11"/>
      <c r="P119" s="6"/>
      <c r="Q119" s="2"/>
      <c r="R119" s="7">
        <f t="shared" si="75"/>
        <v>0</v>
      </c>
      <c r="S119" s="2"/>
      <c r="T119" s="6">
        <v>4975</v>
      </c>
      <c r="U119" s="2"/>
      <c r="V119" s="7">
        <f t="shared" si="76"/>
        <v>1.187008052949756E-2</v>
      </c>
      <c r="W119" s="2"/>
      <c r="X119" s="6">
        <f t="shared" si="77"/>
        <v>-4975</v>
      </c>
      <c r="Y119" s="2"/>
      <c r="Z119" s="7">
        <f t="shared" si="78"/>
        <v>-1</v>
      </c>
    </row>
    <row r="120" spans="1:26" s="24" customFormat="1" hidden="1" outlineLevel="2" x14ac:dyDescent="0.25">
      <c r="A120" s="25"/>
      <c r="B120" s="11" t="str">
        <f>CONCATENATE("          ", "6309", " - ", "TELEPHONE")</f>
        <v xml:space="preserve">          6309 - TELEPHONE</v>
      </c>
      <c r="C120" s="11"/>
      <c r="D120" s="6">
        <v>-600</v>
      </c>
      <c r="E120" s="2"/>
      <c r="F120" s="7">
        <f t="shared" si="71"/>
        <v>-2.227718912368221E-2</v>
      </c>
      <c r="G120" s="2"/>
      <c r="H120" s="6"/>
      <c r="I120" s="2"/>
      <c r="J120" s="7">
        <f t="shared" si="72"/>
        <v>0</v>
      </c>
      <c r="K120" s="2"/>
      <c r="L120" s="6">
        <f t="shared" si="73"/>
        <v>-600</v>
      </c>
      <c r="M120" s="2"/>
      <c r="N120" s="7">
        <f t="shared" si="74"/>
        <v>0</v>
      </c>
      <c r="O120" s="11"/>
      <c r="P120" s="6">
        <v>2023.17</v>
      </c>
      <c r="Q120" s="2"/>
      <c r="R120" s="7">
        <f t="shared" si="75"/>
        <v>4.7067883516986181E-3</v>
      </c>
      <c r="S120" s="2"/>
      <c r="T120" s="6"/>
      <c r="U120" s="2"/>
      <c r="V120" s="7">
        <f t="shared" si="76"/>
        <v>0</v>
      </c>
      <c r="W120" s="2"/>
      <c r="X120" s="6">
        <f t="shared" si="77"/>
        <v>2023.17</v>
      </c>
      <c r="Y120" s="2"/>
      <c r="Z120" s="7">
        <f t="shared" si="78"/>
        <v>0</v>
      </c>
    </row>
    <row r="121" spans="1:26" s="27" customFormat="1" outlineLevel="1" collapsed="1" x14ac:dyDescent="0.25">
      <c r="A121" s="26"/>
      <c r="B121" s="13" t="str">
        <f>CONCATENATE("     ","Training                                          ")</f>
        <v xml:space="preserve">     Training                                          </v>
      </c>
      <c r="C121" s="13"/>
      <c r="D121" s="1">
        <f>SUM(OSRRefD22_18x_0)</f>
        <v>802.16</v>
      </c>
      <c r="E121" s="1"/>
      <c r="F121" s="5">
        <f t="shared" ref="F121:F126" si="79">IF(D$12=0,0,D121/D$12)</f>
        <v>2.9783116712421537E-2</v>
      </c>
      <c r="G121" s="1"/>
      <c r="H121" s="1">
        <f>SUM(OSRRefH22_18x_0)</f>
        <v>0</v>
      </c>
      <c r="I121" s="1"/>
      <c r="J121" s="5">
        <f t="shared" ref="J121:J126" si="80">IF(H$12=0,0,H121/H$12)</f>
        <v>0</v>
      </c>
      <c r="K121" s="1"/>
      <c r="L121" s="1">
        <f t="shared" ref="L121:L126" si="81">+D121-H121</f>
        <v>802.16</v>
      </c>
      <c r="M121" s="1"/>
      <c r="N121" s="5">
        <f t="shared" ref="N121:N126" si="82">IF(H121=0,0,L121/H121)</f>
        <v>0</v>
      </c>
      <c r="O121" s="13"/>
      <c r="P121" s="1">
        <f>SUM(OSRRefP22_18x_0)</f>
        <v>1613.4</v>
      </c>
      <c r="Q121" s="1"/>
      <c r="R121" s="5">
        <f t="shared" ref="R121:R126" si="83">IF(P$12=0,0,P121/P$12)</f>
        <v>3.7534820734938493E-3</v>
      </c>
      <c r="S121" s="1"/>
      <c r="T121" s="1">
        <f>SUM(OSRRefT22_18x_0)</f>
        <v>100</v>
      </c>
      <c r="U121" s="1"/>
      <c r="V121" s="5">
        <f t="shared" ref="V121:V126" si="84">IF(T$12=0,0,T121/T$12)</f>
        <v>2.3859458350748862E-4</v>
      </c>
      <c r="W121" s="1"/>
      <c r="X121" s="1">
        <f t="shared" ref="X121:X126" si="85">+P121-T121</f>
        <v>1513.4</v>
      </c>
      <c r="Y121" s="1"/>
      <c r="Z121" s="5">
        <f t="shared" ref="Z121:Z126" si="86">IF(T121=0,0,X121/T121)</f>
        <v>15.134</v>
      </c>
    </row>
    <row r="122" spans="1:26" s="24" customFormat="1" hidden="1" outlineLevel="2" x14ac:dyDescent="0.25">
      <c r="A122" s="25"/>
      <c r="B122" s="11" t="str">
        <f>CONCATENATE("          ", "6376", " - ", "TRAINING")</f>
        <v xml:space="preserve">          6376 - TRAINING</v>
      </c>
      <c r="C122" s="11"/>
      <c r="D122" s="6">
        <v>802.16</v>
      </c>
      <c r="E122" s="2"/>
      <c r="F122" s="7">
        <f t="shared" si="79"/>
        <v>2.9783116712421537E-2</v>
      </c>
      <c r="G122" s="2"/>
      <c r="H122" s="6">
        <v>0</v>
      </c>
      <c r="I122" s="2"/>
      <c r="J122" s="7">
        <f t="shared" si="80"/>
        <v>0</v>
      </c>
      <c r="K122" s="2"/>
      <c r="L122" s="6">
        <f t="shared" si="81"/>
        <v>802.16</v>
      </c>
      <c r="M122" s="2"/>
      <c r="N122" s="7">
        <f t="shared" si="82"/>
        <v>0</v>
      </c>
      <c r="O122" s="11"/>
      <c r="P122" s="6">
        <v>1613.4</v>
      </c>
      <c r="Q122" s="2"/>
      <c r="R122" s="7">
        <f t="shared" si="83"/>
        <v>3.7534820734938493E-3</v>
      </c>
      <c r="S122" s="2"/>
      <c r="T122" s="6">
        <v>100</v>
      </c>
      <c r="U122" s="2"/>
      <c r="V122" s="7">
        <f t="shared" si="84"/>
        <v>2.3859458350748862E-4</v>
      </c>
      <c r="W122" s="2"/>
      <c r="X122" s="6">
        <f t="shared" si="85"/>
        <v>1513.4</v>
      </c>
      <c r="Y122" s="2"/>
      <c r="Z122" s="7">
        <f t="shared" si="86"/>
        <v>15.134</v>
      </c>
    </row>
    <row r="123" spans="1:26" s="27" customFormat="1" outlineLevel="1" collapsed="1" x14ac:dyDescent="0.25">
      <c r="A123" s="26"/>
      <c r="B123" s="13" t="str">
        <f>CONCATENATE("     ","Travel                                            ")</f>
        <v xml:space="preserve">     Travel                                            </v>
      </c>
      <c r="C123" s="13"/>
      <c r="D123" s="1">
        <f>SUM(OSRRefD22_19x_0)</f>
        <v>14.13</v>
      </c>
      <c r="E123" s="1"/>
      <c r="F123" s="5">
        <f t="shared" si="79"/>
        <v>5.2462780386271614E-4</v>
      </c>
      <c r="G123" s="1"/>
      <c r="H123" s="1">
        <f>SUM(OSRRefH22_19x_0)</f>
        <v>50</v>
      </c>
      <c r="I123" s="1"/>
      <c r="J123" s="5">
        <f t="shared" si="80"/>
        <v>1.0180522855625649E-3</v>
      </c>
      <c r="K123" s="1"/>
      <c r="L123" s="1">
        <f t="shared" si="81"/>
        <v>-35.869999999999997</v>
      </c>
      <c r="M123" s="1"/>
      <c r="N123" s="5">
        <f t="shared" si="82"/>
        <v>-0.71739999999999993</v>
      </c>
      <c r="O123" s="13"/>
      <c r="P123" s="1">
        <f>SUM(OSRRefP22_19x_0)</f>
        <v>712.14</v>
      </c>
      <c r="Q123" s="1"/>
      <c r="R123" s="5">
        <f t="shared" si="83"/>
        <v>1.656752648951227E-3</v>
      </c>
      <c r="S123" s="1"/>
      <c r="T123" s="1">
        <f>SUM(OSRRefT22_19x_0)</f>
        <v>435</v>
      </c>
      <c r="U123" s="1"/>
      <c r="V123" s="5">
        <f t="shared" si="84"/>
        <v>1.0378864382575756E-3</v>
      </c>
      <c r="W123" s="1"/>
      <c r="X123" s="1">
        <f t="shared" si="85"/>
        <v>277.14</v>
      </c>
      <c r="Y123" s="1"/>
      <c r="Z123" s="5">
        <f t="shared" si="86"/>
        <v>0.63710344827586207</v>
      </c>
    </row>
    <row r="124" spans="1:26" s="24" customFormat="1" hidden="1" outlineLevel="2" x14ac:dyDescent="0.25">
      <c r="A124" s="25"/>
      <c r="B124" s="11" t="str">
        <f>CONCATENATE("          ", "6294", " - ", "TRAVEL OPERATIONAL")</f>
        <v xml:space="preserve">          6294 - TRAVEL OPERATIONAL</v>
      </c>
      <c r="C124" s="11"/>
      <c r="D124" s="6">
        <v>14.13</v>
      </c>
      <c r="E124" s="2"/>
      <c r="F124" s="7">
        <f t="shared" si="79"/>
        <v>5.2462780386271614E-4</v>
      </c>
      <c r="G124" s="2"/>
      <c r="H124" s="6">
        <v>50</v>
      </c>
      <c r="I124" s="2"/>
      <c r="J124" s="7">
        <f t="shared" si="80"/>
        <v>1.0180522855625649E-3</v>
      </c>
      <c r="K124" s="2"/>
      <c r="L124" s="6">
        <f t="shared" si="81"/>
        <v>-35.869999999999997</v>
      </c>
      <c r="M124" s="2"/>
      <c r="N124" s="7">
        <f t="shared" si="82"/>
        <v>-0.71739999999999993</v>
      </c>
      <c r="O124" s="11"/>
      <c r="P124" s="6">
        <v>712.14</v>
      </c>
      <c r="Q124" s="2"/>
      <c r="R124" s="7">
        <f t="shared" si="83"/>
        <v>1.656752648951227E-3</v>
      </c>
      <c r="S124" s="2"/>
      <c r="T124" s="6">
        <v>435</v>
      </c>
      <c r="U124" s="2"/>
      <c r="V124" s="7">
        <f t="shared" si="84"/>
        <v>1.0378864382575756E-3</v>
      </c>
      <c r="W124" s="2"/>
      <c r="X124" s="6">
        <f t="shared" si="85"/>
        <v>277.14</v>
      </c>
      <c r="Y124" s="2"/>
      <c r="Z124" s="7">
        <f t="shared" si="86"/>
        <v>0.63710344827586207</v>
      </c>
    </row>
    <row r="125" spans="1:26" s="27" customFormat="1" outlineLevel="1" collapsed="1" x14ac:dyDescent="0.25">
      <c r="A125" s="26"/>
      <c r="B125" s="13" t="str">
        <f>CONCATENATE("     ","Utilities                                         ")</f>
        <v xml:space="preserve">     Utilities                                         </v>
      </c>
      <c r="C125" s="13"/>
      <c r="D125" s="1">
        <f>SUM(OSRRefD22_20x_0)</f>
        <v>12.51</v>
      </c>
      <c r="E125" s="1"/>
      <c r="F125" s="5">
        <f t="shared" si="79"/>
        <v>4.644793932287741E-4</v>
      </c>
      <c r="G125" s="1"/>
      <c r="H125" s="1">
        <f>SUM(OSRRefH22_20x_0)</f>
        <v>200</v>
      </c>
      <c r="I125" s="1"/>
      <c r="J125" s="5">
        <f t="shared" si="80"/>
        <v>4.0722091422502596E-3</v>
      </c>
      <c r="K125" s="1"/>
      <c r="L125" s="1">
        <f t="shared" si="81"/>
        <v>-187.49</v>
      </c>
      <c r="M125" s="1"/>
      <c r="N125" s="5">
        <f t="shared" si="82"/>
        <v>-0.93745000000000001</v>
      </c>
      <c r="O125" s="13"/>
      <c r="P125" s="1">
        <f>SUM(OSRRefP22_20x_0)</f>
        <v>2866.3</v>
      </c>
      <c r="Q125" s="1"/>
      <c r="R125" s="5">
        <f t="shared" si="83"/>
        <v>6.6682816829400152E-3</v>
      </c>
      <c r="S125" s="1"/>
      <c r="T125" s="1">
        <f>SUM(OSRRefT22_20x_0)</f>
        <v>3875</v>
      </c>
      <c r="U125" s="1"/>
      <c r="V125" s="5">
        <f t="shared" si="84"/>
        <v>9.245540110915185E-3</v>
      </c>
      <c r="W125" s="1"/>
      <c r="X125" s="1">
        <f t="shared" si="85"/>
        <v>-1008.6999999999998</v>
      </c>
      <c r="Y125" s="1"/>
      <c r="Z125" s="5">
        <f t="shared" si="86"/>
        <v>-0.26030967741935479</v>
      </c>
    </row>
    <row r="126" spans="1:26" s="24" customFormat="1" hidden="1" outlineLevel="2" x14ac:dyDescent="0.25">
      <c r="A126" s="25"/>
      <c r="B126" s="11" t="str">
        <f>CONCATENATE("          ", "6274", " - ", "UTILITIES")</f>
        <v xml:space="preserve">          6274 - UTILITIES</v>
      </c>
      <c r="C126" s="11"/>
      <c r="D126" s="6">
        <v>12.51</v>
      </c>
      <c r="E126" s="2"/>
      <c r="F126" s="7">
        <f t="shared" si="79"/>
        <v>4.644793932287741E-4</v>
      </c>
      <c r="G126" s="2"/>
      <c r="H126" s="6">
        <v>200</v>
      </c>
      <c r="I126" s="2"/>
      <c r="J126" s="7">
        <f t="shared" si="80"/>
        <v>4.0722091422502596E-3</v>
      </c>
      <c r="K126" s="2"/>
      <c r="L126" s="6">
        <f t="shared" si="81"/>
        <v>-187.49</v>
      </c>
      <c r="M126" s="2"/>
      <c r="N126" s="7">
        <f t="shared" si="82"/>
        <v>-0.93745000000000001</v>
      </c>
      <c r="O126" s="11"/>
      <c r="P126" s="6">
        <v>2866.3</v>
      </c>
      <c r="Q126" s="2"/>
      <c r="R126" s="7">
        <f t="shared" si="83"/>
        <v>6.6682816829400152E-3</v>
      </c>
      <c r="S126" s="2"/>
      <c r="T126" s="6">
        <v>3875</v>
      </c>
      <c r="U126" s="2"/>
      <c r="V126" s="7">
        <f t="shared" si="84"/>
        <v>9.245540110915185E-3</v>
      </c>
      <c r="W126" s="2"/>
      <c r="X126" s="6">
        <f t="shared" si="85"/>
        <v>-1008.6999999999998</v>
      </c>
      <c r="Y126" s="2"/>
      <c r="Z126" s="7">
        <f t="shared" si="86"/>
        <v>-0.26030967741935479</v>
      </c>
    </row>
    <row r="127" spans="1:26" s="56" customFormat="1" x14ac:dyDescent="0.25">
      <c r="A127" s="36"/>
      <c r="B127" s="36"/>
      <c r="C127" s="36"/>
      <c r="D127" s="1"/>
      <c r="E127" s="1"/>
      <c r="F127" s="5"/>
      <c r="G127" s="1"/>
      <c r="H127" s="1"/>
      <c r="I127" s="1"/>
      <c r="J127" s="5"/>
      <c r="K127" s="1"/>
      <c r="L127" s="1"/>
      <c r="M127" s="1"/>
      <c r="N127" s="5"/>
      <c r="O127" s="36"/>
      <c r="P127" s="1"/>
      <c r="Q127" s="1"/>
      <c r="R127" s="5"/>
      <c r="S127" s="1"/>
      <c r="T127" s="1"/>
      <c r="U127" s="1"/>
      <c r="V127" s="5"/>
      <c r="W127" s="1"/>
      <c r="X127" s="1"/>
      <c r="Y127" s="1"/>
      <c r="Z127" s="5"/>
    </row>
    <row r="128" spans="1:26" s="23" customFormat="1" x14ac:dyDescent="0.25">
      <c r="A128" s="10"/>
      <c r="B128" s="29" t="s">
        <v>0</v>
      </c>
      <c r="C128" s="10"/>
      <c r="D128" s="4">
        <f>SUM(0)</f>
        <v>0</v>
      </c>
      <c r="E128" s="4"/>
      <c r="F128" s="12">
        <f>IF(D$12=0,0,D128/D$12)</f>
        <v>0</v>
      </c>
      <c r="G128" s="4"/>
      <c r="H128" s="4">
        <f>SUM(0)</f>
        <v>0</v>
      </c>
      <c r="I128" s="4"/>
      <c r="J128" s="12">
        <f>IF(H$12=0,0,H128/H$12)</f>
        <v>0</v>
      </c>
      <c r="K128" s="4"/>
      <c r="L128" s="4">
        <f>+D128-H128</f>
        <v>0</v>
      </c>
      <c r="M128" s="4"/>
      <c r="N128" s="12">
        <f>IF(H128=0,0,L128/H128)</f>
        <v>0</v>
      </c>
      <c r="O128" s="10"/>
      <c r="P128" s="4">
        <f>SUM(0)</f>
        <v>0</v>
      </c>
      <c r="Q128" s="4"/>
      <c r="R128" s="12">
        <f>IF(P$12=0,0,P128/P$12)</f>
        <v>0</v>
      </c>
      <c r="S128" s="4"/>
      <c r="T128" s="4">
        <f>SUM(0)</f>
        <v>0</v>
      </c>
      <c r="U128" s="4"/>
      <c r="V128" s="12">
        <f>IF(T$12=0,0,T128/T$12)</f>
        <v>0</v>
      </c>
      <c r="W128" s="4"/>
      <c r="X128" s="4">
        <f>+P128-T128</f>
        <v>0</v>
      </c>
      <c r="Y128" s="4"/>
      <c r="Z128" s="12">
        <f>IF(T128=0,0,X128/T128)</f>
        <v>0</v>
      </c>
    </row>
    <row r="129" spans="1:26" x14ac:dyDescent="0.25">
      <c r="A129" s="9"/>
      <c r="B129" s="10"/>
      <c r="C129" s="10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O129" s="10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x14ac:dyDescent="0.25">
      <c r="A130" s="10"/>
      <c r="B130" s="28" t="s">
        <v>3</v>
      </c>
      <c r="C130" s="28"/>
      <c r="D130" s="20">
        <f>+D54-D56+D128</f>
        <v>-12301.9</v>
      </c>
      <c r="E130" s="14"/>
      <c r="F130" s="22">
        <f>IF(D$12=0,0,D130/D$12)</f>
        <v>-0.45675292146771029</v>
      </c>
      <c r="G130" s="14"/>
      <c r="H130" s="20">
        <f>+H54-H56+H128</f>
        <v>4756.5397446692295</v>
      </c>
      <c r="I130" s="14"/>
      <c r="J130" s="22">
        <f>IF(H$12=0,0,H130/H$12)</f>
        <v>9.6848123168593758E-2</v>
      </c>
      <c r="K130" s="16"/>
      <c r="L130" s="20">
        <f>+D130-H130</f>
        <v>-17058.439744669231</v>
      </c>
      <c r="M130" s="16"/>
      <c r="N130" s="22">
        <f>IF(H130=0,0,L130/H130)</f>
        <v>-3.5863128787659226</v>
      </c>
      <c r="O130" s="29"/>
      <c r="P130" s="20">
        <f>+P54-P56+P128</f>
        <v>-37030.730000000069</v>
      </c>
      <c r="Q130" s="14"/>
      <c r="R130" s="22">
        <f>IF(P$12=0,0,P130/P$12)</f>
        <v>-8.614985820217623E-2</v>
      </c>
      <c r="S130" s="14"/>
      <c r="T130" s="20">
        <f>+T54-T56+T128</f>
        <v>-1256.4402009750193</v>
      </c>
      <c r="U130" s="14"/>
      <c r="V130" s="22">
        <f>IF(T$12=0,0,T130/T$12)</f>
        <v>-2.9977982645370002E-3</v>
      </c>
      <c r="W130" s="16"/>
      <c r="X130" s="20">
        <f>+P130-T130</f>
        <v>-35774.289799025049</v>
      </c>
      <c r="Y130" s="16"/>
      <c r="Z130" s="22">
        <f>IF(T130=0,0,X130/T130)</f>
        <v>28.47273572690812</v>
      </c>
    </row>
    <row r="131" spans="1:26" x14ac:dyDescent="0.25">
      <c r="A131" s="9"/>
      <c r="B131" s="10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x14ac:dyDescent="0.25">
      <c r="A132" s="52"/>
      <c r="B132" s="10" t="s">
        <v>14</v>
      </c>
      <c r="C132" s="10"/>
      <c r="D132" s="4">
        <v>4994.25</v>
      </c>
      <c r="E132" s="4"/>
      <c r="F132" s="12">
        <f>IF(D$12=0,0,D132/D$12)</f>
        <v>0.18542975296824979</v>
      </c>
      <c r="G132" s="4"/>
      <c r="H132" s="4">
        <v>4498</v>
      </c>
      <c r="I132" s="4"/>
      <c r="J132" s="12">
        <f>IF(H$12=0,0,H132/H$12)</f>
        <v>9.1583983609208344E-2</v>
      </c>
      <c r="K132" s="4"/>
      <c r="L132" s="4">
        <f>+D132-H132</f>
        <v>496.25</v>
      </c>
      <c r="M132" s="4"/>
      <c r="N132" s="12">
        <f>IF(H132=0,0,L132/H132)</f>
        <v>0.11032681191640729</v>
      </c>
      <c r="O132" s="10"/>
      <c r="P132" s="4">
        <v>46058.49</v>
      </c>
      <c r="Q132" s="4"/>
      <c r="R132" s="12">
        <f>IF(P$12=0,0,P132/P$12)</f>
        <v>0.10715242131349678</v>
      </c>
      <c r="S132" s="4"/>
      <c r="T132" s="4">
        <v>48993</v>
      </c>
      <c r="U132" s="4"/>
      <c r="V132" s="12">
        <f>IF(T$12=0,0,T132/T$12)</f>
        <v>0.11689464429782391</v>
      </c>
      <c r="W132" s="4"/>
      <c r="X132" s="4">
        <f>+P132-T132</f>
        <v>-2934.510000000002</v>
      </c>
      <c r="Y132" s="4"/>
      <c r="Z132" s="12">
        <f>IF(T132=0,0,X132/T132)</f>
        <v>-5.9896515828791907E-2</v>
      </c>
    </row>
    <row r="133" spans="1:26" x14ac:dyDescent="0.25">
      <c r="A133" s="9"/>
      <c r="B133" s="10"/>
      <c r="C133" s="10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O133" s="10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8" t="s">
        <v>4</v>
      </c>
      <c r="C134" s="28"/>
      <c r="D134" s="31">
        <f>+D130-D132</f>
        <v>-17296.150000000001</v>
      </c>
      <c r="E134" s="14"/>
      <c r="F134" s="34">
        <f>IF(D$12=0,0,D134/D$12)</f>
        <v>-0.64218267443596011</v>
      </c>
      <c r="G134" s="14"/>
      <c r="H134" s="31">
        <f>+H130-H132</f>
        <v>258.53974466922955</v>
      </c>
      <c r="I134" s="14"/>
      <c r="J134" s="34">
        <f>IF(H$12=0,0,H134/H$12)</f>
        <v>5.2641395593854218E-3</v>
      </c>
      <c r="K134" s="16"/>
      <c r="L134" s="31">
        <f>D134-H134</f>
        <v>-17554.689744669231</v>
      </c>
      <c r="M134" s="16"/>
      <c r="N134" s="34">
        <f>IF(H134=0,0,L134/H134)</f>
        <v>-67.899385323244374</v>
      </c>
      <c r="O134" s="29"/>
      <c r="P134" s="31">
        <f>+P130-P132</f>
        <v>-83089.220000000059</v>
      </c>
      <c r="Q134" s="14"/>
      <c r="R134" s="34">
        <f>IF(P$12=0,0,P134/P$12)</f>
        <v>-0.193302279515673</v>
      </c>
      <c r="S134" s="14"/>
      <c r="T134" s="31">
        <f>+T130-T132</f>
        <v>-50249.440200975019</v>
      </c>
      <c r="U134" s="14"/>
      <c r="V134" s="34">
        <f>IF(T$12=0,0,T134/T$12)</f>
        <v>-0.11989244256236091</v>
      </c>
      <c r="W134" s="16"/>
      <c r="X134" s="31">
        <f>P134-T134</f>
        <v>-32839.77979902504</v>
      </c>
      <c r="Y134" s="16"/>
      <c r="Z134" s="34">
        <f>IF(T134=0,0,X134/T134)</f>
        <v>0.65353523676444525</v>
      </c>
    </row>
    <row r="135" spans="1:26" ht="15.75" thickTop="1" x14ac:dyDescent="0.25">
      <c r="A135" s="9"/>
      <c r="B135" s="9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x14ac:dyDescent="0.25">
      <c r="A136" s="9"/>
      <c r="B136" s="9"/>
      <c r="C136" s="9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s="23" customFormat="1" ht="15.75" thickBot="1" x14ac:dyDescent="0.3">
      <c r="A137" s="10"/>
      <c r="B137" s="28" t="s">
        <v>5</v>
      </c>
      <c r="C137" s="28"/>
      <c r="D137" s="32">
        <f>SUM(D134:D136)</f>
        <v>-17296.150000000001</v>
      </c>
      <c r="E137" s="14"/>
      <c r="F137" s="35">
        <f>IF(D$12=0,0,D137/D$12)</f>
        <v>-0.64218267443596011</v>
      </c>
      <c r="G137" s="14"/>
      <c r="H137" s="32">
        <f>SUM(H134:H136)</f>
        <v>258.53974466922955</v>
      </c>
      <c r="I137" s="14"/>
      <c r="J137" s="35">
        <f>IF(H$12=0,0,H137/H$12)</f>
        <v>5.2641395593854218E-3</v>
      </c>
      <c r="K137" s="16"/>
      <c r="L137" s="32">
        <f>+D137-H137</f>
        <v>-17554.689744669231</v>
      </c>
      <c r="M137" s="16"/>
      <c r="N137" s="35">
        <f>IF(H137=0,0,L137/H137)</f>
        <v>-67.899385323244374</v>
      </c>
      <c r="O137" s="29"/>
      <c r="P137" s="32">
        <f>SUM(P134:P136)</f>
        <v>-83089.220000000059</v>
      </c>
      <c r="Q137" s="14"/>
      <c r="R137" s="35">
        <f>IF(P$12=0,0,P137/P$12)</f>
        <v>-0.193302279515673</v>
      </c>
      <c r="S137" s="14"/>
      <c r="T137" s="32">
        <f>SUM(T134:T136)</f>
        <v>-50249.440200975019</v>
      </c>
      <c r="U137" s="14"/>
      <c r="V137" s="35">
        <f>IF(T$12=0,0,T137/T$12)</f>
        <v>-0.11989244256236091</v>
      </c>
      <c r="W137" s="16"/>
      <c r="X137" s="32">
        <f>+P137-T137</f>
        <v>-32839.77979902504</v>
      </c>
      <c r="Y137" s="16"/>
      <c r="Z137" s="35">
        <f>IF(T137=0,0,X137/T137)</f>
        <v>0.65353523676444525</v>
      </c>
    </row>
    <row r="138" spans="1:26" ht="15.75" thickTop="1" x14ac:dyDescent="0.25">
      <c r="A138" s="9"/>
      <c r="C138" s="9"/>
      <c r="D138" s="18"/>
      <c r="E138" s="18"/>
      <c r="G138" s="18"/>
      <c r="H138" s="18"/>
      <c r="I138" s="18"/>
      <c r="J138" s="42"/>
      <c r="K138" s="18"/>
      <c r="L138" s="18"/>
      <c r="M138" s="18"/>
      <c r="P138" s="18"/>
      <c r="Q138" s="18"/>
      <c r="R138" s="42"/>
      <c r="S138" s="18"/>
      <c r="T138" s="18"/>
      <c r="U138" s="18"/>
      <c r="V138" s="42"/>
      <c r="W138" s="18"/>
      <c r="X138" s="18"/>
    </row>
    <row r="139" spans="1:26" x14ac:dyDescent="0.25">
      <c r="A139" s="9"/>
      <c r="B139" s="57">
        <v>43934.466633449076</v>
      </c>
      <c r="D139" s="18"/>
      <c r="E139" s="18"/>
      <c r="G139" s="18"/>
      <c r="H139" s="18"/>
      <c r="I139" s="18"/>
      <c r="J139" s="42"/>
      <c r="K139" s="18"/>
      <c r="L139" s="18"/>
      <c r="M139" s="18"/>
      <c r="P139" s="18"/>
      <c r="Q139" s="18"/>
      <c r="R139" s="42"/>
      <c r="S139" s="18"/>
      <c r="T139" s="18"/>
      <c r="U139" s="18"/>
      <c r="V139" s="42"/>
      <c r="W139" s="18"/>
      <c r="X139" s="18"/>
    </row>
    <row r="140" spans="1:26" x14ac:dyDescent="0.25">
      <c r="A140" s="9"/>
      <c r="B140" s="62" t="s">
        <v>314</v>
      </c>
      <c r="D140" s="18"/>
      <c r="E140" s="18"/>
      <c r="G140" s="18"/>
      <c r="H140" s="18"/>
      <c r="I140" s="18"/>
      <c r="J140" s="42"/>
      <c r="K140" s="18"/>
      <c r="L140" s="18"/>
      <c r="M140" s="18"/>
      <c r="P140" s="18"/>
      <c r="Q140" s="18"/>
      <c r="R140" s="42"/>
      <c r="S140" s="18"/>
      <c r="T140" s="18"/>
      <c r="U140" s="18"/>
      <c r="V140" s="42"/>
      <c r="W140" s="18"/>
      <c r="X140" s="18"/>
    </row>
    <row r="141" spans="1:26" x14ac:dyDescent="0.25">
      <c r="A141" s="9"/>
      <c r="B141" s="60"/>
      <c r="D141" s="18"/>
      <c r="E141" s="18"/>
      <c r="G141" s="18"/>
      <c r="H141" s="18"/>
      <c r="I141" s="18"/>
      <c r="J141" s="42"/>
      <c r="K141" s="18"/>
      <c r="L141" s="18"/>
      <c r="M141" s="18"/>
      <c r="P141" s="18"/>
      <c r="Q141" s="18"/>
      <c r="R141" s="42"/>
      <c r="S141" s="18"/>
      <c r="T141" s="18"/>
      <c r="U141" s="18"/>
      <c r="V141" s="42"/>
      <c r="W141" s="18"/>
      <c r="X141" s="18"/>
    </row>
    <row r="142" spans="1:26" x14ac:dyDescent="0.25">
      <c r="D142" s="18"/>
      <c r="E142" s="18"/>
      <c r="G142" s="18"/>
      <c r="H142" s="18"/>
      <c r="I142" s="18"/>
      <c r="J142" s="42"/>
      <c r="K142" s="18"/>
      <c r="L142" s="18"/>
      <c r="M142" s="18"/>
      <c r="P142" s="18"/>
      <c r="Q142" s="18"/>
      <c r="R142" s="42"/>
      <c r="S142" s="18"/>
      <c r="T142" s="18"/>
      <c r="U142" s="18"/>
      <c r="V142" s="42"/>
      <c r="W142" s="18"/>
      <c r="X142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305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37859.46</v>
      </c>
      <c r="E12" s="4"/>
      <c r="F12" s="12"/>
      <c r="G12" s="4"/>
      <c r="H12" s="4">
        <f>SUM(OSRRefH13x_0)</f>
        <v>432465</v>
      </c>
      <c r="I12" s="4"/>
      <c r="J12" s="12"/>
      <c r="K12" s="4"/>
      <c r="L12" s="4">
        <f t="shared" ref="L12:L31" si="0">+D12-H12</f>
        <v>-394605.54</v>
      </c>
      <c r="M12" s="4"/>
      <c r="N12" s="12">
        <f t="shared" ref="N12:N31" si="1">IF(H12=0,0,L12/H12)</f>
        <v>-0.91245659186292527</v>
      </c>
      <c r="O12" s="10"/>
      <c r="P12" s="4">
        <f>SUM(OSRRefP13x_0)</f>
        <v>487560.09999999992</v>
      </c>
      <c r="Q12" s="4"/>
      <c r="R12" s="12"/>
      <c r="S12" s="4"/>
      <c r="T12" s="4">
        <f>SUM(OSRRefT13x_0)</f>
        <v>951217.5</v>
      </c>
      <c r="U12" s="4"/>
      <c r="V12" s="12"/>
      <c r="W12" s="4"/>
      <c r="X12" s="4">
        <f t="shared" ref="X12:X31" si="2">+P12-T12</f>
        <v>-463657.40000000008</v>
      </c>
      <c r="Y12" s="4"/>
      <c r="Z12" s="12">
        <f t="shared" ref="Z12:Z31" si="3">IF(T12=0,0,X12/T12)</f>
        <v>-0.48743573367815468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173890</v>
      </c>
      <c r="I13" s="2"/>
      <c r="J13" s="19"/>
      <c r="K13" s="2"/>
      <c r="L13" s="2">
        <f t="shared" si="0"/>
        <v>-173890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621777.5</v>
      </c>
      <c r="U13" s="2"/>
      <c r="V13" s="19"/>
      <c r="W13" s="2"/>
      <c r="X13" s="2">
        <f t="shared" si="2"/>
        <v>-621777.5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--358.56</f>
        <v>358.56</v>
      </c>
      <c r="E14" s="2"/>
      <c r="F14" s="19"/>
      <c r="G14" s="2"/>
      <c r="H14" s="2"/>
      <c r="I14" s="2"/>
      <c r="J14" s="19"/>
      <c r="K14" s="2"/>
      <c r="L14" s="2">
        <f t="shared" si="0"/>
        <v>358.56</v>
      </c>
      <c r="M14" s="2"/>
      <c r="N14" s="19">
        <f t="shared" si="1"/>
        <v>0</v>
      </c>
      <c r="O14" s="11"/>
      <c r="P14" s="2">
        <f>--174182.55</f>
        <v>174182.55</v>
      </c>
      <c r="Q14" s="2"/>
      <c r="R14" s="19"/>
      <c r="S14" s="2"/>
      <c r="T14" s="2"/>
      <c r="U14" s="2"/>
      <c r="V14" s="19"/>
      <c r="W14" s="2"/>
      <c r="X14" s="2">
        <f t="shared" si="2"/>
        <v>174182.55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--12049.94</f>
        <v>12049.94</v>
      </c>
      <c r="E15" s="2"/>
      <c r="F15" s="19"/>
      <c r="G15" s="2"/>
      <c r="H15" s="2"/>
      <c r="I15" s="2"/>
      <c r="J15" s="19"/>
      <c r="K15" s="2"/>
      <c r="L15" s="2">
        <f t="shared" si="0"/>
        <v>12049.94</v>
      </c>
      <c r="M15" s="2"/>
      <c r="N15" s="19">
        <f t="shared" si="1"/>
        <v>0</v>
      </c>
      <c r="O15" s="11"/>
      <c r="P15" s="2">
        <f>--74184.41</f>
        <v>74184.41</v>
      </c>
      <c r="Q15" s="2"/>
      <c r="R15" s="19"/>
      <c r="S15" s="2"/>
      <c r="T15" s="2"/>
      <c r="U15" s="2"/>
      <c r="V15" s="19"/>
      <c r="W15" s="2"/>
      <c r="X15" s="2">
        <f t="shared" si="2"/>
        <v>74184.41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--20.93</f>
        <v>20.93</v>
      </c>
      <c r="E16" s="2"/>
      <c r="F16" s="19"/>
      <c r="G16" s="2"/>
      <c r="H16" s="2"/>
      <c r="I16" s="2"/>
      <c r="J16" s="19"/>
      <c r="K16" s="2"/>
      <c r="L16" s="2">
        <f t="shared" si="0"/>
        <v>20.93</v>
      </c>
      <c r="M16" s="2"/>
      <c r="N16" s="19">
        <f t="shared" si="1"/>
        <v>0</v>
      </c>
      <c r="O16" s="11"/>
      <c r="P16" s="2">
        <f>--270.72</f>
        <v>270.72000000000003</v>
      </c>
      <c r="Q16" s="2"/>
      <c r="R16" s="19"/>
      <c r="S16" s="2"/>
      <c r="T16" s="2"/>
      <c r="U16" s="2"/>
      <c r="V16" s="19"/>
      <c r="W16" s="2"/>
      <c r="X16" s="2">
        <f t="shared" si="2"/>
        <v>270.72000000000003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"4044", " - ", "TAXABLE SALES-ACCESSORIES")</f>
        <v xml:space="preserve">          4044 - TAXABLE SALES-ACCESSORIES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--235.18</f>
        <v>235.18</v>
      </c>
      <c r="Q17" s="2"/>
      <c r="R17" s="19"/>
      <c r="S17" s="2"/>
      <c r="T17" s="2"/>
      <c r="U17" s="2"/>
      <c r="V17" s="19"/>
      <c r="W17" s="2"/>
      <c r="X17" s="2">
        <f t="shared" si="2"/>
        <v>235.18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"4047", " - ", "TAXABLE SALES-MISC")</f>
        <v xml:space="preserve">          4047 - TAXABLE SALES-MISC</v>
      </c>
      <c r="C18" s="11"/>
      <c r="D18" s="2">
        <f>--490.15</f>
        <v>490.15</v>
      </c>
      <c r="E18" s="2"/>
      <c r="F18" s="19"/>
      <c r="G18" s="2"/>
      <c r="H18" s="2"/>
      <c r="I18" s="2"/>
      <c r="J18" s="19"/>
      <c r="K18" s="2"/>
      <c r="L18" s="2">
        <f t="shared" si="0"/>
        <v>490.15</v>
      </c>
      <c r="M18" s="2"/>
      <c r="N18" s="19">
        <f t="shared" si="1"/>
        <v>0</v>
      </c>
      <c r="O18" s="11"/>
      <c r="P18" s="2">
        <f>--2676.14</f>
        <v>2676.14</v>
      </c>
      <c r="Q18" s="2"/>
      <c r="R18" s="19"/>
      <c r="S18" s="2"/>
      <c r="T18" s="2"/>
      <c r="U18" s="2"/>
      <c r="V18" s="19"/>
      <c r="W18" s="2"/>
      <c r="X18" s="2">
        <f t="shared" si="2"/>
        <v>2676.14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"4092", " - ", "TAXABLE SALES-GRAD MERCH")</f>
        <v xml:space="preserve">          4092 - TAXABLE SALES-GRAD MERCH</v>
      </c>
      <c r="C19" s="11"/>
      <c r="D19" s="2">
        <f>--10952.9</f>
        <v>10952.9</v>
      </c>
      <c r="E19" s="2"/>
      <c r="F19" s="19"/>
      <c r="G19" s="2"/>
      <c r="H19" s="2"/>
      <c r="I19" s="2"/>
      <c r="J19" s="19"/>
      <c r="K19" s="2"/>
      <c r="L19" s="2">
        <f t="shared" si="0"/>
        <v>10952.9</v>
      </c>
      <c r="M19" s="2"/>
      <c r="N19" s="19">
        <f t="shared" si="1"/>
        <v>0</v>
      </c>
      <c r="O19" s="11"/>
      <c r="P19" s="2">
        <f>--18652.22</f>
        <v>18652.22</v>
      </c>
      <c r="Q19" s="2"/>
      <c r="R19" s="19"/>
      <c r="S19" s="2"/>
      <c r="T19" s="2"/>
      <c r="U19" s="2"/>
      <c r="V19" s="19"/>
      <c r="W19" s="2"/>
      <c r="X19" s="2">
        <f t="shared" si="2"/>
        <v>18652.22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"4095", " - ", "TAXABLE SALES-CUSTOMER SERVICE")</f>
        <v xml:space="preserve">          4095 - TAXABLE SALES-CUSTOMER SERVICE</v>
      </c>
      <c r="C20" s="11"/>
      <c r="D20" s="2">
        <f t="shared" ref="D20:D21" si="4">0</f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--279.56</f>
        <v>279.56</v>
      </c>
      <c r="Q20" s="2"/>
      <c r="R20" s="19"/>
      <c r="S20" s="2"/>
      <c r="T20" s="2"/>
      <c r="U20" s="2"/>
      <c r="V20" s="19"/>
      <c r="W20" s="2"/>
      <c r="X20" s="2">
        <f t="shared" si="2"/>
        <v>279.56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 t="shared" si="4"/>
        <v>0</v>
      </c>
      <c r="E21" s="2"/>
      <c r="F21" s="19"/>
      <c r="G21" s="2"/>
      <c r="H21" s="2">
        <v>258575</v>
      </c>
      <c r="I21" s="2"/>
      <c r="J21" s="19"/>
      <c r="K21" s="2"/>
      <c r="L21" s="2">
        <f t="shared" si="0"/>
        <v>-258575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329440</v>
      </c>
      <c r="U21" s="2"/>
      <c r="V21" s="19"/>
      <c r="W21" s="2"/>
      <c r="X21" s="2">
        <f t="shared" si="2"/>
        <v>-329440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"4141", " - ", "NON-TAXABLE SALES-LOGO GIFTS")</f>
        <v xml:space="preserve">          4141 - NON-TAXABLE SALES-LOGO GIFTS</v>
      </c>
      <c r="C22" s="11"/>
      <c r="D22" s="2">
        <f>--6.65</f>
        <v>6.65</v>
      </c>
      <c r="E22" s="2"/>
      <c r="F22" s="19"/>
      <c r="G22" s="2"/>
      <c r="H22" s="2"/>
      <c r="I22" s="2"/>
      <c r="J22" s="19"/>
      <c r="K22" s="2"/>
      <c r="L22" s="2">
        <f t="shared" si="0"/>
        <v>6.65</v>
      </c>
      <c r="M22" s="2"/>
      <c r="N22" s="19">
        <f t="shared" si="1"/>
        <v>0</v>
      </c>
      <c r="O22" s="11"/>
      <c r="P22" s="2">
        <f>--864.6</f>
        <v>864.6</v>
      </c>
      <c r="Q22" s="2"/>
      <c r="R22" s="19"/>
      <c r="S22" s="2"/>
      <c r="T22" s="2"/>
      <c r="U22" s="2"/>
      <c r="V22" s="19"/>
      <c r="W22" s="2"/>
      <c r="X22" s="2">
        <f t="shared" si="2"/>
        <v>864.6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"4142", " - ", "NON-TAXABLE SALES-EVERYDAY GIF")</f>
        <v xml:space="preserve">          4142 - NON-TAXABLE SALES-EVERYDAY GIF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--8924.02</f>
        <v>8924.02</v>
      </c>
      <c r="Q23" s="2"/>
      <c r="R23" s="19"/>
      <c r="S23" s="2"/>
      <c r="T23" s="2"/>
      <c r="U23" s="2"/>
      <c r="V23" s="19"/>
      <c r="W23" s="2"/>
      <c r="X23" s="2">
        <f t="shared" si="2"/>
        <v>8924.02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"4146", " - ", "NON-TAXABLE SALES-COIN OP MACH")</f>
        <v xml:space="preserve">          4146 - NON-TAXABLE SALES-COIN OP MACH</v>
      </c>
      <c r="C24" s="11"/>
      <c r="D24" s="2">
        <f>--13383.2</f>
        <v>13383.2</v>
      </c>
      <c r="E24" s="2"/>
      <c r="F24" s="19"/>
      <c r="G24" s="2"/>
      <c r="H24" s="2"/>
      <c r="I24" s="2"/>
      <c r="J24" s="19"/>
      <c r="K24" s="2"/>
      <c r="L24" s="2">
        <f t="shared" si="0"/>
        <v>13383.2</v>
      </c>
      <c r="M24" s="2"/>
      <c r="N24" s="19">
        <f t="shared" si="1"/>
        <v>0</v>
      </c>
      <c r="O24" s="11"/>
      <c r="P24" s="2">
        <f>--205786.95</f>
        <v>205786.95</v>
      </c>
      <c r="Q24" s="2"/>
      <c r="R24" s="19"/>
      <c r="S24" s="2"/>
      <c r="T24" s="2"/>
      <c r="U24" s="2"/>
      <c r="V24" s="19"/>
      <c r="W24" s="2"/>
      <c r="X24" s="2">
        <f t="shared" si="2"/>
        <v>205786.95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"4147", " - ", "NON-TAXABLE SALES-MISC")</f>
        <v xml:space="preserve">          4147 - NON-TAXABLE SALES-MISC</v>
      </c>
      <c r="C25" s="11"/>
      <c r="D25" s="2">
        <f>--933.53</f>
        <v>933.53</v>
      </c>
      <c r="E25" s="2"/>
      <c r="F25" s="19"/>
      <c r="G25" s="2"/>
      <c r="H25" s="2"/>
      <c r="I25" s="2"/>
      <c r="J25" s="19"/>
      <c r="K25" s="2"/>
      <c r="L25" s="2">
        <f t="shared" si="0"/>
        <v>933.53</v>
      </c>
      <c r="M25" s="2"/>
      <c r="N25" s="19">
        <f t="shared" si="1"/>
        <v>0</v>
      </c>
      <c r="O25" s="11"/>
      <c r="P25" s="2">
        <f>--3436.37</f>
        <v>3436.37</v>
      </c>
      <c r="Q25" s="2"/>
      <c r="R25" s="19"/>
      <c r="S25" s="2"/>
      <c r="T25" s="2"/>
      <c r="U25" s="2"/>
      <c r="V25" s="19"/>
      <c r="W25" s="2"/>
      <c r="X25" s="2">
        <f t="shared" si="2"/>
        <v>3436.37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"4241", " - ", "SALES RETURN TAXABLE-LOGO GIFT")</f>
        <v xml:space="preserve">          4241 - SALES RETURN TAXABLE-LOGO GIFT</v>
      </c>
      <c r="C26" s="11"/>
      <c r="D26" s="2">
        <f>0</f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-1059.4</f>
        <v>-1059.4000000000001</v>
      </c>
      <c r="Q26" s="2"/>
      <c r="R26" s="19"/>
      <c r="S26" s="2"/>
      <c r="T26" s="2"/>
      <c r="U26" s="2"/>
      <c r="V26" s="19"/>
      <c r="W26" s="2"/>
      <c r="X26" s="2">
        <f t="shared" si="2"/>
        <v>-1059.4000000000001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"4242", " - ", "SALES RETURN TAXABLE-EVERYDAY")</f>
        <v xml:space="preserve">          4242 - SALES RETURN TAXABLE-EVERYDAY</v>
      </c>
      <c r="C27" s="11"/>
      <c r="D27" s="2">
        <f>-157.5</f>
        <v>-157.5</v>
      </c>
      <c r="E27" s="2"/>
      <c r="F27" s="19"/>
      <c r="G27" s="2"/>
      <c r="H27" s="2"/>
      <c r="I27" s="2"/>
      <c r="J27" s="19"/>
      <c r="K27" s="2"/>
      <c r="L27" s="2">
        <f t="shared" si="0"/>
        <v>-157.5</v>
      </c>
      <c r="M27" s="2"/>
      <c r="N27" s="19">
        <f t="shared" si="1"/>
        <v>0</v>
      </c>
      <c r="O27" s="11"/>
      <c r="P27" s="2">
        <f>-227.7</f>
        <v>-227.7</v>
      </c>
      <c r="Q27" s="2"/>
      <c r="R27" s="19"/>
      <c r="S27" s="2"/>
      <c r="T27" s="2"/>
      <c r="U27" s="2"/>
      <c r="V27" s="19"/>
      <c r="W27" s="2"/>
      <c r="X27" s="2">
        <f t="shared" si="2"/>
        <v>-227.7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"4292", " - ", "SALES RETURN TAXABLE-GRAD MERC")</f>
        <v xml:space="preserve">          4292 - SALES RETURN TAXABLE-GRAD MERC</v>
      </c>
      <c r="C28" s="11"/>
      <c r="D28" s="2">
        <f>-94.9</f>
        <v>-94.9</v>
      </c>
      <c r="E28" s="2"/>
      <c r="F28" s="19"/>
      <c r="G28" s="2"/>
      <c r="H28" s="2"/>
      <c r="I28" s="2"/>
      <c r="J28" s="19"/>
      <c r="K28" s="2"/>
      <c r="L28" s="2">
        <f t="shared" si="0"/>
        <v>-94.9</v>
      </c>
      <c r="M28" s="2"/>
      <c r="N28" s="19">
        <f t="shared" si="1"/>
        <v>0</v>
      </c>
      <c r="O28" s="11"/>
      <c r="P28" s="2">
        <f>-513.95</f>
        <v>-513.95000000000005</v>
      </c>
      <c r="Q28" s="2"/>
      <c r="R28" s="19"/>
      <c r="S28" s="2"/>
      <c r="T28" s="2"/>
      <c r="U28" s="2"/>
      <c r="V28" s="19"/>
      <c r="W28" s="2"/>
      <c r="X28" s="2">
        <f t="shared" si="2"/>
        <v>-513.95000000000005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"4342", " - ", "SALES RETURN NON TAXABLE-EVERY")</f>
        <v xml:space="preserve">          4342 - SALES RETURN NON TAXABLE-EVERY</v>
      </c>
      <c r="C29" s="11"/>
      <c r="D29" s="2">
        <f t="shared" ref="D29:D30" si="5">0</f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-39.42</f>
        <v>-39.42</v>
      </c>
      <c r="Q29" s="2"/>
      <c r="R29" s="19"/>
      <c r="S29" s="2"/>
      <c r="T29" s="2"/>
      <c r="U29" s="2"/>
      <c r="V29" s="19"/>
      <c r="W29" s="2"/>
      <c r="X29" s="2">
        <f t="shared" si="2"/>
        <v>-39.42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"4346", " - ", "SALES RETURN NON TAXABLE-COIN-")</f>
        <v xml:space="preserve">          4346 - SALES RETURN NON TAXABLE-COIN-</v>
      </c>
      <c r="C30" s="11"/>
      <c r="D30" s="2">
        <f t="shared" si="5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-8.15</f>
        <v>-8.15</v>
      </c>
      <c r="Q30" s="2"/>
      <c r="R30" s="19"/>
      <c r="S30" s="2"/>
      <c r="T30" s="2"/>
      <c r="U30" s="2"/>
      <c r="V30" s="19"/>
      <c r="W30" s="2"/>
      <c r="X30" s="2">
        <f t="shared" si="2"/>
        <v>-8.15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"4347", " - ", "SALES RETURN NON TAXABLE-MISC")</f>
        <v xml:space="preserve">          4347 - SALES RETURN NON TAXABLE-MISC</v>
      </c>
      <c r="C31" s="11"/>
      <c r="D31" s="2">
        <f>-84</f>
        <v>-84</v>
      </c>
      <c r="E31" s="2"/>
      <c r="F31" s="19"/>
      <c r="G31" s="2"/>
      <c r="H31" s="2"/>
      <c r="I31" s="2"/>
      <c r="J31" s="19"/>
      <c r="K31" s="2"/>
      <c r="L31" s="2">
        <f t="shared" si="0"/>
        <v>-84</v>
      </c>
      <c r="M31" s="2"/>
      <c r="N31" s="19">
        <f t="shared" si="1"/>
        <v>0</v>
      </c>
      <c r="O31" s="11"/>
      <c r="P31" s="2">
        <f>-84</f>
        <v>-84</v>
      </c>
      <c r="Q31" s="2"/>
      <c r="R31" s="19"/>
      <c r="S31" s="2"/>
      <c r="T31" s="2"/>
      <c r="U31" s="2"/>
      <c r="V31" s="19"/>
      <c r="W31" s="2"/>
      <c r="X31" s="2">
        <f t="shared" si="2"/>
        <v>-84</v>
      </c>
      <c r="Y31" s="2"/>
      <c r="Z31" s="19">
        <f t="shared" si="3"/>
        <v>0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collapsed="1" x14ac:dyDescent="0.25">
      <c r="A33" s="10"/>
      <c r="B33" s="29" t="s">
        <v>8</v>
      </c>
      <c r="C33" s="10"/>
      <c r="D33" s="4">
        <f>SUM(OSRRefD16x_0)</f>
        <v>4617.28</v>
      </c>
      <c r="E33" s="4"/>
      <c r="F33" s="12">
        <f t="shared" ref="F33:F39" si="6">IF(D$12=0,0,D33/D$12)</f>
        <v>0.12195842201658449</v>
      </c>
      <c r="G33" s="4"/>
      <c r="H33" s="4">
        <f>SUM(OSRRefH16x_0)</f>
        <v>152770.97499999998</v>
      </c>
      <c r="I33" s="4"/>
      <c r="J33" s="12">
        <f t="shared" ref="J33:J39" si="7">IF(H$12=0,0,H33/H$12)</f>
        <v>0.35325627507428342</v>
      </c>
      <c r="K33" s="4"/>
      <c r="L33" s="4">
        <f t="shared" ref="L33:L39" si="8">+D33-H33</f>
        <v>-148153.69499999998</v>
      </c>
      <c r="M33" s="4"/>
      <c r="N33" s="12">
        <f t="shared" ref="N33:N39" si="9">IF(H33=0,0,L33/H33)</f>
        <v>-0.96977645786446021</v>
      </c>
      <c r="O33" s="10"/>
      <c r="P33" s="4">
        <f>SUM(OSRRefP16x_0)</f>
        <v>8421.06</v>
      </c>
      <c r="Q33" s="4"/>
      <c r="R33" s="12">
        <f t="shared" ref="R33:R39" si="10">IF(P$12=0,0,P33/P$12)</f>
        <v>1.7271839922914121E-2</v>
      </c>
      <c r="S33" s="4"/>
      <c r="T33" s="4">
        <f>SUM(OSRRefT16x_0)</f>
        <v>157382.47500000001</v>
      </c>
      <c r="U33" s="4"/>
      <c r="V33" s="12">
        <f t="shared" ref="V33:V39" si="11">IF(T$12=0,0,T33/T$12)</f>
        <v>0.16545372115210244</v>
      </c>
      <c r="W33" s="4"/>
      <c r="X33" s="4">
        <f t="shared" ref="X33:X39" si="12">+P33-T33</f>
        <v>-148961.41500000001</v>
      </c>
      <c r="Y33" s="4"/>
      <c r="Z33" s="12">
        <f t="shared" ref="Z33:Z39" si="13">IF(T33=0,0,X33/T33)</f>
        <v>-0.94649302598653373</v>
      </c>
    </row>
    <row r="34" spans="1:26" s="24" customFormat="1" hidden="1" outlineLevel="1" x14ac:dyDescent="0.25">
      <c r="A34" s="44"/>
      <c r="B34" s="11" t="str">
        <f>CONCATENATE("          ", "5000", " - ", "PURCHASES @ COST")</f>
        <v xml:space="preserve">          5000 - PURCHASES @ COST</v>
      </c>
      <c r="C34" s="11"/>
      <c r="D34" s="2"/>
      <c r="E34" s="2"/>
      <c r="F34" s="19">
        <f t="shared" si="6"/>
        <v>0</v>
      </c>
      <c r="G34" s="2"/>
      <c r="H34" s="2">
        <v>152770.97499999998</v>
      </c>
      <c r="I34" s="2"/>
      <c r="J34" s="19">
        <f t="shared" si="7"/>
        <v>0.35325627507428342</v>
      </c>
      <c r="K34" s="2"/>
      <c r="L34" s="2">
        <f t="shared" si="8"/>
        <v>-152770.97499999998</v>
      </c>
      <c r="M34" s="2"/>
      <c r="N34" s="19">
        <f t="shared" si="9"/>
        <v>-1</v>
      </c>
      <c r="O34" s="11"/>
      <c r="P34" s="2"/>
      <c r="Q34" s="2"/>
      <c r="R34" s="19">
        <f t="shared" si="10"/>
        <v>0</v>
      </c>
      <c r="S34" s="2"/>
      <c r="T34" s="2">
        <v>157382.47500000001</v>
      </c>
      <c r="U34" s="2"/>
      <c r="V34" s="19">
        <f t="shared" si="11"/>
        <v>0.16545372115210244</v>
      </c>
      <c r="W34" s="2"/>
      <c r="X34" s="2">
        <f t="shared" si="12"/>
        <v>-157382.47500000001</v>
      </c>
      <c r="Y34" s="2"/>
      <c r="Z34" s="19">
        <f t="shared" si="13"/>
        <v>-1</v>
      </c>
    </row>
    <row r="35" spans="1:26" s="24" customFormat="1" hidden="1" outlineLevel="1" x14ac:dyDescent="0.25">
      <c r="A35" s="44"/>
      <c r="B35" s="11" t="str">
        <f>CONCATENATE("          ", "5092", " - ", "PURCHASES @ COST-GRAD MERCH")</f>
        <v xml:space="preserve">          5092 - PURCHASES @ COST-GRAD MERCH</v>
      </c>
      <c r="C35" s="11"/>
      <c r="D35" s="2">
        <v>1036.33</v>
      </c>
      <c r="E35" s="2"/>
      <c r="F35" s="19">
        <f t="shared" si="6"/>
        <v>2.7373079277940044E-2</v>
      </c>
      <c r="G35" s="2"/>
      <c r="H35" s="2"/>
      <c r="I35" s="2"/>
      <c r="J35" s="19">
        <f t="shared" si="7"/>
        <v>0</v>
      </c>
      <c r="K35" s="2"/>
      <c r="L35" s="2">
        <f t="shared" si="8"/>
        <v>1036.33</v>
      </c>
      <c r="M35" s="2"/>
      <c r="N35" s="19">
        <f t="shared" si="9"/>
        <v>0</v>
      </c>
      <c r="O35" s="11"/>
      <c r="P35" s="2">
        <v>3006.48</v>
      </c>
      <c r="Q35" s="2"/>
      <c r="R35" s="19">
        <f t="shared" si="10"/>
        <v>6.1663782577778626E-3</v>
      </c>
      <c r="S35" s="2"/>
      <c r="T35" s="2"/>
      <c r="U35" s="2"/>
      <c r="V35" s="19">
        <f t="shared" si="11"/>
        <v>0</v>
      </c>
      <c r="W35" s="2"/>
      <c r="X35" s="2">
        <f t="shared" si="12"/>
        <v>3006.48</v>
      </c>
      <c r="Y35" s="2"/>
      <c r="Z35" s="19">
        <f t="shared" si="13"/>
        <v>0</v>
      </c>
    </row>
    <row r="36" spans="1:26" s="24" customFormat="1" hidden="1" outlineLevel="1" x14ac:dyDescent="0.25">
      <c r="A36" s="44"/>
      <c r="B36" s="11" t="str">
        <f>CONCATENATE("          ", "5095", " - ", "PURCHASES @ COST-CUSTOMER SERV")</f>
        <v xml:space="preserve">          5095 - PURCHASES @ COST-CUSTOMER SERV</v>
      </c>
      <c r="C36" s="11"/>
      <c r="D36" s="2"/>
      <c r="E36" s="2"/>
      <c r="F36" s="19">
        <f t="shared" si="6"/>
        <v>0</v>
      </c>
      <c r="G36" s="2"/>
      <c r="H36" s="2"/>
      <c r="I36" s="2"/>
      <c r="J36" s="19">
        <f t="shared" si="7"/>
        <v>0</v>
      </c>
      <c r="K36" s="2"/>
      <c r="L36" s="2">
        <f t="shared" si="8"/>
        <v>0</v>
      </c>
      <c r="M36" s="2"/>
      <c r="N36" s="19">
        <f t="shared" si="9"/>
        <v>0</v>
      </c>
      <c r="O36" s="11"/>
      <c r="P36" s="2">
        <v>11.85</v>
      </c>
      <c r="Q36" s="2"/>
      <c r="R36" s="19">
        <f t="shared" si="10"/>
        <v>2.4304695974916736E-5</v>
      </c>
      <c r="S36" s="2"/>
      <c r="T36" s="2"/>
      <c r="U36" s="2"/>
      <c r="V36" s="19">
        <f t="shared" si="11"/>
        <v>0</v>
      </c>
      <c r="W36" s="2"/>
      <c r="X36" s="2">
        <f t="shared" si="12"/>
        <v>11.85</v>
      </c>
      <c r="Y36" s="2"/>
      <c r="Z36" s="19">
        <f t="shared" si="13"/>
        <v>0</v>
      </c>
    </row>
    <row r="37" spans="1:26" s="24" customFormat="1" hidden="1" outlineLevel="1" x14ac:dyDescent="0.25">
      <c r="A37" s="44"/>
      <c r="B37" s="11" t="str">
        <f>CONCATENATE("          ", "5200", " - ", "PURCHASES OFFSET")</f>
        <v xml:space="preserve">          5200 - PURCHASES OFFSET</v>
      </c>
      <c r="C37" s="11"/>
      <c r="D37" s="2">
        <v>-1049</v>
      </c>
      <c r="E37" s="2"/>
      <c r="F37" s="19">
        <f t="shared" si="6"/>
        <v>-2.7707738039581126E-2</v>
      </c>
      <c r="G37" s="2"/>
      <c r="H37" s="2"/>
      <c r="I37" s="2"/>
      <c r="J37" s="19">
        <f t="shared" si="7"/>
        <v>0</v>
      </c>
      <c r="K37" s="2"/>
      <c r="L37" s="2">
        <f t="shared" si="8"/>
        <v>-1049</v>
      </c>
      <c r="M37" s="2"/>
      <c r="N37" s="19">
        <f t="shared" si="9"/>
        <v>0</v>
      </c>
      <c r="O37" s="11"/>
      <c r="P37" s="2">
        <v>-3138</v>
      </c>
      <c r="Q37" s="2"/>
      <c r="R37" s="19">
        <f t="shared" si="10"/>
        <v>-6.4361296176614954E-3</v>
      </c>
      <c r="S37" s="2"/>
      <c r="T37" s="2"/>
      <c r="U37" s="2"/>
      <c r="V37" s="19">
        <f t="shared" si="11"/>
        <v>0</v>
      </c>
      <c r="W37" s="2"/>
      <c r="X37" s="2">
        <f t="shared" si="12"/>
        <v>-3138</v>
      </c>
      <c r="Y37" s="2"/>
      <c r="Z37" s="19">
        <f t="shared" si="13"/>
        <v>0</v>
      </c>
    </row>
    <row r="38" spans="1:26" s="24" customFormat="1" hidden="1" outlineLevel="1" x14ac:dyDescent="0.25">
      <c r="A38" s="44"/>
      <c r="B38" s="11" t="str">
        <f>CONCATENATE("          ", "5300", " - ", "COG$ OFFSET")</f>
        <v xml:space="preserve">          5300 - COG$ OFFSET</v>
      </c>
      <c r="C38" s="11"/>
      <c r="D38" s="2">
        <v>4617</v>
      </c>
      <c r="E38" s="2"/>
      <c r="F38" s="19">
        <f t="shared" si="6"/>
        <v>0.12195102624284657</v>
      </c>
      <c r="G38" s="2"/>
      <c r="H38" s="2"/>
      <c r="I38" s="2"/>
      <c r="J38" s="19">
        <f t="shared" si="7"/>
        <v>0</v>
      </c>
      <c r="K38" s="2"/>
      <c r="L38" s="2">
        <f t="shared" si="8"/>
        <v>4617</v>
      </c>
      <c r="M38" s="2"/>
      <c r="N38" s="19">
        <f t="shared" si="9"/>
        <v>0</v>
      </c>
      <c r="O38" s="11"/>
      <c r="P38" s="2">
        <v>8422</v>
      </c>
      <c r="Q38" s="2"/>
      <c r="R38" s="19">
        <f t="shared" si="10"/>
        <v>1.7273767890358546E-2</v>
      </c>
      <c r="S38" s="2"/>
      <c r="T38" s="2"/>
      <c r="U38" s="2"/>
      <c r="V38" s="19">
        <f t="shared" si="11"/>
        <v>0</v>
      </c>
      <c r="W38" s="2"/>
      <c r="X38" s="2">
        <f t="shared" si="12"/>
        <v>8422</v>
      </c>
      <c r="Y38" s="2"/>
      <c r="Z38" s="19">
        <f t="shared" si="13"/>
        <v>0</v>
      </c>
    </row>
    <row r="39" spans="1:26" s="24" customFormat="1" hidden="1" outlineLevel="1" x14ac:dyDescent="0.25">
      <c r="A39" s="44"/>
      <c r="B39" s="11" t="str">
        <f>CONCATENATE("          ", "5592", " - ", "FREIGHT-IN-GRAD MERCH")</f>
        <v xml:space="preserve">          5592 - FREIGHT-IN-GRAD MERCH</v>
      </c>
      <c r="C39" s="11"/>
      <c r="D39" s="2">
        <v>12.95</v>
      </c>
      <c r="E39" s="2"/>
      <c r="F39" s="19">
        <f t="shared" si="6"/>
        <v>3.4205453537900431E-4</v>
      </c>
      <c r="G39" s="2"/>
      <c r="H39" s="2"/>
      <c r="I39" s="2"/>
      <c r="J39" s="19">
        <f t="shared" si="7"/>
        <v>0</v>
      </c>
      <c r="K39" s="2"/>
      <c r="L39" s="2">
        <f t="shared" si="8"/>
        <v>12.95</v>
      </c>
      <c r="M39" s="2"/>
      <c r="N39" s="19">
        <f t="shared" si="9"/>
        <v>0</v>
      </c>
      <c r="O39" s="11"/>
      <c r="P39" s="2">
        <v>118.73</v>
      </c>
      <c r="Q39" s="2"/>
      <c r="R39" s="19">
        <f t="shared" si="10"/>
        <v>2.4351869646429235E-4</v>
      </c>
      <c r="S39" s="2"/>
      <c r="T39" s="2"/>
      <c r="U39" s="2"/>
      <c r="V39" s="19">
        <f t="shared" si="11"/>
        <v>0</v>
      </c>
      <c r="W39" s="2"/>
      <c r="X39" s="2">
        <f t="shared" si="12"/>
        <v>118.73</v>
      </c>
      <c r="Y39" s="2"/>
      <c r="Z39" s="19">
        <f t="shared" si="13"/>
        <v>0</v>
      </c>
    </row>
    <row r="40" spans="1:26" x14ac:dyDescent="0.25">
      <c r="A40" s="9"/>
      <c r="B40" s="10"/>
      <c r="C40" s="10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O40" s="10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x14ac:dyDescent="0.25">
      <c r="A41" s="10"/>
      <c r="B41" s="28" t="s">
        <v>6</v>
      </c>
      <c r="C41" s="28"/>
      <c r="D41" s="20">
        <f>D12-D33</f>
        <v>33242.18</v>
      </c>
      <c r="E41" s="14"/>
      <c r="F41" s="22">
        <f>IF(D$12=0,0,D41/D$12)</f>
        <v>0.87804157798341553</v>
      </c>
      <c r="G41" s="14"/>
      <c r="H41" s="20">
        <f>H12-H33</f>
        <v>279694.02500000002</v>
      </c>
      <c r="I41" s="14"/>
      <c r="J41" s="22">
        <f>IF(H$12=0,0,H41/H$12)</f>
        <v>0.64674372492571663</v>
      </c>
      <c r="K41" s="16"/>
      <c r="L41" s="20">
        <f>+D41-H41</f>
        <v>-246451.84500000003</v>
      </c>
      <c r="M41" s="16"/>
      <c r="N41" s="22">
        <f>IF(H41=0,0,L41/H41)</f>
        <v>-0.88114805098178273</v>
      </c>
      <c r="O41" s="29"/>
      <c r="P41" s="20">
        <f>P12-P33</f>
        <v>479139.03999999992</v>
      </c>
      <c r="Q41" s="14"/>
      <c r="R41" s="22">
        <f>IF(P$12=0,0,P41/P$12)</f>
        <v>0.98272816007708585</v>
      </c>
      <c r="S41" s="14"/>
      <c r="T41" s="20">
        <f>T12-T33</f>
        <v>793835.02500000002</v>
      </c>
      <c r="U41" s="14"/>
      <c r="V41" s="22">
        <f>IF(T$12=0,0,T41/T$12)</f>
        <v>0.83454627884789756</v>
      </c>
      <c r="W41" s="16"/>
      <c r="X41" s="20">
        <f>+P41-T41</f>
        <v>-314695.9850000001</v>
      </c>
      <c r="Y41" s="16"/>
      <c r="Z41" s="22">
        <f>IF(T41=0,0,X41/T41)</f>
        <v>-0.39642491838905708</v>
      </c>
    </row>
    <row r="42" spans="1:26" x14ac:dyDescent="0.25">
      <c r="A42" s="9"/>
      <c r="B42" s="10"/>
      <c r="C42" s="9"/>
      <c r="D42" s="1"/>
      <c r="E42" s="1"/>
      <c r="F42" s="5"/>
      <c r="G42" s="1"/>
      <c r="H42" s="1"/>
      <c r="I42" s="1"/>
      <c r="J42" s="5"/>
      <c r="K42" s="1"/>
      <c r="L42" s="1"/>
      <c r="M42" s="1"/>
      <c r="N42" s="5"/>
      <c r="O42" s="36"/>
      <c r="P42" s="1"/>
      <c r="Q42" s="1"/>
      <c r="R42" s="5"/>
      <c r="S42" s="1"/>
      <c r="T42" s="1"/>
      <c r="U42" s="1"/>
      <c r="V42" s="5"/>
      <c r="W42" s="1"/>
      <c r="X42" s="1"/>
      <c r="Y42" s="1"/>
      <c r="Z42" s="5"/>
    </row>
    <row r="43" spans="1:26" s="23" customFormat="1" x14ac:dyDescent="0.25">
      <c r="A43" s="10"/>
      <c r="B43" s="29" t="s">
        <v>9</v>
      </c>
      <c r="C43" s="10"/>
      <c r="D43" s="21">
        <f>SUM(OSRRefD22x_0)</f>
        <v>52754.729999999996</v>
      </c>
      <c r="E43" s="21"/>
      <c r="F43" s="30">
        <f t="shared" ref="F43:F53" si="14">IF(D$12=0,0,D43/D$12)</f>
        <v>1.3934358810189051</v>
      </c>
      <c r="G43" s="21"/>
      <c r="H43" s="21">
        <f>SUM(OSRRefH22x_0)</f>
        <v>69408.76559066461</v>
      </c>
      <c r="I43" s="21"/>
      <c r="J43" s="30">
        <f t="shared" ref="J43:J53" si="15">IF(H$12=0,0,H43/H$12)</f>
        <v>0.16049568309727866</v>
      </c>
      <c r="K43" s="4"/>
      <c r="L43" s="21">
        <f t="shared" ref="L43:L53" si="16">+D43-H43</f>
        <v>-16654.035590664615</v>
      </c>
      <c r="M43" s="4"/>
      <c r="N43" s="30">
        <f t="shared" ref="N43:N53" si="17">IF(H43=0,0,L43/H43)</f>
        <v>-0.23994138851108687</v>
      </c>
      <c r="O43" s="10"/>
      <c r="P43" s="21">
        <f>SUM(OSRRefP22x_0)</f>
        <v>420783.63999999996</v>
      </c>
      <c r="Q43" s="21"/>
      <c r="R43" s="30">
        <f t="shared" ref="R43:R53" si="18">IF(P$12=0,0,P43/P$12)</f>
        <v>0.86303953092141872</v>
      </c>
      <c r="S43" s="21"/>
      <c r="T43" s="21">
        <f>SUM(OSRRefT22x_0)</f>
        <v>455327.26262104965</v>
      </c>
      <c r="U43" s="21"/>
      <c r="V43" s="30">
        <f t="shared" ref="V43:V53" si="19">IF(T$12=0,0,T43/T$12)</f>
        <v>0.47867839124180289</v>
      </c>
      <c r="W43" s="4"/>
      <c r="X43" s="21">
        <f t="shared" ref="X43:X53" si="20">+P43-T43</f>
        <v>-34543.622621049697</v>
      </c>
      <c r="Y43" s="4"/>
      <c r="Z43" s="30">
        <f t="shared" ref="Z43:Z53" si="21">IF(T43=0,0,X43/T43)</f>
        <v>-7.5865482822624106E-2</v>
      </c>
    </row>
    <row r="44" spans="1:26" s="27" customFormat="1" outlineLevel="1" collapsed="1" x14ac:dyDescent="0.25">
      <c r="A44" s="26"/>
      <c r="B44" s="13" t="str">
        <f>CONCATENATE("     ","*Benefits                                         ")</f>
        <v xml:space="preserve">     *Benefits                                         </v>
      </c>
      <c r="C44" s="13"/>
      <c r="D44" s="1">
        <f>SUM(OSRRefD22_0x_0)</f>
        <v>11238.24</v>
      </c>
      <c r="E44" s="1"/>
      <c r="F44" s="5">
        <f t="shared" si="14"/>
        <v>0.29684100090175614</v>
      </c>
      <c r="G44" s="1"/>
      <c r="H44" s="1">
        <f>SUM(OSRRefH22_0x_0)</f>
        <v>7950.8590494986911</v>
      </c>
      <c r="I44" s="1"/>
      <c r="J44" s="5">
        <f t="shared" si="15"/>
        <v>1.8384976933390428E-2</v>
      </c>
      <c r="K44" s="1"/>
      <c r="L44" s="1">
        <f t="shared" si="16"/>
        <v>3287.3809505013087</v>
      </c>
      <c r="M44" s="1"/>
      <c r="N44" s="5">
        <f t="shared" si="17"/>
        <v>0.41346236048651636</v>
      </c>
      <c r="O44" s="13"/>
      <c r="P44" s="1">
        <f>SUM(OSRRefP22_0x_0)</f>
        <v>75311.66</v>
      </c>
      <c r="Q44" s="1"/>
      <c r="R44" s="5">
        <f t="shared" si="18"/>
        <v>0.15446641347394918</v>
      </c>
      <c r="S44" s="1"/>
      <c r="T44" s="1">
        <f>SUM(OSRRefT22_0x_0)</f>
        <v>63883.224268547245</v>
      </c>
      <c r="U44" s="1"/>
      <c r="V44" s="5">
        <f t="shared" si="19"/>
        <v>6.7159429119572803E-2</v>
      </c>
      <c r="W44" s="1"/>
      <c r="X44" s="1">
        <f t="shared" si="20"/>
        <v>11428.435731452759</v>
      </c>
      <c r="Y44" s="1"/>
      <c r="Z44" s="5">
        <f t="shared" si="21"/>
        <v>0.17889572516582453</v>
      </c>
    </row>
    <row r="45" spans="1:26" s="24" customFormat="1" hidden="1" outlineLevel="2" x14ac:dyDescent="0.25">
      <c r="A45" s="25"/>
      <c r="B45" s="11" t="str">
        <f>CONCATENATE("          ", "6111", " - ", "F.I.C.A.")</f>
        <v xml:space="preserve">          6111 - F.I.C.A.</v>
      </c>
      <c r="C45" s="11"/>
      <c r="D45" s="6">
        <v>1453.05</v>
      </c>
      <c r="E45" s="2"/>
      <c r="F45" s="7">
        <f t="shared" si="14"/>
        <v>3.8380103678182412E-2</v>
      </c>
      <c r="G45" s="2"/>
      <c r="H45" s="6">
        <v>2114.8216605692301</v>
      </c>
      <c r="I45" s="2"/>
      <c r="J45" s="7">
        <f t="shared" si="15"/>
        <v>4.8901568001323342E-3</v>
      </c>
      <c r="K45" s="2"/>
      <c r="L45" s="6">
        <f t="shared" si="16"/>
        <v>-661.77166056923011</v>
      </c>
      <c r="M45" s="2"/>
      <c r="N45" s="7">
        <f t="shared" si="17"/>
        <v>-0.31292078803046974</v>
      </c>
      <c r="O45" s="11"/>
      <c r="P45" s="6">
        <v>11844.98</v>
      </c>
      <c r="Q45" s="2"/>
      <c r="R45" s="7">
        <f t="shared" si="18"/>
        <v>2.4294399808351835E-2</v>
      </c>
      <c r="S45" s="2"/>
      <c r="T45" s="6">
        <v>12676.419355425718</v>
      </c>
      <c r="U45" s="2"/>
      <c r="V45" s="7">
        <f t="shared" si="19"/>
        <v>1.3326520333599538E-2</v>
      </c>
      <c r="W45" s="2"/>
      <c r="X45" s="6">
        <f t="shared" si="20"/>
        <v>-831.43935542571853</v>
      </c>
      <c r="Y45" s="2"/>
      <c r="Z45" s="7">
        <f t="shared" si="21"/>
        <v>-6.5589448574833453E-2</v>
      </c>
    </row>
    <row r="46" spans="1:26" s="24" customFormat="1" hidden="1" outlineLevel="2" x14ac:dyDescent="0.25">
      <c r="A46" s="25"/>
      <c r="B46" s="11" t="str">
        <f>CONCATENATE("          ", "6112", " - ", "COMPENSATION INSURANCE")</f>
        <v xml:space="preserve">          6112 - COMPENSATION INSURANCE</v>
      </c>
      <c r="C46" s="11"/>
      <c r="D46" s="6">
        <v>208.47</v>
      </c>
      <c r="E46" s="2"/>
      <c r="F46" s="7">
        <f t="shared" si="14"/>
        <v>5.5064176826610843E-3</v>
      </c>
      <c r="G46" s="2"/>
      <c r="H46" s="6">
        <v>467.85392461538498</v>
      </c>
      <c r="I46" s="2"/>
      <c r="J46" s="7">
        <f t="shared" si="15"/>
        <v>1.0818307252965789E-3</v>
      </c>
      <c r="K46" s="2"/>
      <c r="L46" s="6">
        <f t="shared" si="16"/>
        <v>-259.38392461538501</v>
      </c>
      <c r="M46" s="2"/>
      <c r="N46" s="7">
        <f t="shared" si="17"/>
        <v>-0.55441220211761666</v>
      </c>
      <c r="O46" s="11"/>
      <c r="P46" s="6">
        <v>1899.91</v>
      </c>
      <c r="Q46" s="2"/>
      <c r="R46" s="7">
        <f t="shared" si="18"/>
        <v>3.8967708801438024E-3</v>
      </c>
      <c r="S46" s="2"/>
      <c r="T46" s="6">
        <v>2557.0909650000003</v>
      </c>
      <c r="U46" s="2"/>
      <c r="V46" s="7">
        <f t="shared" si="19"/>
        <v>2.6882295216393731E-3</v>
      </c>
      <c r="W46" s="2"/>
      <c r="X46" s="6">
        <f t="shared" si="20"/>
        <v>-657.18096500000024</v>
      </c>
      <c r="Y46" s="2"/>
      <c r="Z46" s="7">
        <f t="shared" si="21"/>
        <v>-0.25700335811088371</v>
      </c>
    </row>
    <row r="47" spans="1:26" s="24" customFormat="1" hidden="1" outlineLevel="2" x14ac:dyDescent="0.25">
      <c r="A47" s="25"/>
      <c r="B47" s="11" t="str">
        <f>CONCATENATE("          ", "6113", " - ", "GROUP INSURANCE")</f>
        <v xml:space="preserve">          6113 - GROUP INSURANCE</v>
      </c>
      <c r="C47" s="11"/>
      <c r="D47" s="6">
        <v>3218.03</v>
      </c>
      <c r="E47" s="2"/>
      <c r="F47" s="7">
        <f t="shared" si="14"/>
        <v>8.499936343518899E-2</v>
      </c>
      <c r="G47" s="2"/>
      <c r="H47" s="6">
        <v>2704</v>
      </c>
      <c r="I47" s="2"/>
      <c r="J47" s="7">
        <f t="shared" si="15"/>
        <v>6.2525291064016745E-3</v>
      </c>
      <c r="K47" s="2"/>
      <c r="L47" s="6">
        <f t="shared" si="16"/>
        <v>514.0300000000002</v>
      </c>
      <c r="M47" s="2"/>
      <c r="N47" s="7">
        <f t="shared" si="17"/>
        <v>0.19009985207100599</v>
      </c>
      <c r="O47" s="11"/>
      <c r="P47" s="6">
        <v>27342.79</v>
      </c>
      <c r="Q47" s="2"/>
      <c r="R47" s="7">
        <f t="shared" si="18"/>
        <v>5.6080860595442504E-2</v>
      </c>
      <c r="S47" s="2"/>
      <c r="T47" s="6">
        <v>24336</v>
      </c>
      <c r="U47" s="2"/>
      <c r="V47" s="7">
        <f t="shared" si="19"/>
        <v>2.5584054120114486E-2</v>
      </c>
      <c r="W47" s="2"/>
      <c r="X47" s="6">
        <f t="shared" si="20"/>
        <v>3006.7900000000009</v>
      </c>
      <c r="Y47" s="2"/>
      <c r="Z47" s="7">
        <f t="shared" si="21"/>
        <v>0.12355317225509536</v>
      </c>
    </row>
    <row r="48" spans="1:26" s="24" customFormat="1" hidden="1" outlineLevel="2" x14ac:dyDescent="0.25">
      <c r="A48" s="25"/>
      <c r="B48" s="11" t="str">
        <f>CONCATENATE("          ", "6114", " - ", "STATE UNEMPLOYMENT INSURANCE")</f>
        <v xml:space="preserve">          6114 - STATE UNEMPLOYMENT INSURANCE</v>
      </c>
      <c r="C48" s="11"/>
      <c r="D48" s="6">
        <v>43.65</v>
      </c>
      <c r="E48" s="2"/>
      <c r="F48" s="7">
        <f t="shared" si="14"/>
        <v>1.1529482987871458E-3</v>
      </c>
      <c r="G48" s="2"/>
      <c r="H48" s="6">
        <v>81.478326287031393</v>
      </c>
      <c r="I48" s="2"/>
      <c r="J48" s="7">
        <f t="shared" si="15"/>
        <v>1.8840444032934778E-4</v>
      </c>
      <c r="K48" s="2"/>
      <c r="L48" s="6">
        <f t="shared" si="16"/>
        <v>-37.828326287031395</v>
      </c>
      <c r="M48" s="2"/>
      <c r="N48" s="7">
        <f t="shared" si="17"/>
        <v>-0.46427470974023177</v>
      </c>
      <c r="O48" s="11"/>
      <c r="P48" s="6">
        <v>454.44</v>
      </c>
      <c r="Q48" s="2"/>
      <c r="R48" s="7">
        <f t="shared" si="18"/>
        <v>9.3206970791908544E-4</v>
      </c>
      <c r="S48" s="2"/>
      <c r="T48" s="6">
        <v>513.94391659650637</v>
      </c>
      <c r="U48" s="2"/>
      <c r="V48" s="7">
        <f t="shared" si="19"/>
        <v>5.4030115782826367E-4</v>
      </c>
      <c r="W48" s="2"/>
      <c r="X48" s="6">
        <f t="shared" si="20"/>
        <v>-59.503916596506372</v>
      </c>
      <c r="Y48" s="2"/>
      <c r="Z48" s="7">
        <f t="shared" si="21"/>
        <v>-0.11577900754339011</v>
      </c>
    </row>
    <row r="49" spans="1:26" s="24" customFormat="1" hidden="1" outlineLevel="2" x14ac:dyDescent="0.25">
      <c r="A49" s="25"/>
      <c r="B49" s="11" t="str">
        <f>CONCATENATE("          ", "6115", " - ", "P.E.R.S.")</f>
        <v xml:space="preserve">          6115 - P.E.R.S.</v>
      </c>
      <c r="C49" s="11"/>
      <c r="D49" s="6">
        <v>1128.2</v>
      </c>
      <c r="E49" s="2"/>
      <c r="F49" s="7">
        <f t="shared" si="14"/>
        <v>2.9799685468308319E-2</v>
      </c>
      <c r="G49" s="2"/>
      <c r="H49" s="6">
        <v>1085.6546061538459</v>
      </c>
      <c r="I49" s="2"/>
      <c r="J49" s="7">
        <f t="shared" si="15"/>
        <v>2.5103872131937749E-3</v>
      </c>
      <c r="K49" s="2"/>
      <c r="L49" s="6">
        <f t="shared" si="16"/>
        <v>42.545393846154184</v>
      </c>
      <c r="M49" s="2"/>
      <c r="N49" s="7">
        <f t="shared" si="17"/>
        <v>3.9188701088719156E-2</v>
      </c>
      <c r="O49" s="11"/>
      <c r="P49" s="6">
        <v>12053.11</v>
      </c>
      <c r="Q49" s="2"/>
      <c r="R49" s="7">
        <f t="shared" si="18"/>
        <v>2.4721280514956007E-2</v>
      </c>
      <c r="S49" s="2"/>
      <c r="T49" s="6">
        <v>10542.201209999994</v>
      </c>
      <c r="U49" s="2"/>
      <c r="V49" s="7">
        <f t="shared" si="19"/>
        <v>1.1082850357568057E-2</v>
      </c>
      <c r="W49" s="2"/>
      <c r="X49" s="6">
        <f t="shared" si="20"/>
        <v>1510.9087900000068</v>
      </c>
      <c r="Y49" s="2"/>
      <c r="Z49" s="7">
        <f t="shared" si="21"/>
        <v>0.14332004862199055</v>
      </c>
    </row>
    <row r="50" spans="1:26" s="24" customFormat="1" hidden="1" outlineLevel="2" x14ac:dyDescent="0.25">
      <c r="A50" s="25"/>
      <c r="B50" s="11" t="str">
        <f>CONCATENATE("          ", "6116", " - ", "EDUCATIONAL BENEFITS")</f>
        <v xml:space="preserve">          6116 - EDUCATIONAL BENEFITS</v>
      </c>
      <c r="C50" s="11"/>
      <c r="D50" s="6"/>
      <c r="E50" s="2"/>
      <c r="F50" s="7">
        <f t="shared" si="14"/>
        <v>0</v>
      </c>
      <c r="G50" s="2"/>
      <c r="H50" s="6">
        <v>0</v>
      </c>
      <c r="I50" s="2"/>
      <c r="J50" s="7">
        <f t="shared" si="15"/>
        <v>0</v>
      </c>
      <c r="K50" s="2"/>
      <c r="L50" s="6">
        <f t="shared" si="16"/>
        <v>0</v>
      </c>
      <c r="M50" s="2"/>
      <c r="N50" s="7">
        <f t="shared" si="17"/>
        <v>0</v>
      </c>
      <c r="O50" s="11"/>
      <c r="P50" s="6"/>
      <c r="Q50" s="2"/>
      <c r="R50" s="7">
        <f t="shared" si="18"/>
        <v>0</v>
      </c>
      <c r="S50" s="2"/>
      <c r="T50" s="6">
        <v>0</v>
      </c>
      <c r="U50" s="2"/>
      <c r="V50" s="7">
        <f t="shared" si="19"/>
        <v>0</v>
      </c>
      <c r="W50" s="2"/>
      <c r="X50" s="6">
        <f t="shared" si="20"/>
        <v>0</v>
      </c>
      <c r="Y50" s="2"/>
      <c r="Z50" s="7">
        <f t="shared" si="21"/>
        <v>0</v>
      </c>
    </row>
    <row r="51" spans="1:26" s="24" customFormat="1" hidden="1" outlineLevel="2" x14ac:dyDescent="0.25">
      <c r="A51" s="25"/>
      <c r="B51" s="11" t="str">
        <f>CONCATENATE("          ", "6118", " - ", "VACATION")</f>
        <v xml:space="preserve">          6118 - VACATION</v>
      </c>
      <c r="C51" s="11"/>
      <c r="D51" s="6">
        <v>2935</v>
      </c>
      <c r="E51" s="2"/>
      <c r="F51" s="7">
        <f t="shared" si="14"/>
        <v>7.7523556860029166E-2</v>
      </c>
      <c r="G51" s="2"/>
      <c r="H51" s="6">
        <v>631.19453846153897</v>
      </c>
      <c r="I51" s="2"/>
      <c r="J51" s="7">
        <f t="shared" si="15"/>
        <v>1.4595274495312661E-3</v>
      </c>
      <c r="K51" s="2"/>
      <c r="L51" s="6">
        <f t="shared" si="16"/>
        <v>2303.8054615384608</v>
      </c>
      <c r="M51" s="2"/>
      <c r="N51" s="7">
        <f t="shared" si="17"/>
        <v>3.6499134912569278</v>
      </c>
      <c r="O51" s="11"/>
      <c r="P51" s="6">
        <v>11894.97</v>
      </c>
      <c r="Q51" s="2"/>
      <c r="R51" s="7">
        <f t="shared" si="18"/>
        <v>2.4396930757869646E-2</v>
      </c>
      <c r="S51" s="2"/>
      <c r="T51" s="6">
        <v>6129.1867500000017</v>
      </c>
      <c r="U51" s="2"/>
      <c r="V51" s="7">
        <f t="shared" si="19"/>
        <v>6.4435176497488764E-3</v>
      </c>
      <c r="W51" s="2"/>
      <c r="X51" s="6">
        <f t="shared" si="20"/>
        <v>5765.7832499999977</v>
      </c>
      <c r="Y51" s="2"/>
      <c r="Z51" s="7">
        <f t="shared" si="21"/>
        <v>0.94070934451458765</v>
      </c>
    </row>
    <row r="52" spans="1:26" s="24" customFormat="1" hidden="1" outlineLevel="2" x14ac:dyDescent="0.25">
      <c r="A52" s="25"/>
      <c r="B52" s="11" t="str">
        <f>CONCATENATE("          ", "6119", " - ", "SICK LEAVE")</f>
        <v xml:space="preserve">          6119 - SICK LEAVE</v>
      </c>
      <c r="C52" s="11"/>
      <c r="D52" s="6">
        <v>2081.0300000000002</v>
      </c>
      <c r="E52" s="2"/>
      <c r="F52" s="7">
        <f t="shared" si="14"/>
        <v>5.4967239363688768E-2</v>
      </c>
      <c r="G52" s="2"/>
      <c r="H52" s="6">
        <v>565.85599341165891</v>
      </c>
      <c r="I52" s="2"/>
      <c r="J52" s="7">
        <f t="shared" si="15"/>
        <v>1.3084434426176891E-3</v>
      </c>
      <c r="K52" s="2"/>
      <c r="L52" s="6">
        <f t="shared" si="16"/>
        <v>1515.1740065883414</v>
      </c>
      <c r="M52" s="2"/>
      <c r="N52" s="7">
        <f t="shared" si="17"/>
        <v>2.6776671524729365</v>
      </c>
      <c r="O52" s="11"/>
      <c r="P52" s="6">
        <v>7378.95</v>
      </c>
      <c r="Q52" s="2"/>
      <c r="R52" s="7">
        <f t="shared" si="18"/>
        <v>1.5134441887266823E-2</v>
      </c>
      <c r="S52" s="2"/>
      <c r="T52" s="6">
        <v>4428.3820715250267</v>
      </c>
      <c r="U52" s="2"/>
      <c r="V52" s="7">
        <f t="shared" si="19"/>
        <v>4.6554884361621049E-3</v>
      </c>
      <c r="W52" s="2"/>
      <c r="X52" s="6">
        <f t="shared" si="20"/>
        <v>2950.5679284749731</v>
      </c>
      <c r="Y52" s="2"/>
      <c r="Z52" s="7">
        <f t="shared" si="21"/>
        <v>0.66628576324690736</v>
      </c>
    </row>
    <row r="53" spans="1:26" s="24" customFormat="1" hidden="1" outlineLevel="2" x14ac:dyDescent="0.25">
      <c r="A53" s="25"/>
      <c r="B53" s="11" t="str">
        <f>CONCATENATE("          ", "6156", " - ", "EMPLOYEE MEALS")</f>
        <v xml:space="preserve">          6156 - EMPLOYEE MEALS</v>
      </c>
      <c r="C53" s="11"/>
      <c r="D53" s="6">
        <v>170.81</v>
      </c>
      <c r="E53" s="2"/>
      <c r="F53" s="7">
        <f t="shared" si="14"/>
        <v>4.5116861149102497E-3</v>
      </c>
      <c r="G53" s="2"/>
      <c r="H53" s="6">
        <v>300</v>
      </c>
      <c r="I53" s="2"/>
      <c r="J53" s="7">
        <f t="shared" si="15"/>
        <v>6.9369775588775967E-4</v>
      </c>
      <c r="K53" s="2"/>
      <c r="L53" s="6">
        <f t="shared" si="16"/>
        <v>-129.19</v>
      </c>
      <c r="M53" s="2"/>
      <c r="N53" s="7">
        <f t="shared" si="17"/>
        <v>-0.43063333333333331</v>
      </c>
      <c r="O53" s="11"/>
      <c r="P53" s="6">
        <v>2442.5100000000002</v>
      </c>
      <c r="Q53" s="2"/>
      <c r="R53" s="7">
        <f t="shared" si="18"/>
        <v>5.009659321999484E-3</v>
      </c>
      <c r="S53" s="2"/>
      <c r="T53" s="6">
        <v>2700</v>
      </c>
      <c r="U53" s="2"/>
      <c r="V53" s="7">
        <f t="shared" si="19"/>
        <v>2.8384675429121101E-3</v>
      </c>
      <c r="W53" s="2"/>
      <c r="X53" s="6">
        <f t="shared" si="20"/>
        <v>-257.48999999999978</v>
      </c>
      <c r="Y53" s="2"/>
      <c r="Z53" s="7">
        <f t="shared" si="21"/>
        <v>-9.5366666666666586E-2</v>
      </c>
    </row>
    <row r="54" spans="1:26" s="27" customFormat="1" outlineLevel="1" collapsed="1" x14ac:dyDescent="0.25">
      <c r="A54" s="26"/>
      <c r="B54" s="13" t="str">
        <f>CONCATENATE("     ","*Payroll                                          ")</f>
        <v xml:space="preserve">     *Payroll                                          </v>
      </c>
      <c r="C54" s="13"/>
      <c r="D54" s="1">
        <f>SUM(OSRRefD22_1x_0)</f>
        <v>16855.77</v>
      </c>
      <c r="E54" s="1"/>
      <c r="F54" s="5">
        <f t="shared" ref="F54:F64" si="22">IF(D$12=0,0,D54/D$12)</f>
        <v>0.44521950392319387</v>
      </c>
      <c r="G54" s="1"/>
      <c r="H54" s="1">
        <f>SUM(OSRRefH22_1x_0)</f>
        <v>30207.90654116591</v>
      </c>
      <c r="I54" s="1"/>
      <c r="J54" s="5">
        <f t="shared" ref="J54:J64" si="23">IF(H$12=0,0,H54/H$12)</f>
        <v>6.9850523258913236E-2</v>
      </c>
      <c r="K54" s="1"/>
      <c r="L54" s="1">
        <f t="shared" ref="L54:L64" si="24">+D54-H54</f>
        <v>-13352.13654116591</v>
      </c>
      <c r="M54" s="1"/>
      <c r="N54" s="5">
        <f t="shared" ref="N54:N64" si="25">IF(H54=0,0,L54/H54)</f>
        <v>-0.4420080061811052</v>
      </c>
      <c r="O54" s="13"/>
      <c r="P54" s="1">
        <f>SUM(OSRRefP22_1x_0)</f>
        <v>159414.16</v>
      </c>
      <c r="Q54" s="1"/>
      <c r="R54" s="5">
        <f t="shared" ref="R54:R64" si="26">IF(P$12=0,0,P54/P$12)</f>
        <v>0.32696309644698168</v>
      </c>
      <c r="S54" s="1"/>
      <c r="T54" s="1">
        <f>SUM(OSRRefT22_1x_0)</f>
        <v>187744.03835250242</v>
      </c>
      <c r="U54" s="1"/>
      <c r="V54" s="5">
        <f t="shared" ref="V54:V64" si="27">IF(T$12=0,0,T54/T$12)</f>
        <v>0.19737235527363869</v>
      </c>
      <c r="W54" s="1"/>
      <c r="X54" s="1">
        <f t="shared" ref="X54:X64" si="28">+P54-T54</f>
        <v>-28329.878352502419</v>
      </c>
      <c r="Y54" s="1"/>
      <c r="Z54" s="5">
        <f t="shared" ref="Z54:Z64" si="29">IF(T54=0,0,X54/T54)</f>
        <v>-0.15089628731278867</v>
      </c>
    </row>
    <row r="55" spans="1:26" s="24" customFormat="1" hidden="1" outlineLevel="2" x14ac:dyDescent="0.25">
      <c r="A55" s="25"/>
      <c r="B55" s="11" t="str">
        <f>CONCATENATE("          ", "6001", " - ", "ADMINISTRATIVE SALARIES")</f>
        <v xml:space="preserve">          6001 - ADMINISTRATIVE SALARIES</v>
      </c>
      <c r="C55" s="11"/>
      <c r="D55" s="6"/>
      <c r="E55" s="2"/>
      <c r="F55" s="7">
        <f t="shared" si="22"/>
        <v>0</v>
      </c>
      <c r="G55" s="2"/>
      <c r="H55" s="6">
        <v>5990.5432000000001</v>
      </c>
      <c r="I55" s="2"/>
      <c r="J55" s="7">
        <f t="shared" si="23"/>
        <v>1.3852087914628929E-2</v>
      </c>
      <c r="K55" s="2"/>
      <c r="L55" s="6">
        <f t="shared" si="24"/>
        <v>-5990.5432000000001</v>
      </c>
      <c r="M55" s="2"/>
      <c r="N55" s="7">
        <f t="shared" si="25"/>
        <v>-1</v>
      </c>
      <c r="O55" s="11"/>
      <c r="P55" s="6"/>
      <c r="Q55" s="2"/>
      <c r="R55" s="7">
        <f t="shared" si="26"/>
        <v>0</v>
      </c>
      <c r="S55" s="2"/>
      <c r="T55" s="6">
        <v>58407.796200000004</v>
      </c>
      <c r="U55" s="2"/>
      <c r="V55" s="7">
        <f t="shared" si="27"/>
        <v>6.1403197691379738E-2</v>
      </c>
      <c r="W55" s="2"/>
      <c r="X55" s="6">
        <f t="shared" si="28"/>
        <v>-58407.796200000004</v>
      </c>
      <c r="Y55" s="2"/>
      <c r="Z55" s="7">
        <f t="shared" si="29"/>
        <v>-1</v>
      </c>
    </row>
    <row r="56" spans="1:26" s="24" customFormat="1" hidden="1" outlineLevel="2" x14ac:dyDescent="0.25">
      <c r="A56" s="25"/>
      <c r="B56" s="11" t="str">
        <f>CONCATENATE("          ", "6002", " - ", "STAFF SALARIES")</f>
        <v xml:space="preserve">          6002 - STAFF SALARIES</v>
      </c>
      <c r="C56" s="11"/>
      <c r="D56" s="6">
        <v>8100.64</v>
      </c>
      <c r="E56" s="2"/>
      <c r="F56" s="7">
        <f t="shared" si="22"/>
        <v>0.21396607347278596</v>
      </c>
      <c r="G56" s="2"/>
      <c r="H56" s="6">
        <v>5623.43630769231</v>
      </c>
      <c r="I56" s="2"/>
      <c r="J56" s="7">
        <f t="shared" si="23"/>
        <v>1.3003217156746349E-2</v>
      </c>
      <c r="K56" s="2"/>
      <c r="L56" s="6">
        <f t="shared" si="24"/>
        <v>2477.2036923076903</v>
      </c>
      <c r="M56" s="2"/>
      <c r="N56" s="7">
        <f t="shared" si="25"/>
        <v>0.4405142259580887</v>
      </c>
      <c r="O56" s="11"/>
      <c r="P56" s="6">
        <v>102753</v>
      </c>
      <c r="Q56" s="2"/>
      <c r="R56" s="7">
        <f t="shared" si="26"/>
        <v>0.21074940299667674</v>
      </c>
      <c r="S56" s="2"/>
      <c r="T56" s="6">
        <v>54369.240000000034</v>
      </c>
      <c r="U56" s="2"/>
      <c r="V56" s="7">
        <f t="shared" si="27"/>
        <v>5.7157527063999597E-2</v>
      </c>
      <c r="W56" s="2"/>
      <c r="X56" s="6">
        <f t="shared" si="28"/>
        <v>48383.759999999966</v>
      </c>
      <c r="Y56" s="2"/>
      <c r="Z56" s="7">
        <f t="shared" si="29"/>
        <v>0.88991054500669742</v>
      </c>
    </row>
    <row r="57" spans="1:26" s="24" customFormat="1" hidden="1" outlineLevel="2" x14ac:dyDescent="0.25">
      <c r="A57" s="25"/>
      <c r="B57" s="11" t="str">
        <f>CONCATENATE("          ", "6003", " - ", "STAFF HOURLY-9 MONTH")</f>
        <v xml:space="preserve">          6003 - STAFF HOURLY-9 MONTH</v>
      </c>
      <c r="C57" s="11"/>
      <c r="D57" s="6"/>
      <c r="E57" s="2"/>
      <c r="F57" s="7">
        <f t="shared" si="22"/>
        <v>0</v>
      </c>
      <c r="G57" s="2"/>
      <c r="H57" s="6">
        <v>0</v>
      </c>
      <c r="I57" s="2"/>
      <c r="J57" s="7">
        <f t="shared" si="23"/>
        <v>0</v>
      </c>
      <c r="K57" s="2"/>
      <c r="L57" s="6">
        <f t="shared" si="24"/>
        <v>0</v>
      </c>
      <c r="M57" s="2"/>
      <c r="N57" s="7">
        <f t="shared" si="25"/>
        <v>0</v>
      </c>
      <c r="O57" s="11"/>
      <c r="P57" s="6"/>
      <c r="Q57" s="2"/>
      <c r="R57" s="7">
        <f t="shared" si="26"/>
        <v>0</v>
      </c>
      <c r="S57" s="2"/>
      <c r="T57" s="6">
        <v>0</v>
      </c>
      <c r="U57" s="2"/>
      <c r="V57" s="7">
        <f t="shared" si="27"/>
        <v>0</v>
      </c>
      <c r="W57" s="2"/>
      <c r="X57" s="6">
        <f t="shared" si="28"/>
        <v>0</v>
      </c>
      <c r="Y57" s="2"/>
      <c r="Z57" s="7">
        <f t="shared" si="29"/>
        <v>0</v>
      </c>
    </row>
    <row r="58" spans="1:26" s="24" customFormat="1" hidden="1" outlineLevel="2" x14ac:dyDescent="0.25">
      <c r="A58" s="25"/>
      <c r="B58" s="11" t="str">
        <f>CONCATENATE("          ", "6004", " - ", "STAFF HOURLY")</f>
        <v xml:space="preserve">          6004 - STAFF HOURLY</v>
      </c>
      <c r="C58" s="11"/>
      <c r="D58" s="6">
        <v>491.67</v>
      </c>
      <c r="E58" s="2"/>
      <c r="F58" s="7">
        <f t="shared" si="22"/>
        <v>1.2986714549018926E-2</v>
      </c>
      <c r="G58" s="2"/>
      <c r="H58" s="6">
        <v>3010</v>
      </c>
      <c r="I58" s="2"/>
      <c r="J58" s="7">
        <f t="shared" si="23"/>
        <v>6.9601008174071891E-3</v>
      </c>
      <c r="K58" s="2"/>
      <c r="L58" s="6">
        <f t="shared" si="24"/>
        <v>-2518.33</v>
      </c>
      <c r="M58" s="2"/>
      <c r="N58" s="7">
        <f t="shared" si="25"/>
        <v>-0.83665448504983386</v>
      </c>
      <c r="O58" s="11"/>
      <c r="P58" s="6">
        <v>491.67</v>
      </c>
      <c r="Q58" s="2"/>
      <c r="R58" s="7">
        <f t="shared" si="26"/>
        <v>1.0084295248934442E-3</v>
      </c>
      <c r="S58" s="2"/>
      <c r="T58" s="6">
        <v>27300</v>
      </c>
      <c r="U58" s="2"/>
      <c r="V58" s="7">
        <f t="shared" si="27"/>
        <v>2.8700060711666892E-2</v>
      </c>
      <c r="W58" s="2"/>
      <c r="X58" s="6">
        <f t="shared" si="28"/>
        <v>-26808.33</v>
      </c>
      <c r="Y58" s="2"/>
      <c r="Z58" s="7">
        <f t="shared" si="29"/>
        <v>-0.98199010989010993</v>
      </c>
    </row>
    <row r="59" spans="1:26" s="24" customFormat="1" hidden="1" outlineLevel="2" x14ac:dyDescent="0.25">
      <c r="A59" s="25"/>
      <c r="B59" s="11" t="str">
        <f>CONCATENATE("          ", "6005", " - ", "TEMPORARY WAGES-HOURLY")</f>
        <v xml:space="preserve">          6005 - TEMPORARY WAGES-HOURLY</v>
      </c>
      <c r="C59" s="11"/>
      <c r="D59" s="6">
        <v>1928.28</v>
      </c>
      <c r="E59" s="2"/>
      <c r="F59" s="7">
        <f t="shared" si="22"/>
        <v>5.0932580654874632E-2</v>
      </c>
      <c r="G59" s="2"/>
      <c r="H59" s="6">
        <v>0</v>
      </c>
      <c r="I59" s="2"/>
      <c r="J59" s="7">
        <f t="shared" si="23"/>
        <v>0</v>
      </c>
      <c r="K59" s="2"/>
      <c r="L59" s="6">
        <f t="shared" si="24"/>
        <v>1928.28</v>
      </c>
      <c r="M59" s="2"/>
      <c r="N59" s="7">
        <f t="shared" si="25"/>
        <v>0</v>
      </c>
      <c r="O59" s="11"/>
      <c r="P59" s="6">
        <v>18251.969999999998</v>
      </c>
      <c r="Q59" s="2"/>
      <c r="R59" s="7">
        <f t="shared" si="26"/>
        <v>3.7435323358084471E-2</v>
      </c>
      <c r="S59" s="2"/>
      <c r="T59" s="6">
        <v>0</v>
      </c>
      <c r="U59" s="2"/>
      <c r="V59" s="7">
        <f t="shared" si="27"/>
        <v>0</v>
      </c>
      <c r="W59" s="2"/>
      <c r="X59" s="6">
        <f t="shared" si="28"/>
        <v>18251.969999999998</v>
      </c>
      <c r="Y59" s="2"/>
      <c r="Z59" s="7">
        <f t="shared" si="29"/>
        <v>0</v>
      </c>
    </row>
    <row r="60" spans="1:26" s="24" customFormat="1" hidden="1" outlineLevel="2" x14ac:dyDescent="0.25">
      <c r="A60" s="25"/>
      <c r="B60" s="11" t="str">
        <f>CONCATENATE("          ", "6006", " - ", "TEMPORARY PART TIME")</f>
        <v xml:space="preserve">          6006 - TEMPORARY PART TIME</v>
      </c>
      <c r="C60" s="11"/>
      <c r="D60" s="6">
        <v>1129.57</v>
      </c>
      <c r="E60" s="2"/>
      <c r="F60" s="7">
        <f t="shared" si="22"/>
        <v>2.9835871932668876E-2</v>
      </c>
      <c r="G60" s="2"/>
      <c r="H60" s="6">
        <v>0</v>
      </c>
      <c r="I60" s="2"/>
      <c r="J60" s="7">
        <f t="shared" si="23"/>
        <v>0</v>
      </c>
      <c r="K60" s="2"/>
      <c r="L60" s="6">
        <f t="shared" si="24"/>
        <v>1129.57</v>
      </c>
      <c r="M60" s="2"/>
      <c r="N60" s="7">
        <f t="shared" si="25"/>
        <v>0</v>
      </c>
      <c r="O60" s="11"/>
      <c r="P60" s="6">
        <v>2571.56</v>
      </c>
      <c r="Q60" s="2"/>
      <c r="R60" s="7">
        <f t="shared" si="26"/>
        <v>5.2743446397685136E-3</v>
      </c>
      <c r="S60" s="2"/>
      <c r="T60" s="6">
        <v>0</v>
      </c>
      <c r="U60" s="2"/>
      <c r="V60" s="7">
        <f t="shared" si="27"/>
        <v>0</v>
      </c>
      <c r="W60" s="2"/>
      <c r="X60" s="6">
        <f t="shared" si="28"/>
        <v>2571.56</v>
      </c>
      <c r="Y60" s="2"/>
      <c r="Z60" s="7">
        <f t="shared" si="29"/>
        <v>0</v>
      </c>
    </row>
    <row r="61" spans="1:26" s="24" customFormat="1" hidden="1" outlineLevel="2" x14ac:dyDescent="0.25">
      <c r="A61" s="25"/>
      <c r="B61" s="11" t="str">
        <f>CONCATENATE("          ", "6007", " - ", "STUDENT HOURLY")</f>
        <v xml:space="preserve">          6007 - STUDENT HOURLY</v>
      </c>
      <c r="C61" s="11"/>
      <c r="D61" s="6">
        <v>5205.6099999999997</v>
      </c>
      <c r="E61" s="2"/>
      <c r="F61" s="7">
        <f t="shared" si="22"/>
        <v>0.13749826331384546</v>
      </c>
      <c r="G61" s="2"/>
      <c r="H61" s="6">
        <v>11880</v>
      </c>
      <c r="I61" s="2"/>
      <c r="J61" s="7">
        <f t="shared" si="23"/>
        <v>2.7470431133155285E-2</v>
      </c>
      <c r="K61" s="2"/>
      <c r="L61" s="6">
        <f t="shared" si="24"/>
        <v>-6674.39</v>
      </c>
      <c r="M61" s="2"/>
      <c r="N61" s="7">
        <f t="shared" si="25"/>
        <v>-0.56181734006734008</v>
      </c>
      <c r="O61" s="11"/>
      <c r="P61" s="6">
        <v>35345.96</v>
      </c>
      <c r="Q61" s="2"/>
      <c r="R61" s="7">
        <f t="shared" si="26"/>
        <v>7.2495595927558484E-2</v>
      </c>
      <c r="S61" s="2"/>
      <c r="T61" s="6">
        <v>15636.136363200001</v>
      </c>
      <c r="U61" s="2"/>
      <c r="V61" s="7">
        <f t="shared" si="27"/>
        <v>1.6438024282774445E-2</v>
      </c>
      <c r="W61" s="2"/>
      <c r="X61" s="6">
        <f t="shared" si="28"/>
        <v>19709.8236368</v>
      </c>
      <c r="Y61" s="2"/>
      <c r="Z61" s="7">
        <f t="shared" si="29"/>
        <v>1.2605302984685856</v>
      </c>
    </row>
    <row r="62" spans="1:26" s="24" customFormat="1" hidden="1" outlineLevel="2" x14ac:dyDescent="0.25">
      <c r="A62" s="25"/>
      <c r="B62" s="11" t="str">
        <f>CONCATENATE("          ", "6008", " - ", "STUDENT HOURLY-FICA EXEMPT")</f>
        <v xml:space="preserve">          6008 - STUDENT HOURLY-FICA EXEMPT</v>
      </c>
      <c r="C62" s="11"/>
      <c r="D62" s="6"/>
      <c r="E62" s="2"/>
      <c r="F62" s="7">
        <f t="shared" si="22"/>
        <v>0</v>
      </c>
      <c r="G62" s="2"/>
      <c r="H62" s="6">
        <v>3703.9270334735997</v>
      </c>
      <c r="I62" s="2"/>
      <c r="J62" s="7">
        <f t="shared" si="23"/>
        <v>8.5646862369754776E-3</v>
      </c>
      <c r="K62" s="2"/>
      <c r="L62" s="6">
        <f t="shared" si="24"/>
        <v>-3703.9270334735997</v>
      </c>
      <c r="M62" s="2"/>
      <c r="N62" s="7">
        <f t="shared" si="25"/>
        <v>-1</v>
      </c>
      <c r="O62" s="11"/>
      <c r="P62" s="6"/>
      <c r="Q62" s="2"/>
      <c r="R62" s="7">
        <f t="shared" si="26"/>
        <v>0</v>
      </c>
      <c r="S62" s="2"/>
      <c r="T62" s="6">
        <v>32030.865789302399</v>
      </c>
      <c r="U62" s="2"/>
      <c r="V62" s="7">
        <f t="shared" si="27"/>
        <v>3.3673545523818051E-2</v>
      </c>
      <c r="W62" s="2"/>
      <c r="X62" s="6">
        <f t="shared" si="28"/>
        <v>-32030.865789302399</v>
      </c>
      <c r="Y62" s="2"/>
      <c r="Z62" s="7">
        <f t="shared" si="29"/>
        <v>-1</v>
      </c>
    </row>
    <row r="63" spans="1:26" s="24" customFormat="1" hidden="1" outlineLevel="2" x14ac:dyDescent="0.25">
      <c r="A63" s="25"/>
      <c r="B63" s="11" t="str">
        <f>CONCATENATE("          ", "6009", " - ", "TEMPORARY-SEASONAL")</f>
        <v xml:space="preserve">          6009 - TEMPORARY-SEASONAL</v>
      </c>
      <c r="C63" s="11"/>
      <c r="D63" s="6"/>
      <c r="E63" s="2"/>
      <c r="F63" s="7">
        <f t="shared" si="22"/>
        <v>0</v>
      </c>
      <c r="G63" s="2"/>
      <c r="H63" s="6">
        <v>0</v>
      </c>
      <c r="I63" s="2"/>
      <c r="J63" s="7">
        <f t="shared" si="23"/>
        <v>0</v>
      </c>
      <c r="K63" s="2"/>
      <c r="L63" s="6">
        <f t="shared" si="24"/>
        <v>0</v>
      </c>
      <c r="M63" s="2"/>
      <c r="N63" s="7">
        <f t="shared" si="25"/>
        <v>0</v>
      </c>
      <c r="O63" s="11"/>
      <c r="P63" s="6"/>
      <c r="Q63" s="2"/>
      <c r="R63" s="7">
        <f t="shared" si="26"/>
        <v>0</v>
      </c>
      <c r="S63" s="2"/>
      <c r="T63" s="6">
        <v>0</v>
      </c>
      <c r="U63" s="2"/>
      <c r="V63" s="7">
        <f t="shared" si="27"/>
        <v>0</v>
      </c>
      <c r="W63" s="2"/>
      <c r="X63" s="6">
        <f t="shared" si="28"/>
        <v>0</v>
      </c>
      <c r="Y63" s="2"/>
      <c r="Z63" s="7">
        <f t="shared" si="29"/>
        <v>0</v>
      </c>
    </row>
    <row r="64" spans="1:26" s="24" customFormat="1" hidden="1" outlineLevel="2" x14ac:dyDescent="0.25">
      <c r="A64" s="25"/>
      <c r="B64" s="11" t="str">
        <f>CONCATENATE("          ", "6010", " - ", "GRATUITY")</f>
        <v xml:space="preserve">          6010 - GRATUITY</v>
      </c>
      <c r="C64" s="11"/>
      <c r="D64" s="6"/>
      <c r="E64" s="2"/>
      <c r="F64" s="7">
        <f t="shared" si="22"/>
        <v>0</v>
      </c>
      <c r="G64" s="2"/>
      <c r="H64" s="6">
        <v>0</v>
      </c>
      <c r="I64" s="2"/>
      <c r="J64" s="7">
        <f t="shared" si="23"/>
        <v>0</v>
      </c>
      <c r="K64" s="2"/>
      <c r="L64" s="6">
        <f t="shared" si="24"/>
        <v>0</v>
      </c>
      <c r="M64" s="2"/>
      <c r="N64" s="7">
        <f t="shared" si="25"/>
        <v>0</v>
      </c>
      <c r="O64" s="11"/>
      <c r="P64" s="6"/>
      <c r="Q64" s="2"/>
      <c r="R64" s="7">
        <f t="shared" si="26"/>
        <v>0</v>
      </c>
      <c r="S64" s="2"/>
      <c r="T64" s="6">
        <v>0</v>
      </c>
      <c r="U64" s="2"/>
      <c r="V64" s="7">
        <f t="shared" si="27"/>
        <v>0</v>
      </c>
      <c r="W64" s="2"/>
      <c r="X64" s="6">
        <f t="shared" si="28"/>
        <v>0</v>
      </c>
      <c r="Y64" s="2"/>
      <c r="Z64" s="7">
        <f t="shared" si="29"/>
        <v>0</v>
      </c>
    </row>
    <row r="65" spans="1:26" s="27" customFormat="1" outlineLevel="1" collapsed="1" x14ac:dyDescent="0.25">
      <c r="A65" s="26"/>
      <c r="B65" s="13" t="str">
        <f>CONCATENATE("     ","Advertising/Promo                                 ")</f>
        <v xml:space="preserve">     Advertising/Promo                                 </v>
      </c>
      <c r="C65" s="13"/>
      <c r="D65" s="1">
        <f>SUM(OSRRefD22_2x_0)</f>
        <v>425.35</v>
      </c>
      <c r="E65" s="1"/>
      <c r="F65" s="5">
        <f t="shared" ref="F65:F77" si="30">IF(D$12=0,0,D65/D$12)</f>
        <v>1.1234972712236255E-2</v>
      </c>
      <c r="G65" s="1"/>
      <c r="H65" s="1">
        <f>SUM(OSRRefH22_2x_0)</f>
        <v>100</v>
      </c>
      <c r="I65" s="1"/>
      <c r="J65" s="5">
        <f t="shared" ref="J65:J77" si="31">IF(H$12=0,0,H65/H$12)</f>
        <v>2.3123258529591991E-4</v>
      </c>
      <c r="K65" s="1"/>
      <c r="L65" s="1">
        <f t="shared" ref="L65:L77" si="32">+D65-H65</f>
        <v>325.35000000000002</v>
      </c>
      <c r="M65" s="1"/>
      <c r="N65" s="5">
        <f t="shared" ref="N65:N77" si="33">IF(H65=0,0,L65/H65)</f>
        <v>3.2535000000000003</v>
      </c>
      <c r="O65" s="13"/>
      <c r="P65" s="1">
        <f>SUM(OSRRefP22_2x_0)</f>
        <v>1915.77</v>
      </c>
      <c r="Q65" s="1"/>
      <c r="R65" s="5">
        <f t="shared" ref="R65:R77" si="34">IF(P$12=0,0,P65/P$12)</f>
        <v>3.9293002031954632E-3</v>
      </c>
      <c r="S65" s="1"/>
      <c r="T65" s="1">
        <f>SUM(OSRRefT22_2x_0)</f>
        <v>4900</v>
      </c>
      <c r="U65" s="1"/>
      <c r="V65" s="5">
        <f t="shared" ref="V65:V77" si="35">IF(T$12=0,0,T65/T$12)</f>
        <v>5.151292948247903E-3</v>
      </c>
      <c r="W65" s="1"/>
      <c r="X65" s="1">
        <f t="shared" ref="X65:X77" si="36">+P65-T65</f>
        <v>-2984.23</v>
      </c>
      <c r="Y65" s="1"/>
      <c r="Z65" s="5">
        <f t="shared" ref="Z65:Z77" si="37">IF(T65=0,0,X65/T65)</f>
        <v>-0.60902653061224488</v>
      </c>
    </row>
    <row r="66" spans="1:26" s="24" customFormat="1" hidden="1" outlineLevel="2" x14ac:dyDescent="0.25">
      <c r="A66" s="25"/>
      <c r="B66" s="11" t="str">
        <f>CONCATENATE("          ", "6362", " - ", "ADVERTISING EXPENSE")</f>
        <v xml:space="preserve">          6362 - ADVERTISING EXPENSE</v>
      </c>
      <c r="C66" s="11"/>
      <c r="D66" s="6">
        <v>425.35</v>
      </c>
      <c r="E66" s="2"/>
      <c r="F66" s="7">
        <f t="shared" si="30"/>
        <v>1.1234972712236255E-2</v>
      </c>
      <c r="G66" s="2"/>
      <c r="H66" s="6">
        <v>100</v>
      </c>
      <c r="I66" s="2"/>
      <c r="J66" s="7">
        <f t="shared" si="31"/>
        <v>2.3123258529591991E-4</v>
      </c>
      <c r="K66" s="2"/>
      <c r="L66" s="6">
        <f t="shared" si="32"/>
        <v>325.35000000000002</v>
      </c>
      <c r="M66" s="2"/>
      <c r="N66" s="7">
        <f t="shared" si="33"/>
        <v>3.2535000000000003</v>
      </c>
      <c r="O66" s="11"/>
      <c r="P66" s="6">
        <v>1915.77</v>
      </c>
      <c r="Q66" s="2"/>
      <c r="R66" s="7">
        <f t="shared" si="34"/>
        <v>3.9293002031954632E-3</v>
      </c>
      <c r="S66" s="2"/>
      <c r="T66" s="6">
        <v>4900</v>
      </c>
      <c r="U66" s="2"/>
      <c r="V66" s="7">
        <f t="shared" si="35"/>
        <v>5.151292948247903E-3</v>
      </c>
      <c r="W66" s="2"/>
      <c r="X66" s="6">
        <f t="shared" si="36"/>
        <v>-2984.23</v>
      </c>
      <c r="Y66" s="2"/>
      <c r="Z66" s="7">
        <f t="shared" si="37"/>
        <v>-0.60902653061224488</v>
      </c>
    </row>
    <row r="67" spans="1:26" s="27" customFormat="1" outlineLevel="1" collapsed="1" x14ac:dyDescent="0.25">
      <c r="A67" s="26"/>
      <c r="B67" s="13" t="str">
        <f>CONCATENATE("     ","Depreciation                                      ")</f>
        <v xml:space="preserve">     Depreciation                                      </v>
      </c>
      <c r="C67" s="13"/>
      <c r="D67" s="1">
        <f>SUM(OSRRefD22_3x_0)</f>
        <v>169.88</v>
      </c>
      <c r="E67" s="1"/>
      <c r="F67" s="5">
        <f t="shared" si="30"/>
        <v>4.4871215807092864E-3</v>
      </c>
      <c r="G67" s="1"/>
      <c r="H67" s="1">
        <f>SUM(OSRRefH22_3x_0)</f>
        <v>0</v>
      </c>
      <c r="I67" s="1"/>
      <c r="J67" s="5">
        <f t="shared" si="31"/>
        <v>0</v>
      </c>
      <c r="K67" s="1"/>
      <c r="L67" s="1">
        <f t="shared" si="32"/>
        <v>169.88</v>
      </c>
      <c r="M67" s="1"/>
      <c r="N67" s="5">
        <f t="shared" si="33"/>
        <v>0</v>
      </c>
      <c r="O67" s="13"/>
      <c r="P67" s="1">
        <f>SUM(OSRRefP22_3x_0)</f>
        <v>679.52</v>
      </c>
      <c r="Q67" s="1"/>
      <c r="R67" s="5">
        <f t="shared" si="34"/>
        <v>1.3937153593987697E-3</v>
      </c>
      <c r="S67" s="1"/>
      <c r="T67" s="1">
        <f>SUM(OSRRefT22_3x_0)</f>
        <v>0</v>
      </c>
      <c r="U67" s="1"/>
      <c r="V67" s="5">
        <f t="shared" si="35"/>
        <v>0</v>
      </c>
      <c r="W67" s="1"/>
      <c r="X67" s="1">
        <f t="shared" si="36"/>
        <v>679.52</v>
      </c>
      <c r="Y67" s="1"/>
      <c r="Z67" s="5">
        <f t="shared" si="37"/>
        <v>0</v>
      </c>
    </row>
    <row r="68" spans="1:26" s="24" customFormat="1" hidden="1" outlineLevel="2" x14ac:dyDescent="0.25">
      <c r="A68" s="25"/>
      <c r="B68" s="11" t="str">
        <f>CONCATENATE("          ", "6322", " - ", "EQUIPMENT DEPRECIATION EXPENSE")</f>
        <v xml:space="preserve">          6322 - EQUIPMENT DEPRECIATION EXPENSE</v>
      </c>
      <c r="C68" s="11"/>
      <c r="D68" s="6">
        <v>169.88</v>
      </c>
      <c r="E68" s="2"/>
      <c r="F68" s="7">
        <f t="shared" si="30"/>
        <v>4.4871215807092864E-3</v>
      </c>
      <c r="G68" s="2"/>
      <c r="H68" s="6">
        <v>0</v>
      </c>
      <c r="I68" s="2"/>
      <c r="J68" s="7">
        <f t="shared" si="31"/>
        <v>0</v>
      </c>
      <c r="K68" s="2"/>
      <c r="L68" s="6">
        <f t="shared" si="32"/>
        <v>169.88</v>
      </c>
      <c r="M68" s="2"/>
      <c r="N68" s="7">
        <f t="shared" si="33"/>
        <v>0</v>
      </c>
      <c r="O68" s="11"/>
      <c r="P68" s="6">
        <v>679.52</v>
      </c>
      <c r="Q68" s="2"/>
      <c r="R68" s="7">
        <f t="shared" si="34"/>
        <v>1.3937153593987697E-3</v>
      </c>
      <c r="S68" s="2"/>
      <c r="T68" s="6">
        <v>0</v>
      </c>
      <c r="U68" s="2"/>
      <c r="V68" s="7">
        <f t="shared" si="35"/>
        <v>0</v>
      </c>
      <c r="W68" s="2"/>
      <c r="X68" s="6">
        <f t="shared" si="36"/>
        <v>679.52</v>
      </c>
      <c r="Y68" s="2"/>
      <c r="Z68" s="7">
        <f t="shared" si="37"/>
        <v>0</v>
      </c>
    </row>
    <row r="69" spans="1:26" s="27" customFormat="1" outlineLevel="1" collapsed="1" x14ac:dyDescent="0.25">
      <c r="A69" s="26"/>
      <c r="B69" s="13" t="str">
        <f>CONCATENATE("     ","Discounts and Markdowns                           ")</f>
        <v xml:space="preserve">     Discounts and Markdowns                           </v>
      </c>
      <c r="C69" s="13"/>
      <c r="D69" s="1">
        <f>SUM(OSRRefD22_4x_0)</f>
        <v>143.82</v>
      </c>
      <c r="E69" s="1"/>
      <c r="F69" s="5">
        <f t="shared" si="30"/>
        <v>3.7987863535296064E-3</v>
      </c>
      <c r="G69" s="1"/>
      <c r="H69" s="1">
        <f>SUM(OSRRefH22_4x_0)</f>
        <v>500</v>
      </c>
      <c r="I69" s="1"/>
      <c r="J69" s="5">
        <f t="shared" si="31"/>
        <v>1.1561629264795995E-3</v>
      </c>
      <c r="K69" s="1"/>
      <c r="L69" s="1">
        <f t="shared" si="32"/>
        <v>-356.18</v>
      </c>
      <c r="M69" s="1"/>
      <c r="N69" s="5">
        <f t="shared" si="33"/>
        <v>-0.71235999999999999</v>
      </c>
      <c r="O69" s="13"/>
      <c r="P69" s="1">
        <f>SUM(OSRRefP22_4x_0)</f>
        <v>1126.33</v>
      </c>
      <c r="Q69" s="1"/>
      <c r="R69" s="5">
        <f t="shared" si="34"/>
        <v>2.3101357145508834E-3</v>
      </c>
      <c r="S69" s="1"/>
      <c r="T69" s="1">
        <f>SUM(OSRRefT22_4x_0)</f>
        <v>6700</v>
      </c>
      <c r="U69" s="1"/>
      <c r="V69" s="5">
        <f t="shared" si="35"/>
        <v>7.0436046435226433E-3</v>
      </c>
      <c r="W69" s="1"/>
      <c r="X69" s="1">
        <f t="shared" si="36"/>
        <v>-5573.67</v>
      </c>
      <c r="Y69" s="1"/>
      <c r="Z69" s="5">
        <f t="shared" si="37"/>
        <v>-0.83189104477611941</v>
      </c>
    </row>
    <row r="70" spans="1:26" s="24" customFormat="1" hidden="1" outlineLevel="2" x14ac:dyDescent="0.25">
      <c r="A70" s="25"/>
      <c r="B70" s="11" t="str">
        <f>CONCATENATE("          ", "6382", " - ", "DISCOUNTS/MARK DOWNS")</f>
        <v xml:space="preserve">          6382 - DISCOUNTS/MARK DOWNS</v>
      </c>
      <c r="C70" s="11"/>
      <c r="D70" s="6">
        <v>143.82</v>
      </c>
      <c r="E70" s="2"/>
      <c r="F70" s="7">
        <f t="shared" si="30"/>
        <v>3.7987863535296064E-3</v>
      </c>
      <c r="G70" s="2"/>
      <c r="H70" s="6">
        <v>500</v>
      </c>
      <c r="I70" s="2"/>
      <c r="J70" s="7">
        <f t="shared" si="31"/>
        <v>1.1561629264795995E-3</v>
      </c>
      <c r="K70" s="2"/>
      <c r="L70" s="6">
        <f t="shared" si="32"/>
        <v>-356.18</v>
      </c>
      <c r="M70" s="2"/>
      <c r="N70" s="7">
        <f t="shared" si="33"/>
        <v>-0.71235999999999999</v>
      </c>
      <c r="O70" s="11"/>
      <c r="P70" s="6">
        <v>1126.33</v>
      </c>
      <c r="Q70" s="2"/>
      <c r="R70" s="7">
        <f t="shared" si="34"/>
        <v>2.3101357145508834E-3</v>
      </c>
      <c r="S70" s="2"/>
      <c r="T70" s="6">
        <v>6700</v>
      </c>
      <c r="U70" s="2"/>
      <c r="V70" s="7">
        <f t="shared" si="35"/>
        <v>7.0436046435226433E-3</v>
      </c>
      <c r="W70" s="2"/>
      <c r="X70" s="6">
        <f t="shared" si="36"/>
        <v>-5573.67</v>
      </c>
      <c r="Y70" s="2"/>
      <c r="Z70" s="7">
        <f t="shared" si="37"/>
        <v>-0.83189104477611941</v>
      </c>
    </row>
    <row r="71" spans="1:26" s="27" customFormat="1" outlineLevel="1" collapsed="1" x14ac:dyDescent="0.25">
      <c r="A71" s="26"/>
      <c r="B71" s="13" t="str">
        <f>CONCATENATE("     ","Employees' Appreciation                           ")</f>
        <v xml:space="preserve">     Employees' Appreciation                           </v>
      </c>
      <c r="C71" s="13"/>
      <c r="D71" s="1">
        <f>SUM(OSRRefD22_5x_0)</f>
        <v>0</v>
      </c>
      <c r="E71" s="1"/>
      <c r="F71" s="5">
        <f t="shared" si="30"/>
        <v>0</v>
      </c>
      <c r="G71" s="1"/>
      <c r="H71" s="1">
        <f>SUM(OSRRefH22_5x_0)</f>
        <v>100</v>
      </c>
      <c r="I71" s="1"/>
      <c r="J71" s="5">
        <f t="shared" si="31"/>
        <v>2.3123258529591991E-4</v>
      </c>
      <c r="K71" s="1"/>
      <c r="L71" s="1">
        <f t="shared" si="32"/>
        <v>-100</v>
      </c>
      <c r="M71" s="1"/>
      <c r="N71" s="5">
        <f t="shared" si="33"/>
        <v>-1</v>
      </c>
      <c r="O71" s="13"/>
      <c r="P71" s="1">
        <f>SUM(OSRRefP22_5x_0)</f>
        <v>0</v>
      </c>
      <c r="Q71" s="1"/>
      <c r="R71" s="5">
        <f t="shared" si="34"/>
        <v>0</v>
      </c>
      <c r="S71" s="1"/>
      <c r="T71" s="1">
        <f>SUM(OSRRefT22_5x_0)</f>
        <v>900</v>
      </c>
      <c r="U71" s="1"/>
      <c r="V71" s="5">
        <f t="shared" si="35"/>
        <v>9.4615584763736997E-4</v>
      </c>
      <c r="W71" s="1"/>
      <c r="X71" s="1">
        <f t="shared" si="36"/>
        <v>-900</v>
      </c>
      <c r="Y71" s="1"/>
      <c r="Z71" s="5">
        <f t="shared" si="37"/>
        <v>-1</v>
      </c>
    </row>
    <row r="72" spans="1:26" s="24" customFormat="1" hidden="1" outlineLevel="2" x14ac:dyDescent="0.25">
      <c r="A72" s="25"/>
      <c r="B72" s="11" t="str">
        <f>CONCATENATE("          ", "6277", " - ", "EMPLOYEE APPRECIATION")</f>
        <v xml:space="preserve">          6277 - EMPLOYEE APPRECIATION</v>
      </c>
      <c r="C72" s="11"/>
      <c r="D72" s="6"/>
      <c r="E72" s="2"/>
      <c r="F72" s="7">
        <f t="shared" si="30"/>
        <v>0</v>
      </c>
      <c r="G72" s="2"/>
      <c r="H72" s="6">
        <v>100</v>
      </c>
      <c r="I72" s="2"/>
      <c r="J72" s="7">
        <f t="shared" si="31"/>
        <v>2.3123258529591991E-4</v>
      </c>
      <c r="K72" s="2"/>
      <c r="L72" s="6">
        <f t="shared" si="32"/>
        <v>-100</v>
      </c>
      <c r="M72" s="2"/>
      <c r="N72" s="7">
        <f t="shared" si="33"/>
        <v>-1</v>
      </c>
      <c r="O72" s="11"/>
      <c r="P72" s="6"/>
      <c r="Q72" s="2"/>
      <c r="R72" s="7">
        <f t="shared" si="34"/>
        <v>0</v>
      </c>
      <c r="S72" s="2"/>
      <c r="T72" s="6">
        <v>900</v>
      </c>
      <c r="U72" s="2"/>
      <c r="V72" s="7">
        <f t="shared" si="35"/>
        <v>9.4615584763736997E-4</v>
      </c>
      <c r="W72" s="2"/>
      <c r="X72" s="6">
        <f t="shared" si="36"/>
        <v>-900</v>
      </c>
      <c r="Y72" s="2"/>
      <c r="Z72" s="7">
        <f t="shared" si="37"/>
        <v>-1</v>
      </c>
    </row>
    <row r="73" spans="1:26" s="27" customFormat="1" outlineLevel="1" collapsed="1" x14ac:dyDescent="0.25">
      <c r="A73" s="26"/>
      <c r="B73" s="13" t="str">
        <f>CONCATENATE("     ","Equipment Rental                                  ")</f>
        <v xml:space="preserve">     Equipment Rental                                  </v>
      </c>
      <c r="C73" s="13"/>
      <c r="D73" s="1">
        <f>SUM(OSRRefD22_6x_0)</f>
        <v>1205.6400000000001</v>
      </c>
      <c r="E73" s="1"/>
      <c r="F73" s="5">
        <f t="shared" si="30"/>
        <v>3.1845145176397131E-2</v>
      </c>
      <c r="G73" s="1"/>
      <c r="H73" s="1">
        <f>SUM(OSRRefH22_6x_0)</f>
        <v>3000</v>
      </c>
      <c r="I73" s="1"/>
      <c r="J73" s="5">
        <f t="shared" si="31"/>
        <v>6.9369775588775974E-3</v>
      </c>
      <c r="K73" s="1"/>
      <c r="L73" s="1">
        <f t="shared" si="32"/>
        <v>-1794.36</v>
      </c>
      <c r="M73" s="1"/>
      <c r="N73" s="5">
        <f t="shared" si="33"/>
        <v>-0.59811999999999999</v>
      </c>
      <c r="O73" s="13"/>
      <c r="P73" s="1">
        <f>SUM(OSRRefP22_6x_0)</f>
        <v>13549.08</v>
      </c>
      <c r="Q73" s="1"/>
      <c r="R73" s="5">
        <f t="shared" si="34"/>
        <v>2.7789558661588595E-2</v>
      </c>
      <c r="S73" s="1"/>
      <c r="T73" s="1">
        <f>SUM(OSRRefT22_6x_0)</f>
        <v>27000</v>
      </c>
      <c r="U73" s="1"/>
      <c r="V73" s="5">
        <f t="shared" si="35"/>
        <v>2.8384675429121101E-2</v>
      </c>
      <c r="W73" s="1"/>
      <c r="X73" s="1">
        <f t="shared" si="36"/>
        <v>-13450.92</v>
      </c>
      <c r="Y73" s="1"/>
      <c r="Z73" s="5">
        <f t="shared" si="37"/>
        <v>-0.49818222222222225</v>
      </c>
    </row>
    <row r="74" spans="1:26" s="24" customFormat="1" hidden="1" outlineLevel="2" x14ac:dyDescent="0.25">
      <c r="A74" s="25"/>
      <c r="B74" s="11" t="str">
        <f>CONCATENATE("          ", "6351", " - ", "EQUIPMENT RENTAL")</f>
        <v xml:space="preserve">          6351 - EQUIPMENT RENTAL</v>
      </c>
      <c r="C74" s="11"/>
      <c r="D74" s="6">
        <v>1205.6400000000001</v>
      </c>
      <c r="E74" s="2"/>
      <c r="F74" s="7">
        <f t="shared" si="30"/>
        <v>3.1845145176397131E-2</v>
      </c>
      <c r="G74" s="2"/>
      <c r="H74" s="6">
        <v>3000</v>
      </c>
      <c r="I74" s="2"/>
      <c r="J74" s="7">
        <f t="shared" si="31"/>
        <v>6.9369775588775974E-3</v>
      </c>
      <c r="K74" s="2"/>
      <c r="L74" s="6">
        <f t="shared" si="32"/>
        <v>-1794.36</v>
      </c>
      <c r="M74" s="2"/>
      <c r="N74" s="7">
        <f t="shared" si="33"/>
        <v>-0.59811999999999999</v>
      </c>
      <c r="O74" s="11"/>
      <c r="P74" s="6">
        <v>13549.08</v>
      </c>
      <c r="Q74" s="2"/>
      <c r="R74" s="7">
        <f t="shared" si="34"/>
        <v>2.7789558661588595E-2</v>
      </c>
      <c r="S74" s="2"/>
      <c r="T74" s="6">
        <v>27000</v>
      </c>
      <c r="U74" s="2"/>
      <c r="V74" s="7">
        <f t="shared" si="35"/>
        <v>2.8384675429121101E-2</v>
      </c>
      <c r="W74" s="2"/>
      <c r="X74" s="6">
        <f t="shared" si="36"/>
        <v>-13450.92</v>
      </c>
      <c r="Y74" s="2"/>
      <c r="Z74" s="7">
        <f t="shared" si="37"/>
        <v>-0.49818222222222225</v>
      </c>
    </row>
    <row r="75" spans="1:26" s="27" customFormat="1" outlineLevel="1" collapsed="1" x14ac:dyDescent="0.25">
      <c r="A75" s="26"/>
      <c r="B75" s="13" t="str">
        <f>CONCATENATE("     ","Freight out/Postage                               ")</f>
        <v xml:space="preserve">     Freight out/Postage                               </v>
      </c>
      <c r="C75" s="13"/>
      <c r="D75" s="1">
        <f>SUM(OSRRefD22_7x_0)</f>
        <v>-1580.9</v>
      </c>
      <c r="E75" s="1"/>
      <c r="F75" s="5">
        <f t="shared" si="30"/>
        <v>-4.1757066793873976E-2</v>
      </c>
      <c r="G75" s="1"/>
      <c r="H75" s="1">
        <f>SUM(OSRRefH22_7x_0)</f>
        <v>-2800</v>
      </c>
      <c r="I75" s="1"/>
      <c r="J75" s="5">
        <f t="shared" si="31"/>
        <v>-6.4745123882857568E-3</v>
      </c>
      <c r="K75" s="1"/>
      <c r="L75" s="1">
        <f t="shared" si="32"/>
        <v>1219.0999999999999</v>
      </c>
      <c r="M75" s="1"/>
      <c r="N75" s="5">
        <f t="shared" si="33"/>
        <v>-0.43539285714285714</v>
      </c>
      <c r="O75" s="13"/>
      <c r="P75" s="1">
        <f>SUM(OSRRefP22_7x_0)</f>
        <v>-18300.910000000003</v>
      </c>
      <c r="Q75" s="1"/>
      <c r="R75" s="5">
        <f t="shared" si="34"/>
        <v>-3.7535700726946293E-2</v>
      </c>
      <c r="S75" s="1"/>
      <c r="T75" s="1">
        <f>SUM(OSRRefT22_7x_0)</f>
        <v>-80700</v>
      </c>
      <c r="U75" s="1"/>
      <c r="V75" s="5">
        <f t="shared" si="35"/>
        <v>-8.4838641004817514E-2</v>
      </c>
      <c r="W75" s="1"/>
      <c r="X75" s="1">
        <f t="shared" si="36"/>
        <v>62399.09</v>
      </c>
      <c r="Y75" s="1"/>
      <c r="Z75" s="5">
        <f t="shared" si="37"/>
        <v>-0.77322292441140017</v>
      </c>
    </row>
    <row r="76" spans="1:26" s="24" customFormat="1" hidden="1" outlineLevel="2" x14ac:dyDescent="0.25">
      <c r="A76" s="25"/>
      <c r="B76" s="11" t="str">
        <f>CONCATENATE("          ", "6305", " - ", "FREIGHT OUT")</f>
        <v xml:space="preserve">          6305 - FREIGHT OUT</v>
      </c>
      <c r="C76" s="11"/>
      <c r="D76" s="6">
        <v>2798.68</v>
      </c>
      <c r="E76" s="2"/>
      <c r="F76" s="7">
        <f t="shared" si="30"/>
        <v>7.3922871588765399E-2</v>
      </c>
      <c r="G76" s="2"/>
      <c r="H76" s="6">
        <v>-2800</v>
      </c>
      <c r="I76" s="2"/>
      <c r="J76" s="7">
        <f t="shared" si="31"/>
        <v>-6.4745123882857568E-3</v>
      </c>
      <c r="K76" s="2"/>
      <c r="L76" s="6">
        <f t="shared" si="32"/>
        <v>5598.68</v>
      </c>
      <c r="M76" s="2"/>
      <c r="N76" s="7">
        <f t="shared" si="33"/>
        <v>-1.9995285714285715</v>
      </c>
      <c r="O76" s="11"/>
      <c r="P76" s="6">
        <v>36399.539999999994</v>
      </c>
      <c r="Q76" s="2"/>
      <c r="R76" s="7">
        <f t="shared" si="34"/>
        <v>7.4656519268086127E-2</v>
      </c>
      <c r="S76" s="2"/>
      <c r="T76" s="6">
        <v>-80700</v>
      </c>
      <c r="U76" s="2"/>
      <c r="V76" s="7">
        <f t="shared" si="35"/>
        <v>-8.4838641004817514E-2</v>
      </c>
      <c r="W76" s="2"/>
      <c r="X76" s="6">
        <f t="shared" si="36"/>
        <v>117099.54</v>
      </c>
      <c r="Y76" s="2"/>
      <c r="Z76" s="7">
        <f t="shared" si="37"/>
        <v>-1.4510475836431227</v>
      </c>
    </row>
    <row r="77" spans="1:26" s="24" customFormat="1" hidden="1" outlineLevel="2" x14ac:dyDescent="0.25">
      <c r="A77" s="25"/>
      <c r="B77" s="11" t="str">
        <f>CONCATENATE("          ", "6307", " - ", "POSTAGE")</f>
        <v xml:space="preserve">          6307 - POSTAGE</v>
      </c>
      <c r="C77" s="11"/>
      <c r="D77" s="6">
        <v>-4379.58</v>
      </c>
      <c r="E77" s="2"/>
      <c r="F77" s="7">
        <f t="shared" si="30"/>
        <v>-0.11567993838263937</v>
      </c>
      <c r="G77" s="2"/>
      <c r="H77" s="6"/>
      <c r="I77" s="2"/>
      <c r="J77" s="7">
        <f t="shared" si="31"/>
        <v>0</v>
      </c>
      <c r="K77" s="2"/>
      <c r="L77" s="6">
        <f t="shared" si="32"/>
        <v>-4379.58</v>
      </c>
      <c r="M77" s="2"/>
      <c r="N77" s="7">
        <f t="shared" si="33"/>
        <v>0</v>
      </c>
      <c r="O77" s="11"/>
      <c r="P77" s="6">
        <v>-54700.45</v>
      </c>
      <c r="Q77" s="2"/>
      <c r="R77" s="7">
        <f t="shared" si="34"/>
        <v>-0.11219221999503241</v>
      </c>
      <c r="S77" s="2"/>
      <c r="T77" s="6"/>
      <c r="U77" s="2"/>
      <c r="V77" s="7">
        <f t="shared" si="35"/>
        <v>0</v>
      </c>
      <c r="W77" s="2"/>
      <c r="X77" s="6">
        <f t="shared" si="36"/>
        <v>-54700.45</v>
      </c>
      <c r="Y77" s="2"/>
      <c r="Z77" s="7">
        <f t="shared" si="37"/>
        <v>0</v>
      </c>
    </row>
    <row r="78" spans="1:26" s="27" customFormat="1" outlineLevel="1" collapsed="1" x14ac:dyDescent="0.25">
      <c r="A78" s="26"/>
      <c r="B78" s="13" t="str">
        <f>CONCATENATE("     ","General                                           ")</f>
        <v xml:space="preserve">     General                                           </v>
      </c>
      <c r="C78" s="13"/>
      <c r="D78" s="1">
        <f>SUM(OSRRefD22_8x_0)</f>
        <v>0</v>
      </c>
      <c r="E78" s="1"/>
      <c r="F78" s="5">
        <f t="shared" ref="F78:F84" si="38">IF(D$12=0,0,D78/D$12)</f>
        <v>0</v>
      </c>
      <c r="G78" s="1"/>
      <c r="H78" s="1">
        <f>SUM(OSRRefH22_8x_0)</f>
        <v>300</v>
      </c>
      <c r="I78" s="1"/>
      <c r="J78" s="5">
        <f t="shared" ref="J78:J84" si="39">IF(H$12=0,0,H78/H$12)</f>
        <v>6.9369775588775967E-4</v>
      </c>
      <c r="K78" s="1"/>
      <c r="L78" s="1">
        <f t="shared" ref="L78:L84" si="40">+D78-H78</f>
        <v>-300</v>
      </c>
      <c r="M78" s="1"/>
      <c r="N78" s="5">
        <f t="shared" ref="N78:N84" si="41">IF(H78=0,0,L78/H78)</f>
        <v>-1</v>
      </c>
      <c r="O78" s="13"/>
      <c r="P78" s="1">
        <f>SUM(OSRRefP22_8x_0)</f>
        <v>155.16999999999999</v>
      </c>
      <c r="Q78" s="1"/>
      <c r="R78" s="5">
        <f t="shared" ref="R78:R84" si="42">IF(P$12=0,0,P78/P$12)</f>
        <v>3.1825820037365655E-4</v>
      </c>
      <c r="S78" s="1"/>
      <c r="T78" s="1">
        <f>SUM(OSRRefT22_8x_0)</f>
        <v>2600</v>
      </c>
      <c r="U78" s="1"/>
      <c r="V78" s="5">
        <f t="shared" ref="V78:V84" si="43">IF(T$12=0,0,T78/T$12)</f>
        <v>2.7333391153968466E-3</v>
      </c>
      <c r="W78" s="1"/>
      <c r="X78" s="1">
        <f t="shared" ref="X78:X84" si="44">+P78-T78</f>
        <v>-2444.83</v>
      </c>
      <c r="Y78" s="1"/>
      <c r="Z78" s="5">
        <f t="shared" ref="Z78:Z84" si="45">IF(T78=0,0,X78/T78)</f>
        <v>-0.94031923076923074</v>
      </c>
    </row>
    <row r="79" spans="1:26" s="24" customFormat="1" hidden="1" outlineLevel="2" x14ac:dyDescent="0.25">
      <c r="A79" s="25"/>
      <c r="B79" s="11" t="str">
        <f>CONCATENATE("          ", "6279", " - ", "GENERAL EXPENSE")</f>
        <v xml:space="preserve">          6279 - GENERAL EXPENSE</v>
      </c>
      <c r="C79" s="11"/>
      <c r="D79" s="6"/>
      <c r="E79" s="2"/>
      <c r="F79" s="7">
        <f t="shared" si="38"/>
        <v>0</v>
      </c>
      <c r="G79" s="2"/>
      <c r="H79" s="6">
        <v>300</v>
      </c>
      <c r="I79" s="2"/>
      <c r="J79" s="7">
        <f t="shared" si="39"/>
        <v>6.9369775588775967E-4</v>
      </c>
      <c r="K79" s="2"/>
      <c r="L79" s="6">
        <f t="shared" si="40"/>
        <v>-300</v>
      </c>
      <c r="M79" s="2"/>
      <c r="N79" s="7">
        <f t="shared" si="41"/>
        <v>-1</v>
      </c>
      <c r="O79" s="11"/>
      <c r="P79" s="6">
        <v>155.16999999999999</v>
      </c>
      <c r="Q79" s="2"/>
      <c r="R79" s="7">
        <f t="shared" si="42"/>
        <v>3.1825820037365655E-4</v>
      </c>
      <c r="S79" s="2"/>
      <c r="T79" s="6">
        <v>2600</v>
      </c>
      <c r="U79" s="2"/>
      <c r="V79" s="7">
        <f t="shared" si="43"/>
        <v>2.7333391153968466E-3</v>
      </c>
      <c r="W79" s="2"/>
      <c r="X79" s="6">
        <f t="shared" si="44"/>
        <v>-2444.83</v>
      </c>
      <c r="Y79" s="2"/>
      <c r="Z79" s="7">
        <f t="shared" si="45"/>
        <v>-0.94031923076923074</v>
      </c>
    </row>
    <row r="80" spans="1:26" s="27" customFormat="1" outlineLevel="1" collapsed="1" x14ac:dyDescent="0.25">
      <c r="A80" s="26"/>
      <c r="B80" s="13" t="str">
        <f>CONCATENATE("     ","Inventory Adjustment                              ")</f>
        <v xml:space="preserve">     Inventory Adjustment                              </v>
      </c>
      <c r="C80" s="13"/>
      <c r="D80" s="1">
        <f>SUM(OSRRefD22_9x_0)</f>
        <v>100</v>
      </c>
      <c r="E80" s="1"/>
      <c r="F80" s="5">
        <f t="shared" si="38"/>
        <v>2.6413477635444352E-3</v>
      </c>
      <c r="G80" s="1"/>
      <c r="H80" s="1">
        <f>SUM(OSRRefH22_9x_0)</f>
        <v>100</v>
      </c>
      <c r="I80" s="1"/>
      <c r="J80" s="5">
        <f t="shared" si="39"/>
        <v>2.3123258529591991E-4</v>
      </c>
      <c r="K80" s="1"/>
      <c r="L80" s="1">
        <f t="shared" si="40"/>
        <v>0</v>
      </c>
      <c r="M80" s="1"/>
      <c r="N80" s="5">
        <f t="shared" si="41"/>
        <v>0</v>
      </c>
      <c r="O80" s="13"/>
      <c r="P80" s="1">
        <f>SUM(OSRRefP22_9x_0)</f>
        <v>800</v>
      </c>
      <c r="Q80" s="1"/>
      <c r="R80" s="5">
        <f t="shared" si="42"/>
        <v>1.6408233569564041E-3</v>
      </c>
      <c r="S80" s="1"/>
      <c r="T80" s="1">
        <f>SUM(OSRRefT22_9x_0)</f>
        <v>800</v>
      </c>
      <c r="U80" s="1"/>
      <c r="V80" s="5">
        <f t="shared" si="43"/>
        <v>8.4102742012210664E-4</v>
      </c>
      <c r="W80" s="1"/>
      <c r="X80" s="1">
        <f t="shared" si="44"/>
        <v>0</v>
      </c>
      <c r="Y80" s="1"/>
      <c r="Z80" s="5">
        <f t="shared" si="45"/>
        <v>0</v>
      </c>
    </row>
    <row r="81" spans="1:26" s="24" customFormat="1" hidden="1" outlineLevel="2" x14ac:dyDescent="0.25">
      <c r="A81" s="25"/>
      <c r="B81" s="11" t="str">
        <f>CONCATENATE("          ", "6408", " - ", "INVENTORY ADJUSTMENT")</f>
        <v xml:space="preserve">          6408 - INVENTORY ADJUSTMENT</v>
      </c>
      <c r="C81" s="11"/>
      <c r="D81" s="6">
        <v>100</v>
      </c>
      <c r="E81" s="2"/>
      <c r="F81" s="7">
        <f t="shared" si="38"/>
        <v>2.6413477635444352E-3</v>
      </c>
      <c r="G81" s="2"/>
      <c r="H81" s="6">
        <v>100</v>
      </c>
      <c r="I81" s="2"/>
      <c r="J81" s="7">
        <f t="shared" si="39"/>
        <v>2.3123258529591991E-4</v>
      </c>
      <c r="K81" s="2"/>
      <c r="L81" s="6">
        <f t="shared" si="40"/>
        <v>0</v>
      </c>
      <c r="M81" s="2"/>
      <c r="N81" s="7">
        <f t="shared" si="41"/>
        <v>0</v>
      </c>
      <c r="O81" s="11"/>
      <c r="P81" s="6">
        <v>800</v>
      </c>
      <c r="Q81" s="2"/>
      <c r="R81" s="7">
        <f t="shared" si="42"/>
        <v>1.6408233569564041E-3</v>
      </c>
      <c r="S81" s="2"/>
      <c r="T81" s="6">
        <v>800</v>
      </c>
      <c r="U81" s="2"/>
      <c r="V81" s="7">
        <f t="shared" si="43"/>
        <v>8.4102742012210664E-4</v>
      </c>
      <c r="W81" s="2"/>
      <c r="X81" s="6">
        <f t="shared" si="44"/>
        <v>0</v>
      </c>
      <c r="Y81" s="2"/>
      <c r="Z81" s="7">
        <f t="shared" si="45"/>
        <v>0</v>
      </c>
    </row>
    <row r="82" spans="1:26" s="27" customFormat="1" outlineLevel="1" collapsed="1" x14ac:dyDescent="0.25">
      <c r="A82" s="26"/>
      <c r="B82" s="13" t="str">
        <f>CONCATENATE("     ","Repair and Maintenance                            ")</f>
        <v xml:space="preserve">     Repair and Maintenance                            </v>
      </c>
      <c r="C82" s="13"/>
      <c r="D82" s="1">
        <f>SUM(OSRRefD22_10x_0)</f>
        <v>10224.290000000001</v>
      </c>
      <c r="E82" s="1"/>
      <c r="F82" s="5">
        <f t="shared" si="38"/>
        <v>0.27005905525329738</v>
      </c>
      <c r="G82" s="1"/>
      <c r="H82" s="1">
        <f>SUM(OSRRefH22_10x_0)</f>
        <v>7000</v>
      </c>
      <c r="I82" s="1"/>
      <c r="J82" s="5">
        <f t="shared" si="39"/>
        <v>1.6186280970714392E-2</v>
      </c>
      <c r="K82" s="1"/>
      <c r="L82" s="1">
        <f t="shared" si="40"/>
        <v>3224.2900000000009</v>
      </c>
      <c r="M82" s="1"/>
      <c r="N82" s="5">
        <f t="shared" si="41"/>
        <v>0.46061285714285727</v>
      </c>
      <c r="O82" s="13"/>
      <c r="P82" s="1">
        <f>SUM(OSRRefP22_10x_0)</f>
        <v>60770.33</v>
      </c>
      <c r="Q82" s="1"/>
      <c r="R82" s="5">
        <f t="shared" si="42"/>
        <v>0.1246417210924356</v>
      </c>
      <c r="S82" s="1"/>
      <c r="T82" s="1">
        <f>SUM(OSRRefT22_10x_0)</f>
        <v>63000</v>
      </c>
      <c r="U82" s="1"/>
      <c r="V82" s="5">
        <f t="shared" si="43"/>
        <v>6.6230909334615895E-2</v>
      </c>
      <c r="W82" s="1"/>
      <c r="X82" s="1">
        <f t="shared" si="44"/>
        <v>-2229.6699999999983</v>
      </c>
      <c r="Y82" s="1"/>
      <c r="Z82" s="5">
        <f t="shared" si="45"/>
        <v>-3.5391587301587271E-2</v>
      </c>
    </row>
    <row r="83" spans="1:26" s="24" customFormat="1" hidden="1" outlineLevel="2" x14ac:dyDescent="0.25">
      <c r="A83" s="25"/>
      <c r="B83" s="11" t="str">
        <f>CONCATENATE("          ", "6373", " - ", "MAINTENANCE CONTRACTS")</f>
        <v xml:space="preserve">          6373 - MAINTENANCE CONTRACTS</v>
      </c>
      <c r="C83" s="11"/>
      <c r="D83" s="6">
        <v>10186.69</v>
      </c>
      <c r="E83" s="2"/>
      <c r="F83" s="7">
        <f t="shared" si="38"/>
        <v>0.26906590849420464</v>
      </c>
      <c r="G83" s="2"/>
      <c r="H83" s="6">
        <v>7000</v>
      </c>
      <c r="I83" s="2"/>
      <c r="J83" s="7">
        <f t="shared" si="39"/>
        <v>1.6186280970714392E-2</v>
      </c>
      <c r="K83" s="2"/>
      <c r="L83" s="6">
        <f t="shared" si="40"/>
        <v>3186.6900000000005</v>
      </c>
      <c r="M83" s="2"/>
      <c r="N83" s="7">
        <f t="shared" si="41"/>
        <v>0.45524142857142863</v>
      </c>
      <c r="O83" s="11"/>
      <c r="P83" s="6">
        <v>59847.270000000004</v>
      </c>
      <c r="Q83" s="2"/>
      <c r="R83" s="7">
        <f t="shared" si="42"/>
        <v>0.12274849808259539</v>
      </c>
      <c r="S83" s="2"/>
      <c r="T83" s="6">
        <v>63000</v>
      </c>
      <c r="U83" s="2"/>
      <c r="V83" s="7">
        <f t="shared" si="43"/>
        <v>6.6230909334615895E-2</v>
      </c>
      <c r="W83" s="2"/>
      <c r="X83" s="6">
        <f t="shared" si="44"/>
        <v>-3152.7299999999959</v>
      </c>
      <c r="Y83" s="2"/>
      <c r="Z83" s="7">
        <f t="shared" si="45"/>
        <v>-5.0043333333333266E-2</v>
      </c>
    </row>
    <row r="84" spans="1:26" s="24" customFormat="1" hidden="1" outlineLevel="2" x14ac:dyDescent="0.25">
      <c r="A84" s="25"/>
      <c r="B84" s="11" t="str">
        <f>CONCATENATE("          ", "6375", " - ", "OUTSIDE REPAIRS &amp; MAINTENANCE")</f>
        <v xml:space="preserve">          6375 - OUTSIDE REPAIRS &amp; MAINTENANCE</v>
      </c>
      <c r="C84" s="11"/>
      <c r="D84" s="6">
        <v>37.6</v>
      </c>
      <c r="E84" s="2"/>
      <c r="F84" s="7">
        <f t="shared" si="38"/>
        <v>9.9314675909270762E-4</v>
      </c>
      <c r="G84" s="2"/>
      <c r="H84" s="6"/>
      <c r="I84" s="2"/>
      <c r="J84" s="7">
        <f t="shared" si="39"/>
        <v>0</v>
      </c>
      <c r="K84" s="2"/>
      <c r="L84" s="6">
        <f t="shared" si="40"/>
        <v>37.6</v>
      </c>
      <c r="M84" s="2"/>
      <c r="N84" s="7">
        <f t="shared" si="41"/>
        <v>0</v>
      </c>
      <c r="O84" s="11"/>
      <c r="P84" s="6">
        <v>923.06</v>
      </c>
      <c r="Q84" s="2"/>
      <c r="R84" s="7">
        <f t="shared" si="42"/>
        <v>1.8932230098402229E-3</v>
      </c>
      <c r="S84" s="2"/>
      <c r="T84" s="6"/>
      <c r="U84" s="2"/>
      <c r="V84" s="7">
        <f t="shared" si="43"/>
        <v>0</v>
      </c>
      <c r="W84" s="2"/>
      <c r="X84" s="6">
        <f t="shared" si="44"/>
        <v>923.06</v>
      </c>
      <c r="Y84" s="2"/>
      <c r="Z84" s="7">
        <f t="shared" si="45"/>
        <v>0</v>
      </c>
    </row>
    <row r="85" spans="1:26" s="27" customFormat="1" outlineLevel="1" collapsed="1" x14ac:dyDescent="0.25">
      <c r="A85" s="26"/>
      <c r="B85" s="13" t="str">
        <f>CONCATENATE("     ","Royalty &amp; Commissions                             ")</f>
        <v xml:space="preserve">     Royalty &amp; Commissions                             </v>
      </c>
      <c r="C85" s="13"/>
      <c r="D85" s="1">
        <f>SUM(OSRRefD22_11x_0)</f>
        <v>3863.92</v>
      </c>
      <c r="E85" s="1"/>
      <c r="F85" s="5">
        <f t="shared" ref="F85:F87" si="46">IF(D$12=0,0,D85/D$12)</f>
        <v>0.10205956450514614</v>
      </c>
      <c r="G85" s="1"/>
      <c r="H85" s="1">
        <f>SUM(OSRRefH22_11x_0)</f>
        <v>11000</v>
      </c>
      <c r="I85" s="1"/>
      <c r="J85" s="5">
        <f t="shared" ref="J85:J87" si="47">IF(H$12=0,0,H85/H$12)</f>
        <v>2.5435584382551189E-2</v>
      </c>
      <c r="K85" s="1"/>
      <c r="L85" s="1">
        <f t="shared" ref="L85:L87" si="48">+D85-H85</f>
        <v>-7136.08</v>
      </c>
      <c r="M85" s="1"/>
      <c r="N85" s="5">
        <f t="shared" ref="N85:N87" si="49">IF(H85=0,0,L85/H85)</f>
        <v>-0.64873454545454545</v>
      </c>
      <c r="O85" s="13"/>
      <c r="P85" s="1">
        <f>SUM(OSRRefP22_11x_0)</f>
        <v>76825.799999999988</v>
      </c>
      <c r="Q85" s="1"/>
      <c r="R85" s="5">
        <f t="shared" ref="R85:R87" si="50">IF(P$12=0,0,P85/P$12)</f>
        <v>0.15757195882107664</v>
      </c>
      <c r="S85" s="1"/>
      <c r="T85" s="1">
        <f>SUM(OSRRefT22_11x_0)</f>
        <v>99000</v>
      </c>
      <c r="U85" s="1"/>
      <c r="V85" s="5">
        <f t="shared" ref="V85:V87" si="51">IF(T$12=0,0,T85/T$12)</f>
        <v>0.10407714324011071</v>
      </c>
      <c r="W85" s="1"/>
      <c r="X85" s="1">
        <f t="shared" ref="X85:X87" si="52">+P85-T85</f>
        <v>-22174.200000000012</v>
      </c>
      <c r="Y85" s="1"/>
      <c r="Z85" s="5">
        <f t="shared" ref="Z85:Z87" si="53">IF(T85=0,0,X85/T85)</f>
        <v>-0.22398181818181831</v>
      </c>
    </row>
    <row r="86" spans="1:26" s="24" customFormat="1" hidden="1" outlineLevel="2" x14ac:dyDescent="0.25">
      <c r="A86" s="25"/>
      <c r="B86" s="11" t="str">
        <f>CONCATENATE("          ", "6254", " - ", "ROYALTY &amp; COMMISSIONS")</f>
        <v xml:space="preserve">          6254 - ROYALTY &amp; COMMISSIONS</v>
      </c>
      <c r="C86" s="11"/>
      <c r="D86" s="6"/>
      <c r="E86" s="2"/>
      <c r="F86" s="7">
        <f t="shared" si="46"/>
        <v>0</v>
      </c>
      <c r="G86" s="2"/>
      <c r="H86" s="6">
        <v>11000</v>
      </c>
      <c r="I86" s="2"/>
      <c r="J86" s="7">
        <f t="shared" si="47"/>
        <v>2.5435584382551189E-2</v>
      </c>
      <c r="K86" s="2"/>
      <c r="L86" s="6">
        <f t="shared" si="48"/>
        <v>-11000</v>
      </c>
      <c r="M86" s="2"/>
      <c r="N86" s="7">
        <f t="shared" si="49"/>
        <v>-1</v>
      </c>
      <c r="O86" s="11"/>
      <c r="P86" s="6"/>
      <c r="Q86" s="2"/>
      <c r="R86" s="7">
        <f t="shared" si="50"/>
        <v>0</v>
      </c>
      <c r="S86" s="2"/>
      <c r="T86" s="6">
        <v>99000</v>
      </c>
      <c r="U86" s="2"/>
      <c r="V86" s="7">
        <f t="shared" si="51"/>
        <v>0.10407714324011071</v>
      </c>
      <c r="W86" s="2"/>
      <c r="X86" s="6">
        <f t="shared" si="52"/>
        <v>-99000</v>
      </c>
      <c r="Y86" s="2"/>
      <c r="Z86" s="7">
        <f t="shared" si="53"/>
        <v>-1</v>
      </c>
    </row>
    <row r="87" spans="1:26" s="24" customFormat="1" hidden="1" outlineLevel="2" x14ac:dyDescent="0.25">
      <c r="A87" s="25"/>
      <c r="B87" s="11" t="str">
        <f>CONCATENATE("          ", "6259", " - ", "ROYALTY &amp; COMMISSIONS")</f>
        <v xml:space="preserve">          6259 - ROYALTY &amp; COMMISSIONS</v>
      </c>
      <c r="C87" s="11"/>
      <c r="D87" s="6">
        <v>3863.92</v>
      </c>
      <c r="E87" s="2"/>
      <c r="F87" s="7">
        <f t="shared" si="46"/>
        <v>0.10205956450514614</v>
      </c>
      <c r="G87" s="2"/>
      <c r="H87" s="6"/>
      <c r="I87" s="2"/>
      <c r="J87" s="7">
        <f t="shared" si="47"/>
        <v>0</v>
      </c>
      <c r="K87" s="2"/>
      <c r="L87" s="6">
        <f t="shared" si="48"/>
        <v>3863.92</v>
      </c>
      <c r="M87" s="2"/>
      <c r="N87" s="7">
        <f t="shared" si="49"/>
        <v>0</v>
      </c>
      <c r="O87" s="11"/>
      <c r="P87" s="6">
        <v>76825.799999999988</v>
      </c>
      <c r="Q87" s="2"/>
      <c r="R87" s="7">
        <f t="shared" si="50"/>
        <v>0.15757195882107664</v>
      </c>
      <c r="S87" s="2"/>
      <c r="T87" s="6"/>
      <c r="U87" s="2"/>
      <c r="V87" s="7">
        <f t="shared" si="51"/>
        <v>0</v>
      </c>
      <c r="W87" s="2"/>
      <c r="X87" s="6">
        <f t="shared" si="52"/>
        <v>76825.799999999988</v>
      </c>
      <c r="Y87" s="2"/>
      <c r="Z87" s="7">
        <f t="shared" si="53"/>
        <v>0</v>
      </c>
    </row>
    <row r="88" spans="1:26" s="27" customFormat="1" outlineLevel="1" collapsed="1" x14ac:dyDescent="0.25">
      <c r="A88" s="26"/>
      <c r="B88" s="13" t="str">
        <f>CONCATENATE("     ","Supplies                                          ")</f>
        <v xml:space="preserve">     Supplies                                          </v>
      </c>
      <c r="C88" s="13"/>
      <c r="D88" s="1">
        <f>SUM(OSRRefD22_12x_0)</f>
        <v>9911.9699999999993</v>
      </c>
      <c r="E88" s="1"/>
      <c r="F88" s="5">
        <f t="shared" ref="F88:F93" si="54">IF(D$12=0,0,D88/D$12)</f>
        <v>0.26180959791819536</v>
      </c>
      <c r="G88" s="1"/>
      <c r="H88" s="1">
        <f>SUM(OSRRefH22_12x_0)</f>
        <v>11750</v>
      </c>
      <c r="I88" s="1"/>
      <c r="J88" s="5">
        <f t="shared" ref="J88:J93" si="55">IF(H$12=0,0,H88/H$12)</f>
        <v>2.7169828772270588E-2</v>
      </c>
      <c r="K88" s="1"/>
      <c r="L88" s="1">
        <f t="shared" ref="L88:L93" si="56">+D88-H88</f>
        <v>-1838.0300000000007</v>
      </c>
      <c r="M88" s="1"/>
      <c r="N88" s="5">
        <f t="shared" ref="N88:N93" si="57">IF(H88=0,0,L88/H88)</f>
        <v>-0.15642808510638304</v>
      </c>
      <c r="O88" s="13"/>
      <c r="P88" s="1">
        <f>SUM(OSRRefP22_12x_0)</f>
        <v>46618.869999999995</v>
      </c>
      <c r="Q88" s="1"/>
      <c r="R88" s="5">
        <f t="shared" ref="R88:R93" si="58">IF(P$12=0,0,P88/P$12)</f>
        <v>9.561666346364274E-2</v>
      </c>
      <c r="S88" s="1"/>
      <c r="T88" s="1">
        <f>SUM(OSRRefT22_12x_0)</f>
        <v>77700</v>
      </c>
      <c r="U88" s="1"/>
      <c r="V88" s="5">
        <f t="shared" ref="V88:V93" si="59">IF(T$12=0,0,T88/T$12)</f>
        <v>8.1684788179359605E-2</v>
      </c>
      <c r="W88" s="1"/>
      <c r="X88" s="1">
        <f t="shared" ref="X88:X93" si="60">+P88-T88</f>
        <v>-31081.130000000005</v>
      </c>
      <c r="Y88" s="1"/>
      <c r="Z88" s="5">
        <f t="shared" ref="Z88:Z93" si="61">IF(T88=0,0,X88/T88)</f>
        <v>-0.40001454311454315</v>
      </c>
    </row>
    <row r="89" spans="1:26" s="24" customFormat="1" hidden="1" outlineLevel="2" x14ac:dyDescent="0.25">
      <c r="A89" s="25"/>
      <c r="B89" s="11" t="str">
        <f>CONCATENATE("          ", "6234", " - ", "EXPENDABLE SUPPLIES &amp; EQUIPMEN")</f>
        <v xml:space="preserve">          6234 - EXPENDABLE SUPPLIES &amp; EQUIPMEN</v>
      </c>
      <c r="C89" s="11"/>
      <c r="D89" s="6"/>
      <c r="E89" s="2"/>
      <c r="F89" s="7">
        <f t="shared" si="54"/>
        <v>0</v>
      </c>
      <c r="G89" s="2"/>
      <c r="H89" s="6"/>
      <c r="I89" s="2"/>
      <c r="J89" s="7">
        <f t="shared" si="55"/>
        <v>0</v>
      </c>
      <c r="K89" s="2"/>
      <c r="L89" s="6">
        <f t="shared" si="56"/>
        <v>0</v>
      </c>
      <c r="M89" s="2"/>
      <c r="N89" s="7">
        <f t="shared" si="57"/>
        <v>0</v>
      </c>
      <c r="O89" s="11"/>
      <c r="P89" s="6">
        <v>1017.27</v>
      </c>
      <c r="Q89" s="2"/>
      <c r="R89" s="7">
        <f t="shared" si="58"/>
        <v>2.0864504704138018E-3</v>
      </c>
      <c r="S89" s="2"/>
      <c r="T89" s="6"/>
      <c r="U89" s="2"/>
      <c r="V89" s="7">
        <f t="shared" si="59"/>
        <v>0</v>
      </c>
      <c r="W89" s="2"/>
      <c r="X89" s="6">
        <f t="shared" si="60"/>
        <v>1017.27</v>
      </c>
      <c r="Y89" s="2"/>
      <c r="Z89" s="7">
        <f t="shared" si="61"/>
        <v>0</v>
      </c>
    </row>
    <row r="90" spans="1:26" s="24" customFormat="1" hidden="1" outlineLevel="2" x14ac:dyDescent="0.25">
      <c r="A90" s="25"/>
      <c r="B90" s="11" t="str">
        <f>CONCATENATE("          ", "6241", " - ", "OFFICE EXPENSE")</f>
        <v xml:space="preserve">          6241 - OFFICE EXPENSE</v>
      </c>
      <c r="C90" s="11"/>
      <c r="D90" s="6">
        <v>8.99</v>
      </c>
      <c r="E90" s="2"/>
      <c r="F90" s="7">
        <f t="shared" si="54"/>
        <v>2.3745716394264472E-4</v>
      </c>
      <c r="G90" s="2"/>
      <c r="H90" s="6"/>
      <c r="I90" s="2"/>
      <c r="J90" s="7">
        <f t="shared" si="55"/>
        <v>0</v>
      </c>
      <c r="K90" s="2"/>
      <c r="L90" s="6">
        <f t="shared" si="56"/>
        <v>8.99</v>
      </c>
      <c r="M90" s="2"/>
      <c r="N90" s="7">
        <f t="shared" si="57"/>
        <v>0</v>
      </c>
      <c r="O90" s="11"/>
      <c r="P90" s="6">
        <v>1713.32</v>
      </c>
      <c r="Q90" s="2"/>
      <c r="R90" s="7">
        <f t="shared" si="58"/>
        <v>3.5140693424256832E-3</v>
      </c>
      <c r="S90" s="2"/>
      <c r="T90" s="6"/>
      <c r="U90" s="2"/>
      <c r="V90" s="7">
        <f t="shared" si="59"/>
        <v>0</v>
      </c>
      <c r="W90" s="2"/>
      <c r="X90" s="6">
        <f t="shared" si="60"/>
        <v>1713.32</v>
      </c>
      <c r="Y90" s="2"/>
      <c r="Z90" s="7">
        <f t="shared" si="61"/>
        <v>0</v>
      </c>
    </row>
    <row r="91" spans="1:26" s="24" customFormat="1" hidden="1" outlineLevel="2" x14ac:dyDescent="0.25">
      <c r="A91" s="25"/>
      <c r="B91" s="11" t="str">
        <f>CONCATENATE("          ", "6243", " - ", "PAPER SUPPLIES")</f>
        <v xml:space="preserve">          6243 - PAPER SUPPLIES</v>
      </c>
      <c r="C91" s="11"/>
      <c r="D91" s="6">
        <v>5529.37</v>
      </c>
      <c r="E91" s="2"/>
      <c r="F91" s="7">
        <f t="shared" si="54"/>
        <v>0.14604989083309694</v>
      </c>
      <c r="G91" s="2"/>
      <c r="H91" s="6">
        <v>250</v>
      </c>
      <c r="I91" s="2"/>
      <c r="J91" s="7">
        <f t="shared" si="55"/>
        <v>5.7808146323979975E-4</v>
      </c>
      <c r="K91" s="2"/>
      <c r="L91" s="6">
        <f t="shared" si="56"/>
        <v>5279.37</v>
      </c>
      <c r="M91" s="2"/>
      <c r="N91" s="7">
        <f t="shared" si="57"/>
        <v>21.11748</v>
      </c>
      <c r="O91" s="11"/>
      <c r="P91" s="6">
        <v>17096.919999999998</v>
      </c>
      <c r="Q91" s="2"/>
      <c r="R91" s="7">
        <f t="shared" si="58"/>
        <v>3.5066282085018857E-2</v>
      </c>
      <c r="S91" s="2"/>
      <c r="T91" s="6">
        <v>2250</v>
      </c>
      <c r="U91" s="2"/>
      <c r="V91" s="7">
        <f t="shared" si="59"/>
        <v>2.3653896190934248E-3</v>
      </c>
      <c r="W91" s="2"/>
      <c r="X91" s="6">
        <f t="shared" si="60"/>
        <v>14846.919999999998</v>
      </c>
      <c r="Y91" s="2"/>
      <c r="Z91" s="7">
        <f t="shared" si="61"/>
        <v>6.5986311111111107</v>
      </c>
    </row>
    <row r="92" spans="1:26" s="24" customFormat="1" hidden="1" outlineLevel="2" x14ac:dyDescent="0.25">
      <c r="A92" s="25"/>
      <c r="B92" s="11" t="str">
        <f>CONCATENATE("          ", "6245", " - ", "PRINTING")</f>
        <v xml:space="preserve">          6245 - PRINTING</v>
      </c>
      <c r="C92" s="11"/>
      <c r="D92" s="6">
        <v>289.75</v>
      </c>
      <c r="E92" s="2"/>
      <c r="F92" s="7">
        <f t="shared" si="54"/>
        <v>7.6533051448700005E-3</v>
      </c>
      <c r="G92" s="2"/>
      <c r="H92" s="6"/>
      <c r="I92" s="2"/>
      <c r="J92" s="7">
        <f t="shared" si="55"/>
        <v>0</v>
      </c>
      <c r="K92" s="2"/>
      <c r="L92" s="6">
        <f t="shared" si="56"/>
        <v>289.75</v>
      </c>
      <c r="M92" s="2"/>
      <c r="N92" s="7">
        <f t="shared" si="57"/>
        <v>0</v>
      </c>
      <c r="O92" s="11"/>
      <c r="P92" s="6">
        <v>5563.42</v>
      </c>
      <c r="Q92" s="2"/>
      <c r="R92" s="7">
        <f t="shared" si="58"/>
        <v>1.1410736850697998E-2</v>
      </c>
      <c r="S92" s="2"/>
      <c r="T92" s="6"/>
      <c r="U92" s="2"/>
      <c r="V92" s="7">
        <f t="shared" si="59"/>
        <v>0</v>
      </c>
      <c r="W92" s="2"/>
      <c r="X92" s="6">
        <f t="shared" si="60"/>
        <v>5563.42</v>
      </c>
      <c r="Y92" s="2"/>
      <c r="Z92" s="7">
        <f t="shared" si="61"/>
        <v>0</v>
      </c>
    </row>
    <row r="93" spans="1:26" s="24" customFormat="1" hidden="1" outlineLevel="2" x14ac:dyDescent="0.25">
      <c r="A93" s="25"/>
      <c r="B93" s="11" t="str">
        <f>CONCATENATE("          ", "6247", " - ", "STORE SUPPLIES")</f>
        <v xml:space="preserve">          6247 - STORE SUPPLIES</v>
      </c>
      <c r="C93" s="11"/>
      <c r="D93" s="6">
        <v>4083.86</v>
      </c>
      <c r="E93" s="2"/>
      <c r="F93" s="7">
        <f t="shared" si="54"/>
        <v>0.10786894477628578</v>
      </c>
      <c r="G93" s="2"/>
      <c r="H93" s="6">
        <v>11500</v>
      </c>
      <c r="I93" s="2"/>
      <c r="J93" s="7">
        <f t="shared" si="55"/>
        <v>2.6591747309030789E-2</v>
      </c>
      <c r="K93" s="2"/>
      <c r="L93" s="6">
        <f t="shared" si="56"/>
        <v>-7416.1399999999994</v>
      </c>
      <c r="M93" s="2"/>
      <c r="N93" s="7">
        <f t="shared" si="57"/>
        <v>-0.64488173913043478</v>
      </c>
      <c r="O93" s="11"/>
      <c r="P93" s="6">
        <v>21227.94</v>
      </c>
      <c r="Q93" s="2"/>
      <c r="R93" s="7">
        <f t="shared" si="58"/>
        <v>4.3539124715086412E-2</v>
      </c>
      <c r="S93" s="2"/>
      <c r="T93" s="6">
        <v>75450</v>
      </c>
      <c r="U93" s="2"/>
      <c r="V93" s="7">
        <f t="shared" si="59"/>
        <v>7.931939856026618E-2</v>
      </c>
      <c r="W93" s="2"/>
      <c r="X93" s="6">
        <f t="shared" si="60"/>
        <v>-54222.06</v>
      </c>
      <c r="Y93" s="2"/>
      <c r="Z93" s="7">
        <f t="shared" si="61"/>
        <v>-0.71864890656063618</v>
      </c>
    </row>
    <row r="94" spans="1:26" s="27" customFormat="1" outlineLevel="1" collapsed="1" x14ac:dyDescent="0.25">
      <c r="A94" s="26"/>
      <c r="B94" s="13" t="str">
        <f>CONCATENATE("     ","Telephone/Data Lines                              ")</f>
        <v xml:space="preserve">     Telephone/Data Lines                              </v>
      </c>
      <c r="C94" s="13"/>
      <c r="D94" s="1">
        <f>SUM(OSRRefD22_13x_0)</f>
        <v>196.75</v>
      </c>
      <c r="E94" s="1"/>
      <c r="F94" s="5">
        <f t="shared" ref="F94:F96" si="62">IF(D$12=0,0,D94/D$12)</f>
        <v>5.1968517247736766E-3</v>
      </c>
      <c r="G94" s="1"/>
      <c r="H94" s="1">
        <f>SUM(OSRRefH22_13x_0)</f>
        <v>200</v>
      </c>
      <c r="I94" s="1"/>
      <c r="J94" s="5">
        <f t="shared" ref="J94:J96" si="63">IF(H$12=0,0,H94/H$12)</f>
        <v>4.6246517059183982E-4</v>
      </c>
      <c r="K94" s="1"/>
      <c r="L94" s="1">
        <f t="shared" ref="L94:L96" si="64">+D94-H94</f>
        <v>-3.25</v>
      </c>
      <c r="M94" s="1"/>
      <c r="N94" s="5">
        <f t="shared" ref="N94:N96" si="65">IF(H94=0,0,L94/H94)</f>
        <v>-1.6250000000000001E-2</v>
      </c>
      <c r="O94" s="13"/>
      <c r="P94" s="1">
        <f>SUM(OSRRefP22_13x_0)</f>
        <v>1820.15</v>
      </c>
      <c r="Q94" s="1"/>
      <c r="R94" s="5">
        <f t="shared" ref="R94:R96" si="66">IF(P$12=0,0,P94/P$12)</f>
        <v>3.733180791455249E-3</v>
      </c>
      <c r="S94" s="1"/>
      <c r="T94" s="1">
        <f>SUM(OSRRefT22_13x_0)</f>
        <v>1800</v>
      </c>
      <c r="U94" s="1"/>
      <c r="V94" s="5">
        <f t="shared" ref="V94:V96" si="67">IF(T$12=0,0,T94/T$12)</f>
        <v>1.8923116952747399E-3</v>
      </c>
      <c r="W94" s="1"/>
      <c r="X94" s="1">
        <f t="shared" ref="X94:X96" si="68">+P94-T94</f>
        <v>20.150000000000091</v>
      </c>
      <c r="Y94" s="1"/>
      <c r="Z94" s="5">
        <f t="shared" ref="Z94:Z96" si="69">IF(T94=0,0,X94/T94)</f>
        <v>1.1194444444444495E-2</v>
      </c>
    </row>
    <row r="95" spans="1:26" s="24" customFormat="1" hidden="1" outlineLevel="2" x14ac:dyDescent="0.25">
      <c r="A95" s="25"/>
      <c r="B95" s="11" t="str">
        <f>CONCATENATE("          ", "6303", " - ", "DATA PHONE LINES")</f>
        <v xml:space="preserve">          6303 - DATA PHONE LINES</v>
      </c>
      <c r="C95" s="11"/>
      <c r="D95" s="6"/>
      <c r="E95" s="2"/>
      <c r="F95" s="7">
        <f t="shared" si="62"/>
        <v>0</v>
      </c>
      <c r="G95" s="2"/>
      <c r="H95" s="6">
        <v>200</v>
      </c>
      <c r="I95" s="2"/>
      <c r="J95" s="7">
        <f t="shared" si="63"/>
        <v>4.6246517059183982E-4</v>
      </c>
      <c r="K95" s="2"/>
      <c r="L95" s="6">
        <f t="shared" si="64"/>
        <v>-200</v>
      </c>
      <c r="M95" s="2"/>
      <c r="N95" s="7">
        <f t="shared" si="65"/>
        <v>-1</v>
      </c>
      <c r="O95" s="11"/>
      <c r="P95" s="6"/>
      <c r="Q95" s="2"/>
      <c r="R95" s="7">
        <f t="shared" si="66"/>
        <v>0</v>
      </c>
      <c r="S95" s="2"/>
      <c r="T95" s="6">
        <v>1800</v>
      </c>
      <c r="U95" s="2"/>
      <c r="V95" s="7">
        <f t="shared" si="67"/>
        <v>1.8923116952747399E-3</v>
      </c>
      <c r="W95" s="2"/>
      <c r="X95" s="6">
        <f t="shared" si="68"/>
        <v>-1800</v>
      </c>
      <c r="Y95" s="2"/>
      <c r="Z95" s="7">
        <f t="shared" si="69"/>
        <v>-1</v>
      </c>
    </row>
    <row r="96" spans="1:26" s="24" customFormat="1" hidden="1" outlineLevel="2" x14ac:dyDescent="0.25">
      <c r="A96" s="25"/>
      <c r="B96" s="11" t="str">
        <f>CONCATENATE("          ", "6309", " - ", "TELEPHONE")</f>
        <v xml:space="preserve">          6309 - TELEPHONE</v>
      </c>
      <c r="C96" s="11"/>
      <c r="D96" s="6">
        <v>196.75</v>
      </c>
      <c r="E96" s="2"/>
      <c r="F96" s="7">
        <f t="shared" si="62"/>
        <v>5.1968517247736766E-3</v>
      </c>
      <c r="G96" s="2"/>
      <c r="H96" s="6"/>
      <c r="I96" s="2"/>
      <c r="J96" s="7">
        <f t="shared" si="63"/>
        <v>0</v>
      </c>
      <c r="K96" s="2"/>
      <c r="L96" s="6">
        <f t="shared" si="64"/>
        <v>196.75</v>
      </c>
      <c r="M96" s="2"/>
      <c r="N96" s="7">
        <f t="shared" si="65"/>
        <v>0</v>
      </c>
      <c r="O96" s="11"/>
      <c r="P96" s="6">
        <v>1820.15</v>
      </c>
      <c r="Q96" s="2"/>
      <c r="R96" s="7">
        <f t="shared" si="66"/>
        <v>3.733180791455249E-3</v>
      </c>
      <c r="S96" s="2"/>
      <c r="T96" s="6"/>
      <c r="U96" s="2"/>
      <c r="V96" s="7">
        <f t="shared" si="67"/>
        <v>0</v>
      </c>
      <c r="W96" s="2"/>
      <c r="X96" s="6">
        <f t="shared" si="68"/>
        <v>1820.15</v>
      </c>
      <c r="Y96" s="2"/>
      <c r="Z96" s="7">
        <f t="shared" si="69"/>
        <v>0</v>
      </c>
    </row>
    <row r="97" spans="1:26" s="27" customFormat="1" outlineLevel="1" collapsed="1" x14ac:dyDescent="0.25">
      <c r="A97" s="26"/>
      <c r="B97" s="13" t="str">
        <f>CONCATENATE("     ","Training                                          ")</f>
        <v xml:space="preserve">     Training                                          </v>
      </c>
      <c r="C97" s="13"/>
      <c r="D97" s="1">
        <f>SUM(OSRRefD22_14x_0)</f>
        <v>0</v>
      </c>
      <c r="E97" s="1"/>
      <c r="F97" s="5">
        <f t="shared" ref="F97:F98" si="70">IF(D$12=0,0,D97/D$12)</f>
        <v>0</v>
      </c>
      <c r="G97" s="1"/>
      <c r="H97" s="1">
        <f>SUM(OSRRefH22_14x_0)</f>
        <v>0</v>
      </c>
      <c r="I97" s="1"/>
      <c r="J97" s="5">
        <f t="shared" ref="J97:J98" si="71">IF(H$12=0,0,H97/H$12)</f>
        <v>0</v>
      </c>
      <c r="K97" s="1"/>
      <c r="L97" s="1">
        <f t="shared" ref="L97:L98" si="72">+D97-H97</f>
        <v>0</v>
      </c>
      <c r="M97" s="1"/>
      <c r="N97" s="5">
        <f t="shared" ref="N97:N98" si="73">IF(H97=0,0,L97/H97)</f>
        <v>0</v>
      </c>
      <c r="O97" s="13"/>
      <c r="P97" s="1">
        <f>SUM(OSRRefP22_14x_0)</f>
        <v>97.71</v>
      </c>
      <c r="Q97" s="1"/>
      <c r="R97" s="5">
        <f t="shared" ref="R97:R98" si="74">IF(P$12=0,0,P97/P$12)</f>
        <v>2.0040606276026281E-4</v>
      </c>
      <c r="S97" s="1"/>
      <c r="T97" s="1">
        <f>SUM(OSRRefT22_14x_0)</f>
        <v>0</v>
      </c>
      <c r="U97" s="1"/>
      <c r="V97" s="5">
        <f t="shared" ref="V97:V98" si="75">IF(T$12=0,0,T97/T$12)</f>
        <v>0</v>
      </c>
      <c r="W97" s="1"/>
      <c r="X97" s="1">
        <f t="shared" ref="X97:X98" si="76">+P97-T97</f>
        <v>97.71</v>
      </c>
      <c r="Y97" s="1"/>
      <c r="Z97" s="5">
        <f t="shared" ref="Z97:Z98" si="77">IF(T97=0,0,X97/T97)</f>
        <v>0</v>
      </c>
    </row>
    <row r="98" spans="1:26" s="24" customFormat="1" hidden="1" outlineLevel="2" x14ac:dyDescent="0.25">
      <c r="A98" s="25"/>
      <c r="B98" s="11" t="str">
        <f>CONCATENATE("          ", "6376", " - ", "TRAINING")</f>
        <v xml:space="preserve">          6376 - TRAINING</v>
      </c>
      <c r="C98" s="11"/>
      <c r="D98" s="6"/>
      <c r="E98" s="2"/>
      <c r="F98" s="7">
        <f t="shared" si="70"/>
        <v>0</v>
      </c>
      <c r="G98" s="2"/>
      <c r="H98" s="6"/>
      <c r="I98" s="2"/>
      <c r="J98" s="7">
        <f t="shared" si="71"/>
        <v>0</v>
      </c>
      <c r="K98" s="2"/>
      <c r="L98" s="6">
        <f t="shared" si="72"/>
        <v>0</v>
      </c>
      <c r="M98" s="2"/>
      <c r="N98" s="7">
        <f t="shared" si="73"/>
        <v>0</v>
      </c>
      <c r="O98" s="11"/>
      <c r="P98" s="6">
        <v>97.71</v>
      </c>
      <c r="Q98" s="2"/>
      <c r="R98" s="7">
        <f t="shared" si="74"/>
        <v>2.0040606276026281E-4</v>
      </c>
      <c r="S98" s="2"/>
      <c r="T98" s="6"/>
      <c r="U98" s="2"/>
      <c r="V98" s="7">
        <f t="shared" si="75"/>
        <v>0</v>
      </c>
      <c r="W98" s="2"/>
      <c r="X98" s="6">
        <f t="shared" si="76"/>
        <v>97.71</v>
      </c>
      <c r="Y98" s="2"/>
      <c r="Z98" s="7">
        <f t="shared" si="77"/>
        <v>0</v>
      </c>
    </row>
    <row r="99" spans="1:26" s="56" customFormat="1" x14ac:dyDescent="0.25">
      <c r="A99" s="36"/>
      <c r="B99" s="36"/>
      <c r="C99" s="36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6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3" customFormat="1" collapsed="1" x14ac:dyDescent="0.25">
      <c r="A100" s="10"/>
      <c r="B100" s="29" t="s">
        <v>0</v>
      </c>
      <c r="C100" s="10"/>
      <c r="D100" s="4">
        <f>SUM(OSRRefD25x_0)</f>
        <v>11984.1</v>
      </c>
      <c r="E100" s="4"/>
      <c r="F100" s="12">
        <f t="shared" ref="F100:F107" si="78">IF(D$12=0,0,D100/D$12)</f>
        <v>0.31654175733092865</v>
      </c>
      <c r="G100" s="4"/>
      <c r="H100" s="4">
        <f>SUM(OSRRefH25x_0)</f>
        <v>25750</v>
      </c>
      <c r="I100" s="4"/>
      <c r="J100" s="12">
        <f t="shared" ref="J100:J107" si="79">IF(H$12=0,0,H100/H$12)</f>
        <v>5.9542390713699378E-2</v>
      </c>
      <c r="K100" s="4"/>
      <c r="L100" s="4">
        <f t="shared" ref="L100:L107" si="80">+D100-H100</f>
        <v>-13765.9</v>
      </c>
      <c r="M100" s="4"/>
      <c r="N100" s="12">
        <f t="shared" ref="N100:N107" si="81">IF(H100=0,0,L100/H100)</f>
        <v>-0.53459805825242712</v>
      </c>
      <c r="O100" s="10"/>
      <c r="P100" s="4">
        <f>SUM(OSRRefP25x_0)</f>
        <v>230869.93</v>
      </c>
      <c r="Q100" s="4"/>
      <c r="R100" s="12">
        <f t="shared" ref="R100:R107" si="82">IF(P$12=0,0,P100/P$12)</f>
        <v>0.47352096695361257</v>
      </c>
      <c r="S100" s="4"/>
      <c r="T100" s="4">
        <f>SUM(OSRRefT25x_0)</f>
        <v>233750</v>
      </c>
      <c r="U100" s="4"/>
      <c r="V100" s="12">
        <f t="shared" ref="V100:V107" si="83">IF(T$12=0,0,T100/T$12)</f>
        <v>0.24573769931692804</v>
      </c>
      <c r="W100" s="4"/>
      <c r="X100" s="4">
        <f t="shared" ref="X100:X107" si="84">+P100-T100</f>
        <v>-2880.070000000007</v>
      </c>
      <c r="Y100" s="4"/>
      <c r="Z100" s="12">
        <f t="shared" ref="Z100:Z107" si="85">IF(T100=0,0,X100/T100)</f>
        <v>-1.2321155080213933E-2</v>
      </c>
    </row>
    <row r="101" spans="1:26" s="24" customFormat="1" hidden="1" outlineLevel="1" x14ac:dyDescent="0.25">
      <c r="A101" s="44"/>
      <c r="B101" s="11" t="str">
        <f>CONCATENATE("          ", "4098", " - ", "TAXABLE SALES-GRAD RENTALS")</f>
        <v xml:space="preserve">          4098 - TAXABLE SALES-GRAD RENTALS</v>
      </c>
      <c r="C101" s="11"/>
      <c r="D101" s="2">
        <f>--42</f>
        <v>42</v>
      </c>
      <c r="E101" s="2"/>
      <c r="F101" s="19">
        <f t="shared" si="78"/>
        <v>1.1093660606886627E-3</v>
      </c>
      <c r="G101" s="2"/>
      <c r="H101" s="2"/>
      <c r="I101" s="2"/>
      <c r="J101" s="19">
        <f t="shared" si="79"/>
        <v>0</v>
      </c>
      <c r="K101" s="2"/>
      <c r="L101" s="2">
        <f t="shared" si="80"/>
        <v>42</v>
      </c>
      <c r="M101" s="2"/>
      <c r="N101" s="19">
        <f t="shared" si="81"/>
        <v>0</v>
      </c>
      <c r="O101" s="11"/>
      <c r="P101" s="2">
        <f>--2098.85</f>
        <v>2098.85</v>
      </c>
      <c r="Q101" s="2"/>
      <c r="R101" s="19">
        <f t="shared" si="82"/>
        <v>4.304802628434936E-3</v>
      </c>
      <c r="S101" s="2"/>
      <c r="T101" s="2"/>
      <c r="U101" s="2"/>
      <c r="V101" s="19">
        <f t="shared" si="83"/>
        <v>0</v>
      </c>
      <c r="W101" s="2"/>
      <c r="X101" s="2">
        <f t="shared" si="84"/>
        <v>2098.85</v>
      </c>
      <c r="Y101" s="2"/>
      <c r="Z101" s="19">
        <f t="shared" si="85"/>
        <v>0</v>
      </c>
    </row>
    <row r="102" spans="1:26" s="24" customFormat="1" hidden="1" outlineLevel="1" x14ac:dyDescent="0.25">
      <c r="A102" s="44"/>
      <c r="B102" s="11" t="str">
        <f>CONCATENATE("          ", "4197", " - ", "NON-TAXABLE SALES-RETURNED CHE")</f>
        <v xml:space="preserve">          4197 - NON-TAXABLE SALES-RETURNED CHE</v>
      </c>
      <c r="C102" s="11"/>
      <c r="D102" s="2">
        <f t="shared" ref="D102:D103" si="86">0</f>
        <v>0</v>
      </c>
      <c r="E102" s="2"/>
      <c r="F102" s="19">
        <f t="shared" si="78"/>
        <v>0</v>
      </c>
      <c r="G102" s="2"/>
      <c r="H102" s="2"/>
      <c r="I102" s="2"/>
      <c r="J102" s="19">
        <f t="shared" si="79"/>
        <v>0</v>
      </c>
      <c r="K102" s="2"/>
      <c r="L102" s="2">
        <f t="shared" si="80"/>
        <v>0</v>
      </c>
      <c r="M102" s="2"/>
      <c r="N102" s="19">
        <f t="shared" si="81"/>
        <v>0</v>
      </c>
      <c r="O102" s="11"/>
      <c r="P102" s="2">
        <f>--30</f>
        <v>30</v>
      </c>
      <c r="Q102" s="2"/>
      <c r="R102" s="19">
        <f t="shared" si="82"/>
        <v>6.1530875885865155E-5</v>
      </c>
      <c r="S102" s="2"/>
      <c r="T102" s="2"/>
      <c r="U102" s="2"/>
      <c r="V102" s="19">
        <f t="shared" si="83"/>
        <v>0</v>
      </c>
      <c r="W102" s="2"/>
      <c r="X102" s="2">
        <f t="shared" si="84"/>
        <v>30</v>
      </c>
      <c r="Y102" s="2"/>
      <c r="Z102" s="19">
        <f t="shared" si="85"/>
        <v>0</v>
      </c>
    </row>
    <row r="103" spans="1:26" s="24" customFormat="1" hidden="1" outlineLevel="1" x14ac:dyDescent="0.25">
      <c r="A103" s="44"/>
      <c r="B103" s="11" t="str">
        <f>CONCATENATE("          ", "4198", " - ", "NON-TAXABLE SALES-GRAD RENTALS")</f>
        <v xml:space="preserve">          4198 - NON-TAXABLE SALES-GRAD RENTALS</v>
      </c>
      <c r="C103" s="11"/>
      <c r="D103" s="2">
        <f t="shared" si="86"/>
        <v>0</v>
      </c>
      <c r="E103" s="2"/>
      <c r="F103" s="19">
        <f t="shared" si="78"/>
        <v>0</v>
      </c>
      <c r="G103" s="2"/>
      <c r="H103" s="2"/>
      <c r="I103" s="2"/>
      <c r="J103" s="19">
        <f t="shared" si="79"/>
        <v>0</v>
      </c>
      <c r="K103" s="2"/>
      <c r="L103" s="2">
        <f t="shared" si="80"/>
        <v>0</v>
      </c>
      <c r="M103" s="2"/>
      <c r="N103" s="19">
        <f t="shared" si="81"/>
        <v>0</v>
      </c>
      <c r="O103" s="11"/>
      <c r="P103" s="2">
        <f>--3732.1</f>
        <v>3732.1</v>
      </c>
      <c r="Q103" s="2"/>
      <c r="R103" s="19">
        <f t="shared" si="82"/>
        <v>7.6546460631212454E-3</v>
      </c>
      <c r="S103" s="2"/>
      <c r="T103" s="2"/>
      <c r="U103" s="2"/>
      <c r="V103" s="19">
        <f t="shared" si="83"/>
        <v>0</v>
      </c>
      <c r="W103" s="2"/>
      <c r="X103" s="2">
        <f t="shared" si="84"/>
        <v>3732.1</v>
      </c>
      <c r="Y103" s="2"/>
      <c r="Z103" s="19">
        <f t="shared" si="85"/>
        <v>0</v>
      </c>
    </row>
    <row r="104" spans="1:26" s="24" customFormat="1" hidden="1" outlineLevel="1" x14ac:dyDescent="0.25">
      <c r="A104" s="44"/>
      <c r="B104" s="11" t="str">
        <f>CONCATENATE("          ", "9150", " - ", "MISC. INCOME")</f>
        <v xml:space="preserve">          9150 - MISC. INCOME</v>
      </c>
      <c r="C104" s="11"/>
      <c r="D104" s="2">
        <f>--11942.1</f>
        <v>11942.1</v>
      </c>
      <c r="E104" s="2"/>
      <c r="F104" s="19">
        <f t="shared" si="78"/>
        <v>0.31543239127024003</v>
      </c>
      <c r="G104" s="2"/>
      <c r="H104" s="2"/>
      <c r="I104" s="2"/>
      <c r="J104" s="19">
        <f t="shared" si="79"/>
        <v>0</v>
      </c>
      <c r="K104" s="2"/>
      <c r="L104" s="2">
        <f t="shared" si="80"/>
        <v>11942.1</v>
      </c>
      <c r="M104" s="2"/>
      <c r="N104" s="19">
        <f t="shared" si="81"/>
        <v>0</v>
      </c>
      <c r="O104" s="11"/>
      <c r="P104" s="2">
        <f>--118094.1</f>
        <v>118094.1</v>
      </c>
      <c r="Q104" s="2"/>
      <c r="R104" s="19">
        <f t="shared" si="82"/>
        <v>0.24221444699843164</v>
      </c>
      <c r="S104" s="2"/>
      <c r="T104" s="2">
        <v>12250</v>
      </c>
      <c r="U104" s="2"/>
      <c r="V104" s="19">
        <f t="shared" si="83"/>
        <v>1.2878232370619759E-2</v>
      </c>
      <c r="W104" s="2"/>
      <c r="X104" s="2">
        <f t="shared" si="84"/>
        <v>105844.1</v>
      </c>
      <c r="Y104" s="2"/>
      <c r="Z104" s="19">
        <f t="shared" si="85"/>
        <v>8.640334693877552</v>
      </c>
    </row>
    <row r="105" spans="1:26" s="24" customFormat="1" hidden="1" outlineLevel="1" x14ac:dyDescent="0.25">
      <c r="A105" s="44"/>
      <c r="B105" s="11" t="str">
        <f>CONCATENATE("          ", "9151", " - ", "MISC. INCOME")</f>
        <v xml:space="preserve">          9151 - MISC. INCOME</v>
      </c>
      <c r="C105" s="11"/>
      <c r="D105" s="2">
        <f t="shared" ref="D105:D107" si="87">0</f>
        <v>0</v>
      </c>
      <c r="E105" s="2"/>
      <c r="F105" s="19">
        <f t="shared" si="78"/>
        <v>0</v>
      </c>
      <c r="G105" s="2"/>
      <c r="H105" s="2">
        <v>12250</v>
      </c>
      <c r="I105" s="2"/>
      <c r="J105" s="19">
        <f t="shared" si="79"/>
        <v>2.8325991698750188E-2</v>
      </c>
      <c r="K105" s="2"/>
      <c r="L105" s="2">
        <f t="shared" si="80"/>
        <v>-12250</v>
      </c>
      <c r="M105" s="2"/>
      <c r="N105" s="19">
        <f t="shared" si="81"/>
        <v>-1</v>
      </c>
      <c r="O105" s="11"/>
      <c r="P105" s="2">
        <f>0</f>
        <v>0</v>
      </c>
      <c r="Q105" s="2"/>
      <c r="R105" s="19">
        <f t="shared" si="82"/>
        <v>0</v>
      </c>
      <c r="S105" s="2"/>
      <c r="T105" s="2">
        <v>98000</v>
      </c>
      <c r="U105" s="2"/>
      <c r="V105" s="19">
        <f t="shared" si="83"/>
        <v>0.10302585896495807</v>
      </c>
      <c r="W105" s="2"/>
      <c r="X105" s="2">
        <f t="shared" si="84"/>
        <v>-98000</v>
      </c>
      <c r="Y105" s="2"/>
      <c r="Z105" s="19">
        <f t="shared" si="85"/>
        <v>-1</v>
      </c>
    </row>
    <row r="106" spans="1:26" s="24" customFormat="1" hidden="1" outlineLevel="1" x14ac:dyDescent="0.25">
      <c r="A106" s="44"/>
      <c r="B106" s="11" t="str">
        <f>CONCATENATE("          ", "9160", " - ", "MISC. INCOME")</f>
        <v xml:space="preserve">          9160 - MISC. INCOME</v>
      </c>
      <c r="C106" s="11"/>
      <c r="D106" s="2">
        <f t="shared" si="87"/>
        <v>0</v>
      </c>
      <c r="E106" s="2"/>
      <c r="F106" s="19">
        <f t="shared" si="78"/>
        <v>0</v>
      </c>
      <c r="G106" s="2"/>
      <c r="H106" s="2">
        <v>13500</v>
      </c>
      <c r="I106" s="2"/>
      <c r="J106" s="19">
        <f t="shared" si="79"/>
        <v>3.1216399014949187E-2</v>
      </c>
      <c r="K106" s="2"/>
      <c r="L106" s="2">
        <f t="shared" si="80"/>
        <v>-13500</v>
      </c>
      <c r="M106" s="2"/>
      <c r="N106" s="19">
        <f t="shared" si="81"/>
        <v>-1</v>
      </c>
      <c r="O106" s="11"/>
      <c r="P106" s="2">
        <f>--22475</f>
        <v>22475</v>
      </c>
      <c r="Q106" s="2"/>
      <c r="R106" s="19">
        <f t="shared" si="82"/>
        <v>4.6096881184493982E-2</v>
      </c>
      <c r="S106" s="2"/>
      <c r="T106" s="2">
        <v>123500</v>
      </c>
      <c r="U106" s="2"/>
      <c r="V106" s="19">
        <f t="shared" si="83"/>
        <v>0.12983360798135021</v>
      </c>
      <c r="W106" s="2"/>
      <c r="X106" s="2">
        <f t="shared" si="84"/>
        <v>-101025</v>
      </c>
      <c r="Y106" s="2"/>
      <c r="Z106" s="19">
        <f t="shared" si="85"/>
        <v>-0.8180161943319838</v>
      </c>
    </row>
    <row r="107" spans="1:26" s="24" customFormat="1" hidden="1" outlineLevel="1" x14ac:dyDescent="0.25">
      <c r="A107" s="44"/>
      <c r="B107" s="11" t="str">
        <f>CONCATENATE("          ", "9163", " - ", "MISC. INCOME")</f>
        <v xml:space="preserve">          9163 - MISC. INCOME</v>
      </c>
      <c r="C107" s="11"/>
      <c r="D107" s="2">
        <f t="shared" si="87"/>
        <v>0</v>
      </c>
      <c r="E107" s="2"/>
      <c r="F107" s="19">
        <f t="shared" si="78"/>
        <v>0</v>
      </c>
      <c r="G107" s="2"/>
      <c r="H107" s="2"/>
      <c r="I107" s="2"/>
      <c r="J107" s="19">
        <f t="shared" si="79"/>
        <v>0</v>
      </c>
      <c r="K107" s="2"/>
      <c r="L107" s="2">
        <f t="shared" si="80"/>
        <v>0</v>
      </c>
      <c r="M107" s="2"/>
      <c r="N107" s="19">
        <f t="shared" si="81"/>
        <v>0</v>
      </c>
      <c r="O107" s="11"/>
      <c r="P107" s="2">
        <f>--84439.88</f>
        <v>84439.88</v>
      </c>
      <c r="Q107" s="2"/>
      <c r="R107" s="19">
        <f t="shared" si="82"/>
        <v>0.17318865920324494</v>
      </c>
      <c r="S107" s="2"/>
      <c r="T107" s="2"/>
      <c r="U107" s="2"/>
      <c r="V107" s="19">
        <f t="shared" si="83"/>
        <v>0</v>
      </c>
      <c r="W107" s="2"/>
      <c r="X107" s="2">
        <f t="shared" si="84"/>
        <v>84439.88</v>
      </c>
      <c r="Y107" s="2"/>
      <c r="Z107" s="19">
        <f t="shared" si="85"/>
        <v>0</v>
      </c>
    </row>
    <row r="108" spans="1:26" x14ac:dyDescent="0.25">
      <c r="A108" s="9"/>
      <c r="B108" s="10"/>
      <c r="C108" s="10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O108" s="10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10"/>
      <c r="B109" s="28" t="s">
        <v>3</v>
      </c>
      <c r="C109" s="28"/>
      <c r="D109" s="20">
        <f>+D41-D43+D100</f>
        <v>-7528.4499999999953</v>
      </c>
      <c r="E109" s="14"/>
      <c r="F109" s="22">
        <f>IF(D$12=0,0,D109/D$12)</f>
        <v>-0.1988525457045609</v>
      </c>
      <c r="G109" s="14"/>
      <c r="H109" s="20">
        <f>+H41-H43+H100</f>
        <v>236035.25940933541</v>
      </c>
      <c r="I109" s="14"/>
      <c r="J109" s="22">
        <f>IF(H$12=0,0,H109/H$12)</f>
        <v>0.54579043254213733</v>
      </c>
      <c r="K109" s="16"/>
      <c r="L109" s="20">
        <f>+D109-H109</f>
        <v>-243563.7094093354</v>
      </c>
      <c r="M109" s="16"/>
      <c r="N109" s="22">
        <f>IF(H109=0,0,L109/H109)</f>
        <v>-1.0318954465482806</v>
      </c>
      <c r="O109" s="29"/>
      <c r="P109" s="20">
        <f>+P41-P43+P100</f>
        <v>289225.32999999996</v>
      </c>
      <c r="Q109" s="14"/>
      <c r="R109" s="22">
        <f>IF(P$12=0,0,P109/P$12)</f>
        <v>0.5932095961092797</v>
      </c>
      <c r="S109" s="14"/>
      <c r="T109" s="20">
        <f>+T41-T43+T100</f>
        <v>572257.76237895037</v>
      </c>
      <c r="U109" s="14"/>
      <c r="V109" s="22">
        <f>IF(T$12=0,0,T109/T$12)</f>
        <v>0.60160558692302268</v>
      </c>
      <c r="W109" s="16"/>
      <c r="X109" s="20">
        <f>+P109-T109</f>
        <v>-283032.43237895041</v>
      </c>
      <c r="Y109" s="16"/>
      <c r="Z109" s="22">
        <f>IF(T109=0,0,X109/T109)</f>
        <v>-0.49458906630177907</v>
      </c>
    </row>
    <row r="110" spans="1:26" x14ac:dyDescent="0.25">
      <c r="A110" s="9"/>
      <c r="B110" s="10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x14ac:dyDescent="0.25">
      <c r="A111" s="52"/>
      <c r="B111" s="10" t="s">
        <v>14</v>
      </c>
      <c r="C111" s="10"/>
      <c r="D111" s="4">
        <v>6409.86</v>
      </c>
      <c r="E111" s="4"/>
      <c r="F111" s="12">
        <f>IF(D$12=0,0,D111/D$12)</f>
        <v>0.16930669375632931</v>
      </c>
      <c r="G111" s="4"/>
      <c r="H111" s="4">
        <v>48808</v>
      </c>
      <c r="I111" s="4"/>
      <c r="J111" s="12">
        <f>IF(H$12=0,0,H111/H$12)</f>
        <v>0.11286000023123259</v>
      </c>
      <c r="K111" s="4"/>
      <c r="L111" s="4">
        <f>+D111-H111</f>
        <v>-42398.14</v>
      </c>
      <c r="M111" s="4"/>
      <c r="N111" s="12">
        <f>IF(H111=0,0,L111/H111)</f>
        <v>-0.86867193902638906</v>
      </c>
      <c r="O111" s="10"/>
      <c r="P111" s="4">
        <v>52243.25</v>
      </c>
      <c r="Q111" s="4"/>
      <c r="R111" s="12">
        <f>IF(P$12=0,0,P111/P$12)</f>
        <v>0.10715243105414084</v>
      </c>
      <c r="S111" s="4"/>
      <c r="T111" s="4">
        <v>111188</v>
      </c>
      <c r="U111" s="4"/>
      <c r="V111" s="12">
        <f>IF(T$12=0,0,T111/T$12)</f>
        <v>0.11689019598567099</v>
      </c>
      <c r="W111" s="4"/>
      <c r="X111" s="4">
        <f>+P111-T111</f>
        <v>-58944.75</v>
      </c>
      <c r="Y111" s="4"/>
      <c r="Z111" s="12">
        <f>IF(T111=0,0,X111/T111)</f>
        <v>-0.53013589595999566</v>
      </c>
    </row>
    <row r="112" spans="1:26" x14ac:dyDescent="0.25">
      <c r="A112" s="9"/>
      <c r="B112" s="10"/>
      <c r="C112" s="10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O112" s="10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.75" thickBot="1" x14ac:dyDescent="0.3">
      <c r="A113" s="10"/>
      <c r="B113" s="28" t="s">
        <v>4</v>
      </c>
      <c r="C113" s="28"/>
      <c r="D113" s="31">
        <f>+D109-D111</f>
        <v>-13938.309999999994</v>
      </c>
      <c r="E113" s="14"/>
      <c r="F113" s="34">
        <f>IF(D$12=0,0,D113/D$12)</f>
        <v>-0.36815923946089019</v>
      </c>
      <c r="G113" s="14"/>
      <c r="H113" s="31">
        <f>+H109-H111</f>
        <v>187227.25940933541</v>
      </c>
      <c r="I113" s="14"/>
      <c r="J113" s="34">
        <f>IF(H$12=0,0,H113/H$12)</f>
        <v>0.43293043231090472</v>
      </c>
      <c r="K113" s="16"/>
      <c r="L113" s="31">
        <f>D113-H113</f>
        <v>-201165.56940933541</v>
      </c>
      <c r="M113" s="16"/>
      <c r="N113" s="34">
        <f>IF(H113=0,0,L113/H113)</f>
        <v>-1.0744459436300706</v>
      </c>
      <c r="O113" s="29"/>
      <c r="P113" s="31">
        <f>+P109-P111</f>
        <v>236982.07999999996</v>
      </c>
      <c r="Q113" s="14"/>
      <c r="R113" s="34">
        <f>IF(P$12=0,0,P113/P$12)</f>
        <v>0.48605716505513885</v>
      </c>
      <c r="S113" s="14"/>
      <c r="T113" s="31">
        <f>+T109-T111</f>
        <v>461069.76237895037</v>
      </c>
      <c r="U113" s="14"/>
      <c r="V113" s="34">
        <f>IF(T$12=0,0,T113/T$12)</f>
        <v>0.48471539093735172</v>
      </c>
      <c r="W113" s="16"/>
      <c r="X113" s="31">
        <f>P113-T113</f>
        <v>-224087.68237895041</v>
      </c>
      <c r="Y113" s="16"/>
      <c r="Z113" s="34">
        <f>IF(T113=0,0,X113/T113)</f>
        <v>-0.48601686916691395</v>
      </c>
    </row>
    <row r="114" spans="1:26" ht="15.75" thickTop="1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x14ac:dyDescent="0.25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8" t="s">
        <v>5</v>
      </c>
      <c r="C116" s="28"/>
      <c r="D116" s="32">
        <f>SUM(D113:D115)</f>
        <v>-13938.309999999994</v>
      </c>
      <c r="E116" s="14"/>
      <c r="F116" s="35">
        <f>IF(D$12=0,0,D116/D$12)</f>
        <v>-0.36815923946089019</v>
      </c>
      <c r="G116" s="14"/>
      <c r="H116" s="32">
        <f>SUM(H113:H115)</f>
        <v>187227.25940933541</v>
      </c>
      <c r="I116" s="14"/>
      <c r="J116" s="35">
        <f>IF(H$12=0,0,H116/H$12)</f>
        <v>0.43293043231090472</v>
      </c>
      <c r="K116" s="16"/>
      <c r="L116" s="32">
        <f>+D116-H116</f>
        <v>-201165.56940933541</v>
      </c>
      <c r="M116" s="16"/>
      <c r="N116" s="35">
        <f>IF(H116=0,0,L116/H116)</f>
        <v>-1.0744459436300706</v>
      </c>
      <c r="O116" s="29"/>
      <c r="P116" s="32">
        <f>SUM(P113:P115)</f>
        <v>236982.07999999996</v>
      </c>
      <c r="Q116" s="14"/>
      <c r="R116" s="35">
        <f>IF(P$12=0,0,P116/P$12)</f>
        <v>0.48605716505513885</v>
      </c>
      <c r="S116" s="14"/>
      <c r="T116" s="32">
        <f>SUM(T113:T115)</f>
        <v>461069.76237895037</v>
      </c>
      <c r="U116" s="14"/>
      <c r="V116" s="35">
        <f>IF(T$12=0,0,T116/T$12)</f>
        <v>0.48471539093735172</v>
      </c>
      <c r="W116" s="16"/>
      <c r="X116" s="32">
        <f>+P116-T116</f>
        <v>-224087.68237895041</v>
      </c>
      <c r="Y116" s="16"/>
      <c r="Z116" s="35">
        <f>IF(T116=0,0,X116/T116)</f>
        <v>-0.48601686916691395</v>
      </c>
    </row>
    <row r="117" spans="1:26" ht="15.75" thickTop="1" x14ac:dyDescent="0.25">
      <c r="A117" s="9"/>
      <c r="C117" s="9"/>
      <c r="D117" s="18"/>
      <c r="E117" s="18"/>
      <c r="G117" s="18"/>
      <c r="H117" s="18"/>
      <c r="I117" s="18"/>
      <c r="J117" s="42"/>
      <c r="K117" s="18"/>
      <c r="L117" s="18"/>
      <c r="M117" s="18"/>
      <c r="P117" s="18"/>
      <c r="Q117" s="18"/>
      <c r="R117" s="42"/>
      <c r="S117" s="18"/>
      <c r="T117" s="18"/>
      <c r="U117" s="18"/>
      <c r="V117" s="42"/>
      <c r="W117" s="18"/>
      <c r="X117" s="18"/>
    </row>
    <row r="118" spans="1:26" x14ac:dyDescent="0.25">
      <c r="A118" s="9"/>
      <c r="B118" s="57">
        <v>43934.466005057868</v>
      </c>
      <c r="D118" s="18"/>
      <c r="E118" s="18"/>
      <c r="G118" s="18"/>
      <c r="H118" s="18"/>
      <c r="I118" s="18"/>
      <c r="J118" s="42"/>
      <c r="K118" s="18"/>
      <c r="L118" s="18"/>
      <c r="M118" s="18"/>
      <c r="P118" s="18"/>
      <c r="Q118" s="18"/>
      <c r="R118" s="42"/>
      <c r="S118" s="18"/>
      <c r="T118" s="18"/>
      <c r="U118" s="18"/>
      <c r="V118" s="42"/>
      <c r="W118" s="18"/>
      <c r="X118" s="18"/>
    </row>
    <row r="119" spans="1:26" x14ac:dyDescent="0.25">
      <c r="A119" s="9"/>
      <c r="B119" s="62" t="s">
        <v>314</v>
      </c>
      <c r="D119" s="18"/>
      <c r="E119" s="18"/>
      <c r="G119" s="18"/>
      <c r="H119" s="18"/>
      <c r="I119" s="18"/>
      <c r="J119" s="42"/>
      <c r="K119" s="18"/>
      <c r="L119" s="18"/>
      <c r="M119" s="18"/>
      <c r="P119" s="18"/>
      <c r="Q119" s="18"/>
      <c r="R119" s="42"/>
      <c r="S119" s="18"/>
      <c r="T119" s="18"/>
      <c r="U119" s="18"/>
      <c r="V119" s="42"/>
      <c r="W119" s="18"/>
      <c r="X119" s="18"/>
    </row>
    <row r="120" spans="1:26" x14ac:dyDescent="0.25">
      <c r="A120" s="9"/>
      <c r="B120" s="60"/>
      <c r="D120" s="18"/>
      <c r="E120" s="18"/>
      <c r="G120" s="18"/>
      <c r="H120" s="18"/>
      <c r="I120" s="18"/>
      <c r="J120" s="42"/>
      <c r="K120" s="18"/>
      <c r="L120" s="18"/>
      <c r="M120" s="18"/>
      <c r="P120" s="18"/>
      <c r="Q120" s="18"/>
      <c r="R120" s="42"/>
      <c r="S120" s="18"/>
      <c r="T120" s="18"/>
      <c r="U120" s="18"/>
      <c r="V120" s="42"/>
      <c r="W120" s="18"/>
      <c r="X120" s="18"/>
    </row>
    <row r="121" spans="1:26" x14ac:dyDescent="0.25">
      <c r="D121" s="18"/>
      <c r="E121" s="18"/>
      <c r="G121" s="18"/>
      <c r="H121" s="18"/>
      <c r="I121" s="18"/>
      <c r="J121" s="42"/>
      <c r="K121" s="18"/>
      <c r="L121" s="18"/>
      <c r="M121" s="18"/>
      <c r="P121" s="18"/>
      <c r="Q121" s="18"/>
      <c r="R121" s="42"/>
      <c r="S121" s="18"/>
      <c r="T121" s="18"/>
      <c r="U121" s="18"/>
      <c r="V121" s="42"/>
      <c r="W121" s="18"/>
      <c r="X121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","316", " - ", "Campus Copy Center")</f>
        <v>Department 316 - Campus Copy Center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27001.46</v>
      </c>
      <c r="E12" s="4"/>
      <c r="F12" s="12"/>
      <c r="G12" s="4"/>
      <c r="H12" s="4">
        <f>SUM(OSRRefH13x_0)</f>
        <v>51490</v>
      </c>
      <c r="I12" s="4"/>
      <c r="J12" s="12"/>
      <c r="K12" s="4"/>
      <c r="L12" s="4">
        <f t="shared" ref="L12:L28" si="0">+D12-H12</f>
        <v>-24488.54</v>
      </c>
      <c r="M12" s="4"/>
      <c r="N12" s="12">
        <f t="shared" ref="N12:N28" si="1">IF(H12=0,0,L12/H12)</f>
        <v>-0.47559798019032823</v>
      </c>
      <c r="O12" s="10"/>
      <c r="P12" s="4">
        <f>SUM(OSRRefP13x_0)</f>
        <v>469142.26999999996</v>
      </c>
      <c r="Q12" s="4"/>
      <c r="R12" s="12"/>
      <c r="S12" s="4"/>
      <c r="T12" s="4">
        <f>SUM(OSRRefT13x_0)</f>
        <v>558742.5</v>
      </c>
      <c r="U12" s="4"/>
      <c r="V12" s="12"/>
      <c r="W12" s="4"/>
      <c r="X12" s="4">
        <f t="shared" ref="X12:X28" si="2">+P12-T12</f>
        <v>-89600.23000000004</v>
      </c>
      <c r="Y12" s="4"/>
      <c r="Z12" s="12">
        <f t="shared" ref="Z12:Z28" si="3">IF(T12=0,0,X12/T12)</f>
        <v>-0.16036050595757445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43890</v>
      </c>
      <c r="I13" s="2"/>
      <c r="J13" s="19"/>
      <c r="K13" s="2"/>
      <c r="L13" s="2">
        <f t="shared" si="0"/>
        <v>-43890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487777.5</v>
      </c>
      <c r="U13" s="2"/>
      <c r="V13" s="19"/>
      <c r="W13" s="2"/>
      <c r="X13" s="2">
        <f t="shared" si="2"/>
        <v>-487777.5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--358.56</f>
        <v>358.56</v>
      </c>
      <c r="E14" s="2"/>
      <c r="F14" s="19"/>
      <c r="G14" s="2"/>
      <c r="H14" s="2"/>
      <c r="I14" s="2"/>
      <c r="J14" s="19"/>
      <c r="K14" s="2"/>
      <c r="L14" s="2">
        <f t="shared" si="0"/>
        <v>358.56</v>
      </c>
      <c r="M14" s="2"/>
      <c r="N14" s="19">
        <f t="shared" si="1"/>
        <v>0</v>
      </c>
      <c r="O14" s="11"/>
      <c r="P14" s="2">
        <f>--174182.55</f>
        <v>174182.55</v>
      </c>
      <c r="Q14" s="2"/>
      <c r="R14" s="19"/>
      <c r="S14" s="2"/>
      <c r="T14" s="2"/>
      <c r="U14" s="2"/>
      <c r="V14" s="19"/>
      <c r="W14" s="2"/>
      <c r="X14" s="2">
        <f t="shared" si="2"/>
        <v>174182.55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--12049.94</f>
        <v>12049.94</v>
      </c>
      <c r="E15" s="2"/>
      <c r="F15" s="19"/>
      <c r="G15" s="2"/>
      <c r="H15" s="2"/>
      <c r="I15" s="2"/>
      <c r="J15" s="19"/>
      <c r="K15" s="2"/>
      <c r="L15" s="2">
        <f t="shared" si="0"/>
        <v>12049.94</v>
      </c>
      <c r="M15" s="2"/>
      <c r="N15" s="19">
        <f t="shared" si="1"/>
        <v>0</v>
      </c>
      <c r="O15" s="11"/>
      <c r="P15" s="2">
        <f>--74184.41</f>
        <v>74184.41</v>
      </c>
      <c r="Q15" s="2"/>
      <c r="R15" s="19"/>
      <c r="S15" s="2"/>
      <c r="T15" s="2"/>
      <c r="U15" s="2"/>
      <c r="V15" s="19"/>
      <c r="W15" s="2"/>
      <c r="X15" s="2">
        <f t="shared" si="2"/>
        <v>74184.41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--20.93</f>
        <v>20.93</v>
      </c>
      <c r="E16" s="2"/>
      <c r="F16" s="19"/>
      <c r="G16" s="2"/>
      <c r="H16" s="2"/>
      <c r="I16" s="2"/>
      <c r="J16" s="19"/>
      <c r="K16" s="2"/>
      <c r="L16" s="2">
        <f t="shared" si="0"/>
        <v>20.93</v>
      </c>
      <c r="M16" s="2"/>
      <c r="N16" s="19">
        <f t="shared" si="1"/>
        <v>0</v>
      </c>
      <c r="O16" s="11"/>
      <c r="P16" s="2">
        <f>--270.72</f>
        <v>270.72000000000003</v>
      </c>
      <c r="Q16" s="2"/>
      <c r="R16" s="19"/>
      <c r="S16" s="2"/>
      <c r="T16" s="2"/>
      <c r="U16" s="2"/>
      <c r="V16" s="19"/>
      <c r="W16" s="2"/>
      <c r="X16" s="2">
        <f t="shared" si="2"/>
        <v>270.72000000000003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"4044", " - ", "TAXABLE SALES-ACCESSORIES")</f>
        <v xml:space="preserve">          4044 - TAXABLE SALES-ACCESSORIES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--235.18</f>
        <v>235.18</v>
      </c>
      <c r="Q17" s="2"/>
      <c r="R17" s="19"/>
      <c r="S17" s="2"/>
      <c r="T17" s="2"/>
      <c r="U17" s="2"/>
      <c r="V17" s="19"/>
      <c r="W17" s="2"/>
      <c r="X17" s="2">
        <f t="shared" si="2"/>
        <v>235.18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"4047", " - ", "TAXABLE SALES-MISC")</f>
        <v xml:space="preserve">          4047 - TAXABLE SALES-MISC</v>
      </c>
      <c r="C18" s="11"/>
      <c r="D18" s="2">
        <f>--490.15</f>
        <v>490.15</v>
      </c>
      <c r="E18" s="2"/>
      <c r="F18" s="19"/>
      <c r="G18" s="2"/>
      <c r="H18" s="2"/>
      <c r="I18" s="2"/>
      <c r="J18" s="19"/>
      <c r="K18" s="2"/>
      <c r="L18" s="2">
        <f t="shared" si="0"/>
        <v>490.15</v>
      </c>
      <c r="M18" s="2"/>
      <c r="N18" s="19">
        <f t="shared" si="1"/>
        <v>0</v>
      </c>
      <c r="O18" s="11"/>
      <c r="P18" s="2">
        <f>--2676.14</f>
        <v>2676.14</v>
      </c>
      <c r="Q18" s="2"/>
      <c r="R18" s="19"/>
      <c r="S18" s="2"/>
      <c r="T18" s="2"/>
      <c r="U18" s="2"/>
      <c r="V18" s="19"/>
      <c r="W18" s="2"/>
      <c r="X18" s="2">
        <f t="shared" si="2"/>
        <v>2676.14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19"/>
      <c r="G19" s="2"/>
      <c r="H19" s="2">
        <v>7600</v>
      </c>
      <c r="I19" s="2"/>
      <c r="J19" s="19"/>
      <c r="K19" s="2"/>
      <c r="L19" s="2">
        <f t="shared" si="0"/>
        <v>-7600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70965</v>
      </c>
      <c r="U19" s="2"/>
      <c r="V19" s="19"/>
      <c r="W19" s="2"/>
      <c r="X19" s="2">
        <f t="shared" si="2"/>
        <v>-70965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"4141", " - ", "NON-TAXABLE SALES-LOGO GIFTS")</f>
        <v xml:space="preserve">          4141 - NON-TAXABLE SALES-LOGO GIFTS</v>
      </c>
      <c r="C20" s="11"/>
      <c r="D20" s="2">
        <f>--6.65</f>
        <v>6.65</v>
      </c>
      <c r="E20" s="2"/>
      <c r="F20" s="19"/>
      <c r="G20" s="2"/>
      <c r="H20" s="2"/>
      <c r="I20" s="2"/>
      <c r="J20" s="19"/>
      <c r="K20" s="2"/>
      <c r="L20" s="2">
        <f t="shared" si="0"/>
        <v>6.65</v>
      </c>
      <c r="M20" s="2"/>
      <c r="N20" s="19">
        <f t="shared" si="1"/>
        <v>0</v>
      </c>
      <c r="O20" s="11"/>
      <c r="P20" s="2">
        <f>--864.6</f>
        <v>864.6</v>
      </c>
      <c r="Q20" s="2"/>
      <c r="R20" s="19"/>
      <c r="S20" s="2"/>
      <c r="T20" s="2"/>
      <c r="U20" s="2"/>
      <c r="V20" s="19"/>
      <c r="W20" s="2"/>
      <c r="X20" s="2">
        <f t="shared" si="2"/>
        <v>864.6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"4142", " - ", "NON-TAXABLE SALES-EVERYDAY GIF")</f>
        <v xml:space="preserve">          4142 - NON-TAXABLE SALES-EVERYDAY GIF</v>
      </c>
      <c r="C21" s="11"/>
      <c r="D21" s="2">
        <f>0</f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--8924.02</f>
        <v>8924.02</v>
      </c>
      <c r="Q21" s="2"/>
      <c r="R21" s="19"/>
      <c r="S21" s="2"/>
      <c r="T21" s="2"/>
      <c r="U21" s="2"/>
      <c r="V21" s="19"/>
      <c r="W21" s="2"/>
      <c r="X21" s="2">
        <f t="shared" si="2"/>
        <v>8924.02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"4146", " - ", "NON-TAXABLE SALES-COIN OP MACH")</f>
        <v xml:space="preserve">          4146 - NON-TAXABLE SALES-COIN OP MACH</v>
      </c>
      <c r="C22" s="11"/>
      <c r="D22" s="2">
        <f>--13383.2</f>
        <v>13383.2</v>
      </c>
      <c r="E22" s="2"/>
      <c r="F22" s="19"/>
      <c r="G22" s="2"/>
      <c r="H22" s="2"/>
      <c r="I22" s="2"/>
      <c r="J22" s="19"/>
      <c r="K22" s="2"/>
      <c r="L22" s="2">
        <f t="shared" si="0"/>
        <v>13383.2</v>
      </c>
      <c r="M22" s="2"/>
      <c r="N22" s="19">
        <f t="shared" si="1"/>
        <v>0</v>
      </c>
      <c r="O22" s="11"/>
      <c r="P22" s="2">
        <f>--205786.95</f>
        <v>205786.95</v>
      </c>
      <c r="Q22" s="2"/>
      <c r="R22" s="19"/>
      <c r="S22" s="2"/>
      <c r="T22" s="2"/>
      <c r="U22" s="2"/>
      <c r="V22" s="19"/>
      <c r="W22" s="2"/>
      <c r="X22" s="2">
        <f t="shared" si="2"/>
        <v>205786.95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"4147", " - ", "NON-TAXABLE SALES-MISC")</f>
        <v xml:space="preserve">          4147 - NON-TAXABLE SALES-MISC</v>
      </c>
      <c r="C23" s="11"/>
      <c r="D23" s="2">
        <f>--933.53</f>
        <v>933.53</v>
      </c>
      <c r="E23" s="2"/>
      <c r="F23" s="19"/>
      <c r="G23" s="2"/>
      <c r="H23" s="2"/>
      <c r="I23" s="2"/>
      <c r="J23" s="19"/>
      <c r="K23" s="2"/>
      <c r="L23" s="2">
        <f t="shared" si="0"/>
        <v>933.53</v>
      </c>
      <c r="M23" s="2"/>
      <c r="N23" s="19">
        <f t="shared" si="1"/>
        <v>0</v>
      </c>
      <c r="O23" s="11"/>
      <c r="P23" s="2">
        <f>--3436.37</f>
        <v>3436.37</v>
      </c>
      <c r="Q23" s="2"/>
      <c r="R23" s="19"/>
      <c r="S23" s="2"/>
      <c r="T23" s="2"/>
      <c r="U23" s="2"/>
      <c r="V23" s="19"/>
      <c r="W23" s="2"/>
      <c r="X23" s="2">
        <f t="shared" si="2"/>
        <v>3436.37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"4241", " - ", "SALES RETURN TAXABLE-LOGO GIFT")</f>
        <v xml:space="preserve">          4241 - SALES RETURN TAXABLE-LOGO GIFT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-1059.4</f>
        <v>-1059.4000000000001</v>
      </c>
      <c r="Q24" s="2"/>
      <c r="R24" s="19"/>
      <c r="S24" s="2"/>
      <c r="T24" s="2"/>
      <c r="U24" s="2"/>
      <c r="V24" s="19"/>
      <c r="W24" s="2"/>
      <c r="X24" s="2">
        <f t="shared" si="2"/>
        <v>-1059.4000000000001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"4242", " - ", "SALES RETURN TAXABLE-EVERYDAY")</f>
        <v xml:space="preserve">          4242 - SALES RETURN TAXABLE-EVERYDAY</v>
      </c>
      <c r="C25" s="11"/>
      <c r="D25" s="2">
        <f>-157.5</f>
        <v>-157.5</v>
      </c>
      <c r="E25" s="2"/>
      <c r="F25" s="19"/>
      <c r="G25" s="2"/>
      <c r="H25" s="2"/>
      <c r="I25" s="2"/>
      <c r="J25" s="19"/>
      <c r="K25" s="2"/>
      <c r="L25" s="2">
        <f t="shared" si="0"/>
        <v>-157.5</v>
      </c>
      <c r="M25" s="2"/>
      <c r="N25" s="19">
        <f t="shared" si="1"/>
        <v>0</v>
      </c>
      <c r="O25" s="11"/>
      <c r="P25" s="2">
        <f>-227.7</f>
        <v>-227.7</v>
      </c>
      <c r="Q25" s="2"/>
      <c r="R25" s="19"/>
      <c r="S25" s="2"/>
      <c r="T25" s="2"/>
      <c r="U25" s="2"/>
      <c r="V25" s="19"/>
      <c r="W25" s="2"/>
      <c r="X25" s="2">
        <f t="shared" si="2"/>
        <v>-227.7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"4342", " - ", "SALES RETURN NON TAXABLE-EVERY")</f>
        <v xml:space="preserve">          4342 - SALES RETURN NON TAXABLE-EVERY</v>
      </c>
      <c r="C26" s="11"/>
      <c r="D26" s="2">
        <f t="shared" ref="D26:D27" si="4">0</f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-39.42</f>
        <v>-39.42</v>
      </c>
      <c r="Q26" s="2"/>
      <c r="R26" s="19"/>
      <c r="S26" s="2"/>
      <c r="T26" s="2"/>
      <c r="U26" s="2"/>
      <c r="V26" s="19"/>
      <c r="W26" s="2"/>
      <c r="X26" s="2">
        <f t="shared" si="2"/>
        <v>-39.42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"4346", " - ", "SALES RETURN NON TAXABLE-COIN-")</f>
        <v xml:space="preserve">          4346 - SALES RETURN NON TAXABLE-COIN-</v>
      </c>
      <c r="C27" s="11"/>
      <c r="D27" s="2">
        <f t="shared" si="4"/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-8.15</f>
        <v>-8.15</v>
      </c>
      <c r="Q27" s="2"/>
      <c r="R27" s="19"/>
      <c r="S27" s="2"/>
      <c r="T27" s="2"/>
      <c r="U27" s="2"/>
      <c r="V27" s="19"/>
      <c r="W27" s="2"/>
      <c r="X27" s="2">
        <f t="shared" si="2"/>
        <v>-8.15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"4347", " - ", "SALES RETURN NON TAXABLE-MISC")</f>
        <v xml:space="preserve">          4347 - SALES RETURN NON TAXABLE-MISC</v>
      </c>
      <c r="C28" s="11"/>
      <c r="D28" s="2">
        <f>-84</f>
        <v>-84</v>
      </c>
      <c r="E28" s="2"/>
      <c r="F28" s="19"/>
      <c r="G28" s="2"/>
      <c r="H28" s="2"/>
      <c r="I28" s="2"/>
      <c r="J28" s="19"/>
      <c r="K28" s="2"/>
      <c r="L28" s="2">
        <f t="shared" si="0"/>
        <v>-84</v>
      </c>
      <c r="M28" s="2"/>
      <c r="N28" s="19">
        <f t="shared" si="1"/>
        <v>0</v>
      </c>
      <c r="O28" s="11"/>
      <c r="P28" s="2">
        <f>-84</f>
        <v>-84</v>
      </c>
      <c r="Q28" s="2"/>
      <c r="R28" s="19"/>
      <c r="S28" s="2"/>
      <c r="T28" s="2"/>
      <c r="U28" s="2"/>
      <c r="V28" s="19"/>
      <c r="W28" s="2"/>
      <c r="X28" s="2">
        <f t="shared" si="2"/>
        <v>-84</v>
      </c>
      <c r="Y28" s="2"/>
      <c r="Z28" s="19">
        <f t="shared" si="3"/>
        <v>0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9" t="s">
        <v>8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8" t="s">
        <v>6</v>
      </c>
      <c r="C32" s="28"/>
      <c r="D32" s="20">
        <f>D12-D30</f>
        <v>27001.46</v>
      </c>
      <c r="E32" s="14"/>
      <c r="F32" s="22">
        <f>IF(D$12=0,0,D32/D$12)</f>
        <v>1</v>
      </c>
      <c r="G32" s="14"/>
      <c r="H32" s="20">
        <f>H12-H30</f>
        <v>51490</v>
      </c>
      <c r="I32" s="14"/>
      <c r="J32" s="22">
        <f>IF(H$12=0,0,H32/H$12)</f>
        <v>1</v>
      </c>
      <c r="K32" s="16"/>
      <c r="L32" s="20">
        <f>+D32-H32</f>
        <v>-24488.54</v>
      </c>
      <c r="M32" s="16"/>
      <c r="N32" s="22">
        <f>IF(H32=0,0,L32/H32)</f>
        <v>-0.47559798019032823</v>
      </c>
      <c r="O32" s="29"/>
      <c r="P32" s="20">
        <f>P12-P30</f>
        <v>469142.26999999996</v>
      </c>
      <c r="Q32" s="14"/>
      <c r="R32" s="22">
        <f>IF(P$12=0,0,P32/P$12)</f>
        <v>1</v>
      </c>
      <c r="S32" s="14"/>
      <c r="T32" s="20">
        <f>T12-T30</f>
        <v>558742.5</v>
      </c>
      <c r="U32" s="14"/>
      <c r="V32" s="22">
        <f>IF(T$12=0,0,T32/T$12)</f>
        <v>1</v>
      </c>
      <c r="W32" s="16"/>
      <c r="X32" s="20">
        <f>+P32-T32</f>
        <v>-89600.23000000004</v>
      </c>
      <c r="Y32" s="16"/>
      <c r="Z32" s="22">
        <f>IF(T32=0,0,X32/T32)</f>
        <v>-0.16036050595757445</v>
      </c>
    </row>
    <row r="33" spans="1:26" x14ac:dyDescent="0.25">
      <c r="A33" s="9"/>
      <c r="B33" s="10"/>
      <c r="C33" s="9"/>
      <c r="D33" s="1"/>
      <c r="E33" s="1"/>
      <c r="F33" s="5"/>
      <c r="G33" s="1"/>
      <c r="H33" s="1"/>
      <c r="I33" s="1"/>
      <c r="J33" s="5"/>
      <c r="K33" s="1"/>
      <c r="L33" s="1"/>
      <c r="M33" s="1"/>
      <c r="N33" s="5"/>
      <c r="O33" s="36"/>
      <c r="P33" s="1"/>
      <c r="Q33" s="1"/>
      <c r="R33" s="5"/>
      <c r="S33" s="1"/>
      <c r="T33" s="1"/>
      <c r="U33" s="1"/>
      <c r="V33" s="5"/>
      <c r="W33" s="1"/>
      <c r="X33" s="1"/>
      <c r="Y33" s="1"/>
      <c r="Z33" s="5"/>
    </row>
    <row r="34" spans="1:26" s="23" customFormat="1" x14ac:dyDescent="0.25">
      <c r="A34" s="10"/>
      <c r="B34" s="29" t="s">
        <v>9</v>
      </c>
      <c r="C34" s="10"/>
      <c r="D34" s="21">
        <f>SUM(OSRRefD22x_0)</f>
        <v>49251.07</v>
      </c>
      <c r="E34" s="21"/>
      <c r="F34" s="30">
        <f t="shared" ref="F34:F44" si="5">IF(D$12=0,0,D34/D$12)</f>
        <v>1.8240150717776002</v>
      </c>
      <c r="G34" s="21"/>
      <c r="H34" s="21">
        <f>SUM(OSRRefH22x_0)</f>
        <v>50355.657814549217</v>
      </c>
      <c r="I34" s="21"/>
      <c r="J34" s="30">
        <f t="shared" ref="J34:J44" si="6">IF(H$12=0,0,H34/H$12)</f>
        <v>0.97796966041074418</v>
      </c>
      <c r="K34" s="4"/>
      <c r="L34" s="21">
        <f t="shared" ref="L34:L44" si="7">+D34-H34</f>
        <v>-1104.587814549217</v>
      </c>
      <c r="M34" s="4"/>
      <c r="N34" s="30">
        <f t="shared" ref="N34:N44" si="8">IF(H34=0,0,L34/H34)</f>
        <v>-2.1935724057408092E-2</v>
      </c>
      <c r="O34" s="10"/>
      <c r="P34" s="21">
        <f>SUM(OSRRefP22x_0)</f>
        <v>421544.37999999995</v>
      </c>
      <c r="Q34" s="21"/>
      <c r="R34" s="30">
        <f t="shared" ref="R34:R44" si="9">IF(P$12=0,0,P34/P$12)</f>
        <v>0.89854273843198995</v>
      </c>
      <c r="S34" s="21"/>
      <c r="T34" s="21">
        <f>SUM(OSRRefT22x_0)</f>
        <v>473499.2294999247</v>
      </c>
      <c r="U34" s="21"/>
      <c r="V34" s="30">
        <f t="shared" ref="V34:V44" si="10">IF(T$12=0,0,T34/T$12)</f>
        <v>0.84743728909099392</v>
      </c>
      <c r="W34" s="4"/>
      <c r="X34" s="21">
        <f t="shared" ref="X34:X44" si="11">+P34-T34</f>
        <v>-51954.849499924749</v>
      </c>
      <c r="Y34" s="4"/>
      <c r="Z34" s="30">
        <f t="shared" ref="Z34:Z44" si="12">IF(T34=0,0,X34/T34)</f>
        <v>-0.10972530948951209</v>
      </c>
    </row>
    <row r="35" spans="1:26" s="27" customFormat="1" outlineLevel="1" collapsed="1" x14ac:dyDescent="0.25">
      <c r="A35" s="26"/>
      <c r="B35" s="13" t="str">
        <f>CONCATENATE("     ","*Benefits                                         ")</f>
        <v xml:space="preserve">     *Benefits                                         </v>
      </c>
      <c r="C35" s="13"/>
      <c r="D35" s="1">
        <f>SUM(OSRRefD22_0x_0)</f>
        <v>11185.09</v>
      </c>
      <c r="E35" s="1"/>
      <c r="F35" s="5">
        <f t="shared" si="5"/>
        <v>0.41424019293771525</v>
      </c>
      <c r="G35" s="1"/>
      <c r="H35" s="1">
        <f>SUM(OSRRefH22_0x_0)</f>
        <v>5454.491119537156</v>
      </c>
      <c r="I35" s="1"/>
      <c r="J35" s="5">
        <f t="shared" si="6"/>
        <v>0.1059330184411955</v>
      </c>
      <c r="K35" s="1"/>
      <c r="L35" s="1">
        <f t="shared" si="7"/>
        <v>5730.5988804628441</v>
      </c>
      <c r="M35" s="1"/>
      <c r="N35" s="5">
        <f t="shared" si="8"/>
        <v>1.0506202604192922</v>
      </c>
      <c r="O35" s="13"/>
      <c r="P35" s="1">
        <f>SUM(OSRRefP22_0x_0)</f>
        <v>74437.22</v>
      </c>
      <c r="Q35" s="1"/>
      <c r="R35" s="5">
        <f t="shared" si="9"/>
        <v>0.15866662366620685</v>
      </c>
      <c r="S35" s="1"/>
      <c r="T35" s="1">
        <f>SUM(OSRRefT22_0x_0)</f>
        <v>51524.140647422253</v>
      </c>
      <c r="U35" s="1"/>
      <c r="V35" s="5">
        <f t="shared" si="10"/>
        <v>9.2214464887532724E-2</v>
      </c>
      <c r="W35" s="1"/>
      <c r="X35" s="1">
        <f t="shared" si="11"/>
        <v>22913.079352577748</v>
      </c>
      <c r="Y35" s="1"/>
      <c r="Z35" s="5">
        <f t="shared" si="12"/>
        <v>0.44470570619258037</v>
      </c>
    </row>
    <row r="36" spans="1:26" s="24" customFormat="1" hidden="1" outlineLevel="2" x14ac:dyDescent="0.25">
      <c r="A36" s="25"/>
      <c r="B36" s="11" t="str">
        <f>CONCATENATE("          ", "6111", " - ", "F.I.C.A.")</f>
        <v xml:space="preserve">          6111 - F.I.C.A.</v>
      </c>
      <c r="C36" s="11"/>
      <c r="D36" s="6">
        <v>1399.9</v>
      </c>
      <c r="E36" s="2"/>
      <c r="F36" s="7">
        <f t="shared" si="5"/>
        <v>5.184534465914066E-2</v>
      </c>
      <c r="G36" s="2"/>
      <c r="H36" s="6">
        <v>1040.3454644538499</v>
      </c>
      <c r="I36" s="2"/>
      <c r="J36" s="7">
        <f t="shared" si="6"/>
        <v>2.0204806068243347E-2</v>
      </c>
      <c r="K36" s="2"/>
      <c r="L36" s="6">
        <f t="shared" si="7"/>
        <v>359.55453554615019</v>
      </c>
      <c r="M36" s="2"/>
      <c r="N36" s="7">
        <f t="shared" si="8"/>
        <v>0.34561071089487139</v>
      </c>
      <c r="O36" s="11"/>
      <c r="P36" s="6">
        <v>11636.17</v>
      </c>
      <c r="Q36" s="2"/>
      <c r="R36" s="7">
        <f t="shared" si="9"/>
        <v>2.4803073063529323E-2</v>
      </c>
      <c r="S36" s="2"/>
      <c r="T36" s="6">
        <v>10274.13021930072</v>
      </c>
      <c r="U36" s="2"/>
      <c r="V36" s="7">
        <f t="shared" si="10"/>
        <v>1.8387951908617511E-2</v>
      </c>
      <c r="W36" s="2"/>
      <c r="X36" s="6">
        <f t="shared" si="11"/>
        <v>1362.0397806992805</v>
      </c>
      <c r="Y36" s="2"/>
      <c r="Z36" s="7">
        <f t="shared" si="12"/>
        <v>0.13256983818840326</v>
      </c>
    </row>
    <row r="37" spans="1:26" s="24" customFormat="1" hidden="1" outlineLevel="2" x14ac:dyDescent="0.25">
      <c r="A37" s="25"/>
      <c r="B37" s="11" t="str">
        <f>CONCATENATE("          ", "6112", " - ", "COMPENSATION INSURANCE")</f>
        <v xml:space="preserve">          6112 - COMPENSATION INSURANCE</v>
      </c>
      <c r="C37" s="11"/>
      <c r="D37" s="6">
        <v>208.47</v>
      </c>
      <c r="E37" s="2"/>
      <c r="F37" s="7">
        <f t="shared" si="5"/>
        <v>7.7206936217523057E-3</v>
      </c>
      <c r="G37" s="2"/>
      <c r="H37" s="6">
        <v>201.09516692307699</v>
      </c>
      <c r="I37" s="2"/>
      <c r="J37" s="7">
        <f t="shared" si="6"/>
        <v>3.9055188759579917E-3</v>
      </c>
      <c r="K37" s="2"/>
      <c r="L37" s="6">
        <f t="shared" si="7"/>
        <v>7.3748330769230108</v>
      </c>
      <c r="M37" s="2"/>
      <c r="N37" s="7">
        <f t="shared" si="8"/>
        <v>3.6673348195106224E-2</v>
      </c>
      <c r="O37" s="11"/>
      <c r="P37" s="6">
        <v>1877.86</v>
      </c>
      <c r="Q37" s="2"/>
      <c r="R37" s="7">
        <f t="shared" si="9"/>
        <v>4.0027516599602077E-3</v>
      </c>
      <c r="S37" s="2"/>
      <c r="T37" s="6">
        <v>1960.6778774999998</v>
      </c>
      <c r="U37" s="2"/>
      <c r="V37" s="7">
        <f t="shared" si="10"/>
        <v>3.5090902830910479E-3</v>
      </c>
      <c r="W37" s="2"/>
      <c r="X37" s="6">
        <f t="shared" si="11"/>
        <v>-82.817877499999895</v>
      </c>
      <c r="Y37" s="2"/>
      <c r="Z37" s="7">
        <f t="shared" si="12"/>
        <v>-4.2239410384738177E-2</v>
      </c>
    </row>
    <row r="38" spans="1:26" s="24" customFormat="1" hidden="1" outlineLevel="2" x14ac:dyDescent="0.25">
      <c r="A38" s="25"/>
      <c r="B38" s="11" t="str">
        <f>CONCATENATE("          ", "6113", " - ", "GROUP INSURANCE")</f>
        <v xml:space="preserve">          6113 - GROUP INSURANCE</v>
      </c>
      <c r="C38" s="11"/>
      <c r="D38" s="6">
        <v>3218.03</v>
      </c>
      <c r="E38" s="2"/>
      <c r="F38" s="7">
        <f t="shared" si="5"/>
        <v>0.1191798517561643</v>
      </c>
      <c r="G38" s="2"/>
      <c r="H38" s="6">
        <v>2044</v>
      </c>
      <c r="I38" s="2"/>
      <c r="J38" s="7">
        <f t="shared" si="6"/>
        <v>3.9697028549232863E-2</v>
      </c>
      <c r="K38" s="2"/>
      <c r="L38" s="6">
        <f t="shared" si="7"/>
        <v>1174.0300000000002</v>
      </c>
      <c r="M38" s="2"/>
      <c r="N38" s="7">
        <f t="shared" si="8"/>
        <v>0.57437866927592962</v>
      </c>
      <c r="O38" s="11"/>
      <c r="P38" s="6">
        <v>27037.53</v>
      </c>
      <c r="Q38" s="2"/>
      <c r="R38" s="7">
        <f t="shared" si="9"/>
        <v>5.763183522132849E-2</v>
      </c>
      <c r="S38" s="2"/>
      <c r="T38" s="6">
        <v>18396</v>
      </c>
      <c r="U38" s="2"/>
      <c r="V38" s="7">
        <f t="shared" si="10"/>
        <v>3.2923931864857245E-2</v>
      </c>
      <c r="W38" s="2"/>
      <c r="X38" s="6">
        <f t="shared" si="11"/>
        <v>8641.5299999999988</v>
      </c>
      <c r="Y38" s="2"/>
      <c r="Z38" s="7">
        <f t="shared" si="12"/>
        <v>0.46975048923679052</v>
      </c>
    </row>
    <row r="39" spans="1:26" s="24" customFormat="1" hidden="1" outlineLevel="2" x14ac:dyDescent="0.25">
      <c r="A39" s="25"/>
      <c r="B39" s="11" t="str">
        <f>CONCATENATE("          ", "6114", " - ", "STATE UNEMPLOYMENT INSURANCE")</f>
        <v xml:space="preserve">          6114 - STATE UNEMPLOYMENT INSURANCE</v>
      </c>
      <c r="C39" s="11"/>
      <c r="D39" s="6">
        <v>43.65</v>
      </c>
      <c r="E39" s="2"/>
      <c r="F39" s="7">
        <f t="shared" si="5"/>
        <v>1.6165792516404669E-3</v>
      </c>
      <c r="G39" s="2"/>
      <c r="H39" s="6">
        <v>44.9744962870314</v>
      </c>
      <c r="I39" s="2"/>
      <c r="J39" s="7">
        <f t="shared" si="6"/>
        <v>8.7346079407712952E-4</v>
      </c>
      <c r="K39" s="2"/>
      <c r="L39" s="6">
        <f t="shared" si="7"/>
        <v>-1.3244962870314012</v>
      </c>
      <c r="M39" s="2"/>
      <c r="N39" s="7">
        <f t="shared" si="8"/>
        <v>-2.9449941553060278E-2</v>
      </c>
      <c r="O39" s="11"/>
      <c r="P39" s="6">
        <v>449.44</v>
      </c>
      <c r="Q39" s="2"/>
      <c r="R39" s="7">
        <f t="shared" si="9"/>
        <v>9.5800363501672965E-4</v>
      </c>
      <c r="S39" s="2"/>
      <c r="T39" s="6">
        <v>432.32949409650632</v>
      </c>
      <c r="U39" s="2"/>
      <c r="V39" s="7">
        <f t="shared" si="10"/>
        <v>7.7375444698856149E-4</v>
      </c>
      <c r="W39" s="2"/>
      <c r="X39" s="6">
        <f t="shared" si="11"/>
        <v>17.110505903493674</v>
      </c>
      <c r="Y39" s="2"/>
      <c r="Z39" s="7">
        <f t="shared" si="12"/>
        <v>3.9577466115865316E-2</v>
      </c>
    </row>
    <row r="40" spans="1:26" s="24" customFormat="1" hidden="1" outlineLevel="2" x14ac:dyDescent="0.25">
      <c r="A40" s="25"/>
      <c r="B40" s="11" t="str">
        <f>CONCATENATE("          ", "6115", " - ", "P.E.R.S.")</f>
        <v xml:space="preserve">          6115 - P.E.R.S.</v>
      </c>
      <c r="C40" s="11"/>
      <c r="D40" s="6">
        <v>1128.2</v>
      </c>
      <c r="E40" s="2"/>
      <c r="F40" s="7">
        <f t="shared" si="5"/>
        <v>4.1782925812159789E-2</v>
      </c>
      <c r="G40" s="2"/>
      <c r="H40" s="6">
        <v>910.22022923076906</v>
      </c>
      <c r="I40" s="2"/>
      <c r="J40" s="7">
        <f t="shared" si="6"/>
        <v>1.7677611754336162E-2</v>
      </c>
      <c r="K40" s="2"/>
      <c r="L40" s="6">
        <f t="shared" si="7"/>
        <v>217.97977076923098</v>
      </c>
      <c r="M40" s="2"/>
      <c r="N40" s="7">
        <f t="shared" si="8"/>
        <v>0.23948025298607856</v>
      </c>
      <c r="O40" s="11"/>
      <c r="P40" s="6">
        <v>11918.99</v>
      </c>
      <c r="Q40" s="2"/>
      <c r="R40" s="7">
        <f t="shared" si="9"/>
        <v>2.540591791057327E-2</v>
      </c>
      <c r="S40" s="2"/>
      <c r="T40" s="6">
        <v>8874.6472349999931</v>
      </c>
      <c r="U40" s="2"/>
      <c r="V40" s="7">
        <f t="shared" si="10"/>
        <v>1.5883250755043678E-2</v>
      </c>
      <c r="W40" s="2"/>
      <c r="X40" s="6">
        <f t="shared" si="11"/>
        <v>3044.3427650000067</v>
      </c>
      <c r="Y40" s="2"/>
      <c r="Z40" s="7">
        <f t="shared" si="12"/>
        <v>0.34303817204065001</v>
      </c>
    </row>
    <row r="41" spans="1:26" s="24" customFormat="1" hidden="1" outlineLevel="2" x14ac:dyDescent="0.25">
      <c r="A41" s="25"/>
      <c r="B41" s="11" t="str">
        <f>CONCATENATE("          ", "6116", " - ", "EDUCATIONAL BENEFITS")</f>
        <v xml:space="preserve">          6116 - EDUCATIONAL BENEFITS</v>
      </c>
      <c r="C41" s="11"/>
      <c r="D41" s="6"/>
      <c r="E41" s="2"/>
      <c r="F41" s="7">
        <f t="shared" si="5"/>
        <v>0</v>
      </c>
      <c r="G41" s="2"/>
      <c r="H41" s="6">
        <v>0</v>
      </c>
      <c r="I41" s="2"/>
      <c r="J41" s="7">
        <f t="shared" si="6"/>
        <v>0</v>
      </c>
      <c r="K41" s="2"/>
      <c r="L41" s="6">
        <f t="shared" si="7"/>
        <v>0</v>
      </c>
      <c r="M41" s="2"/>
      <c r="N41" s="7">
        <f t="shared" si="8"/>
        <v>0</v>
      </c>
      <c r="O41" s="11"/>
      <c r="P41" s="6"/>
      <c r="Q41" s="2"/>
      <c r="R41" s="7">
        <f t="shared" si="9"/>
        <v>0</v>
      </c>
      <c r="S41" s="2"/>
      <c r="T41" s="6">
        <v>0</v>
      </c>
      <c r="U41" s="2"/>
      <c r="V41" s="7">
        <f t="shared" si="10"/>
        <v>0</v>
      </c>
      <c r="W41" s="2"/>
      <c r="X41" s="6">
        <f t="shared" si="11"/>
        <v>0</v>
      </c>
      <c r="Y41" s="2"/>
      <c r="Z41" s="7">
        <f t="shared" si="12"/>
        <v>0</v>
      </c>
    </row>
    <row r="42" spans="1:26" s="24" customFormat="1" hidden="1" outlineLevel="2" x14ac:dyDescent="0.25">
      <c r="A42" s="25"/>
      <c r="B42" s="11" t="str">
        <f>CONCATENATE("          ", "6118", " - ", "VACATION")</f>
        <v xml:space="preserve">          6118 - VACATION</v>
      </c>
      <c r="C42" s="11"/>
      <c r="D42" s="6">
        <v>2935</v>
      </c>
      <c r="E42" s="2"/>
      <c r="F42" s="7">
        <f t="shared" si="5"/>
        <v>0.10869782596941055</v>
      </c>
      <c r="G42" s="2"/>
      <c r="H42" s="6">
        <v>529.19780769230795</v>
      </c>
      <c r="I42" s="2"/>
      <c r="J42" s="7">
        <f t="shared" si="6"/>
        <v>1.0277681252521032E-2</v>
      </c>
      <c r="K42" s="2"/>
      <c r="L42" s="6">
        <f t="shared" si="7"/>
        <v>2405.8021923076922</v>
      </c>
      <c r="M42" s="2"/>
      <c r="N42" s="7">
        <f t="shared" si="8"/>
        <v>4.5461303076797712</v>
      </c>
      <c r="O42" s="11"/>
      <c r="P42" s="6">
        <v>11784.33</v>
      </c>
      <c r="Q42" s="2"/>
      <c r="R42" s="7">
        <f t="shared" si="9"/>
        <v>2.5118883446592865E-2</v>
      </c>
      <c r="S42" s="2"/>
      <c r="T42" s="6">
        <v>5159.6786250000032</v>
      </c>
      <c r="U42" s="2"/>
      <c r="V42" s="7">
        <f t="shared" si="10"/>
        <v>9.2344481133975007E-3</v>
      </c>
      <c r="W42" s="2"/>
      <c r="X42" s="6">
        <f t="shared" si="11"/>
        <v>6624.6513749999967</v>
      </c>
      <c r="Y42" s="2"/>
      <c r="Z42" s="7">
        <f t="shared" si="12"/>
        <v>1.2839271312174008</v>
      </c>
    </row>
    <row r="43" spans="1:26" s="24" customFormat="1" hidden="1" outlineLevel="2" x14ac:dyDescent="0.25">
      <c r="A43" s="25"/>
      <c r="B43" s="11" t="str">
        <f>CONCATENATE("          ", "6119", " - ", "SICK LEAVE")</f>
        <v xml:space="preserve">          6119 - SICK LEAVE</v>
      </c>
      <c r="C43" s="11"/>
      <c r="D43" s="6">
        <v>2081.0300000000002</v>
      </c>
      <c r="E43" s="2"/>
      <c r="F43" s="7">
        <f t="shared" si="5"/>
        <v>7.7071017641268294E-2</v>
      </c>
      <c r="G43" s="2"/>
      <c r="H43" s="6">
        <v>384.657954950121</v>
      </c>
      <c r="I43" s="2"/>
      <c r="J43" s="7">
        <f t="shared" si="6"/>
        <v>7.4705370936127601E-3</v>
      </c>
      <c r="K43" s="2"/>
      <c r="L43" s="6">
        <f t="shared" si="7"/>
        <v>1696.3720450498793</v>
      </c>
      <c r="M43" s="2"/>
      <c r="N43" s="7">
        <f t="shared" si="8"/>
        <v>4.4100791969058575</v>
      </c>
      <c r="O43" s="11"/>
      <c r="P43" s="6">
        <v>7290.39</v>
      </c>
      <c r="Q43" s="2"/>
      <c r="R43" s="7">
        <f t="shared" si="9"/>
        <v>1.5539827609223959E-2</v>
      </c>
      <c r="S43" s="2"/>
      <c r="T43" s="6">
        <v>3726.6771965250273</v>
      </c>
      <c r="U43" s="2"/>
      <c r="V43" s="7">
        <f t="shared" si="10"/>
        <v>6.6697578876227012E-3</v>
      </c>
      <c r="W43" s="2"/>
      <c r="X43" s="6">
        <f t="shared" si="11"/>
        <v>3563.712803474973</v>
      </c>
      <c r="Y43" s="2"/>
      <c r="Z43" s="7">
        <f t="shared" si="12"/>
        <v>0.9562708588761023</v>
      </c>
    </row>
    <row r="44" spans="1:26" s="24" customFormat="1" hidden="1" outlineLevel="2" x14ac:dyDescent="0.25">
      <c r="A44" s="25"/>
      <c r="B44" s="11" t="str">
        <f>CONCATENATE("          ", "6156", " - ", "EMPLOYEE MEALS")</f>
        <v xml:space="preserve">          6156 - EMPLOYEE MEALS</v>
      </c>
      <c r="C44" s="11"/>
      <c r="D44" s="6">
        <v>170.81</v>
      </c>
      <c r="E44" s="2"/>
      <c r="F44" s="7">
        <f t="shared" si="5"/>
        <v>6.3259542261788811E-3</v>
      </c>
      <c r="G44" s="2"/>
      <c r="H44" s="6">
        <v>300</v>
      </c>
      <c r="I44" s="2"/>
      <c r="J44" s="7">
        <f t="shared" si="6"/>
        <v>5.8263740532142165E-3</v>
      </c>
      <c r="K44" s="2"/>
      <c r="L44" s="6">
        <f t="shared" si="7"/>
        <v>-129.19</v>
      </c>
      <c r="M44" s="2"/>
      <c r="N44" s="7">
        <f t="shared" si="8"/>
        <v>-0.43063333333333331</v>
      </c>
      <c r="O44" s="11"/>
      <c r="P44" s="6">
        <v>2442.5100000000002</v>
      </c>
      <c r="Q44" s="2"/>
      <c r="R44" s="7">
        <f t="shared" si="9"/>
        <v>5.2063311199820059E-3</v>
      </c>
      <c r="S44" s="2"/>
      <c r="T44" s="6">
        <v>2700</v>
      </c>
      <c r="U44" s="2"/>
      <c r="V44" s="7">
        <f t="shared" si="10"/>
        <v>4.8322796279144688E-3</v>
      </c>
      <c r="W44" s="2"/>
      <c r="X44" s="6">
        <f t="shared" si="11"/>
        <v>-257.48999999999978</v>
      </c>
      <c r="Y44" s="2"/>
      <c r="Z44" s="7">
        <f t="shared" si="12"/>
        <v>-9.5366666666666586E-2</v>
      </c>
    </row>
    <row r="45" spans="1:26" s="27" customFormat="1" outlineLevel="1" collapsed="1" x14ac:dyDescent="0.25">
      <c r="A45" s="26"/>
      <c r="B45" s="13" t="str">
        <f>CONCATENATE("     ","*Payroll                                          ")</f>
        <v xml:space="preserve">     *Payroll                                          </v>
      </c>
      <c r="C45" s="13"/>
      <c r="D45" s="1">
        <f>SUM(OSRRefD22_1x_0)</f>
        <v>12739.510000000002</v>
      </c>
      <c r="E45" s="1"/>
      <c r="F45" s="5">
        <f t="shared" ref="F45:F55" si="13">IF(D$12=0,0,D45/D$12)</f>
        <v>0.47180819111262884</v>
      </c>
      <c r="G45" s="1"/>
      <c r="H45" s="1">
        <f>SUM(OSRRefH22_1x_0)</f>
        <v>16451.16669501206</v>
      </c>
      <c r="I45" s="1"/>
      <c r="J45" s="5">
        <f t="shared" ref="J45:J55" si="14">IF(H$12=0,0,H45/H$12)</f>
        <v>0.31950216925640046</v>
      </c>
      <c r="K45" s="1"/>
      <c r="L45" s="1">
        <f t="shared" ref="L45:L55" si="15">+D45-H45</f>
        <v>-3711.6566950120578</v>
      </c>
      <c r="M45" s="1"/>
      <c r="N45" s="5">
        <f t="shared" ref="N45:N55" si="16">IF(H45=0,0,L45/H45)</f>
        <v>-0.22561662426880763</v>
      </c>
      <c r="O45" s="13"/>
      <c r="P45" s="1">
        <f>SUM(OSRRefP22_1x_0)</f>
        <v>153311.16</v>
      </c>
      <c r="Q45" s="1"/>
      <c r="R45" s="5">
        <f t="shared" ref="R45:R55" si="17">IF(P$12=0,0,P45/P$12)</f>
        <v>0.32679033590386136</v>
      </c>
      <c r="S45" s="1"/>
      <c r="T45" s="1">
        <f>SUM(OSRRefT22_1x_0)</f>
        <v>158025.08885250241</v>
      </c>
      <c r="U45" s="1"/>
      <c r="V45" s="5">
        <f t="shared" ref="V45:V55" si="18">IF(T$12=0,0,T45/T$12)</f>
        <v>0.28282274724493378</v>
      </c>
      <c r="W45" s="1"/>
      <c r="X45" s="1">
        <f t="shared" ref="X45:X55" si="19">+P45-T45</f>
        <v>-4713.9288525024022</v>
      </c>
      <c r="Y45" s="1"/>
      <c r="Z45" s="5">
        <f t="shared" ref="Z45:Z55" si="20">IF(T45=0,0,X45/T45)</f>
        <v>-2.9830255984872715E-2</v>
      </c>
    </row>
    <row r="46" spans="1:26" s="24" customFormat="1" hidden="1" outlineLevel="2" x14ac:dyDescent="0.25">
      <c r="A46" s="25"/>
      <c r="B46" s="11" t="str">
        <f>CONCATENATE("          ", "6001", " - ", "ADMINISTRATIVE SALARIES")</f>
        <v xml:space="preserve">          6001 - ADMINISTRATIVE SALARIES</v>
      </c>
      <c r="C46" s="11"/>
      <c r="D46" s="6"/>
      <c r="E46" s="2"/>
      <c r="F46" s="7">
        <f t="shared" si="13"/>
        <v>0</v>
      </c>
      <c r="G46" s="2"/>
      <c r="H46" s="6">
        <v>5990.5432000000001</v>
      </c>
      <c r="I46" s="2"/>
      <c r="J46" s="7">
        <f t="shared" si="14"/>
        <v>0.11634381821712954</v>
      </c>
      <c r="K46" s="2"/>
      <c r="L46" s="6">
        <f t="shared" si="15"/>
        <v>-5990.5432000000001</v>
      </c>
      <c r="M46" s="2"/>
      <c r="N46" s="7">
        <f t="shared" si="16"/>
        <v>-1</v>
      </c>
      <c r="O46" s="11"/>
      <c r="P46" s="6"/>
      <c r="Q46" s="2"/>
      <c r="R46" s="7">
        <f t="shared" si="17"/>
        <v>0</v>
      </c>
      <c r="S46" s="2"/>
      <c r="T46" s="6">
        <v>58407.796200000004</v>
      </c>
      <c r="U46" s="2"/>
      <c r="V46" s="7">
        <f t="shared" si="18"/>
        <v>0.10453437173653339</v>
      </c>
      <c r="W46" s="2"/>
      <c r="X46" s="6">
        <f t="shared" si="19"/>
        <v>-58407.796200000004</v>
      </c>
      <c r="Y46" s="2"/>
      <c r="Z46" s="7">
        <f t="shared" si="20"/>
        <v>-1</v>
      </c>
    </row>
    <row r="47" spans="1:26" s="24" customFormat="1" hidden="1" outlineLevel="2" x14ac:dyDescent="0.25">
      <c r="A47" s="25"/>
      <c r="B47" s="11" t="str">
        <f>CONCATENATE("          ", "6002", " - ", "STAFF SALARIES")</f>
        <v xml:space="preserve">          6002 - STAFF SALARIES</v>
      </c>
      <c r="C47" s="11"/>
      <c r="D47" s="6">
        <v>8100.64</v>
      </c>
      <c r="E47" s="2"/>
      <c r="F47" s="7">
        <f t="shared" si="13"/>
        <v>0.30000748107694919</v>
      </c>
      <c r="G47" s="2"/>
      <c r="H47" s="6">
        <v>3746.6964615384595</v>
      </c>
      <c r="I47" s="2"/>
      <c r="J47" s="7">
        <f t="shared" si="14"/>
        <v>7.2765516829257318E-2</v>
      </c>
      <c r="K47" s="2"/>
      <c r="L47" s="6">
        <f t="shared" si="15"/>
        <v>4353.9435384615408</v>
      </c>
      <c r="M47" s="2"/>
      <c r="N47" s="7">
        <f t="shared" si="16"/>
        <v>1.1620753330718803</v>
      </c>
      <c r="O47" s="11"/>
      <c r="P47" s="6">
        <v>100881</v>
      </c>
      <c r="Q47" s="2"/>
      <c r="R47" s="7">
        <f t="shared" si="17"/>
        <v>0.21503285133526767</v>
      </c>
      <c r="S47" s="2"/>
      <c r="T47" s="6">
        <v>36530.290500000003</v>
      </c>
      <c r="U47" s="2"/>
      <c r="V47" s="7">
        <f t="shared" si="18"/>
        <v>6.5379473549980541E-2</v>
      </c>
      <c r="W47" s="2"/>
      <c r="X47" s="6">
        <f t="shared" si="19"/>
        <v>64350.709499999997</v>
      </c>
      <c r="Y47" s="2"/>
      <c r="Z47" s="7">
        <f t="shared" si="20"/>
        <v>1.7615712500287943</v>
      </c>
    </row>
    <row r="48" spans="1:26" s="24" customFormat="1" hidden="1" outlineLevel="2" x14ac:dyDescent="0.25">
      <c r="A48" s="25"/>
      <c r="B48" s="11" t="str">
        <f>CONCATENATE("          ", "6003", " - ", "STAFF HOURLY-9 MONTH")</f>
        <v xml:space="preserve">          6003 - STAFF HOURLY-9 MONTH</v>
      </c>
      <c r="C48" s="11"/>
      <c r="D48" s="6"/>
      <c r="E48" s="2"/>
      <c r="F48" s="7">
        <f t="shared" si="13"/>
        <v>0</v>
      </c>
      <c r="G48" s="2"/>
      <c r="H48" s="6">
        <v>0</v>
      </c>
      <c r="I48" s="2"/>
      <c r="J48" s="7">
        <f t="shared" si="14"/>
        <v>0</v>
      </c>
      <c r="K48" s="2"/>
      <c r="L48" s="6">
        <f t="shared" si="15"/>
        <v>0</v>
      </c>
      <c r="M48" s="2"/>
      <c r="N48" s="7">
        <f t="shared" si="16"/>
        <v>0</v>
      </c>
      <c r="O48" s="11"/>
      <c r="P48" s="6"/>
      <c r="Q48" s="2"/>
      <c r="R48" s="7">
        <f t="shared" si="17"/>
        <v>0</v>
      </c>
      <c r="S48" s="2"/>
      <c r="T48" s="6">
        <v>0</v>
      </c>
      <c r="U48" s="2"/>
      <c r="V48" s="7">
        <f t="shared" si="18"/>
        <v>0</v>
      </c>
      <c r="W48" s="2"/>
      <c r="X48" s="6">
        <f t="shared" si="19"/>
        <v>0</v>
      </c>
      <c r="Y48" s="2"/>
      <c r="Z48" s="7">
        <f t="shared" si="20"/>
        <v>0</v>
      </c>
    </row>
    <row r="49" spans="1:26" s="24" customFormat="1" hidden="1" outlineLevel="2" x14ac:dyDescent="0.25">
      <c r="A49" s="25"/>
      <c r="B49" s="11" t="str">
        <f>CONCATENATE("          ", "6004", " - ", "STAFF HOURLY")</f>
        <v xml:space="preserve">          6004 - STAFF HOURLY</v>
      </c>
      <c r="C49" s="11"/>
      <c r="D49" s="6"/>
      <c r="E49" s="2"/>
      <c r="F49" s="7">
        <f t="shared" si="13"/>
        <v>0</v>
      </c>
      <c r="G49" s="2"/>
      <c r="H49" s="6">
        <v>3010</v>
      </c>
      <c r="I49" s="2"/>
      <c r="J49" s="7">
        <f t="shared" si="14"/>
        <v>5.8457953000582638E-2</v>
      </c>
      <c r="K49" s="2"/>
      <c r="L49" s="6">
        <f t="shared" si="15"/>
        <v>-3010</v>
      </c>
      <c r="M49" s="2"/>
      <c r="N49" s="7">
        <f t="shared" si="16"/>
        <v>-1</v>
      </c>
      <c r="O49" s="11"/>
      <c r="P49" s="6"/>
      <c r="Q49" s="2"/>
      <c r="R49" s="7">
        <f t="shared" si="17"/>
        <v>0</v>
      </c>
      <c r="S49" s="2"/>
      <c r="T49" s="6">
        <v>27300</v>
      </c>
      <c r="U49" s="2"/>
      <c r="V49" s="7">
        <f t="shared" si="18"/>
        <v>4.8859716237801852E-2</v>
      </c>
      <c r="W49" s="2"/>
      <c r="X49" s="6">
        <f t="shared" si="19"/>
        <v>-27300</v>
      </c>
      <c r="Y49" s="2"/>
      <c r="Z49" s="7">
        <f t="shared" si="20"/>
        <v>-1</v>
      </c>
    </row>
    <row r="50" spans="1:26" s="24" customFormat="1" hidden="1" outlineLevel="2" x14ac:dyDescent="0.25">
      <c r="A50" s="25"/>
      <c r="B50" s="11" t="str">
        <f>CONCATENATE("          ", "6005", " - ", "TEMPORARY WAGES-HOURLY")</f>
        <v xml:space="preserve">          6005 - TEMPORARY WAGES-HOURLY</v>
      </c>
      <c r="C50" s="11"/>
      <c r="D50" s="6">
        <v>1787.67</v>
      </c>
      <c r="E50" s="2"/>
      <c r="F50" s="7">
        <f t="shared" si="13"/>
        <v>6.6206419949143502E-2</v>
      </c>
      <c r="G50" s="2"/>
      <c r="H50" s="6">
        <v>0</v>
      </c>
      <c r="I50" s="2"/>
      <c r="J50" s="7">
        <f t="shared" si="14"/>
        <v>0</v>
      </c>
      <c r="K50" s="2"/>
      <c r="L50" s="6">
        <f t="shared" si="15"/>
        <v>1787.67</v>
      </c>
      <c r="M50" s="2"/>
      <c r="N50" s="7">
        <f t="shared" si="16"/>
        <v>0</v>
      </c>
      <c r="O50" s="11"/>
      <c r="P50" s="6">
        <v>18111.36</v>
      </c>
      <c r="Q50" s="2"/>
      <c r="R50" s="7">
        <f t="shared" si="17"/>
        <v>3.8605261470044047E-2</v>
      </c>
      <c r="S50" s="2"/>
      <c r="T50" s="6">
        <v>0</v>
      </c>
      <c r="U50" s="2"/>
      <c r="V50" s="7">
        <f t="shared" si="18"/>
        <v>0</v>
      </c>
      <c r="W50" s="2"/>
      <c r="X50" s="6">
        <f t="shared" si="19"/>
        <v>18111.36</v>
      </c>
      <c r="Y50" s="2"/>
      <c r="Z50" s="7">
        <f t="shared" si="20"/>
        <v>0</v>
      </c>
    </row>
    <row r="51" spans="1:26" s="24" customFormat="1" hidden="1" outlineLevel="2" x14ac:dyDescent="0.25">
      <c r="A51" s="25"/>
      <c r="B51" s="11" t="str">
        <f>CONCATENATE("          ", "6006", " - ", "TEMPORARY PART TIME")</f>
        <v xml:space="preserve">          6006 - TEMPORARY PART TIME</v>
      </c>
      <c r="C51" s="11"/>
      <c r="D51" s="6">
        <v>1066.5899999999999</v>
      </c>
      <c r="E51" s="2"/>
      <c r="F51" s="7">
        <f t="shared" si="13"/>
        <v>3.9501197342662213E-2</v>
      </c>
      <c r="G51" s="2"/>
      <c r="H51" s="6">
        <v>0</v>
      </c>
      <c r="I51" s="2"/>
      <c r="J51" s="7">
        <f t="shared" si="14"/>
        <v>0</v>
      </c>
      <c r="K51" s="2"/>
      <c r="L51" s="6">
        <f t="shared" si="15"/>
        <v>1066.5899999999999</v>
      </c>
      <c r="M51" s="2"/>
      <c r="N51" s="7">
        <f t="shared" si="16"/>
        <v>0</v>
      </c>
      <c r="O51" s="11"/>
      <c r="P51" s="6">
        <v>2451.21</v>
      </c>
      <c r="Q51" s="2"/>
      <c r="R51" s="7">
        <f t="shared" si="17"/>
        <v>5.2248756011689171E-3</v>
      </c>
      <c r="S51" s="2"/>
      <c r="T51" s="6">
        <v>0</v>
      </c>
      <c r="U51" s="2"/>
      <c r="V51" s="7">
        <f t="shared" si="18"/>
        <v>0</v>
      </c>
      <c r="W51" s="2"/>
      <c r="X51" s="6">
        <f t="shared" si="19"/>
        <v>2451.21</v>
      </c>
      <c r="Y51" s="2"/>
      <c r="Z51" s="7">
        <f t="shared" si="20"/>
        <v>0</v>
      </c>
    </row>
    <row r="52" spans="1:26" s="24" customFormat="1" hidden="1" outlineLevel="2" x14ac:dyDescent="0.25">
      <c r="A52" s="25"/>
      <c r="B52" s="11" t="str">
        <f>CONCATENATE("          ", "6007", " - ", "STUDENT HOURLY")</f>
        <v xml:space="preserve">          6007 - STUDENT HOURLY</v>
      </c>
      <c r="C52" s="11"/>
      <c r="D52" s="6">
        <v>1784.61</v>
      </c>
      <c r="E52" s="2"/>
      <c r="F52" s="7">
        <f t="shared" si="13"/>
        <v>6.6093092743873844E-2</v>
      </c>
      <c r="G52" s="2"/>
      <c r="H52" s="6">
        <v>0</v>
      </c>
      <c r="I52" s="2"/>
      <c r="J52" s="7">
        <f t="shared" si="14"/>
        <v>0</v>
      </c>
      <c r="K52" s="2"/>
      <c r="L52" s="6">
        <f t="shared" si="15"/>
        <v>1784.61</v>
      </c>
      <c r="M52" s="2"/>
      <c r="N52" s="7">
        <f t="shared" si="16"/>
        <v>0</v>
      </c>
      <c r="O52" s="11"/>
      <c r="P52" s="6">
        <v>31867.59</v>
      </c>
      <c r="Q52" s="2"/>
      <c r="R52" s="7">
        <f t="shared" si="17"/>
        <v>6.7927347497380705E-2</v>
      </c>
      <c r="S52" s="2"/>
      <c r="T52" s="6">
        <v>3756.1363631999998</v>
      </c>
      <c r="U52" s="2"/>
      <c r="V52" s="7">
        <f t="shared" si="18"/>
        <v>6.7224819361333702E-3</v>
      </c>
      <c r="W52" s="2"/>
      <c r="X52" s="6">
        <f t="shared" si="19"/>
        <v>28111.453636800001</v>
      </c>
      <c r="Y52" s="2"/>
      <c r="Z52" s="7">
        <f t="shared" si="20"/>
        <v>7.4841408613958711</v>
      </c>
    </row>
    <row r="53" spans="1:26" s="24" customFormat="1" hidden="1" outlineLevel="2" x14ac:dyDescent="0.25">
      <c r="A53" s="25"/>
      <c r="B53" s="11" t="str">
        <f>CONCATENATE("          ", "6008", " - ", "STUDENT HOURLY-FICA EXEMPT")</f>
        <v xml:space="preserve">          6008 - STUDENT HOURLY-FICA EXEMPT</v>
      </c>
      <c r="C53" s="11"/>
      <c r="D53" s="6"/>
      <c r="E53" s="2"/>
      <c r="F53" s="7">
        <f t="shared" si="13"/>
        <v>0</v>
      </c>
      <c r="G53" s="2"/>
      <c r="H53" s="6">
        <v>3703.9270334735997</v>
      </c>
      <c r="I53" s="2"/>
      <c r="J53" s="7">
        <f t="shared" si="14"/>
        <v>7.1934881209430951E-2</v>
      </c>
      <c r="K53" s="2"/>
      <c r="L53" s="6">
        <f t="shared" si="15"/>
        <v>-3703.9270334735997</v>
      </c>
      <c r="M53" s="2"/>
      <c r="N53" s="7">
        <f t="shared" si="16"/>
        <v>-1</v>
      </c>
      <c r="O53" s="11"/>
      <c r="P53" s="6"/>
      <c r="Q53" s="2"/>
      <c r="R53" s="7">
        <f t="shared" si="17"/>
        <v>0</v>
      </c>
      <c r="S53" s="2"/>
      <c r="T53" s="6">
        <v>32030.865789302399</v>
      </c>
      <c r="U53" s="2"/>
      <c r="V53" s="7">
        <f t="shared" si="18"/>
        <v>5.7326703784484623E-2</v>
      </c>
      <c r="W53" s="2"/>
      <c r="X53" s="6">
        <f t="shared" si="19"/>
        <v>-32030.865789302399</v>
      </c>
      <c r="Y53" s="2"/>
      <c r="Z53" s="7">
        <f t="shared" si="20"/>
        <v>-1</v>
      </c>
    </row>
    <row r="54" spans="1:26" s="24" customFormat="1" hidden="1" outlineLevel="2" x14ac:dyDescent="0.25">
      <c r="A54" s="25"/>
      <c r="B54" s="11" t="str">
        <f>CONCATENATE("          ", "6009", " - ", "TEMPORARY-SEASONAL")</f>
        <v xml:space="preserve">          6009 - TEMPORARY-SEASONAL</v>
      </c>
      <c r="C54" s="11"/>
      <c r="D54" s="6"/>
      <c r="E54" s="2"/>
      <c r="F54" s="7">
        <f t="shared" si="13"/>
        <v>0</v>
      </c>
      <c r="G54" s="2"/>
      <c r="H54" s="6">
        <v>0</v>
      </c>
      <c r="I54" s="2"/>
      <c r="J54" s="7">
        <f t="shared" si="14"/>
        <v>0</v>
      </c>
      <c r="K54" s="2"/>
      <c r="L54" s="6">
        <f t="shared" si="15"/>
        <v>0</v>
      </c>
      <c r="M54" s="2"/>
      <c r="N54" s="7">
        <f t="shared" si="16"/>
        <v>0</v>
      </c>
      <c r="O54" s="11"/>
      <c r="P54" s="6"/>
      <c r="Q54" s="2"/>
      <c r="R54" s="7">
        <f t="shared" si="17"/>
        <v>0</v>
      </c>
      <c r="S54" s="2"/>
      <c r="T54" s="6">
        <v>0</v>
      </c>
      <c r="U54" s="2"/>
      <c r="V54" s="7">
        <f t="shared" si="18"/>
        <v>0</v>
      </c>
      <c r="W54" s="2"/>
      <c r="X54" s="6">
        <f t="shared" si="19"/>
        <v>0</v>
      </c>
      <c r="Y54" s="2"/>
      <c r="Z54" s="7">
        <f t="shared" si="20"/>
        <v>0</v>
      </c>
    </row>
    <row r="55" spans="1:26" s="24" customFormat="1" hidden="1" outlineLevel="2" x14ac:dyDescent="0.25">
      <c r="A55" s="25"/>
      <c r="B55" s="11" t="str">
        <f>CONCATENATE("          ", "6010", " - ", "GRATUITY")</f>
        <v xml:space="preserve">          6010 - GRATUITY</v>
      </c>
      <c r="C55" s="11"/>
      <c r="D55" s="6"/>
      <c r="E55" s="2"/>
      <c r="F55" s="7">
        <f t="shared" si="13"/>
        <v>0</v>
      </c>
      <c r="G55" s="2"/>
      <c r="H55" s="6">
        <v>0</v>
      </c>
      <c r="I55" s="2"/>
      <c r="J55" s="7">
        <f t="shared" si="14"/>
        <v>0</v>
      </c>
      <c r="K55" s="2"/>
      <c r="L55" s="6">
        <f t="shared" si="15"/>
        <v>0</v>
      </c>
      <c r="M55" s="2"/>
      <c r="N55" s="7">
        <f t="shared" si="16"/>
        <v>0</v>
      </c>
      <c r="O55" s="11"/>
      <c r="P55" s="6"/>
      <c r="Q55" s="2"/>
      <c r="R55" s="7">
        <f t="shared" si="17"/>
        <v>0</v>
      </c>
      <c r="S55" s="2"/>
      <c r="T55" s="6">
        <v>0</v>
      </c>
      <c r="U55" s="2"/>
      <c r="V55" s="7">
        <f t="shared" si="18"/>
        <v>0</v>
      </c>
      <c r="W55" s="2"/>
      <c r="X55" s="6">
        <f t="shared" si="19"/>
        <v>0</v>
      </c>
      <c r="Y55" s="2"/>
      <c r="Z55" s="7">
        <f t="shared" si="20"/>
        <v>0</v>
      </c>
    </row>
    <row r="56" spans="1:26" s="27" customFormat="1" outlineLevel="1" collapsed="1" x14ac:dyDescent="0.25">
      <c r="A56" s="26"/>
      <c r="B56" s="13" t="str">
        <f>CONCATENATE("     ","Advertising/Promo                                 ")</f>
        <v xml:space="preserve">     Advertising/Promo                                 </v>
      </c>
      <c r="C56" s="13"/>
      <c r="D56" s="1">
        <f>SUM(OSRRefD22_2x_0)</f>
        <v>0</v>
      </c>
      <c r="E56" s="1"/>
      <c r="F56" s="5">
        <f t="shared" ref="F56:F72" si="21">IF(D$12=0,0,D56/D$12)</f>
        <v>0</v>
      </c>
      <c r="G56" s="1"/>
      <c r="H56" s="1">
        <f>SUM(OSRRefH22_2x_0)</f>
        <v>100</v>
      </c>
      <c r="I56" s="1"/>
      <c r="J56" s="5">
        <f t="shared" ref="J56:J72" si="22">IF(H$12=0,0,H56/H$12)</f>
        <v>1.9421246844047388E-3</v>
      </c>
      <c r="K56" s="1"/>
      <c r="L56" s="1">
        <f t="shared" ref="L56:L72" si="23">+D56-H56</f>
        <v>-100</v>
      </c>
      <c r="M56" s="1"/>
      <c r="N56" s="5">
        <f t="shared" ref="N56:N72" si="24">IF(H56=0,0,L56/H56)</f>
        <v>-1</v>
      </c>
      <c r="O56" s="13"/>
      <c r="P56" s="1">
        <f>SUM(OSRRefP22_2x_0)</f>
        <v>751</v>
      </c>
      <c r="Q56" s="1"/>
      <c r="R56" s="5">
        <f t="shared" ref="R56:R72" si="25">IF(P$12=0,0,P56/P$12)</f>
        <v>1.6007937208471965E-3</v>
      </c>
      <c r="S56" s="1"/>
      <c r="T56" s="1">
        <f>SUM(OSRRefT22_2x_0)</f>
        <v>900</v>
      </c>
      <c r="U56" s="1"/>
      <c r="V56" s="5">
        <f t="shared" ref="V56:V72" si="26">IF(T$12=0,0,T56/T$12)</f>
        <v>1.6107598759714896E-3</v>
      </c>
      <c r="W56" s="1"/>
      <c r="X56" s="1">
        <f t="shared" ref="X56:X72" si="27">+P56-T56</f>
        <v>-149</v>
      </c>
      <c r="Y56" s="1"/>
      <c r="Z56" s="5">
        <f t="shared" ref="Z56:Z72" si="28">IF(T56=0,0,X56/T56)</f>
        <v>-0.16555555555555557</v>
      </c>
    </row>
    <row r="57" spans="1:26" s="24" customFormat="1" hidden="1" outlineLevel="2" x14ac:dyDescent="0.25">
      <c r="A57" s="25"/>
      <c r="B57" s="11" t="str">
        <f>CONCATENATE("          ", "6362", " - ", "ADVERTISING EXPENSE")</f>
        <v xml:space="preserve">          6362 - ADVERTISING EXPENSE</v>
      </c>
      <c r="C57" s="11"/>
      <c r="D57" s="6"/>
      <c r="E57" s="2"/>
      <c r="F57" s="7">
        <f t="shared" si="21"/>
        <v>0</v>
      </c>
      <c r="G57" s="2"/>
      <c r="H57" s="6">
        <v>100</v>
      </c>
      <c r="I57" s="2"/>
      <c r="J57" s="7">
        <f t="shared" si="22"/>
        <v>1.9421246844047388E-3</v>
      </c>
      <c r="K57" s="2"/>
      <c r="L57" s="6">
        <f t="shared" si="23"/>
        <v>-100</v>
      </c>
      <c r="M57" s="2"/>
      <c r="N57" s="7">
        <f t="shared" si="24"/>
        <v>-1</v>
      </c>
      <c r="O57" s="11"/>
      <c r="P57" s="6">
        <v>751</v>
      </c>
      <c r="Q57" s="2"/>
      <c r="R57" s="7">
        <f t="shared" si="25"/>
        <v>1.6007937208471965E-3</v>
      </c>
      <c r="S57" s="2"/>
      <c r="T57" s="6">
        <v>900</v>
      </c>
      <c r="U57" s="2"/>
      <c r="V57" s="7">
        <f t="shared" si="26"/>
        <v>1.6107598759714896E-3</v>
      </c>
      <c r="W57" s="2"/>
      <c r="X57" s="6">
        <f t="shared" si="27"/>
        <v>-149</v>
      </c>
      <c r="Y57" s="2"/>
      <c r="Z57" s="7">
        <f t="shared" si="28"/>
        <v>-0.16555555555555557</v>
      </c>
    </row>
    <row r="58" spans="1:26" s="27" customFormat="1" outlineLevel="1" collapsed="1" x14ac:dyDescent="0.25">
      <c r="A58" s="26"/>
      <c r="B58" s="13" t="str">
        <f>CONCATENATE("     ","Depreciation                                      ")</f>
        <v xml:space="preserve">     Depreciation                                      </v>
      </c>
      <c r="C58" s="13"/>
      <c r="D58" s="1">
        <f>SUM(OSRRefD22_3x_0)</f>
        <v>169.88</v>
      </c>
      <c r="E58" s="1"/>
      <c r="F58" s="5">
        <f t="shared" si="21"/>
        <v>6.2915116441851666E-3</v>
      </c>
      <c r="G58" s="1"/>
      <c r="H58" s="1">
        <f>SUM(OSRRefH22_3x_0)</f>
        <v>0</v>
      </c>
      <c r="I58" s="1"/>
      <c r="J58" s="5">
        <f t="shared" si="22"/>
        <v>0</v>
      </c>
      <c r="K58" s="1"/>
      <c r="L58" s="1">
        <f t="shared" si="23"/>
        <v>169.88</v>
      </c>
      <c r="M58" s="1"/>
      <c r="N58" s="5">
        <f t="shared" si="24"/>
        <v>0</v>
      </c>
      <c r="O58" s="13"/>
      <c r="P58" s="1">
        <f>SUM(OSRRefP22_3x_0)</f>
        <v>679.52</v>
      </c>
      <c r="Q58" s="1"/>
      <c r="R58" s="5">
        <f t="shared" si="25"/>
        <v>1.4484305581758813E-3</v>
      </c>
      <c r="S58" s="1"/>
      <c r="T58" s="1">
        <f>SUM(OSRRefT22_3x_0)</f>
        <v>0</v>
      </c>
      <c r="U58" s="1"/>
      <c r="V58" s="5">
        <f t="shared" si="26"/>
        <v>0</v>
      </c>
      <c r="W58" s="1"/>
      <c r="X58" s="1">
        <f t="shared" si="27"/>
        <v>679.52</v>
      </c>
      <c r="Y58" s="1"/>
      <c r="Z58" s="5">
        <f t="shared" si="28"/>
        <v>0</v>
      </c>
    </row>
    <row r="59" spans="1:26" s="24" customFormat="1" hidden="1" outlineLevel="2" x14ac:dyDescent="0.25">
      <c r="A59" s="25"/>
      <c r="B59" s="11" t="str">
        <f>CONCATENATE("          ", "6322", " - ", "EQUIPMENT DEPRECIATION EXPENSE")</f>
        <v xml:space="preserve">          6322 - EQUIPMENT DEPRECIATION EXPENSE</v>
      </c>
      <c r="C59" s="11"/>
      <c r="D59" s="6">
        <v>169.88</v>
      </c>
      <c r="E59" s="2"/>
      <c r="F59" s="7">
        <f t="shared" si="21"/>
        <v>6.2915116441851666E-3</v>
      </c>
      <c r="G59" s="2"/>
      <c r="H59" s="6">
        <v>0</v>
      </c>
      <c r="I59" s="2"/>
      <c r="J59" s="7">
        <f t="shared" si="22"/>
        <v>0</v>
      </c>
      <c r="K59" s="2"/>
      <c r="L59" s="6">
        <f t="shared" si="23"/>
        <v>169.88</v>
      </c>
      <c r="M59" s="2"/>
      <c r="N59" s="7">
        <f t="shared" si="24"/>
        <v>0</v>
      </c>
      <c r="O59" s="11"/>
      <c r="P59" s="6">
        <v>679.52</v>
      </c>
      <c r="Q59" s="2"/>
      <c r="R59" s="7">
        <f t="shared" si="25"/>
        <v>1.4484305581758813E-3</v>
      </c>
      <c r="S59" s="2"/>
      <c r="T59" s="6">
        <v>0</v>
      </c>
      <c r="U59" s="2"/>
      <c r="V59" s="7">
        <f t="shared" si="26"/>
        <v>0</v>
      </c>
      <c r="W59" s="2"/>
      <c r="X59" s="6">
        <f t="shared" si="27"/>
        <v>679.52</v>
      </c>
      <c r="Y59" s="2"/>
      <c r="Z59" s="7">
        <f t="shared" si="28"/>
        <v>0</v>
      </c>
    </row>
    <row r="60" spans="1:26" s="27" customFormat="1" outlineLevel="1" collapsed="1" x14ac:dyDescent="0.25">
      <c r="A60" s="26"/>
      <c r="B60" s="13" t="str">
        <f>CONCATENATE("     ","Discounts and Markdowns                           ")</f>
        <v xml:space="preserve">     Discounts and Markdowns                           </v>
      </c>
      <c r="C60" s="13"/>
      <c r="D60" s="1">
        <f>SUM(OSRRefD22_4x_0)</f>
        <v>30.85</v>
      </c>
      <c r="E60" s="1"/>
      <c r="F60" s="5">
        <f t="shared" si="21"/>
        <v>1.1425308112968707E-3</v>
      </c>
      <c r="G60" s="1"/>
      <c r="H60" s="1">
        <f>SUM(OSRRefH22_4x_0)</f>
        <v>400</v>
      </c>
      <c r="I60" s="1"/>
      <c r="J60" s="5">
        <f t="shared" si="22"/>
        <v>7.768498737618955E-3</v>
      </c>
      <c r="K60" s="1"/>
      <c r="L60" s="1">
        <f t="shared" si="23"/>
        <v>-369.15</v>
      </c>
      <c r="M60" s="1"/>
      <c r="N60" s="5">
        <f t="shared" si="24"/>
        <v>-0.92287499999999989</v>
      </c>
      <c r="O60" s="13"/>
      <c r="P60" s="1">
        <f>SUM(OSRRefP22_4x_0)</f>
        <v>726.07</v>
      </c>
      <c r="Q60" s="1"/>
      <c r="R60" s="5">
        <f t="shared" si="25"/>
        <v>1.5476541902736671E-3</v>
      </c>
      <c r="S60" s="1"/>
      <c r="T60" s="1">
        <f>SUM(OSRRefT22_4x_0)</f>
        <v>5800</v>
      </c>
      <c r="U60" s="1"/>
      <c r="V60" s="5">
        <f t="shared" si="26"/>
        <v>1.0380452534038489E-2</v>
      </c>
      <c r="W60" s="1"/>
      <c r="X60" s="1">
        <f t="shared" si="27"/>
        <v>-5073.93</v>
      </c>
      <c r="Y60" s="1"/>
      <c r="Z60" s="5">
        <f t="shared" si="28"/>
        <v>-0.8748155172413794</v>
      </c>
    </row>
    <row r="61" spans="1:26" s="24" customFormat="1" hidden="1" outlineLevel="2" x14ac:dyDescent="0.25">
      <c r="A61" s="25"/>
      <c r="B61" s="11" t="str">
        <f>CONCATENATE("          ", "6382", " - ", "DISCOUNTS/MARK DOWNS")</f>
        <v xml:space="preserve">          6382 - DISCOUNTS/MARK DOWNS</v>
      </c>
      <c r="C61" s="11"/>
      <c r="D61" s="6">
        <v>30.85</v>
      </c>
      <c r="E61" s="2"/>
      <c r="F61" s="7">
        <f t="shared" si="21"/>
        <v>1.1425308112968707E-3</v>
      </c>
      <c r="G61" s="2"/>
      <c r="H61" s="6">
        <v>400</v>
      </c>
      <c r="I61" s="2"/>
      <c r="J61" s="7">
        <f t="shared" si="22"/>
        <v>7.768498737618955E-3</v>
      </c>
      <c r="K61" s="2"/>
      <c r="L61" s="6">
        <f t="shared" si="23"/>
        <v>-369.15</v>
      </c>
      <c r="M61" s="2"/>
      <c r="N61" s="7">
        <f t="shared" si="24"/>
        <v>-0.92287499999999989</v>
      </c>
      <c r="O61" s="11"/>
      <c r="P61" s="6">
        <v>726.07</v>
      </c>
      <c r="Q61" s="2"/>
      <c r="R61" s="7">
        <f t="shared" si="25"/>
        <v>1.5476541902736671E-3</v>
      </c>
      <c r="S61" s="2"/>
      <c r="T61" s="6">
        <v>5800</v>
      </c>
      <c r="U61" s="2"/>
      <c r="V61" s="7">
        <f t="shared" si="26"/>
        <v>1.0380452534038489E-2</v>
      </c>
      <c r="W61" s="2"/>
      <c r="X61" s="6">
        <f t="shared" si="27"/>
        <v>-5073.93</v>
      </c>
      <c r="Y61" s="2"/>
      <c r="Z61" s="7">
        <f t="shared" si="28"/>
        <v>-0.8748155172413794</v>
      </c>
    </row>
    <row r="62" spans="1:26" s="27" customFormat="1" outlineLevel="1" collapsed="1" x14ac:dyDescent="0.25">
      <c r="A62" s="26"/>
      <c r="B62" s="13" t="str">
        <f>CONCATENATE("     ","Employees' Appreciation                           ")</f>
        <v xml:space="preserve">     Employees' Appreciation                           </v>
      </c>
      <c r="C62" s="13"/>
      <c r="D62" s="1">
        <f>SUM(OSRRefD22_5x_0)</f>
        <v>0</v>
      </c>
      <c r="E62" s="1"/>
      <c r="F62" s="5">
        <f t="shared" si="21"/>
        <v>0</v>
      </c>
      <c r="G62" s="1"/>
      <c r="H62" s="1">
        <f>SUM(OSRRefH22_5x_0)</f>
        <v>100</v>
      </c>
      <c r="I62" s="1"/>
      <c r="J62" s="5">
        <f t="shared" si="22"/>
        <v>1.9421246844047388E-3</v>
      </c>
      <c r="K62" s="1"/>
      <c r="L62" s="1">
        <f t="shared" si="23"/>
        <v>-100</v>
      </c>
      <c r="M62" s="1"/>
      <c r="N62" s="5">
        <f t="shared" si="24"/>
        <v>-1</v>
      </c>
      <c r="O62" s="13"/>
      <c r="P62" s="1">
        <f>SUM(OSRRefP22_5x_0)</f>
        <v>0</v>
      </c>
      <c r="Q62" s="1"/>
      <c r="R62" s="5">
        <f t="shared" si="25"/>
        <v>0</v>
      </c>
      <c r="S62" s="1"/>
      <c r="T62" s="1">
        <f>SUM(OSRRefT22_5x_0)</f>
        <v>900</v>
      </c>
      <c r="U62" s="1"/>
      <c r="V62" s="5">
        <f t="shared" si="26"/>
        <v>1.6107598759714896E-3</v>
      </c>
      <c r="W62" s="1"/>
      <c r="X62" s="1">
        <f t="shared" si="27"/>
        <v>-900</v>
      </c>
      <c r="Y62" s="1"/>
      <c r="Z62" s="5">
        <f t="shared" si="28"/>
        <v>-1</v>
      </c>
    </row>
    <row r="63" spans="1:26" s="24" customFormat="1" hidden="1" outlineLevel="2" x14ac:dyDescent="0.25">
      <c r="A63" s="25"/>
      <c r="B63" s="11" t="str">
        <f>CONCATENATE("          ", "6277", " - ", "EMPLOYEE APPRECIATION")</f>
        <v xml:space="preserve">          6277 - EMPLOYEE APPRECIATION</v>
      </c>
      <c r="C63" s="11"/>
      <c r="D63" s="6"/>
      <c r="E63" s="2"/>
      <c r="F63" s="7">
        <f t="shared" si="21"/>
        <v>0</v>
      </c>
      <c r="G63" s="2"/>
      <c r="H63" s="6">
        <v>100</v>
      </c>
      <c r="I63" s="2"/>
      <c r="J63" s="7">
        <f t="shared" si="22"/>
        <v>1.9421246844047388E-3</v>
      </c>
      <c r="K63" s="2"/>
      <c r="L63" s="6">
        <f t="shared" si="23"/>
        <v>-100</v>
      </c>
      <c r="M63" s="2"/>
      <c r="N63" s="7">
        <f t="shared" si="24"/>
        <v>-1</v>
      </c>
      <c r="O63" s="11"/>
      <c r="P63" s="6"/>
      <c r="Q63" s="2"/>
      <c r="R63" s="7">
        <f t="shared" si="25"/>
        <v>0</v>
      </c>
      <c r="S63" s="2"/>
      <c r="T63" s="6">
        <v>900</v>
      </c>
      <c r="U63" s="2"/>
      <c r="V63" s="7">
        <f t="shared" si="26"/>
        <v>1.6107598759714896E-3</v>
      </c>
      <c r="W63" s="2"/>
      <c r="X63" s="6">
        <f t="shared" si="27"/>
        <v>-900</v>
      </c>
      <c r="Y63" s="2"/>
      <c r="Z63" s="7">
        <f t="shared" si="28"/>
        <v>-1</v>
      </c>
    </row>
    <row r="64" spans="1:26" s="27" customFormat="1" outlineLevel="1" collapsed="1" x14ac:dyDescent="0.25">
      <c r="A64" s="26"/>
      <c r="B64" s="13" t="str">
        <f>CONCATENATE("     ","Equipment Rental                                  ")</f>
        <v xml:space="preserve">     Equipment Rental                                  </v>
      </c>
      <c r="C64" s="13"/>
      <c r="D64" s="1">
        <f>SUM(OSRRefD22_6x_0)</f>
        <v>1205.6400000000001</v>
      </c>
      <c r="E64" s="1"/>
      <c r="F64" s="5">
        <f t="shared" si="21"/>
        <v>4.4650918876238552E-2</v>
      </c>
      <c r="G64" s="1"/>
      <c r="H64" s="1">
        <f>SUM(OSRRefH22_6x_0)</f>
        <v>3000</v>
      </c>
      <c r="I64" s="1"/>
      <c r="J64" s="5">
        <f t="shared" si="22"/>
        <v>5.8263740532142165E-2</v>
      </c>
      <c r="K64" s="1"/>
      <c r="L64" s="1">
        <f t="shared" si="23"/>
        <v>-1794.36</v>
      </c>
      <c r="M64" s="1"/>
      <c r="N64" s="5">
        <f t="shared" si="24"/>
        <v>-0.59811999999999999</v>
      </c>
      <c r="O64" s="13"/>
      <c r="P64" s="1">
        <f>SUM(OSRRefP22_6x_0)</f>
        <v>13549.08</v>
      </c>
      <c r="Q64" s="1"/>
      <c r="R64" s="5">
        <f t="shared" si="25"/>
        <v>2.8880535535627607E-2</v>
      </c>
      <c r="S64" s="1"/>
      <c r="T64" s="1">
        <f>SUM(OSRRefT22_6x_0)</f>
        <v>27000</v>
      </c>
      <c r="U64" s="1"/>
      <c r="V64" s="5">
        <f t="shared" si="26"/>
        <v>4.8322796279144688E-2</v>
      </c>
      <c r="W64" s="1"/>
      <c r="X64" s="1">
        <f t="shared" si="27"/>
        <v>-13450.92</v>
      </c>
      <c r="Y64" s="1"/>
      <c r="Z64" s="5">
        <f t="shared" si="28"/>
        <v>-0.49818222222222225</v>
      </c>
    </row>
    <row r="65" spans="1:26" s="24" customFormat="1" hidden="1" outlineLevel="2" x14ac:dyDescent="0.25">
      <c r="A65" s="25"/>
      <c r="B65" s="11" t="str">
        <f>CONCATENATE("          ", "6351", " - ", "EQUIPMENT RENTAL")</f>
        <v xml:space="preserve">          6351 - EQUIPMENT RENTAL</v>
      </c>
      <c r="C65" s="11"/>
      <c r="D65" s="6">
        <v>1205.6400000000001</v>
      </c>
      <c r="E65" s="2"/>
      <c r="F65" s="7">
        <f t="shared" si="21"/>
        <v>4.4650918876238552E-2</v>
      </c>
      <c r="G65" s="2"/>
      <c r="H65" s="6">
        <v>3000</v>
      </c>
      <c r="I65" s="2"/>
      <c r="J65" s="7">
        <f t="shared" si="22"/>
        <v>5.8263740532142165E-2</v>
      </c>
      <c r="K65" s="2"/>
      <c r="L65" s="6">
        <f t="shared" si="23"/>
        <v>-1794.36</v>
      </c>
      <c r="M65" s="2"/>
      <c r="N65" s="7">
        <f t="shared" si="24"/>
        <v>-0.59811999999999999</v>
      </c>
      <c r="O65" s="11"/>
      <c r="P65" s="6">
        <v>13549.08</v>
      </c>
      <c r="Q65" s="2"/>
      <c r="R65" s="7">
        <f t="shared" si="25"/>
        <v>2.8880535535627607E-2</v>
      </c>
      <c r="S65" s="2"/>
      <c r="T65" s="6">
        <v>27000</v>
      </c>
      <c r="U65" s="2"/>
      <c r="V65" s="7">
        <f t="shared" si="26"/>
        <v>4.8322796279144688E-2</v>
      </c>
      <c r="W65" s="2"/>
      <c r="X65" s="6">
        <f t="shared" si="27"/>
        <v>-13450.92</v>
      </c>
      <c r="Y65" s="2"/>
      <c r="Z65" s="7">
        <f t="shared" si="28"/>
        <v>-0.49818222222222225</v>
      </c>
    </row>
    <row r="66" spans="1:26" s="27" customFormat="1" outlineLevel="1" collapsed="1" x14ac:dyDescent="0.25">
      <c r="A66" s="26"/>
      <c r="B66" s="13" t="str">
        <f>CONCATENATE("     ","Freight out/Postage                               ")</f>
        <v xml:space="preserve">     Freight out/Postage                               </v>
      </c>
      <c r="C66" s="13"/>
      <c r="D66" s="1">
        <f>SUM(OSRRefD22_7x_0)</f>
        <v>5.89</v>
      </c>
      <c r="E66" s="1"/>
      <c r="F66" s="5">
        <f t="shared" si="21"/>
        <v>2.1813635262685796E-4</v>
      </c>
      <c r="G66" s="1"/>
      <c r="H66" s="1">
        <f>SUM(OSRRefH22_7x_0)</f>
        <v>-300</v>
      </c>
      <c r="I66" s="1"/>
      <c r="J66" s="5">
        <f t="shared" si="22"/>
        <v>-5.8263740532142165E-3</v>
      </c>
      <c r="K66" s="1"/>
      <c r="L66" s="1">
        <f t="shared" si="23"/>
        <v>305.89</v>
      </c>
      <c r="M66" s="1"/>
      <c r="N66" s="5">
        <f t="shared" si="24"/>
        <v>-1.0196333333333334</v>
      </c>
      <c r="O66" s="13"/>
      <c r="P66" s="1">
        <f>SUM(OSRRefP22_7x_0)</f>
        <v>15.02</v>
      </c>
      <c r="Q66" s="1"/>
      <c r="R66" s="5">
        <f t="shared" si="25"/>
        <v>3.2015874416943927E-5</v>
      </c>
      <c r="S66" s="1"/>
      <c r="T66" s="1">
        <f>SUM(OSRRefT22_7x_0)</f>
        <v>-2700</v>
      </c>
      <c r="U66" s="1"/>
      <c r="V66" s="5">
        <f t="shared" si="26"/>
        <v>-4.8322796279144688E-3</v>
      </c>
      <c r="W66" s="1"/>
      <c r="X66" s="1">
        <f t="shared" si="27"/>
        <v>2715.02</v>
      </c>
      <c r="Y66" s="1"/>
      <c r="Z66" s="5">
        <f t="shared" si="28"/>
        <v>-1.005562962962963</v>
      </c>
    </row>
    <row r="67" spans="1:26" s="24" customFormat="1" hidden="1" outlineLevel="2" x14ac:dyDescent="0.25">
      <c r="A67" s="25"/>
      <c r="B67" s="11" t="str">
        <f>CONCATENATE("          ", "6305", " - ", "FREIGHT OUT")</f>
        <v xml:space="preserve">          6305 - FREIGHT OUT</v>
      </c>
      <c r="C67" s="11"/>
      <c r="D67" s="6">
        <v>5.89</v>
      </c>
      <c r="E67" s="2"/>
      <c r="F67" s="7">
        <f t="shared" si="21"/>
        <v>2.1813635262685796E-4</v>
      </c>
      <c r="G67" s="2"/>
      <c r="H67" s="6">
        <v>-300</v>
      </c>
      <c r="I67" s="2"/>
      <c r="J67" s="7">
        <f t="shared" si="22"/>
        <v>-5.8263740532142165E-3</v>
      </c>
      <c r="K67" s="2"/>
      <c r="L67" s="6">
        <f t="shared" si="23"/>
        <v>305.89</v>
      </c>
      <c r="M67" s="2"/>
      <c r="N67" s="7">
        <f t="shared" si="24"/>
        <v>-1.0196333333333334</v>
      </c>
      <c r="O67" s="11"/>
      <c r="P67" s="6">
        <v>15.02</v>
      </c>
      <c r="Q67" s="2"/>
      <c r="R67" s="7">
        <f t="shared" si="25"/>
        <v>3.2015874416943927E-5</v>
      </c>
      <c r="S67" s="2"/>
      <c r="T67" s="6">
        <v>-2700</v>
      </c>
      <c r="U67" s="2"/>
      <c r="V67" s="7">
        <f t="shared" si="26"/>
        <v>-4.8322796279144688E-3</v>
      </c>
      <c r="W67" s="2"/>
      <c r="X67" s="6">
        <f t="shared" si="27"/>
        <v>2715.02</v>
      </c>
      <c r="Y67" s="2"/>
      <c r="Z67" s="7">
        <f t="shared" si="28"/>
        <v>-1.005562962962963</v>
      </c>
    </row>
    <row r="68" spans="1:26" s="27" customFormat="1" outlineLevel="1" collapsed="1" x14ac:dyDescent="0.25">
      <c r="A68" s="26"/>
      <c r="B68" s="13" t="str">
        <f>CONCATENATE("     ","General                                           ")</f>
        <v xml:space="preserve">     General                                           </v>
      </c>
      <c r="C68" s="13"/>
      <c r="D68" s="1">
        <f>SUM(OSRRefD22_8x_0)</f>
        <v>0</v>
      </c>
      <c r="E68" s="1"/>
      <c r="F68" s="5">
        <f t="shared" si="21"/>
        <v>0</v>
      </c>
      <c r="G68" s="1"/>
      <c r="H68" s="1">
        <f>SUM(OSRRefH22_8x_0)</f>
        <v>200</v>
      </c>
      <c r="I68" s="1"/>
      <c r="J68" s="5">
        <f t="shared" si="22"/>
        <v>3.8842493688094775E-3</v>
      </c>
      <c r="K68" s="1"/>
      <c r="L68" s="1">
        <f t="shared" si="23"/>
        <v>-200</v>
      </c>
      <c r="M68" s="1"/>
      <c r="N68" s="5">
        <f t="shared" si="24"/>
        <v>-1</v>
      </c>
      <c r="O68" s="13"/>
      <c r="P68" s="1">
        <f>SUM(OSRRefP22_8x_0)</f>
        <v>75</v>
      </c>
      <c r="Q68" s="1"/>
      <c r="R68" s="5">
        <f t="shared" si="25"/>
        <v>1.5986621712854826E-4</v>
      </c>
      <c r="S68" s="1"/>
      <c r="T68" s="1">
        <f>SUM(OSRRefT22_8x_0)</f>
        <v>1800</v>
      </c>
      <c r="U68" s="1"/>
      <c r="V68" s="5">
        <f t="shared" si="26"/>
        <v>3.2215197519429792E-3</v>
      </c>
      <c r="W68" s="1"/>
      <c r="X68" s="1">
        <f t="shared" si="27"/>
        <v>-1725</v>
      </c>
      <c r="Y68" s="1"/>
      <c r="Z68" s="5">
        <f t="shared" si="28"/>
        <v>-0.95833333333333337</v>
      </c>
    </row>
    <row r="69" spans="1:26" s="24" customFormat="1" hidden="1" outlineLevel="2" x14ac:dyDescent="0.25">
      <c r="A69" s="25"/>
      <c r="B69" s="11" t="str">
        <f>CONCATENATE("          ", "6279", " - ", "GENERAL EXPENSE")</f>
        <v xml:space="preserve">          6279 - GENERAL EXPENSE</v>
      </c>
      <c r="C69" s="11"/>
      <c r="D69" s="6"/>
      <c r="E69" s="2"/>
      <c r="F69" s="7">
        <f t="shared" si="21"/>
        <v>0</v>
      </c>
      <c r="G69" s="2"/>
      <c r="H69" s="6">
        <v>200</v>
      </c>
      <c r="I69" s="2"/>
      <c r="J69" s="7">
        <f t="shared" si="22"/>
        <v>3.8842493688094775E-3</v>
      </c>
      <c r="K69" s="2"/>
      <c r="L69" s="6">
        <f t="shared" si="23"/>
        <v>-200</v>
      </c>
      <c r="M69" s="2"/>
      <c r="N69" s="7">
        <f t="shared" si="24"/>
        <v>-1</v>
      </c>
      <c r="O69" s="11"/>
      <c r="P69" s="6">
        <v>75</v>
      </c>
      <c r="Q69" s="2"/>
      <c r="R69" s="7">
        <f t="shared" si="25"/>
        <v>1.5986621712854826E-4</v>
      </c>
      <c r="S69" s="2"/>
      <c r="T69" s="6">
        <v>1800</v>
      </c>
      <c r="U69" s="2"/>
      <c r="V69" s="7">
        <f t="shared" si="26"/>
        <v>3.2215197519429792E-3</v>
      </c>
      <c r="W69" s="2"/>
      <c r="X69" s="6">
        <f t="shared" si="27"/>
        <v>-1725</v>
      </c>
      <c r="Y69" s="2"/>
      <c r="Z69" s="7">
        <f t="shared" si="28"/>
        <v>-0.95833333333333337</v>
      </c>
    </row>
    <row r="70" spans="1:26" s="27" customFormat="1" outlineLevel="1" collapsed="1" x14ac:dyDescent="0.25">
      <c r="A70" s="26"/>
      <c r="B70" s="13" t="str">
        <f>CONCATENATE("     ","Repair and Maintenance                            ")</f>
        <v xml:space="preserve">     Repair and Maintenance                            </v>
      </c>
      <c r="C70" s="13"/>
      <c r="D70" s="1">
        <f>SUM(OSRRefD22_9x_0)</f>
        <v>10224.290000000001</v>
      </c>
      <c r="E70" s="1"/>
      <c r="F70" s="5">
        <f t="shared" si="21"/>
        <v>0.37865693188442406</v>
      </c>
      <c r="G70" s="1"/>
      <c r="H70" s="1">
        <f>SUM(OSRRefH22_9x_0)</f>
        <v>7000</v>
      </c>
      <c r="I70" s="1"/>
      <c r="J70" s="5">
        <f t="shared" si="22"/>
        <v>0.13594872790833171</v>
      </c>
      <c r="K70" s="1"/>
      <c r="L70" s="1">
        <f t="shared" si="23"/>
        <v>3224.2900000000009</v>
      </c>
      <c r="M70" s="1"/>
      <c r="N70" s="5">
        <f t="shared" si="24"/>
        <v>0.46061285714285727</v>
      </c>
      <c r="O70" s="13"/>
      <c r="P70" s="1">
        <f>SUM(OSRRefP22_9x_0)</f>
        <v>60770.33</v>
      </c>
      <c r="Q70" s="1"/>
      <c r="R70" s="5">
        <f t="shared" si="25"/>
        <v>0.12953497027671373</v>
      </c>
      <c r="S70" s="1"/>
      <c r="T70" s="1">
        <f>SUM(OSRRefT22_9x_0)</f>
        <v>63000</v>
      </c>
      <c r="U70" s="1"/>
      <c r="V70" s="5">
        <f t="shared" si="26"/>
        <v>0.11275319131800426</v>
      </c>
      <c r="W70" s="1"/>
      <c r="X70" s="1">
        <f t="shared" si="27"/>
        <v>-2229.6699999999983</v>
      </c>
      <c r="Y70" s="1"/>
      <c r="Z70" s="5">
        <f t="shared" si="28"/>
        <v>-3.5391587301587271E-2</v>
      </c>
    </row>
    <row r="71" spans="1:26" s="24" customFormat="1" hidden="1" outlineLevel="2" x14ac:dyDescent="0.25">
      <c r="A71" s="25"/>
      <c r="B71" s="11" t="str">
        <f>CONCATENATE("          ", "6373", " - ", "MAINTENANCE CONTRACTS")</f>
        <v xml:space="preserve">          6373 - MAINTENANCE CONTRACTS</v>
      </c>
      <c r="C71" s="11"/>
      <c r="D71" s="6">
        <v>10186.69</v>
      </c>
      <c r="E71" s="2"/>
      <c r="F71" s="7">
        <f t="shared" si="21"/>
        <v>0.37726441459091475</v>
      </c>
      <c r="G71" s="2"/>
      <c r="H71" s="6">
        <v>7000</v>
      </c>
      <c r="I71" s="2"/>
      <c r="J71" s="7">
        <f t="shared" si="22"/>
        <v>0.13594872790833171</v>
      </c>
      <c r="K71" s="2"/>
      <c r="L71" s="6">
        <f t="shared" si="23"/>
        <v>3186.6900000000005</v>
      </c>
      <c r="M71" s="2"/>
      <c r="N71" s="7">
        <f t="shared" si="24"/>
        <v>0.45524142857142863</v>
      </c>
      <c r="O71" s="11"/>
      <c r="P71" s="6">
        <v>59847.270000000004</v>
      </c>
      <c r="Q71" s="2"/>
      <c r="R71" s="7">
        <f t="shared" si="25"/>
        <v>0.12756742213827804</v>
      </c>
      <c r="S71" s="2"/>
      <c r="T71" s="6">
        <v>63000</v>
      </c>
      <c r="U71" s="2"/>
      <c r="V71" s="7">
        <f t="shared" si="26"/>
        <v>0.11275319131800426</v>
      </c>
      <c r="W71" s="2"/>
      <c r="X71" s="6">
        <f t="shared" si="27"/>
        <v>-3152.7299999999959</v>
      </c>
      <c r="Y71" s="2"/>
      <c r="Z71" s="7">
        <f t="shared" si="28"/>
        <v>-5.0043333333333266E-2</v>
      </c>
    </row>
    <row r="72" spans="1:26" s="24" customFormat="1" hidden="1" outlineLevel="2" x14ac:dyDescent="0.25">
      <c r="A72" s="25"/>
      <c r="B72" s="11" t="str">
        <f>CONCATENATE("          ", "6375", " - ", "OUTSIDE REPAIRS &amp; MAINTENANCE")</f>
        <v xml:space="preserve">          6375 - OUTSIDE REPAIRS &amp; MAINTENANCE</v>
      </c>
      <c r="C72" s="11"/>
      <c r="D72" s="6">
        <v>37.6</v>
      </c>
      <c r="E72" s="2"/>
      <c r="F72" s="7">
        <f t="shared" si="21"/>
        <v>1.3925172935093141E-3</v>
      </c>
      <c r="G72" s="2"/>
      <c r="H72" s="6"/>
      <c r="I72" s="2"/>
      <c r="J72" s="7">
        <f t="shared" si="22"/>
        <v>0</v>
      </c>
      <c r="K72" s="2"/>
      <c r="L72" s="6">
        <f t="shared" si="23"/>
        <v>37.6</v>
      </c>
      <c r="M72" s="2"/>
      <c r="N72" s="7">
        <f t="shared" si="24"/>
        <v>0</v>
      </c>
      <c r="O72" s="11"/>
      <c r="P72" s="6">
        <v>923.06</v>
      </c>
      <c r="Q72" s="2"/>
      <c r="R72" s="7">
        <f t="shared" si="25"/>
        <v>1.967548138435703E-3</v>
      </c>
      <c r="S72" s="2"/>
      <c r="T72" s="6"/>
      <c r="U72" s="2"/>
      <c r="V72" s="7">
        <f t="shared" si="26"/>
        <v>0</v>
      </c>
      <c r="W72" s="2"/>
      <c r="X72" s="6">
        <f t="shared" si="27"/>
        <v>923.06</v>
      </c>
      <c r="Y72" s="2"/>
      <c r="Z72" s="7">
        <f t="shared" si="28"/>
        <v>0</v>
      </c>
    </row>
    <row r="73" spans="1:26" s="27" customFormat="1" outlineLevel="1" collapsed="1" x14ac:dyDescent="0.25">
      <c r="A73" s="26"/>
      <c r="B73" s="13" t="str">
        <f>CONCATENATE("     ","Royalty &amp; Commissions                             ")</f>
        <v xml:space="preserve">     Royalty &amp; Commissions                             </v>
      </c>
      <c r="C73" s="13"/>
      <c r="D73" s="1">
        <f>SUM(OSRRefD22_10x_0)</f>
        <v>3863.92</v>
      </c>
      <c r="E73" s="1"/>
      <c r="F73" s="5">
        <f t="shared" ref="F73:F75" si="29">IF(D$12=0,0,D73/D$12)</f>
        <v>0.14310041012597097</v>
      </c>
      <c r="G73" s="1"/>
      <c r="H73" s="1">
        <f>SUM(OSRRefH22_10x_0)</f>
        <v>11000</v>
      </c>
      <c r="I73" s="1"/>
      <c r="J73" s="5">
        <f t="shared" ref="J73:J75" si="30">IF(H$12=0,0,H73/H$12)</f>
        <v>0.21363371528452127</v>
      </c>
      <c r="K73" s="1"/>
      <c r="L73" s="1">
        <f t="shared" ref="L73:L75" si="31">+D73-H73</f>
        <v>-7136.08</v>
      </c>
      <c r="M73" s="1"/>
      <c r="N73" s="5">
        <f t="shared" ref="N73:N75" si="32">IF(H73=0,0,L73/H73)</f>
        <v>-0.64873454545454545</v>
      </c>
      <c r="O73" s="13"/>
      <c r="P73" s="1">
        <f>SUM(OSRRefP22_10x_0)</f>
        <v>76825.799999999988</v>
      </c>
      <c r="Q73" s="1"/>
      <c r="R73" s="5">
        <f t="shared" ref="R73:R75" si="33">IF(P$12=0,0,P73/P$12)</f>
        <v>0.1637580003183256</v>
      </c>
      <c r="S73" s="1"/>
      <c r="T73" s="1">
        <f>SUM(OSRRefT22_10x_0)</f>
        <v>99000</v>
      </c>
      <c r="U73" s="1"/>
      <c r="V73" s="5">
        <f t="shared" ref="V73:V75" si="34">IF(T$12=0,0,T73/T$12)</f>
        <v>0.17718358635686385</v>
      </c>
      <c r="W73" s="1"/>
      <c r="X73" s="1">
        <f t="shared" ref="X73:X75" si="35">+P73-T73</f>
        <v>-22174.200000000012</v>
      </c>
      <c r="Y73" s="1"/>
      <c r="Z73" s="5">
        <f t="shared" ref="Z73:Z75" si="36">IF(T73=0,0,X73/T73)</f>
        <v>-0.22398181818181831</v>
      </c>
    </row>
    <row r="74" spans="1:26" s="24" customFormat="1" hidden="1" outlineLevel="2" x14ac:dyDescent="0.25">
      <c r="A74" s="25"/>
      <c r="B74" s="11" t="str">
        <f>CONCATENATE("          ", "6254", " - ", "ROYALTY &amp; COMMISSIONS")</f>
        <v xml:space="preserve">          6254 - ROYALTY &amp; COMMISSIONS</v>
      </c>
      <c r="C74" s="11"/>
      <c r="D74" s="6"/>
      <c r="E74" s="2"/>
      <c r="F74" s="7">
        <f t="shared" si="29"/>
        <v>0</v>
      </c>
      <c r="G74" s="2"/>
      <c r="H74" s="6">
        <v>11000</v>
      </c>
      <c r="I74" s="2"/>
      <c r="J74" s="7">
        <f t="shared" si="30"/>
        <v>0.21363371528452127</v>
      </c>
      <c r="K74" s="2"/>
      <c r="L74" s="6">
        <f t="shared" si="31"/>
        <v>-11000</v>
      </c>
      <c r="M74" s="2"/>
      <c r="N74" s="7">
        <f t="shared" si="32"/>
        <v>-1</v>
      </c>
      <c r="O74" s="11"/>
      <c r="P74" s="6"/>
      <c r="Q74" s="2"/>
      <c r="R74" s="7">
        <f t="shared" si="33"/>
        <v>0</v>
      </c>
      <c r="S74" s="2"/>
      <c r="T74" s="6">
        <v>99000</v>
      </c>
      <c r="U74" s="2"/>
      <c r="V74" s="7">
        <f t="shared" si="34"/>
        <v>0.17718358635686385</v>
      </c>
      <c r="W74" s="2"/>
      <c r="X74" s="6">
        <f t="shared" si="35"/>
        <v>-99000</v>
      </c>
      <c r="Y74" s="2"/>
      <c r="Z74" s="7">
        <f t="shared" si="36"/>
        <v>-1</v>
      </c>
    </row>
    <row r="75" spans="1:26" s="24" customFormat="1" hidden="1" outlineLevel="2" x14ac:dyDescent="0.25">
      <c r="A75" s="25"/>
      <c r="B75" s="11" t="str">
        <f>CONCATENATE("          ", "6259", " - ", "ROYALTY &amp; COMMISSIONS")</f>
        <v xml:space="preserve">          6259 - ROYALTY &amp; COMMISSIONS</v>
      </c>
      <c r="C75" s="11"/>
      <c r="D75" s="6">
        <v>3863.92</v>
      </c>
      <c r="E75" s="2"/>
      <c r="F75" s="7">
        <f t="shared" si="29"/>
        <v>0.14310041012597097</v>
      </c>
      <c r="G75" s="2"/>
      <c r="H75" s="6"/>
      <c r="I75" s="2"/>
      <c r="J75" s="7">
        <f t="shared" si="30"/>
        <v>0</v>
      </c>
      <c r="K75" s="2"/>
      <c r="L75" s="6">
        <f t="shared" si="31"/>
        <v>3863.92</v>
      </c>
      <c r="M75" s="2"/>
      <c r="N75" s="7">
        <f t="shared" si="32"/>
        <v>0</v>
      </c>
      <c r="O75" s="11"/>
      <c r="P75" s="6">
        <v>76825.799999999988</v>
      </c>
      <c r="Q75" s="2"/>
      <c r="R75" s="7">
        <f t="shared" si="33"/>
        <v>0.1637580003183256</v>
      </c>
      <c r="S75" s="2"/>
      <c r="T75" s="6"/>
      <c r="U75" s="2"/>
      <c r="V75" s="7">
        <f t="shared" si="34"/>
        <v>0</v>
      </c>
      <c r="W75" s="2"/>
      <c r="X75" s="6">
        <f t="shared" si="35"/>
        <v>76825.799999999988</v>
      </c>
      <c r="Y75" s="2"/>
      <c r="Z75" s="7">
        <f t="shared" si="36"/>
        <v>0</v>
      </c>
    </row>
    <row r="76" spans="1:26" s="27" customFormat="1" outlineLevel="1" collapsed="1" x14ac:dyDescent="0.25">
      <c r="A76" s="26"/>
      <c r="B76" s="13" t="str">
        <f>CONCATENATE("     ","Supplies                                          ")</f>
        <v xml:space="preserve">     Supplies                                          </v>
      </c>
      <c r="C76" s="13"/>
      <c r="D76" s="1">
        <f>SUM(OSRRefD22_11x_0)</f>
        <v>9666</v>
      </c>
      <c r="E76" s="1"/>
      <c r="F76" s="5">
        <f t="shared" ref="F76:F81" si="37">IF(D$12=0,0,D76/D$12)</f>
        <v>0.35798064252821887</v>
      </c>
      <c r="G76" s="1"/>
      <c r="H76" s="1">
        <f>SUM(OSRRefH22_11x_0)</f>
        <v>6750</v>
      </c>
      <c r="I76" s="1"/>
      <c r="J76" s="5">
        <f t="shared" ref="J76:J81" si="38">IF(H$12=0,0,H76/H$12)</f>
        <v>0.13109341619731987</v>
      </c>
      <c r="K76" s="1"/>
      <c r="L76" s="1">
        <f t="shared" ref="L76:L81" si="39">+D76-H76</f>
        <v>2916</v>
      </c>
      <c r="M76" s="1"/>
      <c r="N76" s="5">
        <f t="shared" ref="N76:N81" si="40">IF(H76=0,0,L76/H76)</f>
        <v>0.432</v>
      </c>
      <c r="O76" s="13"/>
      <c r="P76" s="1">
        <f>SUM(OSRRefP22_11x_0)</f>
        <v>39027.47</v>
      </c>
      <c r="Q76" s="1"/>
      <c r="R76" s="5">
        <f t="shared" ref="R76:R81" si="41">IF(P$12=0,0,P76/P$12)</f>
        <v>8.3188986573305368E-2</v>
      </c>
      <c r="S76" s="1"/>
      <c r="T76" s="1">
        <f>SUM(OSRRefT22_11x_0)</f>
        <v>66450</v>
      </c>
      <c r="U76" s="1"/>
      <c r="V76" s="5">
        <f t="shared" ref="V76:V81" si="42">IF(T$12=0,0,T76/T$12)</f>
        <v>0.11892777084256165</v>
      </c>
      <c r="W76" s="1"/>
      <c r="X76" s="1">
        <f t="shared" ref="X76:X81" si="43">+P76-T76</f>
        <v>-27422.53</v>
      </c>
      <c r="Y76" s="1"/>
      <c r="Z76" s="5">
        <f t="shared" ref="Z76:Z81" si="44">IF(T76=0,0,X76/T76)</f>
        <v>-0.41267915726109855</v>
      </c>
    </row>
    <row r="77" spans="1:26" s="24" customFormat="1" hidden="1" outlineLevel="2" x14ac:dyDescent="0.25">
      <c r="A77" s="25"/>
      <c r="B77" s="11" t="str">
        <f>CONCATENATE("          ", "6234", " - ", "EXPENDABLE SUPPLIES &amp; EQUIPMEN")</f>
        <v xml:space="preserve">          6234 - EXPENDABLE SUPPLIES &amp; EQUIPMEN</v>
      </c>
      <c r="C77" s="11"/>
      <c r="D77" s="6"/>
      <c r="E77" s="2"/>
      <c r="F77" s="7">
        <f t="shared" si="37"/>
        <v>0</v>
      </c>
      <c r="G77" s="2"/>
      <c r="H77" s="6"/>
      <c r="I77" s="2"/>
      <c r="J77" s="7">
        <f t="shared" si="38"/>
        <v>0</v>
      </c>
      <c r="K77" s="2"/>
      <c r="L77" s="6">
        <f t="shared" si="39"/>
        <v>0</v>
      </c>
      <c r="M77" s="2"/>
      <c r="N77" s="7">
        <f t="shared" si="40"/>
        <v>0</v>
      </c>
      <c r="O77" s="11"/>
      <c r="P77" s="6">
        <v>1017.27</v>
      </c>
      <c r="Q77" s="2"/>
      <c r="R77" s="7">
        <f t="shared" si="41"/>
        <v>2.168361422644777E-3</v>
      </c>
      <c r="S77" s="2"/>
      <c r="T77" s="6"/>
      <c r="U77" s="2"/>
      <c r="V77" s="7">
        <f t="shared" si="42"/>
        <v>0</v>
      </c>
      <c r="W77" s="2"/>
      <c r="X77" s="6">
        <f t="shared" si="43"/>
        <v>1017.27</v>
      </c>
      <c r="Y77" s="2"/>
      <c r="Z77" s="7">
        <f t="shared" si="44"/>
        <v>0</v>
      </c>
    </row>
    <row r="78" spans="1:26" s="24" customFormat="1" hidden="1" outlineLevel="2" x14ac:dyDescent="0.25">
      <c r="A78" s="25"/>
      <c r="B78" s="11" t="str">
        <f>CONCATENATE("          ", "6241", " - ", "OFFICE EXPENSE")</f>
        <v xml:space="preserve">          6241 - OFFICE EXPENSE</v>
      </c>
      <c r="C78" s="11"/>
      <c r="D78" s="6"/>
      <c r="E78" s="2"/>
      <c r="F78" s="7">
        <f t="shared" si="37"/>
        <v>0</v>
      </c>
      <c r="G78" s="2"/>
      <c r="H78" s="6"/>
      <c r="I78" s="2"/>
      <c r="J78" s="7">
        <f t="shared" si="38"/>
        <v>0</v>
      </c>
      <c r="K78" s="2"/>
      <c r="L78" s="6">
        <f t="shared" si="39"/>
        <v>0</v>
      </c>
      <c r="M78" s="2"/>
      <c r="N78" s="7">
        <f t="shared" si="40"/>
        <v>0</v>
      </c>
      <c r="O78" s="11"/>
      <c r="P78" s="6">
        <v>1578.06</v>
      </c>
      <c r="Q78" s="2"/>
      <c r="R78" s="7">
        <f t="shared" si="41"/>
        <v>3.3637131013583579E-3</v>
      </c>
      <c r="S78" s="2"/>
      <c r="T78" s="6"/>
      <c r="U78" s="2"/>
      <c r="V78" s="7">
        <f t="shared" si="42"/>
        <v>0</v>
      </c>
      <c r="W78" s="2"/>
      <c r="X78" s="6">
        <f t="shared" si="43"/>
        <v>1578.06</v>
      </c>
      <c r="Y78" s="2"/>
      <c r="Z78" s="7">
        <f t="shared" si="44"/>
        <v>0</v>
      </c>
    </row>
    <row r="79" spans="1:26" s="24" customFormat="1" hidden="1" outlineLevel="2" x14ac:dyDescent="0.25">
      <c r="A79" s="25"/>
      <c r="B79" s="11" t="str">
        <f>CONCATENATE("          ", "6243", " - ", "PAPER SUPPLIES")</f>
        <v xml:space="preserve">          6243 - PAPER SUPPLIES</v>
      </c>
      <c r="C79" s="11"/>
      <c r="D79" s="6">
        <v>5529.37</v>
      </c>
      <c r="E79" s="2"/>
      <c r="F79" s="7">
        <f t="shared" si="37"/>
        <v>0.20478040817052115</v>
      </c>
      <c r="G79" s="2"/>
      <c r="H79" s="6">
        <v>250</v>
      </c>
      <c r="I79" s="2"/>
      <c r="J79" s="7">
        <f t="shared" si="38"/>
        <v>4.8553117110118468E-3</v>
      </c>
      <c r="K79" s="2"/>
      <c r="L79" s="6">
        <f t="shared" si="39"/>
        <v>5279.37</v>
      </c>
      <c r="M79" s="2"/>
      <c r="N79" s="7">
        <f t="shared" si="40"/>
        <v>21.11748</v>
      </c>
      <c r="O79" s="11"/>
      <c r="P79" s="6">
        <v>17096.919999999998</v>
      </c>
      <c r="Q79" s="2"/>
      <c r="R79" s="7">
        <f t="shared" si="41"/>
        <v>3.6442932332658919E-2</v>
      </c>
      <c r="S79" s="2"/>
      <c r="T79" s="6">
        <v>2250</v>
      </c>
      <c r="U79" s="2"/>
      <c r="V79" s="7">
        <f t="shared" si="42"/>
        <v>4.026899689928724E-3</v>
      </c>
      <c r="W79" s="2"/>
      <c r="X79" s="6">
        <f t="shared" si="43"/>
        <v>14846.919999999998</v>
      </c>
      <c r="Y79" s="2"/>
      <c r="Z79" s="7">
        <f t="shared" si="44"/>
        <v>6.5986311111111107</v>
      </c>
    </row>
    <row r="80" spans="1:26" s="24" customFormat="1" hidden="1" outlineLevel="2" x14ac:dyDescent="0.25">
      <c r="A80" s="25"/>
      <c r="B80" s="11" t="str">
        <f>CONCATENATE("          ", "6245", " - ", "PRINTING")</f>
        <v xml:space="preserve">          6245 - PRINTING</v>
      </c>
      <c r="C80" s="11"/>
      <c r="D80" s="6">
        <v>289.75</v>
      </c>
      <c r="E80" s="2"/>
      <c r="F80" s="7">
        <f t="shared" si="37"/>
        <v>1.0730901217934142E-2</v>
      </c>
      <c r="G80" s="2"/>
      <c r="H80" s="6"/>
      <c r="I80" s="2"/>
      <c r="J80" s="7">
        <f t="shared" si="38"/>
        <v>0</v>
      </c>
      <c r="K80" s="2"/>
      <c r="L80" s="6">
        <f t="shared" si="39"/>
        <v>289.75</v>
      </c>
      <c r="M80" s="2"/>
      <c r="N80" s="7">
        <f t="shared" si="40"/>
        <v>0</v>
      </c>
      <c r="O80" s="11"/>
      <c r="P80" s="6">
        <v>5563.42</v>
      </c>
      <c r="Q80" s="2"/>
      <c r="R80" s="7">
        <f t="shared" si="41"/>
        <v>1.1858705462630771E-2</v>
      </c>
      <c r="S80" s="2"/>
      <c r="T80" s="6"/>
      <c r="U80" s="2"/>
      <c r="V80" s="7">
        <f t="shared" si="42"/>
        <v>0</v>
      </c>
      <c r="W80" s="2"/>
      <c r="X80" s="6">
        <f t="shared" si="43"/>
        <v>5563.42</v>
      </c>
      <c r="Y80" s="2"/>
      <c r="Z80" s="7">
        <f t="shared" si="44"/>
        <v>0</v>
      </c>
    </row>
    <row r="81" spans="1:26" s="24" customFormat="1" hidden="1" outlineLevel="2" x14ac:dyDescent="0.25">
      <c r="A81" s="25"/>
      <c r="B81" s="11" t="str">
        <f>CONCATENATE("          ", "6247", " - ", "STORE SUPPLIES")</f>
        <v xml:space="preserve">          6247 - STORE SUPPLIES</v>
      </c>
      <c r="C81" s="11"/>
      <c r="D81" s="6">
        <v>3846.88</v>
      </c>
      <c r="E81" s="2"/>
      <c r="F81" s="7">
        <f t="shared" si="37"/>
        <v>0.14246933313976357</v>
      </c>
      <c r="G81" s="2"/>
      <c r="H81" s="6">
        <v>6500</v>
      </c>
      <c r="I81" s="2"/>
      <c r="J81" s="7">
        <f t="shared" si="38"/>
        <v>0.12623810448630801</v>
      </c>
      <c r="K81" s="2"/>
      <c r="L81" s="6">
        <f t="shared" si="39"/>
        <v>-2653.12</v>
      </c>
      <c r="M81" s="2"/>
      <c r="N81" s="7">
        <f t="shared" si="40"/>
        <v>-0.40817230769230767</v>
      </c>
      <c r="O81" s="11"/>
      <c r="P81" s="6">
        <v>13771.8</v>
      </c>
      <c r="Q81" s="2"/>
      <c r="R81" s="7">
        <f t="shared" si="41"/>
        <v>2.9355274254012541E-2</v>
      </c>
      <c r="S81" s="2"/>
      <c r="T81" s="6">
        <v>64200</v>
      </c>
      <c r="U81" s="2"/>
      <c r="V81" s="7">
        <f t="shared" si="42"/>
        <v>0.11490087115263292</v>
      </c>
      <c r="W81" s="2"/>
      <c r="X81" s="6">
        <f t="shared" si="43"/>
        <v>-50428.2</v>
      </c>
      <c r="Y81" s="2"/>
      <c r="Z81" s="7">
        <f t="shared" si="44"/>
        <v>-0.78548598130841119</v>
      </c>
    </row>
    <row r="82" spans="1:26" s="27" customFormat="1" outlineLevel="1" collapsed="1" x14ac:dyDescent="0.25">
      <c r="A82" s="26"/>
      <c r="B82" s="13" t="str">
        <f>CONCATENATE("     ","Telephone/Data Lines                              ")</f>
        <v xml:space="preserve">     Telephone/Data Lines                              </v>
      </c>
      <c r="C82" s="13"/>
      <c r="D82" s="1">
        <f>SUM(OSRRefD22_12x_0)</f>
        <v>160</v>
      </c>
      <c r="E82" s="1"/>
      <c r="F82" s="5">
        <f t="shared" ref="F82:F84" si="45">IF(D$12=0,0,D82/D$12)</f>
        <v>5.9256055042949535E-3</v>
      </c>
      <c r="G82" s="1"/>
      <c r="H82" s="1">
        <f>SUM(OSRRefH22_12x_0)</f>
        <v>200</v>
      </c>
      <c r="I82" s="1"/>
      <c r="J82" s="5">
        <f t="shared" ref="J82:J84" si="46">IF(H$12=0,0,H82/H$12)</f>
        <v>3.8842493688094775E-3</v>
      </c>
      <c r="K82" s="1"/>
      <c r="L82" s="1">
        <f t="shared" ref="L82:L84" si="47">+D82-H82</f>
        <v>-40</v>
      </c>
      <c r="M82" s="1"/>
      <c r="N82" s="5">
        <f t="shared" ref="N82:N84" si="48">IF(H82=0,0,L82/H82)</f>
        <v>-0.2</v>
      </c>
      <c r="O82" s="13"/>
      <c r="P82" s="1">
        <f>SUM(OSRRefP22_12x_0)</f>
        <v>1279</v>
      </c>
      <c r="Q82" s="1"/>
      <c r="R82" s="5">
        <f t="shared" ref="R82:R84" si="49">IF(P$12=0,0,P82/P$12)</f>
        <v>2.7262518894321762E-3</v>
      </c>
      <c r="S82" s="1"/>
      <c r="T82" s="1">
        <f>SUM(OSRRefT22_12x_0)</f>
        <v>1800</v>
      </c>
      <c r="U82" s="1"/>
      <c r="V82" s="5">
        <f t="shared" ref="V82:V84" si="50">IF(T$12=0,0,T82/T$12)</f>
        <v>3.2215197519429792E-3</v>
      </c>
      <c r="W82" s="1"/>
      <c r="X82" s="1">
        <f t="shared" ref="X82:X84" si="51">+P82-T82</f>
        <v>-521</v>
      </c>
      <c r="Y82" s="1"/>
      <c r="Z82" s="5">
        <f t="shared" ref="Z82:Z84" si="52">IF(T82=0,0,X82/T82)</f>
        <v>-0.28944444444444445</v>
      </c>
    </row>
    <row r="83" spans="1:26" s="24" customFormat="1" hidden="1" outlineLevel="2" x14ac:dyDescent="0.25">
      <c r="A83" s="25"/>
      <c r="B83" s="11" t="str">
        <f>CONCATENATE("          ", "6303", " - ", "DATA PHONE LINES")</f>
        <v xml:space="preserve">          6303 - DATA PHONE LINES</v>
      </c>
      <c r="C83" s="11"/>
      <c r="D83" s="6"/>
      <c r="E83" s="2"/>
      <c r="F83" s="7">
        <f t="shared" si="45"/>
        <v>0</v>
      </c>
      <c r="G83" s="2"/>
      <c r="H83" s="6">
        <v>200</v>
      </c>
      <c r="I83" s="2"/>
      <c r="J83" s="7">
        <f t="shared" si="46"/>
        <v>3.8842493688094775E-3</v>
      </c>
      <c r="K83" s="2"/>
      <c r="L83" s="6">
        <f t="shared" si="47"/>
        <v>-200</v>
      </c>
      <c r="M83" s="2"/>
      <c r="N83" s="7">
        <f t="shared" si="48"/>
        <v>-1</v>
      </c>
      <c r="O83" s="11"/>
      <c r="P83" s="6"/>
      <c r="Q83" s="2"/>
      <c r="R83" s="7">
        <f t="shared" si="49"/>
        <v>0</v>
      </c>
      <c r="S83" s="2"/>
      <c r="T83" s="6">
        <v>1800</v>
      </c>
      <c r="U83" s="2"/>
      <c r="V83" s="7">
        <f t="shared" si="50"/>
        <v>3.2215197519429792E-3</v>
      </c>
      <c r="W83" s="2"/>
      <c r="X83" s="6">
        <f t="shared" si="51"/>
        <v>-1800</v>
      </c>
      <c r="Y83" s="2"/>
      <c r="Z83" s="7">
        <f t="shared" si="52"/>
        <v>-1</v>
      </c>
    </row>
    <row r="84" spans="1:26" s="24" customFormat="1" hidden="1" outlineLevel="2" x14ac:dyDescent="0.25">
      <c r="A84" s="25"/>
      <c r="B84" s="11" t="str">
        <f>CONCATENATE("          ", "6309", " - ", "TELEPHONE")</f>
        <v xml:space="preserve">          6309 - TELEPHONE</v>
      </c>
      <c r="C84" s="11"/>
      <c r="D84" s="6">
        <v>160</v>
      </c>
      <c r="E84" s="2"/>
      <c r="F84" s="7">
        <f t="shared" si="45"/>
        <v>5.9256055042949535E-3</v>
      </c>
      <c r="G84" s="2"/>
      <c r="H84" s="6"/>
      <c r="I84" s="2"/>
      <c r="J84" s="7">
        <f t="shared" si="46"/>
        <v>0</v>
      </c>
      <c r="K84" s="2"/>
      <c r="L84" s="6">
        <f t="shared" si="47"/>
        <v>160</v>
      </c>
      <c r="M84" s="2"/>
      <c r="N84" s="7">
        <f t="shared" si="48"/>
        <v>0</v>
      </c>
      <c r="O84" s="11"/>
      <c r="P84" s="6">
        <v>1279</v>
      </c>
      <c r="Q84" s="2"/>
      <c r="R84" s="7">
        <f t="shared" si="49"/>
        <v>2.7262518894321762E-3</v>
      </c>
      <c r="S84" s="2"/>
      <c r="T84" s="6"/>
      <c r="U84" s="2"/>
      <c r="V84" s="7">
        <f t="shared" si="50"/>
        <v>0</v>
      </c>
      <c r="W84" s="2"/>
      <c r="X84" s="6">
        <f t="shared" si="51"/>
        <v>1279</v>
      </c>
      <c r="Y84" s="2"/>
      <c r="Z84" s="7">
        <f t="shared" si="52"/>
        <v>0</v>
      </c>
    </row>
    <row r="85" spans="1:26" s="27" customFormat="1" outlineLevel="1" collapsed="1" x14ac:dyDescent="0.25">
      <c r="A85" s="26"/>
      <c r="B85" s="13" t="str">
        <f>CONCATENATE("     ","Training                                          ")</f>
        <v xml:space="preserve">     Training                                          </v>
      </c>
      <c r="C85" s="13"/>
      <c r="D85" s="1">
        <f>SUM(OSRRefD22_13x_0)</f>
        <v>0</v>
      </c>
      <c r="E85" s="1"/>
      <c r="F85" s="5">
        <f t="shared" ref="F85:F86" si="53">IF(D$12=0,0,D85/D$12)</f>
        <v>0</v>
      </c>
      <c r="G85" s="1"/>
      <c r="H85" s="1">
        <f>SUM(OSRRefH22_13x_0)</f>
        <v>0</v>
      </c>
      <c r="I85" s="1"/>
      <c r="J85" s="5">
        <f t="shared" ref="J85:J86" si="54">IF(H$12=0,0,H85/H$12)</f>
        <v>0</v>
      </c>
      <c r="K85" s="1"/>
      <c r="L85" s="1">
        <f t="shared" ref="L85:L86" si="55">+D85-H85</f>
        <v>0</v>
      </c>
      <c r="M85" s="1"/>
      <c r="N85" s="5">
        <f t="shared" ref="N85:N86" si="56">IF(H85=0,0,L85/H85)</f>
        <v>0</v>
      </c>
      <c r="O85" s="13"/>
      <c r="P85" s="1">
        <f>SUM(OSRRefP22_13x_0)</f>
        <v>97.71</v>
      </c>
      <c r="Q85" s="1"/>
      <c r="R85" s="5">
        <f t="shared" ref="R85:R86" si="57">IF(P$12=0,0,P85/P$12)</f>
        <v>2.0827370767507265E-4</v>
      </c>
      <c r="S85" s="1"/>
      <c r="T85" s="1">
        <f>SUM(OSRRefT22_13x_0)</f>
        <v>0</v>
      </c>
      <c r="U85" s="1"/>
      <c r="V85" s="5">
        <f t="shared" ref="V85:V86" si="58">IF(T$12=0,0,T85/T$12)</f>
        <v>0</v>
      </c>
      <c r="W85" s="1"/>
      <c r="X85" s="1">
        <f t="shared" ref="X85:X86" si="59">+P85-T85</f>
        <v>97.71</v>
      </c>
      <c r="Y85" s="1"/>
      <c r="Z85" s="5">
        <f t="shared" ref="Z85:Z86" si="60">IF(T85=0,0,X85/T85)</f>
        <v>0</v>
      </c>
    </row>
    <row r="86" spans="1:26" s="24" customFormat="1" hidden="1" outlineLevel="2" x14ac:dyDescent="0.25">
      <c r="A86" s="25"/>
      <c r="B86" s="11" t="str">
        <f>CONCATENATE("          ", "6376", " - ", "TRAINING")</f>
        <v xml:space="preserve">          6376 - TRAINING</v>
      </c>
      <c r="C86" s="11"/>
      <c r="D86" s="6"/>
      <c r="E86" s="2"/>
      <c r="F86" s="7">
        <f t="shared" si="53"/>
        <v>0</v>
      </c>
      <c r="G86" s="2"/>
      <c r="H86" s="6"/>
      <c r="I86" s="2"/>
      <c r="J86" s="7">
        <f t="shared" si="54"/>
        <v>0</v>
      </c>
      <c r="K86" s="2"/>
      <c r="L86" s="6">
        <f t="shared" si="55"/>
        <v>0</v>
      </c>
      <c r="M86" s="2"/>
      <c r="N86" s="7">
        <f t="shared" si="56"/>
        <v>0</v>
      </c>
      <c r="O86" s="11"/>
      <c r="P86" s="6">
        <v>97.71</v>
      </c>
      <c r="Q86" s="2"/>
      <c r="R86" s="7">
        <f t="shared" si="57"/>
        <v>2.0827370767507265E-4</v>
      </c>
      <c r="S86" s="2"/>
      <c r="T86" s="6"/>
      <c r="U86" s="2"/>
      <c r="V86" s="7">
        <f t="shared" si="58"/>
        <v>0</v>
      </c>
      <c r="W86" s="2"/>
      <c r="X86" s="6">
        <f t="shared" si="59"/>
        <v>97.71</v>
      </c>
      <c r="Y86" s="2"/>
      <c r="Z86" s="7">
        <f t="shared" si="60"/>
        <v>0</v>
      </c>
    </row>
    <row r="87" spans="1:26" s="56" customFormat="1" x14ac:dyDescent="0.25">
      <c r="A87" s="36"/>
      <c r="B87" s="36"/>
      <c r="C87" s="36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collapsed="1" x14ac:dyDescent="0.25">
      <c r="A88" s="10"/>
      <c r="B88" s="29" t="s">
        <v>0</v>
      </c>
      <c r="C88" s="10"/>
      <c r="D88" s="4">
        <f>SUM(OSRRefD25x_0)</f>
        <v>11942.1</v>
      </c>
      <c r="E88" s="4"/>
      <c r="F88" s="12">
        <f t="shared" ref="F88:F90" si="61">IF(D$12=0,0,D88/D$12)</f>
        <v>0.44227608433025478</v>
      </c>
      <c r="G88" s="4"/>
      <c r="H88" s="4">
        <f>SUM(OSRRefH25x_0)</f>
        <v>12250</v>
      </c>
      <c r="I88" s="4"/>
      <c r="J88" s="12">
        <f t="shared" ref="J88:J90" si="62">IF(H$12=0,0,H88/H$12)</f>
        <v>0.23791027383958049</v>
      </c>
      <c r="K88" s="4"/>
      <c r="L88" s="4">
        <f t="shared" ref="L88:L90" si="63">+D88-H88</f>
        <v>-307.89999999999964</v>
      </c>
      <c r="M88" s="4"/>
      <c r="N88" s="12">
        <f t="shared" ref="N88:N90" si="64">IF(H88=0,0,L88/H88)</f>
        <v>-2.513469387755099E-2</v>
      </c>
      <c r="O88" s="10"/>
      <c r="P88" s="4">
        <f>SUM(OSRRefP25x_0)</f>
        <v>118094.1</v>
      </c>
      <c r="Q88" s="4"/>
      <c r="R88" s="12">
        <f t="shared" ref="R88:R90" si="65">IF(P$12=0,0,P88/P$12)</f>
        <v>0.25172342709600654</v>
      </c>
      <c r="S88" s="4"/>
      <c r="T88" s="4">
        <f>SUM(OSRRefT25x_0)</f>
        <v>110250</v>
      </c>
      <c r="U88" s="4"/>
      <c r="V88" s="12">
        <f t="shared" ref="V88:V90" si="66">IF(T$12=0,0,T88/T$12)</f>
        <v>0.19731808480650748</v>
      </c>
      <c r="W88" s="4"/>
      <c r="X88" s="4">
        <f t="shared" ref="X88:X90" si="67">+P88-T88</f>
        <v>7844.1000000000058</v>
      </c>
      <c r="Y88" s="4"/>
      <c r="Z88" s="12">
        <f t="shared" ref="Z88:Z90" si="68">IF(T88=0,0,X88/T88)</f>
        <v>7.1148299319727951E-2</v>
      </c>
    </row>
    <row r="89" spans="1:26" s="24" customFormat="1" hidden="1" outlineLevel="1" x14ac:dyDescent="0.25">
      <c r="A89" s="44"/>
      <c r="B89" s="11" t="str">
        <f>CONCATENATE("          ", "9150", " - ", "MISC. INCOME")</f>
        <v xml:space="preserve">          9150 - MISC. INCOME</v>
      </c>
      <c r="C89" s="11"/>
      <c r="D89" s="2">
        <f>--11942.1</f>
        <v>11942.1</v>
      </c>
      <c r="E89" s="2"/>
      <c r="F89" s="19">
        <f t="shared" si="61"/>
        <v>0.44227608433025478</v>
      </c>
      <c r="G89" s="2"/>
      <c r="H89" s="2"/>
      <c r="I89" s="2"/>
      <c r="J89" s="19">
        <f t="shared" si="62"/>
        <v>0</v>
      </c>
      <c r="K89" s="2"/>
      <c r="L89" s="2">
        <f t="shared" si="63"/>
        <v>11942.1</v>
      </c>
      <c r="M89" s="2"/>
      <c r="N89" s="19">
        <f t="shared" si="64"/>
        <v>0</v>
      </c>
      <c r="O89" s="11"/>
      <c r="P89" s="2">
        <f>--118094.1</f>
        <v>118094.1</v>
      </c>
      <c r="Q89" s="2"/>
      <c r="R89" s="19">
        <f t="shared" si="65"/>
        <v>0.25172342709600654</v>
      </c>
      <c r="S89" s="2"/>
      <c r="T89" s="2">
        <v>12250</v>
      </c>
      <c r="U89" s="2"/>
      <c r="V89" s="19">
        <f t="shared" si="66"/>
        <v>2.1924231645167498E-2</v>
      </c>
      <c r="W89" s="2"/>
      <c r="X89" s="2">
        <f t="shared" si="67"/>
        <v>105844.1</v>
      </c>
      <c r="Y89" s="2"/>
      <c r="Z89" s="19">
        <f t="shared" si="68"/>
        <v>8.640334693877552</v>
      </c>
    </row>
    <row r="90" spans="1:26" s="24" customFormat="1" hidden="1" outlineLevel="1" x14ac:dyDescent="0.25">
      <c r="A90" s="44"/>
      <c r="B90" s="11" t="str">
        <f>CONCATENATE("          ", "9151", " - ", "MISC. INCOME")</f>
        <v xml:space="preserve">          9151 - MISC. INCOME</v>
      </c>
      <c r="C90" s="11"/>
      <c r="D90" s="2">
        <f>0</f>
        <v>0</v>
      </c>
      <c r="E90" s="2"/>
      <c r="F90" s="19">
        <f t="shared" si="61"/>
        <v>0</v>
      </c>
      <c r="G90" s="2"/>
      <c r="H90" s="2">
        <v>12250</v>
      </c>
      <c r="I90" s="2"/>
      <c r="J90" s="19">
        <f t="shared" si="62"/>
        <v>0.23791027383958049</v>
      </c>
      <c r="K90" s="2"/>
      <c r="L90" s="2">
        <f t="shared" si="63"/>
        <v>-12250</v>
      </c>
      <c r="M90" s="2"/>
      <c r="N90" s="19">
        <f t="shared" si="64"/>
        <v>-1</v>
      </c>
      <c r="O90" s="11"/>
      <c r="P90" s="2">
        <f>0</f>
        <v>0</v>
      </c>
      <c r="Q90" s="2"/>
      <c r="R90" s="19">
        <f t="shared" si="65"/>
        <v>0</v>
      </c>
      <c r="S90" s="2"/>
      <c r="T90" s="2">
        <v>98000</v>
      </c>
      <c r="U90" s="2"/>
      <c r="V90" s="19">
        <f t="shared" si="66"/>
        <v>0.17539385316133999</v>
      </c>
      <c r="W90" s="2"/>
      <c r="X90" s="2">
        <f t="shared" si="67"/>
        <v>-98000</v>
      </c>
      <c r="Y90" s="2"/>
      <c r="Z90" s="19">
        <f t="shared" si="68"/>
        <v>-1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8" t="s">
        <v>3</v>
      </c>
      <c r="C92" s="28"/>
      <c r="D92" s="20">
        <f>+D32-D34+D88</f>
        <v>-10307.51</v>
      </c>
      <c r="E92" s="14"/>
      <c r="F92" s="22">
        <f>IF(D$12=0,0,D92/D$12)</f>
        <v>-0.38173898744734547</v>
      </c>
      <c r="G92" s="14"/>
      <c r="H92" s="20">
        <f>+H32-H34+H88</f>
        <v>13384.342185450783</v>
      </c>
      <c r="I92" s="14"/>
      <c r="J92" s="22">
        <f>IF(H$12=0,0,H92/H$12)</f>
        <v>0.25994061342883634</v>
      </c>
      <c r="K92" s="16"/>
      <c r="L92" s="20">
        <f>+D92-H92</f>
        <v>-23691.852185450785</v>
      </c>
      <c r="M92" s="16"/>
      <c r="N92" s="22">
        <f>IF(H92=0,0,L92/H92)</f>
        <v>-1.7701170410305709</v>
      </c>
      <c r="O92" s="29"/>
      <c r="P92" s="20">
        <f>+P32-P34+P88</f>
        <v>165691.99000000002</v>
      </c>
      <c r="Q92" s="14"/>
      <c r="R92" s="22">
        <f>IF(P$12=0,0,P92/P$12)</f>
        <v>0.35318068866401664</v>
      </c>
      <c r="S92" s="14"/>
      <c r="T92" s="20">
        <f>+T32-T34+T88</f>
        <v>195493.2705000753</v>
      </c>
      <c r="U92" s="14"/>
      <c r="V92" s="22">
        <f>IF(T$12=0,0,T92/T$12)</f>
        <v>0.3498807957155135</v>
      </c>
      <c r="W92" s="16"/>
      <c r="X92" s="20">
        <f>+P92-T92</f>
        <v>-29801.280500075285</v>
      </c>
      <c r="Y92" s="16"/>
      <c r="Z92" s="22">
        <f>IF(T92=0,0,X92/T92)</f>
        <v>-0.15244146473094994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14</v>
      </c>
      <c r="C94" s="10"/>
      <c r="D94" s="4">
        <v>5206.84</v>
      </c>
      <c r="E94" s="4"/>
      <c r="F94" s="12">
        <f>IF(D$12=0,0,D94/D$12)</f>
        <v>0.19283549852489459</v>
      </c>
      <c r="G94" s="4"/>
      <c r="H94" s="4">
        <v>4314</v>
      </c>
      <c r="I94" s="4"/>
      <c r="J94" s="12">
        <f>IF(H$12=0,0,H94/H$12)</f>
        <v>8.3783258885220438E-2</v>
      </c>
      <c r="K94" s="4"/>
      <c r="L94" s="4">
        <f>+D94-H94</f>
        <v>892.84000000000015</v>
      </c>
      <c r="M94" s="4"/>
      <c r="N94" s="12">
        <f>IF(H94=0,0,L94/H94)</f>
        <v>0.2069633750579509</v>
      </c>
      <c r="O94" s="10"/>
      <c r="P94" s="4">
        <v>50269.729999999996</v>
      </c>
      <c r="Q94" s="4"/>
      <c r="R94" s="12">
        <f>IF(P$12=0,0,P94/P$12)</f>
        <v>0.10715242094897993</v>
      </c>
      <c r="S94" s="4"/>
      <c r="T94" s="4">
        <v>65311.000000000007</v>
      </c>
      <c r="U94" s="4"/>
      <c r="V94" s="12">
        <f>IF(T$12=0,0,T94/T$12)</f>
        <v>0.11688926473285996</v>
      </c>
      <c r="W94" s="4"/>
      <c r="X94" s="4">
        <f>+P94-T94</f>
        <v>-15041.270000000011</v>
      </c>
      <c r="Y94" s="4"/>
      <c r="Z94" s="12">
        <f>IF(T94=0,0,X94/T94)</f>
        <v>-0.23030224617598888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8" t="s">
        <v>4</v>
      </c>
      <c r="C96" s="28"/>
      <c r="D96" s="31">
        <f>+D92-D94</f>
        <v>-15514.35</v>
      </c>
      <c r="E96" s="14"/>
      <c r="F96" s="34">
        <f>IF(D$12=0,0,D96/D$12)</f>
        <v>-0.57457448597224003</v>
      </c>
      <c r="G96" s="14"/>
      <c r="H96" s="31">
        <f>+H92-H94</f>
        <v>9070.3421854507833</v>
      </c>
      <c r="I96" s="14"/>
      <c r="J96" s="34">
        <f>IF(H$12=0,0,H96/H$12)</f>
        <v>0.17615735454361592</v>
      </c>
      <c r="K96" s="16"/>
      <c r="L96" s="31">
        <f>D96-H96</f>
        <v>-24584.692185450782</v>
      </c>
      <c r="M96" s="16"/>
      <c r="N96" s="34">
        <f>IF(H96=0,0,L96/H96)</f>
        <v>-2.7104481487904257</v>
      </c>
      <c r="O96" s="29"/>
      <c r="P96" s="31">
        <f>+P92-P94</f>
        <v>115422.26000000002</v>
      </c>
      <c r="Q96" s="14"/>
      <c r="R96" s="34">
        <f>IF(P$12=0,0,P96/P$12)</f>
        <v>0.24602826771503672</v>
      </c>
      <c r="S96" s="14"/>
      <c r="T96" s="31">
        <f>+T92-T94</f>
        <v>130182.2705000753</v>
      </c>
      <c r="U96" s="14"/>
      <c r="V96" s="34">
        <f>IF(T$12=0,0,T96/T$12)</f>
        <v>0.23299153098265354</v>
      </c>
      <c r="W96" s="16"/>
      <c r="X96" s="31">
        <f>P96-T96</f>
        <v>-14760.010500075281</v>
      </c>
      <c r="Y96" s="16"/>
      <c r="Z96" s="34">
        <f>IF(T96=0,0,X96/T96)</f>
        <v>-0.11337957498649359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8" t="s">
        <v>5</v>
      </c>
      <c r="C99" s="28"/>
      <c r="D99" s="32">
        <f>SUM(D96:D98)</f>
        <v>-15514.35</v>
      </c>
      <c r="E99" s="14"/>
      <c r="F99" s="35">
        <f>IF(D$12=0,0,D99/D$12)</f>
        <v>-0.57457448597224003</v>
      </c>
      <c r="G99" s="14"/>
      <c r="H99" s="32">
        <f>SUM(H96:H98)</f>
        <v>9070.3421854507833</v>
      </c>
      <c r="I99" s="14"/>
      <c r="J99" s="35">
        <f>IF(H$12=0,0,H99/H$12)</f>
        <v>0.17615735454361592</v>
      </c>
      <c r="K99" s="16"/>
      <c r="L99" s="32">
        <f>+D99-H99</f>
        <v>-24584.692185450782</v>
      </c>
      <c r="M99" s="16"/>
      <c r="N99" s="35">
        <f>IF(H99=0,0,L99/H99)</f>
        <v>-2.7104481487904257</v>
      </c>
      <c r="O99" s="29"/>
      <c r="P99" s="32">
        <f>SUM(P96:P98)</f>
        <v>115422.26000000002</v>
      </c>
      <c r="Q99" s="14"/>
      <c r="R99" s="35">
        <f>IF(P$12=0,0,P99/P$12)</f>
        <v>0.24602826771503672</v>
      </c>
      <c r="S99" s="14"/>
      <c r="T99" s="32">
        <f>SUM(T96:T98)</f>
        <v>130182.2705000753</v>
      </c>
      <c r="U99" s="14"/>
      <c r="V99" s="35">
        <f>IF(T$12=0,0,T99/T$12)</f>
        <v>0.23299153098265354</v>
      </c>
      <c r="W99" s="16"/>
      <c r="X99" s="32">
        <f>+P99-T99</f>
        <v>-14760.010500075281</v>
      </c>
      <c r="Y99" s="16"/>
      <c r="Z99" s="35">
        <f>IF(T99=0,0,X99/T99)</f>
        <v>-0.11337957498649359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57">
        <v>43934.466488043981</v>
      </c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A102" s="9"/>
      <c r="B102" s="62" t="s">
        <v>314</v>
      </c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A103" s="9"/>
      <c r="B103" s="60"/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","320", " - ", "Customer Service (old)")</f>
        <v>Department 320 - Customer Service (old)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10858</v>
      </c>
      <c r="E12" s="4"/>
      <c r="F12" s="12"/>
      <c r="G12" s="4"/>
      <c r="H12" s="4">
        <f>SUM(OSRRefH13x_0)</f>
        <v>380975</v>
      </c>
      <c r="I12" s="4"/>
      <c r="J12" s="12"/>
      <c r="K12" s="4"/>
      <c r="L12" s="4">
        <f t="shared" ref="L12:L17" si="0">+D12-H12</f>
        <v>-370117</v>
      </c>
      <c r="M12" s="4"/>
      <c r="N12" s="12">
        <f t="shared" ref="N12:N17" si="1">IF(H12=0,0,L12/H12)</f>
        <v>-0.97149944222061813</v>
      </c>
      <c r="O12" s="10"/>
      <c r="P12" s="4">
        <f>SUM(OSRRefP13x_0)</f>
        <v>18417.830000000002</v>
      </c>
      <c r="Q12" s="4"/>
      <c r="R12" s="12"/>
      <c r="S12" s="4"/>
      <c r="T12" s="4">
        <f>SUM(OSRRefT13x_0)</f>
        <v>392475</v>
      </c>
      <c r="U12" s="4"/>
      <c r="V12" s="12"/>
      <c r="W12" s="4"/>
      <c r="X12" s="4">
        <f t="shared" ref="X12:X17" si="2">+P12-T12</f>
        <v>-374057.17</v>
      </c>
      <c r="Y12" s="4"/>
      <c r="Z12" s="12">
        <f t="shared" ref="Z12:Z17" si="3">IF(T12=0,0,X12/T12)</f>
        <v>-0.95307260335053179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130000</v>
      </c>
      <c r="I13" s="2"/>
      <c r="J13" s="19"/>
      <c r="K13" s="2"/>
      <c r="L13" s="2">
        <f t="shared" si="0"/>
        <v>-130000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134000</v>
      </c>
      <c r="U13" s="2"/>
      <c r="V13" s="19"/>
      <c r="W13" s="2"/>
      <c r="X13" s="2">
        <f t="shared" si="2"/>
        <v>-134000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"4092", " - ", "TAXABLE SALES-GRAD MERCH")</f>
        <v xml:space="preserve">          4092 - TAXABLE SALES-GRAD MERCH</v>
      </c>
      <c r="C14" s="11"/>
      <c r="D14" s="2">
        <f>--10952.9</f>
        <v>10952.9</v>
      </c>
      <c r="E14" s="2"/>
      <c r="F14" s="19"/>
      <c r="G14" s="2"/>
      <c r="H14" s="2"/>
      <c r="I14" s="2"/>
      <c r="J14" s="19"/>
      <c r="K14" s="2"/>
      <c r="L14" s="2">
        <f t="shared" si="0"/>
        <v>10952.9</v>
      </c>
      <c r="M14" s="2"/>
      <c r="N14" s="19">
        <f t="shared" si="1"/>
        <v>0</v>
      </c>
      <c r="O14" s="11"/>
      <c r="P14" s="2">
        <f>--18652.22</f>
        <v>18652.22</v>
      </c>
      <c r="Q14" s="2"/>
      <c r="R14" s="19"/>
      <c r="S14" s="2"/>
      <c r="T14" s="2"/>
      <c r="U14" s="2"/>
      <c r="V14" s="19"/>
      <c r="W14" s="2"/>
      <c r="X14" s="2">
        <f t="shared" si="2"/>
        <v>18652.22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"4095", " - ", "TAXABLE SALES-CUSTOMER SERVICE")</f>
        <v xml:space="preserve">          4095 - TAXABLE SALES-CUSTOMER SERVICE</v>
      </c>
      <c r="C15" s="11"/>
      <c r="D15" s="2">
        <f t="shared" ref="D15:D16" si="4"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--279.56</f>
        <v>279.56</v>
      </c>
      <c r="Q15" s="2"/>
      <c r="R15" s="19"/>
      <c r="S15" s="2"/>
      <c r="T15" s="2"/>
      <c r="U15" s="2"/>
      <c r="V15" s="19"/>
      <c r="W15" s="2"/>
      <c r="X15" s="2">
        <f t="shared" si="2"/>
        <v>279.56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 t="shared" si="4"/>
        <v>0</v>
      </c>
      <c r="E16" s="2"/>
      <c r="F16" s="19"/>
      <c r="G16" s="2"/>
      <c r="H16" s="2">
        <v>250975</v>
      </c>
      <c r="I16" s="2"/>
      <c r="J16" s="19"/>
      <c r="K16" s="2"/>
      <c r="L16" s="2">
        <f t="shared" si="0"/>
        <v>-250975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v>258474.99999999997</v>
      </c>
      <c r="U16" s="2"/>
      <c r="V16" s="19"/>
      <c r="W16" s="2"/>
      <c r="X16" s="2">
        <f t="shared" si="2"/>
        <v>-258474.99999999997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"4292", " - ", "SALES RETURN TAXABLE-GRAD MERC")</f>
        <v xml:space="preserve">          4292 - SALES RETURN TAXABLE-GRAD MERC</v>
      </c>
      <c r="C17" s="11"/>
      <c r="D17" s="2">
        <f>-94.9</f>
        <v>-94.9</v>
      </c>
      <c r="E17" s="2"/>
      <c r="F17" s="19"/>
      <c r="G17" s="2"/>
      <c r="H17" s="2"/>
      <c r="I17" s="2"/>
      <c r="J17" s="19"/>
      <c r="K17" s="2"/>
      <c r="L17" s="2">
        <f t="shared" si="0"/>
        <v>-94.9</v>
      </c>
      <c r="M17" s="2"/>
      <c r="N17" s="19">
        <f t="shared" si="1"/>
        <v>0</v>
      </c>
      <c r="O17" s="11"/>
      <c r="P17" s="2">
        <f>-513.95</f>
        <v>-513.95000000000005</v>
      </c>
      <c r="Q17" s="2"/>
      <c r="R17" s="19"/>
      <c r="S17" s="2"/>
      <c r="T17" s="2"/>
      <c r="U17" s="2"/>
      <c r="V17" s="19"/>
      <c r="W17" s="2"/>
      <c r="X17" s="2">
        <f t="shared" si="2"/>
        <v>-513.95000000000005</v>
      </c>
      <c r="Y17" s="2"/>
      <c r="Z17" s="19">
        <f t="shared" si="3"/>
        <v>0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9" t="s">
        <v>8</v>
      </c>
      <c r="C19" s="10"/>
      <c r="D19" s="4">
        <f>SUM(OSRRefD16x_0)</f>
        <v>4617.28</v>
      </c>
      <c r="E19" s="4"/>
      <c r="F19" s="12">
        <f t="shared" ref="F19:F25" si="5">IF(D$12=0,0,D19/D$12)</f>
        <v>0.4252422177196537</v>
      </c>
      <c r="G19" s="4"/>
      <c r="H19" s="4">
        <f>SUM(OSRRefH16x_0)</f>
        <v>152770.97499999998</v>
      </c>
      <c r="I19" s="4"/>
      <c r="J19" s="12">
        <f t="shared" ref="J19:J25" si="6">IF(H$12=0,0,H19/H$12)</f>
        <v>0.40099999999999991</v>
      </c>
      <c r="K19" s="4"/>
      <c r="L19" s="4">
        <f t="shared" ref="L19:L25" si="7">+D19-H19</f>
        <v>-148153.69499999998</v>
      </c>
      <c r="M19" s="4"/>
      <c r="N19" s="12">
        <f t="shared" ref="N19:N25" si="8">IF(H19=0,0,L19/H19)</f>
        <v>-0.96977645786446021</v>
      </c>
      <c r="O19" s="10"/>
      <c r="P19" s="4">
        <f>SUM(OSRRefP16x_0)</f>
        <v>8421.06</v>
      </c>
      <c r="Q19" s="4"/>
      <c r="R19" s="12">
        <f t="shared" ref="R19:R25" si="9">IF(P$12=0,0,P19/P$12)</f>
        <v>0.45722324508370416</v>
      </c>
      <c r="S19" s="4"/>
      <c r="T19" s="4">
        <f>SUM(OSRRefT16x_0)</f>
        <v>157382.47500000001</v>
      </c>
      <c r="U19" s="4"/>
      <c r="V19" s="12">
        <f t="shared" ref="V19:V25" si="10">IF(T$12=0,0,T19/T$12)</f>
        <v>0.40100000000000002</v>
      </c>
      <c r="W19" s="4"/>
      <c r="X19" s="4">
        <f t="shared" ref="X19:X25" si="11">+P19-T19</f>
        <v>-148961.41500000001</v>
      </c>
      <c r="Y19" s="4"/>
      <c r="Z19" s="12">
        <f t="shared" ref="Z19:Z25" si="12">IF(T19=0,0,X19/T19)</f>
        <v>-0.94649302598653373</v>
      </c>
    </row>
    <row r="20" spans="1:26" s="24" customFormat="1" hidden="1" outlineLevel="1" x14ac:dyDescent="0.25">
      <c r="A20" s="44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19">
        <f t="shared" si="5"/>
        <v>0</v>
      </c>
      <c r="G20" s="2"/>
      <c r="H20" s="2">
        <v>152770.97499999998</v>
      </c>
      <c r="I20" s="2"/>
      <c r="J20" s="19">
        <f t="shared" si="6"/>
        <v>0.40099999999999991</v>
      </c>
      <c r="K20" s="2"/>
      <c r="L20" s="2">
        <f t="shared" si="7"/>
        <v>-152770.97499999998</v>
      </c>
      <c r="M20" s="2"/>
      <c r="N20" s="19">
        <f t="shared" si="8"/>
        <v>-1</v>
      </c>
      <c r="O20" s="11"/>
      <c r="P20" s="2"/>
      <c r="Q20" s="2"/>
      <c r="R20" s="19">
        <f t="shared" si="9"/>
        <v>0</v>
      </c>
      <c r="S20" s="2"/>
      <c r="T20" s="2">
        <v>157382.47500000001</v>
      </c>
      <c r="U20" s="2"/>
      <c r="V20" s="19">
        <f t="shared" si="10"/>
        <v>0.40100000000000002</v>
      </c>
      <c r="W20" s="2"/>
      <c r="X20" s="2">
        <f t="shared" si="11"/>
        <v>-157382.47500000001</v>
      </c>
      <c r="Y20" s="2"/>
      <c r="Z20" s="19">
        <f t="shared" si="12"/>
        <v>-1</v>
      </c>
    </row>
    <row r="21" spans="1:26" s="24" customFormat="1" hidden="1" outlineLevel="1" x14ac:dyDescent="0.25">
      <c r="A21" s="44"/>
      <c r="B21" s="11" t="str">
        <f>CONCATENATE("          ", "5092", " - ", "PURCHASES @ COST-GRAD MERCH")</f>
        <v xml:space="preserve">          5092 - PURCHASES @ COST-GRAD MERCH</v>
      </c>
      <c r="C21" s="11"/>
      <c r="D21" s="2">
        <v>1036.33</v>
      </c>
      <c r="E21" s="2"/>
      <c r="F21" s="19">
        <f t="shared" si="5"/>
        <v>9.5443912322711363E-2</v>
      </c>
      <c r="G21" s="2"/>
      <c r="H21" s="2"/>
      <c r="I21" s="2"/>
      <c r="J21" s="19">
        <f t="shared" si="6"/>
        <v>0</v>
      </c>
      <c r="K21" s="2"/>
      <c r="L21" s="2">
        <f t="shared" si="7"/>
        <v>1036.33</v>
      </c>
      <c r="M21" s="2"/>
      <c r="N21" s="19">
        <f t="shared" si="8"/>
        <v>0</v>
      </c>
      <c r="O21" s="11"/>
      <c r="P21" s="2">
        <v>3006.48</v>
      </c>
      <c r="Q21" s="2"/>
      <c r="R21" s="19">
        <f t="shared" si="9"/>
        <v>0.16323747151537393</v>
      </c>
      <c r="S21" s="2"/>
      <c r="T21" s="2"/>
      <c r="U21" s="2"/>
      <c r="V21" s="19">
        <f t="shared" si="10"/>
        <v>0</v>
      </c>
      <c r="W21" s="2"/>
      <c r="X21" s="2">
        <f t="shared" si="11"/>
        <v>3006.48</v>
      </c>
      <c r="Y21" s="2"/>
      <c r="Z21" s="19">
        <f t="shared" si="12"/>
        <v>0</v>
      </c>
    </row>
    <row r="22" spans="1:26" s="24" customFormat="1" hidden="1" outlineLevel="1" x14ac:dyDescent="0.25">
      <c r="A22" s="44"/>
      <c r="B22" s="11" t="str">
        <f>CONCATENATE("          ", "5095", " - ", "PURCHASES @ COST-CUSTOMER SERV")</f>
        <v xml:space="preserve">          5095 - PURCHASES @ COST-CUSTOMER SERV</v>
      </c>
      <c r="C22" s="11"/>
      <c r="D22" s="2"/>
      <c r="E22" s="2"/>
      <c r="F22" s="19">
        <f t="shared" si="5"/>
        <v>0</v>
      </c>
      <c r="G22" s="2"/>
      <c r="H22" s="2"/>
      <c r="I22" s="2"/>
      <c r="J22" s="19">
        <f t="shared" si="6"/>
        <v>0</v>
      </c>
      <c r="K22" s="2"/>
      <c r="L22" s="2">
        <f t="shared" si="7"/>
        <v>0</v>
      </c>
      <c r="M22" s="2"/>
      <c r="N22" s="19">
        <f t="shared" si="8"/>
        <v>0</v>
      </c>
      <c r="O22" s="11"/>
      <c r="P22" s="2">
        <v>11.85</v>
      </c>
      <c r="Q22" s="2"/>
      <c r="R22" s="19">
        <f t="shared" si="9"/>
        <v>6.4339827221773674E-4</v>
      </c>
      <c r="S22" s="2"/>
      <c r="T22" s="2"/>
      <c r="U22" s="2"/>
      <c r="V22" s="19">
        <f t="shared" si="10"/>
        <v>0</v>
      </c>
      <c r="W22" s="2"/>
      <c r="X22" s="2">
        <f t="shared" si="11"/>
        <v>11.85</v>
      </c>
      <c r="Y22" s="2"/>
      <c r="Z22" s="19">
        <f t="shared" si="12"/>
        <v>0</v>
      </c>
    </row>
    <row r="23" spans="1:26" s="24" customFormat="1" hidden="1" outlineLevel="1" x14ac:dyDescent="0.25">
      <c r="A23" s="44"/>
      <c r="B23" s="11" t="str">
        <f>CONCATENATE("          ", "5200", " - ", "PURCHASES OFFSET")</f>
        <v xml:space="preserve">          5200 - PURCHASES OFFSET</v>
      </c>
      <c r="C23" s="11"/>
      <c r="D23" s="2">
        <v>-1049</v>
      </c>
      <c r="E23" s="2"/>
      <c r="F23" s="19">
        <f t="shared" si="5"/>
        <v>-9.6610793884693319E-2</v>
      </c>
      <c r="G23" s="2"/>
      <c r="H23" s="2"/>
      <c r="I23" s="2"/>
      <c r="J23" s="19">
        <f t="shared" si="6"/>
        <v>0</v>
      </c>
      <c r="K23" s="2"/>
      <c r="L23" s="2">
        <f t="shared" si="7"/>
        <v>-1049</v>
      </c>
      <c r="M23" s="2"/>
      <c r="N23" s="19">
        <f t="shared" si="8"/>
        <v>0</v>
      </c>
      <c r="O23" s="11"/>
      <c r="P23" s="2">
        <v>-3138</v>
      </c>
      <c r="Q23" s="2"/>
      <c r="R23" s="19">
        <f t="shared" si="9"/>
        <v>-0.17037837790879815</v>
      </c>
      <c r="S23" s="2"/>
      <c r="T23" s="2"/>
      <c r="U23" s="2"/>
      <c r="V23" s="19">
        <f t="shared" si="10"/>
        <v>0</v>
      </c>
      <c r="W23" s="2"/>
      <c r="X23" s="2">
        <f t="shared" si="11"/>
        <v>-3138</v>
      </c>
      <c r="Y23" s="2"/>
      <c r="Z23" s="19">
        <f t="shared" si="12"/>
        <v>0</v>
      </c>
    </row>
    <row r="24" spans="1:26" s="24" customFormat="1" hidden="1" outlineLevel="1" x14ac:dyDescent="0.25">
      <c r="A24" s="44"/>
      <c r="B24" s="11" t="str">
        <f>CONCATENATE("          ", "5300", " - ", "COG$ OFFSET")</f>
        <v xml:space="preserve">          5300 - COG$ OFFSET</v>
      </c>
      <c r="C24" s="11"/>
      <c r="D24" s="2">
        <v>4617</v>
      </c>
      <c r="E24" s="2"/>
      <c r="F24" s="19">
        <f t="shared" si="5"/>
        <v>0.42521643028181988</v>
      </c>
      <c r="G24" s="2"/>
      <c r="H24" s="2"/>
      <c r="I24" s="2"/>
      <c r="J24" s="19">
        <f t="shared" si="6"/>
        <v>0</v>
      </c>
      <c r="K24" s="2"/>
      <c r="L24" s="2">
        <f t="shared" si="7"/>
        <v>4617</v>
      </c>
      <c r="M24" s="2"/>
      <c r="N24" s="19">
        <f t="shared" si="8"/>
        <v>0</v>
      </c>
      <c r="O24" s="11"/>
      <c r="P24" s="2">
        <v>8422</v>
      </c>
      <c r="Q24" s="2"/>
      <c r="R24" s="19">
        <f t="shared" si="9"/>
        <v>0.45727428258377883</v>
      </c>
      <c r="S24" s="2"/>
      <c r="T24" s="2"/>
      <c r="U24" s="2"/>
      <c r="V24" s="19">
        <f t="shared" si="10"/>
        <v>0</v>
      </c>
      <c r="W24" s="2"/>
      <c r="X24" s="2">
        <f t="shared" si="11"/>
        <v>8422</v>
      </c>
      <c r="Y24" s="2"/>
      <c r="Z24" s="19">
        <f t="shared" si="12"/>
        <v>0</v>
      </c>
    </row>
    <row r="25" spans="1:26" s="24" customFormat="1" hidden="1" outlineLevel="1" x14ac:dyDescent="0.25">
      <c r="A25" s="44"/>
      <c r="B25" s="11" t="str">
        <f>CONCATENATE("          ", "5592", " - ", "FREIGHT-IN-GRAD MERCH")</f>
        <v xml:space="preserve">          5592 - FREIGHT-IN-GRAD MERCH</v>
      </c>
      <c r="C25" s="11"/>
      <c r="D25" s="2">
        <v>12.95</v>
      </c>
      <c r="E25" s="2"/>
      <c r="F25" s="19">
        <f t="shared" si="5"/>
        <v>1.192668999815804E-3</v>
      </c>
      <c r="G25" s="2"/>
      <c r="H25" s="2"/>
      <c r="I25" s="2"/>
      <c r="J25" s="19">
        <f t="shared" si="6"/>
        <v>0</v>
      </c>
      <c r="K25" s="2"/>
      <c r="L25" s="2">
        <f t="shared" si="7"/>
        <v>12.95</v>
      </c>
      <c r="M25" s="2"/>
      <c r="N25" s="19">
        <f t="shared" si="8"/>
        <v>0</v>
      </c>
      <c r="O25" s="11"/>
      <c r="P25" s="2">
        <v>118.73</v>
      </c>
      <c r="Q25" s="2"/>
      <c r="R25" s="19">
        <f t="shared" si="9"/>
        <v>6.446470621131805E-3</v>
      </c>
      <c r="S25" s="2"/>
      <c r="T25" s="2"/>
      <c r="U25" s="2"/>
      <c r="V25" s="19">
        <f t="shared" si="10"/>
        <v>0</v>
      </c>
      <c r="W25" s="2"/>
      <c r="X25" s="2">
        <f t="shared" si="11"/>
        <v>118.73</v>
      </c>
      <c r="Y25" s="2"/>
      <c r="Z25" s="19">
        <f t="shared" si="12"/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6</v>
      </c>
      <c r="C27" s="28"/>
      <c r="D27" s="20">
        <f>D12-D19</f>
        <v>6240.72</v>
      </c>
      <c r="E27" s="14"/>
      <c r="F27" s="22">
        <f>IF(D$12=0,0,D27/D$12)</f>
        <v>0.57475778228034635</v>
      </c>
      <c r="G27" s="14"/>
      <c r="H27" s="20">
        <f>H12-H19</f>
        <v>228204.02500000002</v>
      </c>
      <c r="I27" s="14"/>
      <c r="J27" s="22">
        <f>IF(H$12=0,0,H27/H$12)</f>
        <v>0.59900000000000009</v>
      </c>
      <c r="K27" s="16"/>
      <c r="L27" s="20">
        <f>+D27-H27</f>
        <v>-221963.30500000002</v>
      </c>
      <c r="M27" s="16"/>
      <c r="N27" s="22">
        <f>IF(H27=0,0,L27/H27)</f>
        <v>-0.972652892515809</v>
      </c>
      <c r="O27" s="29"/>
      <c r="P27" s="20">
        <f>P12-P19</f>
        <v>9996.7700000000023</v>
      </c>
      <c r="Q27" s="14"/>
      <c r="R27" s="22">
        <f>IF(P$12=0,0,P27/P$12)</f>
        <v>0.54277675491629584</v>
      </c>
      <c r="S27" s="14"/>
      <c r="T27" s="20">
        <f>T12-T19</f>
        <v>235092.52499999999</v>
      </c>
      <c r="U27" s="14"/>
      <c r="V27" s="22">
        <f>IF(T$12=0,0,T27/T$12)</f>
        <v>0.59899999999999998</v>
      </c>
      <c r="W27" s="16"/>
      <c r="X27" s="20">
        <f>+P27-T27</f>
        <v>-225095.755</v>
      </c>
      <c r="Y27" s="16"/>
      <c r="Z27" s="22">
        <f>IF(T27=0,0,X27/T27)</f>
        <v>-0.95747729537551229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9" t="s">
        <v>9</v>
      </c>
      <c r="C29" s="10"/>
      <c r="D29" s="21">
        <f>SUM(OSRRefD22x_0)</f>
        <v>3503.6600000000003</v>
      </c>
      <c r="E29" s="21"/>
      <c r="F29" s="30">
        <f t="shared" ref="F29:F38" si="13">IF(D$12=0,0,D29/D$12)</f>
        <v>0.32268005157487567</v>
      </c>
      <c r="G29" s="21"/>
      <c r="H29" s="21">
        <f>SUM(OSRRefH22x_0)</f>
        <v>19053.107776115383</v>
      </c>
      <c r="I29" s="21"/>
      <c r="J29" s="30">
        <f t="shared" ref="J29:J38" si="14">IF(H$12=0,0,H29/H$12)</f>
        <v>5.0011438483142941E-2</v>
      </c>
      <c r="K29" s="4"/>
      <c r="L29" s="21">
        <f t="shared" ref="L29:L38" si="15">+D29-H29</f>
        <v>-15549.447776115383</v>
      </c>
      <c r="M29" s="4"/>
      <c r="N29" s="30">
        <f t="shared" ref="N29:N38" si="16">IF(H29=0,0,L29/H29)</f>
        <v>-0.81611083917805149</v>
      </c>
      <c r="O29" s="10"/>
      <c r="P29" s="21">
        <f>SUM(OSRRefP22x_0)</f>
        <v>-760.73999999999853</v>
      </c>
      <c r="Q29" s="21"/>
      <c r="R29" s="30">
        <f t="shared" ref="R29:R38" si="17">IF(P$12=0,0,P29/P$12)</f>
        <v>-4.130454021999326E-2</v>
      </c>
      <c r="S29" s="21"/>
      <c r="T29" s="21">
        <f>SUM(OSRRefT22x_0)</f>
        <v>-18171.96687887497</v>
      </c>
      <c r="U29" s="21"/>
      <c r="V29" s="30">
        <f t="shared" ref="V29:V38" si="18">IF(T$12=0,0,T29/T$12)</f>
        <v>-4.6300953892286056E-2</v>
      </c>
      <c r="W29" s="4"/>
      <c r="X29" s="21">
        <f t="shared" ref="X29:X38" si="19">+P29-T29</f>
        <v>17411.226878874972</v>
      </c>
      <c r="Y29" s="4"/>
      <c r="Z29" s="30">
        <f t="shared" ref="Z29:Z38" si="20">IF(T29=0,0,X29/T29)</f>
        <v>-0.95813661751252899</v>
      </c>
    </row>
    <row r="30" spans="1:26" s="27" customFormat="1" outlineLevel="1" collapsed="1" x14ac:dyDescent="0.25">
      <c r="A30" s="26"/>
      <c r="B30" s="13" t="str">
        <f>CONCATENATE("     ","*Benefits                                         ")</f>
        <v xml:space="preserve">     *Benefits                                         </v>
      </c>
      <c r="C30" s="13"/>
      <c r="D30" s="1">
        <f>SUM(OSRRefD22_0x_0)</f>
        <v>53.15</v>
      </c>
      <c r="E30" s="1"/>
      <c r="F30" s="5">
        <f t="shared" si="13"/>
        <v>4.8950082888193037E-3</v>
      </c>
      <c r="G30" s="1"/>
      <c r="H30" s="1">
        <f>SUM(OSRRefH22_0x_0)</f>
        <v>2496.3679299615337</v>
      </c>
      <c r="I30" s="1"/>
      <c r="J30" s="5">
        <f t="shared" si="14"/>
        <v>6.5525767569040846E-3</v>
      </c>
      <c r="K30" s="1"/>
      <c r="L30" s="1">
        <f t="shared" si="15"/>
        <v>-2443.2179299615336</v>
      </c>
      <c r="M30" s="1"/>
      <c r="N30" s="5">
        <f t="shared" si="16"/>
        <v>-0.97870906793742574</v>
      </c>
      <c r="O30" s="13"/>
      <c r="P30" s="1">
        <f>SUM(OSRRefP22_0x_0)</f>
        <v>874.44</v>
      </c>
      <c r="Q30" s="1"/>
      <c r="R30" s="5">
        <f t="shared" si="17"/>
        <v>4.7477905920512896E-2</v>
      </c>
      <c r="S30" s="1"/>
      <c r="T30" s="1">
        <f>SUM(OSRRefT22_0x_0)</f>
        <v>12359.083621124997</v>
      </c>
      <c r="U30" s="1"/>
      <c r="V30" s="5">
        <f t="shared" si="18"/>
        <v>3.1490116876552642E-2</v>
      </c>
      <c r="W30" s="1"/>
      <c r="X30" s="1">
        <f t="shared" si="19"/>
        <v>-11484.643621124997</v>
      </c>
      <c r="Y30" s="1"/>
      <c r="Z30" s="5">
        <f t="shared" si="20"/>
        <v>-0.92924718152199026</v>
      </c>
    </row>
    <row r="31" spans="1:26" s="24" customFormat="1" hidden="1" outlineLevel="2" x14ac:dyDescent="0.25">
      <c r="A31" s="25"/>
      <c r="B31" s="11" t="str">
        <f>CONCATENATE("          ", "6111", " - ", "F.I.C.A.")</f>
        <v xml:space="preserve">          6111 - F.I.C.A.</v>
      </c>
      <c r="C31" s="11"/>
      <c r="D31" s="6">
        <v>53.15</v>
      </c>
      <c r="E31" s="2"/>
      <c r="F31" s="7">
        <f t="shared" si="13"/>
        <v>4.8950082888193037E-3</v>
      </c>
      <c r="G31" s="2"/>
      <c r="H31" s="6">
        <v>1074.4761961153799</v>
      </c>
      <c r="I31" s="2"/>
      <c r="J31" s="7">
        <f t="shared" si="14"/>
        <v>2.8203325575572673E-3</v>
      </c>
      <c r="K31" s="2"/>
      <c r="L31" s="6">
        <f t="shared" si="15"/>
        <v>-1021.32619611538</v>
      </c>
      <c r="M31" s="2"/>
      <c r="N31" s="7">
        <f t="shared" si="16"/>
        <v>-0.95053403677796078</v>
      </c>
      <c r="O31" s="11"/>
      <c r="P31" s="6">
        <v>208.81</v>
      </c>
      <c r="Q31" s="2"/>
      <c r="R31" s="7">
        <f t="shared" si="17"/>
        <v>1.1337383394243512E-2</v>
      </c>
      <c r="S31" s="2"/>
      <c r="T31" s="6">
        <v>2402.2891361249981</v>
      </c>
      <c r="U31" s="2"/>
      <c r="V31" s="7">
        <f t="shared" si="18"/>
        <v>6.1208717399197357E-3</v>
      </c>
      <c r="W31" s="2"/>
      <c r="X31" s="6">
        <f t="shared" si="19"/>
        <v>-2193.4791361249981</v>
      </c>
      <c r="Y31" s="2"/>
      <c r="Z31" s="7">
        <f t="shared" si="20"/>
        <v>-0.91307873941568085</v>
      </c>
    </row>
    <row r="32" spans="1:26" s="24" customFormat="1" hidden="1" outlineLevel="2" x14ac:dyDescent="0.25">
      <c r="A32" s="25"/>
      <c r="B32" s="11" t="str">
        <f>CONCATENATE("          ", "6112", " - ", "COMPENSATION INSURANCE")</f>
        <v xml:space="preserve">          6112 - COMPENSATION INSURANCE</v>
      </c>
      <c r="C32" s="11"/>
      <c r="D32" s="6"/>
      <c r="E32" s="2"/>
      <c r="F32" s="7">
        <f t="shared" si="13"/>
        <v>0</v>
      </c>
      <c r="G32" s="2"/>
      <c r="H32" s="6">
        <v>266.758757692308</v>
      </c>
      <c r="I32" s="2"/>
      <c r="J32" s="7">
        <f t="shared" si="14"/>
        <v>7.0020016455753784E-4</v>
      </c>
      <c r="K32" s="2"/>
      <c r="L32" s="6">
        <f t="shared" si="15"/>
        <v>-266.758757692308</v>
      </c>
      <c r="M32" s="2"/>
      <c r="N32" s="7">
        <f t="shared" si="16"/>
        <v>-1</v>
      </c>
      <c r="O32" s="11"/>
      <c r="P32" s="6">
        <v>22.05</v>
      </c>
      <c r="Q32" s="2"/>
      <c r="R32" s="7">
        <f t="shared" si="17"/>
        <v>1.1972094432405988E-3</v>
      </c>
      <c r="S32" s="2"/>
      <c r="T32" s="6">
        <v>596.4130875000003</v>
      </c>
      <c r="U32" s="2"/>
      <c r="V32" s="7">
        <f t="shared" si="18"/>
        <v>1.5196205809287224E-3</v>
      </c>
      <c r="W32" s="2"/>
      <c r="X32" s="6">
        <f t="shared" si="19"/>
        <v>-574.36308750000035</v>
      </c>
      <c r="Y32" s="2"/>
      <c r="Z32" s="7">
        <f t="shared" si="20"/>
        <v>-0.96302898031224049</v>
      </c>
    </row>
    <row r="33" spans="1:26" s="24" customFormat="1" hidden="1" outlineLevel="2" x14ac:dyDescent="0.25">
      <c r="A33" s="25"/>
      <c r="B33" s="11" t="str">
        <f>CONCATENATE("          ", "6113", " - ", "GROUP INSURANCE")</f>
        <v xml:space="preserve">          6113 - GROUP INSURANCE</v>
      </c>
      <c r="C33" s="11"/>
      <c r="D33" s="6"/>
      <c r="E33" s="2"/>
      <c r="F33" s="7">
        <f t="shared" si="13"/>
        <v>0</v>
      </c>
      <c r="G33" s="2"/>
      <c r="H33" s="6">
        <v>660</v>
      </c>
      <c r="I33" s="2"/>
      <c r="J33" s="7">
        <f t="shared" si="14"/>
        <v>1.7323971389198766E-3</v>
      </c>
      <c r="K33" s="2"/>
      <c r="L33" s="6">
        <f t="shared" si="15"/>
        <v>-660</v>
      </c>
      <c r="M33" s="2"/>
      <c r="N33" s="7">
        <f t="shared" si="16"/>
        <v>-1</v>
      </c>
      <c r="O33" s="11"/>
      <c r="P33" s="6">
        <v>305.26</v>
      </c>
      <c r="Q33" s="2"/>
      <c r="R33" s="7">
        <f t="shared" si="17"/>
        <v>1.6574156673180282E-2</v>
      </c>
      <c r="S33" s="2"/>
      <c r="T33" s="6">
        <v>5940</v>
      </c>
      <c r="U33" s="2"/>
      <c r="V33" s="7">
        <f t="shared" si="18"/>
        <v>1.5134721956812536E-2</v>
      </c>
      <c r="W33" s="2"/>
      <c r="X33" s="6">
        <f t="shared" si="19"/>
        <v>-5634.74</v>
      </c>
      <c r="Y33" s="2"/>
      <c r="Z33" s="7">
        <f t="shared" si="20"/>
        <v>-0.94860942760942757</v>
      </c>
    </row>
    <row r="34" spans="1:26" s="24" customFormat="1" hidden="1" outlineLevel="2" x14ac:dyDescent="0.25">
      <c r="A34" s="25"/>
      <c r="B34" s="11" t="str">
        <f>CONCATENATE("          ", "6114", " - ", "STATE UNEMPLOYMENT INSURANCE")</f>
        <v xml:space="preserve">          6114 - STATE UNEMPLOYMENT INSURANCE</v>
      </c>
      <c r="C34" s="11"/>
      <c r="D34" s="6"/>
      <c r="E34" s="2"/>
      <c r="F34" s="7">
        <f t="shared" si="13"/>
        <v>0</v>
      </c>
      <c r="G34" s="2"/>
      <c r="H34" s="6">
        <v>36.503830000000001</v>
      </c>
      <c r="I34" s="2"/>
      <c r="J34" s="7">
        <f t="shared" si="14"/>
        <v>9.5816864623662968E-5</v>
      </c>
      <c r="K34" s="2"/>
      <c r="L34" s="6">
        <f t="shared" si="15"/>
        <v>-36.503830000000001</v>
      </c>
      <c r="M34" s="2"/>
      <c r="N34" s="7">
        <f t="shared" si="16"/>
        <v>-1</v>
      </c>
      <c r="O34" s="11"/>
      <c r="P34" s="6">
        <v>5</v>
      </c>
      <c r="Q34" s="2"/>
      <c r="R34" s="7">
        <f t="shared" si="17"/>
        <v>2.7147606422689316E-4</v>
      </c>
      <c r="S34" s="2"/>
      <c r="T34" s="6">
        <v>81.614422500000003</v>
      </c>
      <c r="U34" s="2"/>
      <c r="V34" s="7">
        <f t="shared" si="18"/>
        <v>2.0794807949550928E-4</v>
      </c>
      <c r="W34" s="2"/>
      <c r="X34" s="6">
        <f t="shared" si="19"/>
        <v>-76.614422500000003</v>
      </c>
      <c r="Y34" s="2"/>
      <c r="Z34" s="7">
        <f t="shared" si="20"/>
        <v>-0.93873631832658011</v>
      </c>
    </row>
    <row r="35" spans="1:26" s="24" customFormat="1" hidden="1" outlineLevel="2" x14ac:dyDescent="0.25">
      <c r="A35" s="25"/>
      <c r="B35" s="11" t="str">
        <f>CONCATENATE("          ", "6115", " - ", "P.E.R.S.")</f>
        <v xml:space="preserve">          6115 - P.E.R.S.</v>
      </c>
      <c r="C35" s="11"/>
      <c r="D35" s="6"/>
      <c r="E35" s="2"/>
      <c r="F35" s="7">
        <f t="shared" si="13"/>
        <v>0</v>
      </c>
      <c r="G35" s="2"/>
      <c r="H35" s="6">
        <v>175.434376923077</v>
      </c>
      <c r="I35" s="2"/>
      <c r="J35" s="7">
        <f t="shared" si="14"/>
        <v>4.6048789795413611E-4</v>
      </c>
      <c r="K35" s="2"/>
      <c r="L35" s="6">
        <f t="shared" si="15"/>
        <v>-175.434376923077</v>
      </c>
      <c r="M35" s="2"/>
      <c r="N35" s="7">
        <f t="shared" si="16"/>
        <v>-1</v>
      </c>
      <c r="O35" s="11"/>
      <c r="P35" s="6">
        <v>134.12</v>
      </c>
      <c r="Q35" s="2"/>
      <c r="R35" s="7">
        <f t="shared" si="17"/>
        <v>7.2820739468221823E-3</v>
      </c>
      <c r="S35" s="2"/>
      <c r="T35" s="6">
        <v>1667.553975</v>
      </c>
      <c r="U35" s="2"/>
      <c r="V35" s="7">
        <f t="shared" si="18"/>
        <v>4.2488157844448688E-3</v>
      </c>
      <c r="W35" s="2"/>
      <c r="X35" s="6">
        <f t="shared" si="19"/>
        <v>-1533.4339749999999</v>
      </c>
      <c r="Y35" s="2"/>
      <c r="Z35" s="7">
        <f t="shared" si="20"/>
        <v>-0.91957081928937257</v>
      </c>
    </row>
    <row r="36" spans="1:26" s="24" customFormat="1" hidden="1" outlineLevel="2" x14ac:dyDescent="0.25">
      <c r="A36" s="25"/>
      <c r="B36" s="11" t="str">
        <f>CONCATENATE("          ", "6116", " - ", "EDUCATIONAL BENEFITS")</f>
        <v xml:space="preserve">          6116 - EDUCATIONAL BENEFITS</v>
      </c>
      <c r="C36" s="11"/>
      <c r="D36" s="6"/>
      <c r="E36" s="2"/>
      <c r="F36" s="7">
        <f t="shared" si="13"/>
        <v>0</v>
      </c>
      <c r="G36" s="2"/>
      <c r="H36" s="6">
        <v>0</v>
      </c>
      <c r="I36" s="2"/>
      <c r="J36" s="7">
        <f t="shared" si="14"/>
        <v>0</v>
      </c>
      <c r="K36" s="2"/>
      <c r="L36" s="6">
        <f t="shared" si="15"/>
        <v>0</v>
      </c>
      <c r="M36" s="2"/>
      <c r="N36" s="7">
        <f t="shared" si="16"/>
        <v>0</v>
      </c>
      <c r="O36" s="11"/>
      <c r="P36" s="6"/>
      <c r="Q36" s="2"/>
      <c r="R36" s="7">
        <f t="shared" si="17"/>
        <v>0</v>
      </c>
      <c r="S36" s="2"/>
      <c r="T36" s="6">
        <v>0</v>
      </c>
      <c r="U36" s="2"/>
      <c r="V36" s="7">
        <f t="shared" si="18"/>
        <v>0</v>
      </c>
      <c r="W36" s="2"/>
      <c r="X36" s="6">
        <f t="shared" si="19"/>
        <v>0</v>
      </c>
      <c r="Y36" s="2"/>
      <c r="Z36" s="7">
        <f t="shared" si="20"/>
        <v>0</v>
      </c>
    </row>
    <row r="37" spans="1:26" s="24" customFormat="1" hidden="1" outlineLevel="2" x14ac:dyDescent="0.25">
      <c r="A37" s="25"/>
      <c r="B37" s="11" t="str">
        <f>CONCATENATE("          ", "6118", " - ", "VACATION")</f>
        <v xml:space="preserve">          6118 - VACATION</v>
      </c>
      <c r="C37" s="11"/>
      <c r="D37" s="6"/>
      <c r="E37" s="2"/>
      <c r="F37" s="7">
        <f t="shared" si="13"/>
        <v>0</v>
      </c>
      <c r="G37" s="2"/>
      <c r="H37" s="6">
        <v>101.99673076923101</v>
      </c>
      <c r="I37" s="2"/>
      <c r="J37" s="7">
        <f t="shared" si="14"/>
        <v>2.6772552206635869E-4</v>
      </c>
      <c r="K37" s="2"/>
      <c r="L37" s="6">
        <f t="shared" si="15"/>
        <v>-101.99673076923101</v>
      </c>
      <c r="M37" s="2"/>
      <c r="N37" s="7">
        <f t="shared" si="16"/>
        <v>-1</v>
      </c>
      <c r="O37" s="11"/>
      <c r="P37" s="6">
        <v>110.64</v>
      </c>
      <c r="Q37" s="2"/>
      <c r="R37" s="7">
        <f t="shared" si="17"/>
        <v>6.0072223492126913E-3</v>
      </c>
      <c r="S37" s="2"/>
      <c r="T37" s="6">
        <v>969.50812499999904</v>
      </c>
      <c r="U37" s="2"/>
      <c r="V37" s="7">
        <f t="shared" si="18"/>
        <v>2.4702417351423634E-3</v>
      </c>
      <c r="W37" s="2"/>
      <c r="X37" s="6">
        <f t="shared" si="19"/>
        <v>-858.86812499999905</v>
      </c>
      <c r="Y37" s="2"/>
      <c r="Z37" s="7">
        <f t="shared" si="20"/>
        <v>-0.88588027562945892</v>
      </c>
    </row>
    <row r="38" spans="1:26" s="24" customFormat="1" hidden="1" outlineLevel="2" x14ac:dyDescent="0.25">
      <c r="A38" s="25"/>
      <c r="B38" s="11" t="str">
        <f>CONCATENATE("          ", "6119", " - ", "SICK LEAVE")</f>
        <v xml:space="preserve">          6119 - SICK LEAVE</v>
      </c>
      <c r="C38" s="11"/>
      <c r="D38" s="6"/>
      <c r="E38" s="2"/>
      <c r="F38" s="7">
        <f t="shared" si="13"/>
        <v>0</v>
      </c>
      <c r="G38" s="2"/>
      <c r="H38" s="6">
        <v>181.198038461538</v>
      </c>
      <c r="I38" s="2"/>
      <c r="J38" s="7">
        <f t="shared" si="14"/>
        <v>4.7561661122524576E-4</v>
      </c>
      <c r="K38" s="2"/>
      <c r="L38" s="6">
        <f t="shared" si="15"/>
        <v>-181.198038461538</v>
      </c>
      <c r="M38" s="2"/>
      <c r="N38" s="7">
        <f t="shared" si="16"/>
        <v>-1</v>
      </c>
      <c r="O38" s="11"/>
      <c r="P38" s="6">
        <v>88.56</v>
      </c>
      <c r="Q38" s="2"/>
      <c r="R38" s="7">
        <f t="shared" si="17"/>
        <v>4.808384049586732E-3</v>
      </c>
      <c r="S38" s="2"/>
      <c r="T38" s="6">
        <v>701.70487499999979</v>
      </c>
      <c r="U38" s="2"/>
      <c r="V38" s="7">
        <f t="shared" si="18"/>
        <v>1.7878969998089045E-3</v>
      </c>
      <c r="W38" s="2"/>
      <c r="X38" s="6">
        <f t="shared" si="19"/>
        <v>-613.14487499999973</v>
      </c>
      <c r="Y38" s="2"/>
      <c r="Z38" s="7">
        <f t="shared" si="20"/>
        <v>-0.8737930957085055</v>
      </c>
    </row>
    <row r="39" spans="1:26" s="27" customFormat="1" outlineLevel="1" collapsed="1" x14ac:dyDescent="0.25">
      <c r="A39" s="26"/>
      <c r="B39" s="13" t="str">
        <f>CONCATENATE("     ","*Payroll                                          ")</f>
        <v xml:space="preserve">     *Payroll                                          </v>
      </c>
      <c r="C39" s="13"/>
      <c r="D39" s="1">
        <f>SUM(OSRRefD22_1x_0)</f>
        <v>4116.26</v>
      </c>
      <c r="E39" s="1"/>
      <c r="F39" s="5">
        <f t="shared" ref="F39:F49" si="21">IF(D$12=0,0,D39/D$12)</f>
        <v>0.37909928163566037</v>
      </c>
      <c r="G39" s="1"/>
      <c r="H39" s="1">
        <f>SUM(OSRRefH22_1x_0)</f>
        <v>13756.739846153851</v>
      </c>
      <c r="I39" s="1"/>
      <c r="J39" s="5">
        <f t="shared" ref="J39:J49" si="22">IF(H$12=0,0,H39/H$12)</f>
        <v>3.6109298106578779E-2</v>
      </c>
      <c r="K39" s="1"/>
      <c r="L39" s="1">
        <f t="shared" ref="L39:L49" si="23">+D39-H39</f>
        <v>-9640.4798461538503</v>
      </c>
      <c r="M39" s="1"/>
      <c r="N39" s="5">
        <f t="shared" ref="N39:N49" si="24">IF(H39=0,0,L39/H39)</f>
        <v>-0.70078230408995945</v>
      </c>
      <c r="O39" s="13"/>
      <c r="P39" s="1">
        <f>SUM(OSRRefP22_1x_0)</f>
        <v>6103</v>
      </c>
      <c r="Q39" s="1"/>
      <c r="R39" s="5">
        <f t="shared" ref="R39:R49" si="25">IF(P$12=0,0,P39/P$12)</f>
        <v>0.33136368399534577</v>
      </c>
      <c r="S39" s="1"/>
      <c r="T39" s="1">
        <f>SUM(OSRRefT22_1x_0)</f>
        <v>29718.949500000032</v>
      </c>
      <c r="U39" s="1"/>
      <c r="V39" s="5">
        <f t="shared" ref="V39:V49" si="26">IF(T$12=0,0,T39/T$12)</f>
        <v>7.5721891840244679E-2</v>
      </c>
      <c r="W39" s="1"/>
      <c r="X39" s="1">
        <f t="shared" ref="X39:X49" si="27">+P39-T39</f>
        <v>-23615.949500000032</v>
      </c>
      <c r="Y39" s="1"/>
      <c r="Z39" s="5">
        <f t="shared" ref="Z39:Z49" si="28">IF(T39=0,0,X39/T39)</f>
        <v>-0.79464280862282854</v>
      </c>
    </row>
    <row r="40" spans="1:26" s="24" customFormat="1" hidden="1" outlineLevel="2" x14ac:dyDescent="0.25">
      <c r="A40" s="25"/>
      <c r="B40" s="11" t="str">
        <f>CONCATENATE("          ", "6001", " - ", "ADMINISTRATIVE SALARIES")</f>
        <v xml:space="preserve">          6001 - ADMINISTRATIVE SALARIES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/>
      <c r="Q40" s="2"/>
      <c r="R40" s="7">
        <f t="shared" si="25"/>
        <v>0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0</v>
      </c>
      <c r="Y40" s="2"/>
      <c r="Z40" s="7">
        <f t="shared" si="28"/>
        <v>0</v>
      </c>
    </row>
    <row r="41" spans="1:26" s="24" customFormat="1" hidden="1" outlineLevel="2" x14ac:dyDescent="0.25">
      <c r="A41" s="25"/>
      <c r="B41" s="11" t="str">
        <f>CONCATENATE("          ", "6002", " - ", "STAFF SALARIES")</f>
        <v xml:space="preserve">          6002 - STAFF SALARIES</v>
      </c>
      <c r="C41" s="11"/>
      <c r="D41" s="6"/>
      <c r="E41" s="2"/>
      <c r="F41" s="7">
        <f t="shared" si="21"/>
        <v>0</v>
      </c>
      <c r="G41" s="2"/>
      <c r="H41" s="6">
        <v>1876.7398461538501</v>
      </c>
      <c r="I41" s="2"/>
      <c r="J41" s="7">
        <f t="shared" si="22"/>
        <v>4.9261496060209993E-3</v>
      </c>
      <c r="K41" s="2"/>
      <c r="L41" s="6">
        <f t="shared" si="23"/>
        <v>-1876.7398461538501</v>
      </c>
      <c r="M41" s="2"/>
      <c r="N41" s="7">
        <f t="shared" si="24"/>
        <v>-1</v>
      </c>
      <c r="O41" s="11"/>
      <c r="P41" s="6">
        <v>1872</v>
      </c>
      <c r="Q41" s="2"/>
      <c r="R41" s="7">
        <f t="shared" si="25"/>
        <v>0.1016406384465488</v>
      </c>
      <c r="S41" s="2"/>
      <c r="T41" s="6">
        <v>17838.949500000032</v>
      </c>
      <c r="U41" s="2"/>
      <c r="V41" s="7">
        <f t="shared" si="26"/>
        <v>4.5452447926619607E-2</v>
      </c>
      <c r="W41" s="2"/>
      <c r="X41" s="6">
        <f t="shared" si="27"/>
        <v>-15966.949500000032</v>
      </c>
      <c r="Y41" s="2"/>
      <c r="Z41" s="7">
        <f t="shared" si="28"/>
        <v>-0.89506108529540951</v>
      </c>
    </row>
    <row r="42" spans="1:26" s="24" customFormat="1" hidden="1" outlineLevel="2" x14ac:dyDescent="0.25">
      <c r="A42" s="25"/>
      <c r="B42" s="11" t="str">
        <f>CONCATENATE("          ", "6003", " - ", "STAFF HOURLY-9 MONTH")</f>
        <v xml:space="preserve">          6003 - STAFF HOURLY-9 MONTH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/>
      <c r="Q42" s="2"/>
      <c r="R42" s="7">
        <f t="shared" si="25"/>
        <v>0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0</v>
      </c>
      <c r="Y42" s="2"/>
      <c r="Z42" s="7">
        <f t="shared" si="28"/>
        <v>0</v>
      </c>
    </row>
    <row r="43" spans="1:26" s="24" customFormat="1" hidden="1" outlineLevel="2" x14ac:dyDescent="0.25">
      <c r="A43" s="25"/>
      <c r="B43" s="11" t="str">
        <f>CONCATENATE("          ", "6004", " - ", "STAFF HOURLY")</f>
        <v xml:space="preserve">          6004 - STAFF HOURLY</v>
      </c>
      <c r="C43" s="11"/>
      <c r="D43" s="6">
        <v>491.67</v>
      </c>
      <c r="E43" s="2"/>
      <c r="F43" s="7">
        <f t="shared" si="21"/>
        <v>4.5281819856327135E-2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491.67</v>
      </c>
      <c r="M43" s="2"/>
      <c r="N43" s="7">
        <f t="shared" si="24"/>
        <v>0</v>
      </c>
      <c r="O43" s="11"/>
      <c r="P43" s="6">
        <v>491.67</v>
      </c>
      <c r="Q43" s="2"/>
      <c r="R43" s="7">
        <f t="shared" si="25"/>
        <v>2.6695327299687311E-2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491.67</v>
      </c>
      <c r="Y43" s="2"/>
      <c r="Z43" s="7">
        <f t="shared" si="28"/>
        <v>0</v>
      </c>
    </row>
    <row r="44" spans="1:26" s="24" customFormat="1" hidden="1" outlineLevel="2" x14ac:dyDescent="0.25">
      <c r="A44" s="25"/>
      <c r="B44" s="11" t="str">
        <f>CONCATENATE("          ", "6005", " - ", "TEMPORARY WAGES-HOURLY")</f>
        <v xml:space="preserve">          6005 - TEMPORARY WAGES-HOURLY</v>
      </c>
      <c r="C44" s="11"/>
      <c r="D44" s="6">
        <v>140.61000000000001</v>
      </c>
      <c r="E44" s="2"/>
      <c r="F44" s="7">
        <f t="shared" si="21"/>
        <v>1.2949898692208511E-2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140.61000000000001</v>
      </c>
      <c r="M44" s="2"/>
      <c r="N44" s="7">
        <f t="shared" si="24"/>
        <v>0</v>
      </c>
      <c r="O44" s="11"/>
      <c r="P44" s="6">
        <v>140.61000000000001</v>
      </c>
      <c r="Q44" s="2"/>
      <c r="R44" s="7">
        <f t="shared" si="25"/>
        <v>7.6344498781886899E-3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140.61000000000001</v>
      </c>
      <c r="Y44" s="2"/>
      <c r="Z44" s="7">
        <f t="shared" si="28"/>
        <v>0</v>
      </c>
    </row>
    <row r="45" spans="1:26" s="24" customFormat="1" hidden="1" outlineLevel="2" x14ac:dyDescent="0.25">
      <c r="A45" s="25"/>
      <c r="B45" s="11" t="str">
        <f>CONCATENATE("          ", "6006", " - ", "TEMPORARY PART TIME")</f>
        <v xml:space="preserve">          6006 - TEMPORARY PART TIME</v>
      </c>
      <c r="C45" s="11"/>
      <c r="D45" s="6">
        <v>62.98</v>
      </c>
      <c r="E45" s="2"/>
      <c r="F45" s="7">
        <f t="shared" si="21"/>
        <v>5.800331552772149E-3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62.98</v>
      </c>
      <c r="M45" s="2"/>
      <c r="N45" s="7">
        <f t="shared" si="24"/>
        <v>0</v>
      </c>
      <c r="O45" s="11"/>
      <c r="P45" s="6">
        <v>120.35</v>
      </c>
      <c r="Q45" s="2"/>
      <c r="R45" s="7">
        <f t="shared" si="25"/>
        <v>6.5344288659413179E-3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120.35</v>
      </c>
      <c r="Y45" s="2"/>
      <c r="Z45" s="7">
        <f t="shared" si="28"/>
        <v>0</v>
      </c>
    </row>
    <row r="46" spans="1:26" s="24" customFormat="1" hidden="1" outlineLevel="2" x14ac:dyDescent="0.25">
      <c r="A46" s="25"/>
      <c r="B46" s="11" t="str">
        <f>CONCATENATE("          ", "6007", " - ", "STUDENT HOURLY")</f>
        <v xml:space="preserve">          6007 - STUDENT HOURLY</v>
      </c>
      <c r="C46" s="11"/>
      <c r="D46" s="6">
        <v>3421</v>
      </c>
      <c r="E46" s="2"/>
      <c r="F46" s="7">
        <f t="shared" si="21"/>
        <v>0.31506723153435257</v>
      </c>
      <c r="G46" s="2"/>
      <c r="H46" s="6">
        <v>11880</v>
      </c>
      <c r="I46" s="2"/>
      <c r="J46" s="7">
        <f t="shared" si="22"/>
        <v>3.118314850055778E-2</v>
      </c>
      <c r="K46" s="2"/>
      <c r="L46" s="6">
        <f t="shared" si="23"/>
        <v>-8459</v>
      </c>
      <c r="M46" s="2"/>
      <c r="N46" s="7">
        <f t="shared" si="24"/>
        <v>-0.71203703703703702</v>
      </c>
      <c r="O46" s="11"/>
      <c r="P46" s="6">
        <v>3478.37</v>
      </c>
      <c r="Q46" s="2"/>
      <c r="R46" s="7">
        <f t="shared" si="25"/>
        <v>0.18885883950497967</v>
      </c>
      <c r="S46" s="2"/>
      <c r="T46" s="6">
        <v>11880</v>
      </c>
      <c r="U46" s="2"/>
      <c r="V46" s="7">
        <f t="shared" si="26"/>
        <v>3.0269443913625071E-2</v>
      </c>
      <c r="W46" s="2"/>
      <c r="X46" s="6">
        <f t="shared" si="27"/>
        <v>-8401.630000000001</v>
      </c>
      <c r="Y46" s="2"/>
      <c r="Z46" s="7">
        <f t="shared" si="28"/>
        <v>-0.70720791245791259</v>
      </c>
    </row>
    <row r="47" spans="1:26" s="24" customFormat="1" hidden="1" outlineLevel="2" x14ac:dyDescent="0.25">
      <c r="A47" s="25"/>
      <c r="B47" s="11" t="str">
        <f>CONCATENATE("          ", "6008", " - ", "STUDENT HOURLY-FICA EXEMPT")</f>
        <v xml:space="preserve">          6008 - STUDENT HOURLY-FICA EXEMPT</v>
      </c>
      <c r="C47" s="11"/>
      <c r="D47" s="6"/>
      <c r="E47" s="2"/>
      <c r="F47" s="7">
        <f t="shared" si="21"/>
        <v>0</v>
      </c>
      <c r="G47" s="2"/>
      <c r="H47" s="6">
        <v>0</v>
      </c>
      <c r="I47" s="2"/>
      <c r="J47" s="7">
        <f t="shared" si="22"/>
        <v>0</v>
      </c>
      <c r="K47" s="2"/>
      <c r="L47" s="6">
        <f t="shared" si="23"/>
        <v>0</v>
      </c>
      <c r="M47" s="2"/>
      <c r="N47" s="7">
        <f t="shared" si="24"/>
        <v>0</v>
      </c>
      <c r="O47" s="11"/>
      <c r="P47" s="6"/>
      <c r="Q47" s="2"/>
      <c r="R47" s="7">
        <f t="shared" si="25"/>
        <v>0</v>
      </c>
      <c r="S47" s="2"/>
      <c r="T47" s="6">
        <v>0</v>
      </c>
      <c r="U47" s="2"/>
      <c r="V47" s="7">
        <f t="shared" si="26"/>
        <v>0</v>
      </c>
      <c r="W47" s="2"/>
      <c r="X47" s="6">
        <f t="shared" si="27"/>
        <v>0</v>
      </c>
      <c r="Y47" s="2"/>
      <c r="Z47" s="7">
        <f t="shared" si="28"/>
        <v>0</v>
      </c>
    </row>
    <row r="48" spans="1:26" s="24" customFormat="1" hidden="1" outlineLevel="2" x14ac:dyDescent="0.25">
      <c r="A48" s="25"/>
      <c r="B48" s="11" t="str">
        <f>CONCATENATE("          ", "6009", " - ", "TEMPORARY-SEASONAL")</f>
        <v xml:space="preserve">          6009 - TEMPORARY-SEASONAL</v>
      </c>
      <c r="C48" s="11"/>
      <c r="D48" s="6"/>
      <c r="E48" s="2"/>
      <c r="F48" s="7">
        <f t="shared" si="21"/>
        <v>0</v>
      </c>
      <c r="G48" s="2"/>
      <c r="H48" s="6">
        <v>0</v>
      </c>
      <c r="I48" s="2"/>
      <c r="J48" s="7">
        <f t="shared" si="22"/>
        <v>0</v>
      </c>
      <c r="K48" s="2"/>
      <c r="L48" s="6">
        <f t="shared" si="23"/>
        <v>0</v>
      </c>
      <c r="M48" s="2"/>
      <c r="N48" s="7">
        <f t="shared" si="24"/>
        <v>0</v>
      </c>
      <c r="O48" s="11"/>
      <c r="P48" s="6"/>
      <c r="Q48" s="2"/>
      <c r="R48" s="7">
        <f t="shared" si="25"/>
        <v>0</v>
      </c>
      <c r="S48" s="2"/>
      <c r="T48" s="6">
        <v>0</v>
      </c>
      <c r="U48" s="2"/>
      <c r="V48" s="7">
        <f t="shared" si="26"/>
        <v>0</v>
      </c>
      <c r="W48" s="2"/>
      <c r="X48" s="6">
        <f t="shared" si="27"/>
        <v>0</v>
      </c>
      <c r="Y48" s="2"/>
      <c r="Z48" s="7">
        <f t="shared" si="28"/>
        <v>0</v>
      </c>
    </row>
    <row r="49" spans="1:26" s="24" customFormat="1" hidden="1" outlineLevel="2" x14ac:dyDescent="0.25">
      <c r="A49" s="25"/>
      <c r="B49" s="11" t="str">
        <f>CONCATENATE("          ", "6010", " - ", "GRATUITY")</f>
        <v xml:space="preserve">          6010 - GRATUITY</v>
      </c>
      <c r="C49" s="11"/>
      <c r="D49" s="6"/>
      <c r="E49" s="2"/>
      <c r="F49" s="7">
        <f t="shared" si="21"/>
        <v>0</v>
      </c>
      <c r="G49" s="2"/>
      <c r="H49" s="6">
        <v>0</v>
      </c>
      <c r="I49" s="2"/>
      <c r="J49" s="7">
        <f t="shared" si="22"/>
        <v>0</v>
      </c>
      <c r="K49" s="2"/>
      <c r="L49" s="6">
        <f t="shared" si="23"/>
        <v>0</v>
      </c>
      <c r="M49" s="2"/>
      <c r="N49" s="7">
        <f t="shared" si="24"/>
        <v>0</v>
      </c>
      <c r="O49" s="11"/>
      <c r="P49" s="6"/>
      <c r="Q49" s="2"/>
      <c r="R49" s="7">
        <f t="shared" si="25"/>
        <v>0</v>
      </c>
      <c r="S49" s="2"/>
      <c r="T49" s="6">
        <v>0</v>
      </c>
      <c r="U49" s="2"/>
      <c r="V49" s="7">
        <f t="shared" si="26"/>
        <v>0</v>
      </c>
      <c r="W49" s="2"/>
      <c r="X49" s="6">
        <f t="shared" si="27"/>
        <v>0</v>
      </c>
      <c r="Y49" s="2"/>
      <c r="Z49" s="7">
        <f t="shared" si="28"/>
        <v>0</v>
      </c>
    </row>
    <row r="50" spans="1:26" s="27" customFormat="1" outlineLevel="1" collapsed="1" x14ac:dyDescent="0.25">
      <c r="A50" s="26"/>
      <c r="B50" s="13" t="str">
        <f>CONCATENATE("     ","Advertising/Promo                                 ")</f>
        <v xml:space="preserve">     Advertising/Promo                                 </v>
      </c>
      <c r="C50" s="13"/>
      <c r="D50" s="1">
        <f>SUM(OSRRefD22_2x_0)</f>
        <v>425.35</v>
      </c>
      <c r="E50" s="1"/>
      <c r="F50" s="5">
        <f t="shared" ref="F50:F56" si="29">IF(D$12=0,0,D50/D$12)</f>
        <v>3.9173881009394E-2</v>
      </c>
      <c r="G50" s="1"/>
      <c r="H50" s="1">
        <f>SUM(OSRRefH22_2x_0)</f>
        <v>0</v>
      </c>
      <c r="I50" s="1"/>
      <c r="J50" s="5">
        <f t="shared" ref="J50:J56" si="30">IF(H$12=0,0,H50/H$12)</f>
        <v>0</v>
      </c>
      <c r="K50" s="1"/>
      <c r="L50" s="1">
        <f t="shared" ref="L50:L56" si="31">+D50-H50</f>
        <v>425.35</v>
      </c>
      <c r="M50" s="1"/>
      <c r="N50" s="5">
        <f t="shared" ref="N50:N56" si="32">IF(H50=0,0,L50/H50)</f>
        <v>0</v>
      </c>
      <c r="O50" s="13"/>
      <c r="P50" s="1">
        <f>SUM(OSRRefP22_2x_0)</f>
        <v>1164.77</v>
      </c>
      <c r="Q50" s="1"/>
      <c r="R50" s="5">
        <f t="shared" ref="R50:R56" si="33">IF(P$12=0,0,P50/P$12)</f>
        <v>6.3241435065911664E-2</v>
      </c>
      <c r="S50" s="1"/>
      <c r="T50" s="1">
        <f>SUM(OSRRefT22_2x_0)</f>
        <v>4000</v>
      </c>
      <c r="U50" s="1"/>
      <c r="V50" s="5">
        <f t="shared" ref="V50:V56" si="34">IF(T$12=0,0,T50/T$12)</f>
        <v>1.019173195744952E-2</v>
      </c>
      <c r="W50" s="1"/>
      <c r="X50" s="1">
        <f t="shared" ref="X50:X56" si="35">+P50-T50</f>
        <v>-2835.23</v>
      </c>
      <c r="Y50" s="1"/>
      <c r="Z50" s="5">
        <f t="shared" ref="Z50:Z56" si="36">IF(T50=0,0,X50/T50)</f>
        <v>-0.70880750000000003</v>
      </c>
    </row>
    <row r="51" spans="1:26" s="24" customFormat="1" hidden="1" outlineLevel="2" x14ac:dyDescent="0.25">
      <c r="A51" s="25"/>
      <c r="B51" s="11" t="str">
        <f>CONCATENATE("          ", "6362", " - ", "ADVERTISING EXPENSE")</f>
        <v xml:space="preserve">          6362 - ADVERTISING EXPENSE</v>
      </c>
      <c r="C51" s="11"/>
      <c r="D51" s="6">
        <v>425.35</v>
      </c>
      <c r="E51" s="2"/>
      <c r="F51" s="7">
        <f t="shared" si="29"/>
        <v>3.9173881009394E-2</v>
      </c>
      <c r="G51" s="2"/>
      <c r="H51" s="6"/>
      <c r="I51" s="2"/>
      <c r="J51" s="7">
        <f t="shared" si="30"/>
        <v>0</v>
      </c>
      <c r="K51" s="2"/>
      <c r="L51" s="6">
        <f t="shared" si="31"/>
        <v>425.35</v>
      </c>
      <c r="M51" s="2"/>
      <c r="N51" s="7">
        <f t="shared" si="32"/>
        <v>0</v>
      </c>
      <c r="O51" s="11"/>
      <c r="P51" s="6">
        <v>1164.77</v>
      </c>
      <c r="Q51" s="2"/>
      <c r="R51" s="7">
        <f t="shared" si="33"/>
        <v>6.3241435065911664E-2</v>
      </c>
      <c r="S51" s="2"/>
      <c r="T51" s="6">
        <v>4000</v>
      </c>
      <c r="U51" s="2"/>
      <c r="V51" s="7">
        <f t="shared" si="34"/>
        <v>1.019173195744952E-2</v>
      </c>
      <c r="W51" s="2"/>
      <c r="X51" s="6">
        <f t="shared" si="35"/>
        <v>-2835.23</v>
      </c>
      <c r="Y51" s="2"/>
      <c r="Z51" s="7">
        <f t="shared" si="36"/>
        <v>-0.70880750000000003</v>
      </c>
    </row>
    <row r="52" spans="1:26" s="27" customFormat="1" outlineLevel="1" collapsed="1" x14ac:dyDescent="0.25">
      <c r="A52" s="26"/>
      <c r="B52" s="13" t="str">
        <f>CONCATENATE("     ","Discounts and Markdowns                           ")</f>
        <v xml:space="preserve">     Discounts and Markdowns                           </v>
      </c>
      <c r="C52" s="13"/>
      <c r="D52" s="1">
        <f>SUM(OSRRefD22_3x_0)</f>
        <v>112.97</v>
      </c>
      <c r="E52" s="1"/>
      <c r="F52" s="5">
        <f t="shared" si="29"/>
        <v>1.0404310186037944E-2</v>
      </c>
      <c r="G52" s="1"/>
      <c r="H52" s="1">
        <f>SUM(OSRRefH22_3x_0)</f>
        <v>100</v>
      </c>
      <c r="I52" s="1"/>
      <c r="J52" s="5">
        <f t="shared" si="30"/>
        <v>2.6248441498786011E-4</v>
      </c>
      <c r="K52" s="1"/>
      <c r="L52" s="1">
        <f t="shared" si="31"/>
        <v>12.969999999999999</v>
      </c>
      <c r="M52" s="1"/>
      <c r="N52" s="5">
        <f t="shared" si="32"/>
        <v>0.12969999999999998</v>
      </c>
      <c r="O52" s="13"/>
      <c r="P52" s="1">
        <f>SUM(OSRRefP22_3x_0)</f>
        <v>400.26</v>
      </c>
      <c r="Q52" s="1"/>
      <c r="R52" s="5">
        <f t="shared" si="33"/>
        <v>2.1732201893491249E-2</v>
      </c>
      <c r="S52" s="1"/>
      <c r="T52" s="1">
        <f>SUM(OSRRefT22_3x_0)</f>
        <v>900</v>
      </c>
      <c r="U52" s="1"/>
      <c r="V52" s="5">
        <f t="shared" si="34"/>
        <v>2.2931396904261416E-3</v>
      </c>
      <c r="W52" s="1"/>
      <c r="X52" s="1">
        <f t="shared" si="35"/>
        <v>-499.74</v>
      </c>
      <c r="Y52" s="1"/>
      <c r="Z52" s="5">
        <f t="shared" si="36"/>
        <v>-0.55526666666666669</v>
      </c>
    </row>
    <row r="53" spans="1:26" s="24" customFormat="1" hidden="1" outlineLevel="2" x14ac:dyDescent="0.25">
      <c r="A53" s="25"/>
      <c r="B53" s="11" t="str">
        <f>CONCATENATE("          ", "6382", " - ", "DISCOUNTS/MARK DOWNS")</f>
        <v xml:space="preserve">          6382 - DISCOUNTS/MARK DOWNS</v>
      </c>
      <c r="C53" s="11"/>
      <c r="D53" s="6">
        <v>112.97</v>
      </c>
      <c r="E53" s="2"/>
      <c r="F53" s="7">
        <f t="shared" si="29"/>
        <v>1.0404310186037944E-2</v>
      </c>
      <c r="G53" s="2"/>
      <c r="H53" s="6">
        <v>100</v>
      </c>
      <c r="I53" s="2"/>
      <c r="J53" s="7">
        <f t="shared" si="30"/>
        <v>2.6248441498786011E-4</v>
      </c>
      <c r="K53" s="2"/>
      <c r="L53" s="6">
        <f t="shared" si="31"/>
        <v>12.969999999999999</v>
      </c>
      <c r="M53" s="2"/>
      <c r="N53" s="7">
        <f t="shared" si="32"/>
        <v>0.12969999999999998</v>
      </c>
      <c r="O53" s="11"/>
      <c r="P53" s="6">
        <v>400.26</v>
      </c>
      <c r="Q53" s="2"/>
      <c r="R53" s="7">
        <f t="shared" si="33"/>
        <v>2.1732201893491249E-2</v>
      </c>
      <c r="S53" s="2"/>
      <c r="T53" s="6">
        <v>900</v>
      </c>
      <c r="U53" s="2"/>
      <c r="V53" s="7">
        <f t="shared" si="34"/>
        <v>2.2931396904261416E-3</v>
      </c>
      <c r="W53" s="2"/>
      <c r="X53" s="6">
        <f t="shared" si="35"/>
        <v>-499.74</v>
      </c>
      <c r="Y53" s="2"/>
      <c r="Z53" s="7">
        <f t="shared" si="36"/>
        <v>-0.55526666666666669</v>
      </c>
    </row>
    <row r="54" spans="1:26" s="27" customFormat="1" outlineLevel="1" collapsed="1" x14ac:dyDescent="0.25">
      <c r="A54" s="26"/>
      <c r="B54" s="13" t="str">
        <f>CONCATENATE("     ","Freight out/Postage                               ")</f>
        <v xml:space="preserve">     Freight out/Postage                               </v>
      </c>
      <c r="C54" s="13"/>
      <c r="D54" s="1">
        <f>SUM(OSRRefD22_4x_0)</f>
        <v>-1586.79</v>
      </c>
      <c r="E54" s="1"/>
      <c r="F54" s="5">
        <f t="shared" si="29"/>
        <v>-0.14614017314422545</v>
      </c>
      <c r="G54" s="1"/>
      <c r="H54" s="1">
        <f>SUM(OSRRefH22_4x_0)</f>
        <v>-2500</v>
      </c>
      <c r="I54" s="1"/>
      <c r="J54" s="5">
        <f t="shared" si="30"/>
        <v>-6.5621103746965025E-3</v>
      </c>
      <c r="K54" s="1"/>
      <c r="L54" s="1">
        <f t="shared" si="31"/>
        <v>913.21</v>
      </c>
      <c r="M54" s="1"/>
      <c r="N54" s="5">
        <f t="shared" si="32"/>
        <v>-0.365284</v>
      </c>
      <c r="O54" s="13"/>
      <c r="P54" s="1">
        <f>SUM(OSRRefP22_4x_0)</f>
        <v>-18315.93</v>
      </c>
      <c r="Q54" s="1"/>
      <c r="R54" s="5">
        <f t="shared" si="33"/>
        <v>-0.9944673178110558</v>
      </c>
      <c r="S54" s="1"/>
      <c r="T54" s="1">
        <f>SUM(OSRRefT22_4x_0)</f>
        <v>-78000</v>
      </c>
      <c r="U54" s="1"/>
      <c r="V54" s="5">
        <f t="shared" si="34"/>
        <v>-0.19873877317026561</v>
      </c>
      <c r="W54" s="1"/>
      <c r="X54" s="1">
        <f t="shared" si="35"/>
        <v>59684.07</v>
      </c>
      <c r="Y54" s="1"/>
      <c r="Z54" s="5">
        <f t="shared" si="36"/>
        <v>-0.76518038461538462</v>
      </c>
    </row>
    <row r="55" spans="1:26" s="24" customFormat="1" hidden="1" outlineLevel="2" x14ac:dyDescent="0.25">
      <c r="A55" s="25"/>
      <c r="B55" s="11" t="str">
        <f>CONCATENATE("          ", "6305", " - ", "FREIGHT OUT")</f>
        <v xml:space="preserve">          6305 - FREIGHT OUT</v>
      </c>
      <c r="C55" s="11"/>
      <c r="D55" s="6">
        <v>2792.79</v>
      </c>
      <c r="E55" s="2"/>
      <c r="F55" s="7">
        <f t="shared" si="29"/>
        <v>0.25721035181433044</v>
      </c>
      <c r="G55" s="2"/>
      <c r="H55" s="6">
        <v>-2500</v>
      </c>
      <c r="I55" s="2"/>
      <c r="J55" s="7">
        <f t="shared" si="30"/>
        <v>-6.5621103746965025E-3</v>
      </c>
      <c r="K55" s="2"/>
      <c r="L55" s="6">
        <f t="shared" si="31"/>
        <v>5292.79</v>
      </c>
      <c r="M55" s="2"/>
      <c r="N55" s="7">
        <f t="shared" si="32"/>
        <v>-2.1171159999999998</v>
      </c>
      <c r="O55" s="11"/>
      <c r="P55" s="6">
        <v>36384.519999999997</v>
      </c>
      <c r="Q55" s="2"/>
      <c r="R55" s="7">
        <f t="shared" si="33"/>
        <v>1.9755052576769354</v>
      </c>
      <c r="S55" s="2"/>
      <c r="T55" s="6">
        <v>-78000</v>
      </c>
      <c r="U55" s="2"/>
      <c r="V55" s="7">
        <f t="shared" si="34"/>
        <v>-0.19873877317026561</v>
      </c>
      <c r="W55" s="2"/>
      <c r="X55" s="6">
        <f t="shared" si="35"/>
        <v>114384.51999999999</v>
      </c>
      <c r="Y55" s="2"/>
      <c r="Z55" s="7">
        <f t="shared" si="36"/>
        <v>-1.466468205128205</v>
      </c>
    </row>
    <row r="56" spans="1:26" s="24" customFormat="1" hidden="1" outlineLevel="2" x14ac:dyDescent="0.25">
      <c r="A56" s="25"/>
      <c r="B56" s="11" t="str">
        <f>CONCATENATE("          ", "6307", " - ", "POSTAGE")</f>
        <v xml:space="preserve">          6307 - POSTAGE</v>
      </c>
      <c r="C56" s="11"/>
      <c r="D56" s="6">
        <v>-4379.58</v>
      </c>
      <c r="E56" s="2"/>
      <c r="F56" s="7">
        <f t="shared" si="29"/>
        <v>-0.40335052495855589</v>
      </c>
      <c r="G56" s="2"/>
      <c r="H56" s="6"/>
      <c r="I56" s="2"/>
      <c r="J56" s="7">
        <f t="shared" si="30"/>
        <v>0</v>
      </c>
      <c r="K56" s="2"/>
      <c r="L56" s="6">
        <f t="shared" si="31"/>
        <v>-4379.58</v>
      </c>
      <c r="M56" s="2"/>
      <c r="N56" s="7">
        <f t="shared" si="32"/>
        <v>0</v>
      </c>
      <c r="O56" s="11"/>
      <c r="P56" s="6">
        <v>-54700.45</v>
      </c>
      <c r="Q56" s="2"/>
      <c r="R56" s="7">
        <f t="shared" si="33"/>
        <v>-2.9699725754879913</v>
      </c>
      <c r="S56" s="2"/>
      <c r="T56" s="6"/>
      <c r="U56" s="2"/>
      <c r="V56" s="7">
        <f t="shared" si="34"/>
        <v>0</v>
      </c>
      <c r="W56" s="2"/>
      <c r="X56" s="6">
        <f t="shared" si="35"/>
        <v>-54700.45</v>
      </c>
      <c r="Y56" s="2"/>
      <c r="Z56" s="7">
        <f t="shared" si="36"/>
        <v>0</v>
      </c>
    </row>
    <row r="57" spans="1:26" s="27" customFormat="1" outlineLevel="1" collapsed="1" x14ac:dyDescent="0.25">
      <c r="A57" s="26"/>
      <c r="B57" s="13" t="str">
        <f>CONCATENATE("     ","General                                           ")</f>
        <v xml:space="preserve">     General                                           </v>
      </c>
      <c r="C57" s="13"/>
      <c r="D57" s="1">
        <f>SUM(OSRRefD22_5x_0)</f>
        <v>0</v>
      </c>
      <c r="E57" s="1"/>
      <c r="F57" s="5">
        <f t="shared" ref="F57:F63" si="37">IF(D$12=0,0,D57/D$12)</f>
        <v>0</v>
      </c>
      <c r="G57" s="1"/>
      <c r="H57" s="1">
        <f>SUM(OSRRefH22_5x_0)</f>
        <v>100</v>
      </c>
      <c r="I57" s="1"/>
      <c r="J57" s="5">
        <f t="shared" ref="J57:J63" si="38">IF(H$12=0,0,H57/H$12)</f>
        <v>2.6248441498786011E-4</v>
      </c>
      <c r="K57" s="1"/>
      <c r="L57" s="1">
        <f t="shared" ref="L57:L63" si="39">+D57-H57</f>
        <v>-100</v>
      </c>
      <c r="M57" s="1"/>
      <c r="N57" s="5">
        <f t="shared" ref="N57:N63" si="40">IF(H57=0,0,L57/H57)</f>
        <v>-1</v>
      </c>
      <c r="O57" s="13"/>
      <c r="P57" s="1">
        <f>SUM(OSRRefP22_5x_0)</f>
        <v>80.17</v>
      </c>
      <c r="Q57" s="1"/>
      <c r="R57" s="5">
        <f t="shared" ref="R57:R63" si="41">IF(P$12=0,0,P57/P$12)</f>
        <v>4.3528472138140047E-3</v>
      </c>
      <c r="S57" s="1"/>
      <c r="T57" s="1">
        <f>SUM(OSRRefT22_5x_0)</f>
        <v>800</v>
      </c>
      <c r="U57" s="1"/>
      <c r="V57" s="5">
        <f t="shared" ref="V57:V63" si="42">IF(T$12=0,0,T57/T$12)</f>
        <v>2.0383463914899038E-3</v>
      </c>
      <c r="W57" s="1"/>
      <c r="X57" s="1">
        <f t="shared" ref="X57:X63" si="43">+P57-T57</f>
        <v>-719.83</v>
      </c>
      <c r="Y57" s="1"/>
      <c r="Z57" s="5">
        <f t="shared" ref="Z57:Z63" si="44">IF(T57=0,0,X57/T57)</f>
        <v>-0.89978750000000007</v>
      </c>
    </row>
    <row r="58" spans="1:26" s="24" customFormat="1" hidden="1" outlineLevel="2" x14ac:dyDescent="0.25">
      <c r="A58" s="25"/>
      <c r="B58" s="11" t="str">
        <f>CONCATENATE("          ", "6279", " - ", "GENERAL EXPENSE")</f>
        <v xml:space="preserve">          6279 - GENERAL EXPENSE</v>
      </c>
      <c r="C58" s="11"/>
      <c r="D58" s="6"/>
      <c r="E58" s="2"/>
      <c r="F58" s="7">
        <f t="shared" si="37"/>
        <v>0</v>
      </c>
      <c r="G58" s="2"/>
      <c r="H58" s="6">
        <v>100</v>
      </c>
      <c r="I58" s="2"/>
      <c r="J58" s="7">
        <f t="shared" si="38"/>
        <v>2.6248441498786011E-4</v>
      </c>
      <c r="K58" s="2"/>
      <c r="L58" s="6">
        <f t="shared" si="39"/>
        <v>-100</v>
      </c>
      <c r="M58" s="2"/>
      <c r="N58" s="7">
        <f t="shared" si="40"/>
        <v>-1</v>
      </c>
      <c r="O58" s="11"/>
      <c r="P58" s="6">
        <v>80.17</v>
      </c>
      <c r="Q58" s="2"/>
      <c r="R58" s="7">
        <f t="shared" si="41"/>
        <v>4.3528472138140047E-3</v>
      </c>
      <c r="S58" s="2"/>
      <c r="T58" s="6">
        <v>800</v>
      </c>
      <c r="U58" s="2"/>
      <c r="V58" s="7">
        <f t="shared" si="42"/>
        <v>2.0383463914899038E-3</v>
      </c>
      <c r="W58" s="2"/>
      <c r="X58" s="6">
        <f t="shared" si="43"/>
        <v>-719.83</v>
      </c>
      <c r="Y58" s="2"/>
      <c r="Z58" s="7">
        <f t="shared" si="44"/>
        <v>-0.89978750000000007</v>
      </c>
    </row>
    <row r="59" spans="1:26" s="27" customFormat="1" outlineLevel="1" collapsed="1" x14ac:dyDescent="0.25">
      <c r="A59" s="26"/>
      <c r="B59" s="13" t="str">
        <f>CONCATENATE("     ","Inventory Adjustment                              ")</f>
        <v xml:space="preserve">     Inventory Adjustment                              </v>
      </c>
      <c r="C59" s="13"/>
      <c r="D59" s="1">
        <f>SUM(OSRRefD22_6x_0)</f>
        <v>100</v>
      </c>
      <c r="E59" s="1"/>
      <c r="F59" s="5">
        <f t="shared" si="37"/>
        <v>9.2097992263768646E-3</v>
      </c>
      <c r="G59" s="1"/>
      <c r="H59" s="1">
        <f>SUM(OSRRefH22_6x_0)</f>
        <v>100</v>
      </c>
      <c r="I59" s="1"/>
      <c r="J59" s="5">
        <f t="shared" si="38"/>
        <v>2.6248441498786011E-4</v>
      </c>
      <c r="K59" s="1"/>
      <c r="L59" s="1">
        <f t="shared" si="39"/>
        <v>0</v>
      </c>
      <c r="M59" s="1"/>
      <c r="N59" s="5">
        <f t="shared" si="40"/>
        <v>0</v>
      </c>
      <c r="O59" s="13"/>
      <c r="P59" s="1">
        <f>SUM(OSRRefP22_6x_0)</f>
        <v>800</v>
      </c>
      <c r="Q59" s="1"/>
      <c r="R59" s="5">
        <f t="shared" si="41"/>
        <v>4.3436170276302907E-2</v>
      </c>
      <c r="S59" s="1"/>
      <c r="T59" s="1">
        <f>SUM(OSRRefT22_6x_0)</f>
        <v>800</v>
      </c>
      <c r="U59" s="1"/>
      <c r="V59" s="5">
        <f t="shared" si="42"/>
        <v>2.0383463914899038E-3</v>
      </c>
      <c r="W59" s="1"/>
      <c r="X59" s="1">
        <f t="shared" si="43"/>
        <v>0</v>
      </c>
      <c r="Y59" s="1"/>
      <c r="Z59" s="5">
        <f t="shared" si="44"/>
        <v>0</v>
      </c>
    </row>
    <row r="60" spans="1:26" s="24" customFormat="1" hidden="1" outlineLevel="2" x14ac:dyDescent="0.25">
      <c r="A60" s="25"/>
      <c r="B60" s="11" t="str">
        <f>CONCATENATE("          ", "6408", " - ", "INVENTORY ADJUSTMENT")</f>
        <v xml:space="preserve">          6408 - INVENTORY ADJUSTMENT</v>
      </c>
      <c r="C60" s="11"/>
      <c r="D60" s="6">
        <v>100</v>
      </c>
      <c r="E60" s="2"/>
      <c r="F60" s="7">
        <f t="shared" si="37"/>
        <v>9.2097992263768646E-3</v>
      </c>
      <c r="G60" s="2"/>
      <c r="H60" s="6">
        <v>100</v>
      </c>
      <c r="I60" s="2"/>
      <c r="J60" s="7">
        <f t="shared" si="38"/>
        <v>2.6248441498786011E-4</v>
      </c>
      <c r="K60" s="2"/>
      <c r="L60" s="6">
        <f t="shared" si="39"/>
        <v>0</v>
      </c>
      <c r="M60" s="2"/>
      <c r="N60" s="7">
        <f t="shared" si="40"/>
        <v>0</v>
      </c>
      <c r="O60" s="11"/>
      <c r="P60" s="6">
        <v>800</v>
      </c>
      <c r="Q60" s="2"/>
      <c r="R60" s="7">
        <f t="shared" si="41"/>
        <v>4.3436170276302907E-2</v>
      </c>
      <c r="S60" s="2"/>
      <c r="T60" s="6">
        <v>800</v>
      </c>
      <c r="U60" s="2"/>
      <c r="V60" s="7">
        <f t="shared" si="42"/>
        <v>2.0383463914899038E-3</v>
      </c>
      <c r="W60" s="2"/>
      <c r="X60" s="6">
        <f t="shared" si="43"/>
        <v>0</v>
      </c>
      <c r="Y60" s="2"/>
      <c r="Z60" s="7">
        <f t="shared" si="44"/>
        <v>0</v>
      </c>
    </row>
    <row r="61" spans="1:26" s="27" customFormat="1" outlineLevel="1" collapsed="1" x14ac:dyDescent="0.25">
      <c r="A61" s="26"/>
      <c r="B61" s="13" t="str">
        <f>CONCATENATE("     ","Supplies                                          ")</f>
        <v xml:space="preserve">     Supplies                                          </v>
      </c>
      <c r="C61" s="13"/>
      <c r="D61" s="1">
        <f>SUM(OSRRefD22_7x_0)</f>
        <v>245.97</v>
      </c>
      <c r="E61" s="1"/>
      <c r="F61" s="5">
        <f t="shared" si="37"/>
        <v>2.2653343157119175E-2</v>
      </c>
      <c r="G61" s="1"/>
      <c r="H61" s="1">
        <f>SUM(OSRRefH22_7x_0)</f>
        <v>5000</v>
      </c>
      <c r="I61" s="1"/>
      <c r="J61" s="5">
        <f t="shared" si="38"/>
        <v>1.3124220749393005E-2</v>
      </c>
      <c r="K61" s="1"/>
      <c r="L61" s="1">
        <f t="shared" si="39"/>
        <v>-4754.03</v>
      </c>
      <c r="M61" s="1"/>
      <c r="N61" s="5">
        <f t="shared" si="40"/>
        <v>-0.95080599999999993</v>
      </c>
      <c r="O61" s="13"/>
      <c r="P61" s="1">
        <f>SUM(OSRRefP22_7x_0)</f>
        <v>7591.4000000000005</v>
      </c>
      <c r="Q61" s="1"/>
      <c r="R61" s="5">
        <f t="shared" si="41"/>
        <v>0.41217667879440739</v>
      </c>
      <c r="S61" s="1"/>
      <c r="T61" s="1">
        <f>SUM(OSRRefT22_7x_0)</f>
        <v>11250</v>
      </c>
      <c r="U61" s="1"/>
      <c r="V61" s="5">
        <f t="shared" si="42"/>
        <v>2.8664246130326771E-2</v>
      </c>
      <c r="W61" s="1"/>
      <c r="X61" s="1">
        <f t="shared" si="43"/>
        <v>-3658.5999999999995</v>
      </c>
      <c r="Y61" s="1"/>
      <c r="Z61" s="5">
        <f t="shared" si="44"/>
        <v>-0.32520888888888883</v>
      </c>
    </row>
    <row r="62" spans="1:26" s="24" customFormat="1" hidden="1" outlineLevel="2" x14ac:dyDescent="0.25">
      <c r="A62" s="25"/>
      <c r="B62" s="11" t="str">
        <f>CONCATENATE("          ", "6241", " - ", "OFFICE EXPENSE")</f>
        <v xml:space="preserve">          6241 - OFFICE EXPENSE</v>
      </c>
      <c r="C62" s="11"/>
      <c r="D62" s="6">
        <v>8.99</v>
      </c>
      <c r="E62" s="2"/>
      <c r="F62" s="7">
        <f t="shared" si="37"/>
        <v>8.2796095045128016E-4</v>
      </c>
      <c r="G62" s="2"/>
      <c r="H62" s="6"/>
      <c r="I62" s="2"/>
      <c r="J62" s="7">
        <f t="shared" si="38"/>
        <v>0</v>
      </c>
      <c r="K62" s="2"/>
      <c r="L62" s="6">
        <f t="shared" si="39"/>
        <v>8.99</v>
      </c>
      <c r="M62" s="2"/>
      <c r="N62" s="7">
        <f t="shared" si="40"/>
        <v>0</v>
      </c>
      <c r="O62" s="11"/>
      <c r="P62" s="6">
        <v>135.26</v>
      </c>
      <c r="Q62" s="2"/>
      <c r="R62" s="7">
        <f t="shared" si="41"/>
        <v>7.3439704894659131E-3</v>
      </c>
      <c r="S62" s="2"/>
      <c r="T62" s="6"/>
      <c r="U62" s="2"/>
      <c r="V62" s="7">
        <f t="shared" si="42"/>
        <v>0</v>
      </c>
      <c r="W62" s="2"/>
      <c r="X62" s="6">
        <f t="shared" si="43"/>
        <v>135.26</v>
      </c>
      <c r="Y62" s="2"/>
      <c r="Z62" s="7">
        <f t="shared" si="44"/>
        <v>0</v>
      </c>
    </row>
    <row r="63" spans="1:26" s="24" customFormat="1" hidden="1" outlineLevel="2" x14ac:dyDescent="0.25">
      <c r="A63" s="25"/>
      <c r="B63" s="11" t="str">
        <f>CONCATENATE("          ", "6247", " - ", "STORE SUPPLIES")</f>
        <v xml:space="preserve">          6247 - STORE SUPPLIES</v>
      </c>
      <c r="C63" s="11"/>
      <c r="D63" s="6">
        <v>236.98</v>
      </c>
      <c r="E63" s="2"/>
      <c r="F63" s="7">
        <f t="shared" si="37"/>
        <v>2.1825382206667895E-2</v>
      </c>
      <c r="G63" s="2"/>
      <c r="H63" s="6">
        <v>5000</v>
      </c>
      <c r="I63" s="2"/>
      <c r="J63" s="7">
        <f t="shared" si="38"/>
        <v>1.3124220749393005E-2</v>
      </c>
      <c r="K63" s="2"/>
      <c r="L63" s="6">
        <f t="shared" si="39"/>
        <v>-4763.0200000000004</v>
      </c>
      <c r="M63" s="2"/>
      <c r="N63" s="7">
        <f t="shared" si="40"/>
        <v>-0.95260400000000012</v>
      </c>
      <c r="O63" s="11"/>
      <c r="P63" s="6">
        <v>7456.14</v>
      </c>
      <c r="Q63" s="2"/>
      <c r="R63" s="7">
        <f t="shared" si="41"/>
        <v>0.40483270830494145</v>
      </c>
      <c r="S63" s="2"/>
      <c r="T63" s="6">
        <v>11250</v>
      </c>
      <c r="U63" s="2"/>
      <c r="V63" s="7">
        <f t="shared" si="42"/>
        <v>2.8664246130326771E-2</v>
      </c>
      <c r="W63" s="2"/>
      <c r="X63" s="6">
        <f t="shared" si="43"/>
        <v>-3793.8599999999997</v>
      </c>
      <c r="Y63" s="2"/>
      <c r="Z63" s="7">
        <f t="shared" si="44"/>
        <v>-0.33723199999999998</v>
      </c>
    </row>
    <row r="64" spans="1:26" s="27" customFormat="1" outlineLevel="1" collapsed="1" x14ac:dyDescent="0.25">
      <c r="A64" s="26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SUM(OSRRefD22_8x_0)</f>
        <v>36.75</v>
      </c>
      <c r="E64" s="1"/>
      <c r="F64" s="5">
        <f t="shared" ref="F64:F65" si="45">IF(D$12=0,0,D64/D$12)</f>
        <v>3.3846012156934979E-3</v>
      </c>
      <c r="G64" s="1"/>
      <c r="H64" s="1">
        <f>SUM(OSRRefH22_8x_0)</f>
        <v>0</v>
      </c>
      <c r="I64" s="1"/>
      <c r="J64" s="5">
        <f t="shared" ref="J64:J65" si="46">IF(H$12=0,0,H64/H$12)</f>
        <v>0</v>
      </c>
      <c r="K64" s="1"/>
      <c r="L64" s="1">
        <f t="shared" ref="L64:L65" si="47">+D64-H64</f>
        <v>36.75</v>
      </c>
      <c r="M64" s="1"/>
      <c r="N64" s="5">
        <f t="shared" ref="N64:N65" si="48">IF(H64=0,0,L64/H64)</f>
        <v>0</v>
      </c>
      <c r="O64" s="13"/>
      <c r="P64" s="1">
        <f>SUM(OSRRefP22_8x_0)</f>
        <v>541.15</v>
      </c>
      <c r="Q64" s="1"/>
      <c r="R64" s="5">
        <f t="shared" ref="R64:R65" si="49">IF(P$12=0,0,P64/P$12)</f>
        <v>2.9381854431276645E-2</v>
      </c>
      <c r="S64" s="1"/>
      <c r="T64" s="1">
        <f>SUM(OSRRefT22_8x_0)</f>
        <v>0</v>
      </c>
      <c r="U64" s="1"/>
      <c r="V64" s="5">
        <f t="shared" ref="V64:V65" si="50">IF(T$12=0,0,T64/T$12)</f>
        <v>0</v>
      </c>
      <c r="W64" s="1"/>
      <c r="X64" s="1">
        <f t="shared" ref="X64:X65" si="51">+P64-T64</f>
        <v>541.15</v>
      </c>
      <c r="Y64" s="1"/>
      <c r="Z64" s="5">
        <f t="shared" ref="Z64:Z65" si="52">IF(T64=0,0,X64/T64)</f>
        <v>0</v>
      </c>
    </row>
    <row r="65" spans="1:26" s="24" customFormat="1" hidden="1" outlineLevel="2" x14ac:dyDescent="0.25">
      <c r="A65" s="25"/>
      <c r="B65" s="11" t="str">
        <f>CONCATENATE("          ", "6309", " - ", "TELEPHONE")</f>
        <v xml:space="preserve">          6309 - TELEPHONE</v>
      </c>
      <c r="C65" s="11"/>
      <c r="D65" s="6">
        <v>36.75</v>
      </c>
      <c r="E65" s="2"/>
      <c r="F65" s="7">
        <f t="shared" si="45"/>
        <v>3.3846012156934979E-3</v>
      </c>
      <c r="G65" s="2"/>
      <c r="H65" s="6"/>
      <c r="I65" s="2"/>
      <c r="J65" s="7">
        <f t="shared" si="46"/>
        <v>0</v>
      </c>
      <c r="K65" s="2"/>
      <c r="L65" s="6">
        <f t="shared" si="47"/>
        <v>36.75</v>
      </c>
      <c r="M65" s="2"/>
      <c r="N65" s="7">
        <f t="shared" si="48"/>
        <v>0</v>
      </c>
      <c r="O65" s="11"/>
      <c r="P65" s="6">
        <v>541.15</v>
      </c>
      <c r="Q65" s="2"/>
      <c r="R65" s="7">
        <f t="shared" si="49"/>
        <v>2.9381854431276645E-2</v>
      </c>
      <c r="S65" s="2"/>
      <c r="T65" s="6"/>
      <c r="U65" s="2"/>
      <c r="V65" s="7">
        <f t="shared" si="50"/>
        <v>0</v>
      </c>
      <c r="W65" s="2"/>
      <c r="X65" s="6">
        <f t="shared" si="51"/>
        <v>541.15</v>
      </c>
      <c r="Y65" s="2"/>
      <c r="Z65" s="7">
        <f t="shared" si="52"/>
        <v>0</v>
      </c>
    </row>
    <row r="66" spans="1:26" s="56" customFormat="1" x14ac:dyDescent="0.25">
      <c r="A66" s="36"/>
      <c r="B66" s="36"/>
      <c r="C66" s="36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6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collapsed="1" x14ac:dyDescent="0.25">
      <c r="A67" s="10"/>
      <c r="B67" s="29" t="s">
        <v>0</v>
      </c>
      <c r="C67" s="10"/>
      <c r="D67" s="4">
        <f>SUM(OSRRefD25x_0)</f>
        <v>42</v>
      </c>
      <c r="E67" s="4"/>
      <c r="F67" s="12">
        <f t="shared" ref="F67:F72" si="53">IF(D$12=0,0,D67/D$12)</f>
        <v>3.8681156750782833E-3</v>
      </c>
      <c r="G67" s="4"/>
      <c r="H67" s="4">
        <f>SUM(OSRRefH25x_0)</f>
        <v>13500</v>
      </c>
      <c r="I67" s="4"/>
      <c r="J67" s="12">
        <f t="shared" ref="J67:J72" si="54">IF(H$12=0,0,H67/H$12)</f>
        <v>3.5435396023361113E-2</v>
      </c>
      <c r="K67" s="4"/>
      <c r="L67" s="4">
        <f t="shared" ref="L67:L72" si="55">+D67-H67</f>
        <v>-13458</v>
      </c>
      <c r="M67" s="4"/>
      <c r="N67" s="12">
        <f t="shared" ref="N67:N72" si="56">IF(H67=0,0,L67/H67)</f>
        <v>-0.99688888888888894</v>
      </c>
      <c r="O67" s="10"/>
      <c r="P67" s="4">
        <f>SUM(OSRRefP25x_0)</f>
        <v>112775.83</v>
      </c>
      <c r="Q67" s="4"/>
      <c r="R67" s="12">
        <f t="shared" ref="R67:R72" si="57">IF(P$12=0,0,P67/P$12)</f>
        <v>6.1231876936642369</v>
      </c>
      <c r="S67" s="4"/>
      <c r="T67" s="4">
        <f>SUM(OSRRefT25x_0)</f>
        <v>123500</v>
      </c>
      <c r="U67" s="4"/>
      <c r="V67" s="12">
        <f t="shared" ref="V67:V72" si="58">IF(T$12=0,0,T67/T$12)</f>
        <v>0.31466972418625389</v>
      </c>
      <c r="W67" s="4"/>
      <c r="X67" s="4">
        <f t="shared" ref="X67:X72" si="59">+P67-T67</f>
        <v>-10724.169999999998</v>
      </c>
      <c r="Y67" s="4"/>
      <c r="Z67" s="12">
        <f t="shared" ref="Z67:Z72" si="60">IF(T67=0,0,X67/T67)</f>
        <v>-8.6835384615384606E-2</v>
      </c>
    </row>
    <row r="68" spans="1:26" s="24" customFormat="1" hidden="1" outlineLevel="1" x14ac:dyDescent="0.25">
      <c r="A68" s="44"/>
      <c r="B68" s="11" t="str">
        <f>CONCATENATE("          ", "4098", " - ", "TAXABLE SALES-GRAD RENTALS")</f>
        <v xml:space="preserve">          4098 - TAXABLE SALES-GRAD RENTALS</v>
      </c>
      <c r="C68" s="11"/>
      <c r="D68" s="2">
        <f>--42</f>
        <v>42</v>
      </c>
      <c r="E68" s="2"/>
      <c r="F68" s="19">
        <f t="shared" si="53"/>
        <v>3.8681156750782833E-3</v>
      </c>
      <c r="G68" s="2"/>
      <c r="H68" s="2"/>
      <c r="I68" s="2"/>
      <c r="J68" s="19">
        <f t="shared" si="54"/>
        <v>0</v>
      </c>
      <c r="K68" s="2"/>
      <c r="L68" s="2">
        <f t="shared" si="55"/>
        <v>42</v>
      </c>
      <c r="M68" s="2"/>
      <c r="N68" s="19">
        <f t="shared" si="56"/>
        <v>0</v>
      </c>
      <c r="O68" s="11"/>
      <c r="P68" s="2">
        <f>--2098.85</f>
        <v>2098.85</v>
      </c>
      <c r="Q68" s="2"/>
      <c r="R68" s="19">
        <f t="shared" si="57"/>
        <v>0.11395750748052294</v>
      </c>
      <c r="S68" s="2"/>
      <c r="T68" s="2"/>
      <c r="U68" s="2"/>
      <c r="V68" s="19">
        <f t="shared" si="58"/>
        <v>0</v>
      </c>
      <c r="W68" s="2"/>
      <c r="X68" s="2">
        <f t="shared" si="59"/>
        <v>2098.85</v>
      </c>
      <c r="Y68" s="2"/>
      <c r="Z68" s="19">
        <f t="shared" si="60"/>
        <v>0</v>
      </c>
    </row>
    <row r="69" spans="1:26" s="24" customFormat="1" hidden="1" outlineLevel="1" x14ac:dyDescent="0.25">
      <c r="A69" s="44"/>
      <c r="B69" s="11" t="str">
        <f>CONCATENATE("          ", "4197", " - ", "NON-TAXABLE SALES-RETURNED CHE")</f>
        <v xml:space="preserve">          4197 - NON-TAXABLE SALES-RETURNED CHE</v>
      </c>
      <c r="C69" s="11"/>
      <c r="D69" s="2">
        <f t="shared" ref="D69:D72" si="61">0</f>
        <v>0</v>
      </c>
      <c r="E69" s="2"/>
      <c r="F69" s="19">
        <f t="shared" si="53"/>
        <v>0</v>
      </c>
      <c r="G69" s="2"/>
      <c r="H69" s="2"/>
      <c r="I69" s="2"/>
      <c r="J69" s="19">
        <f t="shared" si="54"/>
        <v>0</v>
      </c>
      <c r="K69" s="2"/>
      <c r="L69" s="2">
        <f t="shared" si="55"/>
        <v>0</v>
      </c>
      <c r="M69" s="2"/>
      <c r="N69" s="19">
        <f t="shared" si="56"/>
        <v>0</v>
      </c>
      <c r="O69" s="11"/>
      <c r="P69" s="2">
        <f>--30</f>
        <v>30</v>
      </c>
      <c r="Q69" s="2"/>
      <c r="R69" s="19">
        <f t="shared" si="57"/>
        <v>1.6288563853613588E-3</v>
      </c>
      <c r="S69" s="2"/>
      <c r="T69" s="2"/>
      <c r="U69" s="2"/>
      <c r="V69" s="19">
        <f t="shared" si="58"/>
        <v>0</v>
      </c>
      <c r="W69" s="2"/>
      <c r="X69" s="2">
        <f t="shared" si="59"/>
        <v>30</v>
      </c>
      <c r="Y69" s="2"/>
      <c r="Z69" s="19">
        <f t="shared" si="60"/>
        <v>0</v>
      </c>
    </row>
    <row r="70" spans="1:26" s="24" customFormat="1" hidden="1" outlineLevel="1" x14ac:dyDescent="0.25">
      <c r="A70" s="44"/>
      <c r="B70" s="11" t="str">
        <f>CONCATENATE("          ", "4198", " - ", "NON-TAXABLE SALES-GRAD RENTALS")</f>
        <v xml:space="preserve">          4198 - NON-TAXABLE SALES-GRAD RENTALS</v>
      </c>
      <c r="C70" s="11"/>
      <c r="D70" s="2">
        <f t="shared" si="61"/>
        <v>0</v>
      </c>
      <c r="E70" s="2"/>
      <c r="F70" s="19">
        <f t="shared" si="53"/>
        <v>0</v>
      </c>
      <c r="G70" s="2"/>
      <c r="H70" s="2"/>
      <c r="I70" s="2"/>
      <c r="J70" s="19">
        <f t="shared" si="54"/>
        <v>0</v>
      </c>
      <c r="K70" s="2"/>
      <c r="L70" s="2">
        <f t="shared" si="55"/>
        <v>0</v>
      </c>
      <c r="M70" s="2"/>
      <c r="N70" s="19">
        <f t="shared" si="56"/>
        <v>0</v>
      </c>
      <c r="O70" s="11"/>
      <c r="P70" s="2">
        <f>--3732.1</f>
        <v>3732.1</v>
      </c>
      <c r="Q70" s="2"/>
      <c r="R70" s="19">
        <f t="shared" si="57"/>
        <v>0.20263516386023758</v>
      </c>
      <c r="S70" s="2"/>
      <c r="T70" s="2"/>
      <c r="U70" s="2"/>
      <c r="V70" s="19">
        <f t="shared" si="58"/>
        <v>0</v>
      </c>
      <c r="W70" s="2"/>
      <c r="X70" s="2">
        <f t="shared" si="59"/>
        <v>3732.1</v>
      </c>
      <c r="Y70" s="2"/>
      <c r="Z70" s="19">
        <f t="shared" si="60"/>
        <v>0</v>
      </c>
    </row>
    <row r="71" spans="1:26" s="24" customFormat="1" hidden="1" outlineLevel="1" x14ac:dyDescent="0.25">
      <c r="A71" s="44"/>
      <c r="B71" s="11" t="str">
        <f>CONCATENATE("          ", "9160", " - ", "MISC. INCOME")</f>
        <v xml:space="preserve">          9160 - MISC. INCOME</v>
      </c>
      <c r="C71" s="11"/>
      <c r="D71" s="2">
        <f t="shared" si="61"/>
        <v>0</v>
      </c>
      <c r="E71" s="2"/>
      <c r="F71" s="19">
        <f t="shared" si="53"/>
        <v>0</v>
      </c>
      <c r="G71" s="2"/>
      <c r="H71" s="2">
        <v>13500</v>
      </c>
      <c r="I71" s="2"/>
      <c r="J71" s="19">
        <f t="shared" si="54"/>
        <v>3.5435396023361113E-2</v>
      </c>
      <c r="K71" s="2"/>
      <c r="L71" s="2">
        <f t="shared" si="55"/>
        <v>-13500</v>
      </c>
      <c r="M71" s="2"/>
      <c r="N71" s="19">
        <f t="shared" si="56"/>
        <v>-1</v>
      </c>
      <c r="O71" s="11"/>
      <c r="P71" s="2">
        <f>--22475</f>
        <v>22475</v>
      </c>
      <c r="Q71" s="2"/>
      <c r="R71" s="19">
        <f t="shared" si="57"/>
        <v>1.2202849086998848</v>
      </c>
      <c r="S71" s="2"/>
      <c r="T71" s="2">
        <v>123500</v>
      </c>
      <c r="U71" s="2"/>
      <c r="V71" s="19">
        <f t="shared" si="58"/>
        <v>0.31466972418625389</v>
      </c>
      <c r="W71" s="2"/>
      <c r="X71" s="2">
        <f t="shared" si="59"/>
        <v>-101025</v>
      </c>
      <c r="Y71" s="2"/>
      <c r="Z71" s="19">
        <f t="shared" si="60"/>
        <v>-0.8180161943319838</v>
      </c>
    </row>
    <row r="72" spans="1:26" s="24" customFormat="1" hidden="1" outlineLevel="1" x14ac:dyDescent="0.25">
      <c r="A72" s="44"/>
      <c r="B72" s="11" t="str">
        <f>CONCATENATE("          ", "9163", " - ", "MISC. INCOME")</f>
        <v xml:space="preserve">          9163 - MISC. INCOME</v>
      </c>
      <c r="C72" s="11"/>
      <c r="D72" s="2">
        <f t="shared" si="61"/>
        <v>0</v>
      </c>
      <c r="E72" s="2"/>
      <c r="F72" s="19">
        <f t="shared" si="53"/>
        <v>0</v>
      </c>
      <c r="G72" s="2"/>
      <c r="H72" s="2"/>
      <c r="I72" s="2"/>
      <c r="J72" s="19">
        <f t="shared" si="54"/>
        <v>0</v>
      </c>
      <c r="K72" s="2"/>
      <c r="L72" s="2">
        <f t="shared" si="55"/>
        <v>0</v>
      </c>
      <c r="M72" s="2"/>
      <c r="N72" s="19">
        <f t="shared" si="56"/>
        <v>0</v>
      </c>
      <c r="O72" s="11"/>
      <c r="P72" s="2">
        <f>--84439.88</f>
        <v>84439.88</v>
      </c>
      <c r="Q72" s="2"/>
      <c r="R72" s="19">
        <f t="shared" si="57"/>
        <v>4.5846812572382305</v>
      </c>
      <c r="S72" s="2"/>
      <c r="T72" s="2"/>
      <c r="U72" s="2"/>
      <c r="V72" s="19">
        <f t="shared" si="58"/>
        <v>0</v>
      </c>
      <c r="W72" s="2"/>
      <c r="X72" s="2">
        <f t="shared" si="59"/>
        <v>84439.88</v>
      </c>
      <c r="Y72" s="2"/>
      <c r="Z72" s="19">
        <f t="shared" si="60"/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8" t="s">
        <v>3</v>
      </c>
      <c r="C74" s="28"/>
      <c r="D74" s="20">
        <f>+D27-D29+D67</f>
        <v>2779.06</v>
      </c>
      <c r="E74" s="14"/>
      <c r="F74" s="22">
        <f>IF(D$12=0,0,D74/D$12)</f>
        <v>0.2559458463805489</v>
      </c>
      <c r="G74" s="14"/>
      <c r="H74" s="20">
        <f>+H27-H29+H67</f>
        <v>222650.91722388464</v>
      </c>
      <c r="I74" s="14"/>
      <c r="J74" s="22">
        <f>IF(H$12=0,0,H74/H$12)</f>
        <v>0.58442395754021825</v>
      </c>
      <c r="K74" s="16"/>
      <c r="L74" s="20">
        <f>+D74-H74</f>
        <v>-219871.85722388464</v>
      </c>
      <c r="M74" s="16"/>
      <c r="N74" s="22">
        <f>IF(H74=0,0,L74/H74)</f>
        <v>-0.98751830877388425</v>
      </c>
      <c r="O74" s="29"/>
      <c r="P74" s="20">
        <f>+P27-P29+P67</f>
        <v>123533.34</v>
      </c>
      <c r="Q74" s="14"/>
      <c r="R74" s="22">
        <f>IF(P$12=0,0,P74/P$12)</f>
        <v>6.7072689888005259</v>
      </c>
      <c r="S74" s="14"/>
      <c r="T74" s="20">
        <f>+T27-T29+T67</f>
        <v>376764.49187887495</v>
      </c>
      <c r="U74" s="14"/>
      <c r="V74" s="22">
        <f>IF(T$12=0,0,T74/T$12)</f>
        <v>0.95997067807853986</v>
      </c>
      <c r="W74" s="16"/>
      <c r="X74" s="20">
        <f>+P74-T74</f>
        <v>-253231.15187887495</v>
      </c>
      <c r="Y74" s="16"/>
      <c r="Z74" s="22">
        <f>IF(T74=0,0,X74/T74)</f>
        <v>-0.67212053507496028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2"/>
      <c r="B76" s="10" t="s">
        <v>14</v>
      </c>
      <c r="C76" s="10"/>
      <c r="D76" s="4">
        <v>1203.02</v>
      </c>
      <c r="E76" s="4"/>
      <c r="F76" s="12">
        <f>IF(D$12=0,0,D76/D$12)</f>
        <v>0.11079572665315895</v>
      </c>
      <c r="G76" s="4"/>
      <c r="H76" s="4">
        <v>44494</v>
      </c>
      <c r="I76" s="4"/>
      <c r="J76" s="12">
        <f>IF(H$12=0,0,H76/H$12)</f>
        <v>0.11678981560469848</v>
      </c>
      <c r="K76" s="4"/>
      <c r="L76" s="4">
        <f>+D76-H76</f>
        <v>-43290.98</v>
      </c>
      <c r="M76" s="4"/>
      <c r="N76" s="12">
        <f>IF(H76=0,0,L76/H76)</f>
        <v>-0.97296219715017762</v>
      </c>
      <c r="O76" s="10"/>
      <c r="P76" s="4">
        <v>1973.52</v>
      </c>
      <c r="Q76" s="4"/>
      <c r="R76" s="12">
        <f>IF(P$12=0,0,P76/P$12)</f>
        <v>0.10715268845461164</v>
      </c>
      <c r="S76" s="4"/>
      <c r="T76" s="4">
        <v>45877</v>
      </c>
      <c r="U76" s="4"/>
      <c r="V76" s="12">
        <f>IF(T$12=0,0,T76/T$12)</f>
        <v>0.1168915217529779</v>
      </c>
      <c r="W76" s="4"/>
      <c r="X76" s="4">
        <f>+P76-T76</f>
        <v>-43903.48</v>
      </c>
      <c r="Y76" s="4"/>
      <c r="Z76" s="12">
        <f>IF(T76=0,0,X76/T76)</f>
        <v>-0.9569823658914054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8" t="s">
        <v>4</v>
      </c>
      <c r="C78" s="28"/>
      <c r="D78" s="31">
        <f>+D74-D76</f>
        <v>1576.04</v>
      </c>
      <c r="E78" s="14"/>
      <c r="F78" s="34">
        <f>IF(D$12=0,0,D78/D$12)</f>
        <v>0.14515011972738995</v>
      </c>
      <c r="G78" s="14"/>
      <c r="H78" s="31">
        <f>+H74-H76</f>
        <v>178156.91722388464</v>
      </c>
      <c r="I78" s="14"/>
      <c r="J78" s="34">
        <f>IF(H$12=0,0,H78/H$12)</f>
        <v>0.46763414193551978</v>
      </c>
      <c r="K78" s="16"/>
      <c r="L78" s="31">
        <f>D78-H78</f>
        <v>-176580.87722388463</v>
      </c>
      <c r="M78" s="16"/>
      <c r="N78" s="34">
        <f>IF(H78=0,0,L78/H78)</f>
        <v>-0.99115364126996286</v>
      </c>
      <c r="O78" s="29"/>
      <c r="P78" s="31">
        <f>+P74-P76</f>
        <v>121559.81999999999</v>
      </c>
      <c r="Q78" s="14"/>
      <c r="R78" s="34">
        <f>IF(P$12=0,0,P78/P$12)</f>
        <v>6.6001163003459133</v>
      </c>
      <c r="S78" s="14"/>
      <c r="T78" s="31">
        <f>+T74-T76</f>
        <v>330887.49187887495</v>
      </c>
      <c r="U78" s="14"/>
      <c r="V78" s="34">
        <f>IF(T$12=0,0,T78/T$12)</f>
        <v>0.84307915632556196</v>
      </c>
      <c r="W78" s="16"/>
      <c r="X78" s="31">
        <f>P78-T78</f>
        <v>-209327.67187887494</v>
      </c>
      <c r="Y78" s="16"/>
      <c r="Z78" s="34">
        <f>IF(T78=0,0,X78/T78)</f>
        <v>-0.6326249163733928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8" t="s">
        <v>5</v>
      </c>
      <c r="C81" s="28"/>
      <c r="D81" s="32">
        <f>SUM(D78:D80)</f>
        <v>1576.04</v>
      </c>
      <c r="E81" s="14"/>
      <c r="F81" s="35">
        <f>IF(D$12=0,0,D81/D$12)</f>
        <v>0.14515011972738995</v>
      </c>
      <c r="G81" s="14"/>
      <c r="H81" s="32">
        <f>SUM(H78:H80)</f>
        <v>178156.91722388464</v>
      </c>
      <c r="I81" s="14"/>
      <c r="J81" s="35">
        <f>IF(H$12=0,0,H81/H$12)</f>
        <v>0.46763414193551978</v>
      </c>
      <c r="K81" s="16"/>
      <c r="L81" s="32">
        <f>+D81-H81</f>
        <v>-176580.87722388463</v>
      </c>
      <c r="M81" s="16"/>
      <c r="N81" s="35">
        <f>IF(H81=0,0,L81/H81)</f>
        <v>-0.99115364126996286</v>
      </c>
      <c r="O81" s="29"/>
      <c r="P81" s="32">
        <f>SUM(P78:P80)</f>
        <v>121559.81999999999</v>
      </c>
      <c r="Q81" s="14"/>
      <c r="R81" s="35">
        <f>IF(P$12=0,0,P81/P$12)</f>
        <v>6.6001163003459133</v>
      </c>
      <c r="S81" s="14"/>
      <c r="T81" s="32">
        <f>SUM(T78:T80)</f>
        <v>330887.49187887495</v>
      </c>
      <c r="U81" s="14"/>
      <c r="V81" s="35">
        <f>IF(T$12=0,0,T81/T$12)</f>
        <v>0.84307915632556196</v>
      </c>
      <c r="W81" s="16"/>
      <c r="X81" s="32">
        <f>+P81-T81</f>
        <v>-209327.67187887494</v>
      </c>
      <c r="Y81" s="16"/>
      <c r="Z81" s="35">
        <f>IF(T81=0,0,X81/T81)</f>
        <v>-0.6326249163733928</v>
      </c>
    </row>
    <row r="82" spans="1:26" ht="15.75" thickTop="1" x14ac:dyDescent="0.25">
      <c r="A82" s="9"/>
      <c r="C82" s="9"/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6" x14ac:dyDescent="0.25">
      <c r="A83" s="9"/>
      <c r="B83" s="57">
        <v>43934.466538541667</v>
      </c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6" x14ac:dyDescent="0.25">
      <c r="A84" s="9"/>
      <c r="B84" s="62" t="s">
        <v>314</v>
      </c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60"/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2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311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114301.87000000001</v>
      </c>
      <c r="E12" s="4"/>
      <c r="F12" s="12"/>
      <c r="G12" s="4"/>
      <c r="H12" s="4">
        <f>SUM(OSRRefH13x_0)</f>
        <v>164030</v>
      </c>
      <c r="I12" s="4"/>
      <c r="J12" s="12"/>
      <c r="K12" s="4"/>
      <c r="L12" s="4">
        <f t="shared" ref="L12:L38" si="0">+D12-H12</f>
        <v>-49728.12999999999</v>
      </c>
      <c r="M12" s="4"/>
      <c r="N12" s="12">
        <f t="shared" ref="N12:N38" si="1">IF(H12=0,0,L12/H12)</f>
        <v>-0.30316484789367792</v>
      </c>
      <c r="O12" s="10"/>
      <c r="P12" s="4">
        <f>SUM(OSRRefP13x_0)</f>
        <v>2038334.4500000002</v>
      </c>
      <c r="Q12" s="4"/>
      <c r="R12" s="12"/>
      <c r="S12" s="4"/>
      <c r="T12" s="4">
        <f>SUM(OSRRefT13x_0)</f>
        <v>2058581</v>
      </c>
      <c r="U12" s="4"/>
      <c r="V12" s="12"/>
      <c r="W12" s="4"/>
      <c r="X12" s="4">
        <f t="shared" ref="X12:X38" si="2">+P12-T12</f>
        <v>-20246.549999999814</v>
      </c>
      <c r="Y12" s="4"/>
      <c r="Z12" s="12">
        <f t="shared" ref="Z12:Z38" si="3">IF(T12=0,0,X12/T12)</f>
        <v>-9.8351971576536527E-3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144347</v>
      </c>
      <c r="I13" s="2"/>
      <c r="J13" s="19"/>
      <c r="K13" s="2"/>
      <c r="L13" s="2">
        <f t="shared" si="0"/>
        <v>-144347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1811550</v>
      </c>
      <c r="U13" s="2"/>
      <c r="V13" s="19"/>
      <c r="W13" s="2"/>
      <c r="X13" s="2">
        <f t="shared" si="2"/>
        <v>-1811550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--14974.95</f>
        <v>14974.95</v>
      </c>
      <c r="E14" s="2"/>
      <c r="F14" s="19"/>
      <c r="G14" s="2"/>
      <c r="H14" s="2"/>
      <c r="I14" s="2"/>
      <c r="J14" s="19"/>
      <c r="K14" s="2"/>
      <c r="L14" s="2">
        <f t="shared" si="0"/>
        <v>14974.95</v>
      </c>
      <c r="M14" s="2"/>
      <c r="N14" s="19">
        <f t="shared" si="1"/>
        <v>0</v>
      </c>
      <c r="O14" s="11"/>
      <c r="P14" s="2">
        <f>--311197.12</f>
        <v>311197.12</v>
      </c>
      <c r="Q14" s="2"/>
      <c r="R14" s="19"/>
      <c r="S14" s="2"/>
      <c r="T14" s="2"/>
      <c r="U14" s="2"/>
      <c r="V14" s="19"/>
      <c r="W14" s="2"/>
      <c r="X14" s="2">
        <f t="shared" si="2"/>
        <v>311197.12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--77563.48</f>
        <v>77563.48</v>
      </c>
      <c r="E15" s="2"/>
      <c r="F15" s="19"/>
      <c r="G15" s="2"/>
      <c r="H15" s="2"/>
      <c r="I15" s="2"/>
      <c r="J15" s="19"/>
      <c r="K15" s="2"/>
      <c r="L15" s="2">
        <f t="shared" si="0"/>
        <v>77563.48</v>
      </c>
      <c r="M15" s="2"/>
      <c r="N15" s="19">
        <f t="shared" si="1"/>
        <v>0</v>
      </c>
      <c r="O15" s="11"/>
      <c r="P15" s="2">
        <f>--1661109.03</f>
        <v>1661109.03</v>
      </c>
      <c r="Q15" s="2"/>
      <c r="R15" s="19"/>
      <c r="S15" s="2"/>
      <c r="T15" s="2"/>
      <c r="U15" s="2"/>
      <c r="V15" s="19"/>
      <c r="W15" s="2"/>
      <c r="X15" s="2">
        <f t="shared" si="2"/>
        <v>1661109.03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--4721.24</f>
        <v>4721.24</v>
      </c>
      <c r="E16" s="2"/>
      <c r="F16" s="19"/>
      <c r="G16" s="2"/>
      <c r="H16" s="2"/>
      <c r="I16" s="2"/>
      <c r="J16" s="19"/>
      <c r="K16" s="2"/>
      <c r="L16" s="2">
        <f t="shared" si="0"/>
        <v>4721.24</v>
      </c>
      <c r="M16" s="2"/>
      <c r="N16" s="19">
        <f t="shared" si="1"/>
        <v>0</v>
      </c>
      <c r="O16" s="11"/>
      <c r="P16" s="2">
        <f>--99968.32</f>
        <v>99968.320000000007</v>
      </c>
      <c r="Q16" s="2"/>
      <c r="R16" s="19"/>
      <c r="S16" s="2"/>
      <c r="T16" s="2"/>
      <c r="U16" s="2"/>
      <c r="V16" s="19"/>
      <c r="W16" s="2"/>
      <c r="X16" s="2">
        <f t="shared" si="2"/>
        <v>99968.320000000007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 t="shared" ref="D17:D18" si="4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--129</f>
        <v>129</v>
      </c>
      <c r="Q17" s="2"/>
      <c r="R17" s="19"/>
      <c r="S17" s="2"/>
      <c r="T17" s="2"/>
      <c r="U17" s="2"/>
      <c r="V17" s="19"/>
      <c r="W17" s="2"/>
      <c r="X17" s="2">
        <f t="shared" si="2"/>
        <v>129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"4085", " - ", "TAXABLE SALES-SOFTWARE")</f>
        <v xml:space="preserve">          4085 - TAXABLE SALES-SOFTWARE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--4557.93</f>
        <v>4557.93</v>
      </c>
      <c r="Q18" s="2"/>
      <c r="R18" s="19"/>
      <c r="S18" s="2"/>
      <c r="T18" s="2"/>
      <c r="U18" s="2"/>
      <c r="V18" s="19"/>
      <c r="W18" s="2"/>
      <c r="X18" s="2">
        <f t="shared" si="2"/>
        <v>4557.93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--2048.99</f>
        <v>2048.9899999999998</v>
      </c>
      <c r="E19" s="2"/>
      <c r="F19" s="19"/>
      <c r="G19" s="2"/>
      <c r="H19" s="2"/>
      <c r="I19" s="2"/>
      <c r="J19" s="19"/>
      <c r="K19" s="2"/>
      <c r="L19" s="2">
        <f t="shared" si="0"/>
        <v>2048.9899999999998</v>
      </c>
      <c r="M19" s="2"/>
      <c r="N19" s="19">
        <f t="shared" si="1"/>
        <v>0</v>
      </c>
      <c r="O19" s="11"/>
      <c r="P19" s="2">
        <f>--48266.32</f>
        <v>48266.32</v>
      </c>
      <c r="Q19" s="2"/>
      <c r="R19" s="19"/>
      <c r="S19" s="2"/>
      <c r="T19" s="2"/>
      <c r="U19" s="2"/>
      <c r="V19" s="19"/>
      <c r="W19" s="2"/>
      <c r="X19" s="2">
        <f t="shared" si="2"/>
        <v>48266.32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"4088", " - ", "TAXABLE SALES-MUSIC")</f>
        <v xml:space="preserve">          4088 - TAXABLE SALES-MUSIC</v>
      </c>
      <c r="C20" s="11"/>
      <c r="D20" s="2">
        <f>--199.99</f>
        <v>199.99</v>
      </c>
      <c r="E20" s="2"/>
      <c r="F20" s="19"/>
      <c r="G20" s="2"/>
      <c r="H20" s="2"/>
      <c r="I20" s="2"/>
      <c r="J20" s="19"/>
      <c r="K20" s="2"/>
      <c r="L20" s="2">
        <f t="shared" si="0"/>
        <v>199.99</v>
      </c>
      <c r="M20" s="2"/>
      <c r="N20" s="19">
        <f t="shared" si="1"/>
        <v>0</v>
      </c>
      <c r="O20" s="11"/>
      <c r="P20" s="2">
        <f>--1294.83</f>
        <v>1294.83</v>
      </c>
      <c r="Q20" s="2"/>
      <c r="R20" s="19"/>
      <c r="S20" s="2"/>
      <c r="T20" s="2"/>
      <c r="U20" s="2"/>
      <c r="V20" s="19"/>
      <c r="W20" s="2"/>
      <c r="X20" s="2">
        <f t="shared" si="2"/>
        <v>1294.83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19683</v>
      </c>
      <c r="I21" s="2"/>
      <c r="J21" s="19"/>
      <c r="K21" s="2"/>
      <c r="L21" s="2">
        <f t="shared" si="0"/>
        <v>-19683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247031</v>
      </c>
      <c r="U21" s="2"/>
      <c r="V21" s="19"/>
      <c r="W21" s="2"/>
      <c r="X21" s="2">
        <f t="shared" si="2"/>
        <v>-247031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"4181", " - ", "NON-TAXABLE SALES-ELECTRONICS")</f>
        <v xml:space="preserve">          4181 - NON-TAXABLE SALES-ELECTRONICS</v>
      </c>
      <c r="C22" s="11"/>
      <c r="D22" s="2">
        <f>--13.99</f>
        <v>13.99</v>
      </c>
      <c r="E22" s="2"/>
      <c r="F22" s="19"/>
      <c r="G22" s="2"/>
      <c r="H22" s="2"/>
      <c r="I22" s="2"/>
      <c r="J22" s="19"/>
      <c r="K22" s="2"/>
      <c r="L22" s="2">
        <f t="shared" si="0"/>
        <v>13.99</v>
      </c>
      <c r="M22" s="2"/>
      <c r="N22" s="19">
        <f t="shared" si="1"/>
        <v>0</v>
      </c>
      <c r="O22" s="11"/>
      <c r="P22" s="2">
        <f>--2078.37</f>
        <v>2078.37</v>
      </c>
      <c r="Q22" s="2"/>
      <c r="R22" s="19"/>
      <c r="S22" s="2"/>
      <c r="T22" s="2"/>
      <c r="U22" s="2"/>
      <c r="V22" s="19"/>
      <c r="W22" s="2"/>
      <c r="X22" s="2">
        <f t="shared" si="2"/>
        <v>2078.37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"4182", " - ", "NON-TAXABLE SALES-COMPUTER HAR")</f>
        <v xml:space="preserve">          4182 - NON-TAXABLE SALES-COMPUTER HAR</v>
      </c>
      <c r="C23" s="11"/>
      <c r="D23" s="2">
        <f>--20132</f>
        <v>20132</v>
      </c>
      <c r="E23" s="2"/>
      <c r="F23" s="19"/>
      <c r="G23" s="2"/>
      <c r="H23" s="2"/>
      <c r="I23" s="2"/>
      <c r="J23" s="19"/>
      <c r="K23" s="2"/>
      <c r="L23" s="2">
        <f t="shared" si="0"/>
        <v>20132</v>
      </c>
      <c r="M23" s="2"/>
      <c r="N23" s="19">
        <f t="shared" si="1"/>
        <v>0</v>
      </c>
      <c r="O23" s="11"/>
      <c r="P23" s="2">
        <f>--118010.96</f>
        <v>118010.96</v>
      </c>
      <c r="Q23" s="2"/>
      <c r="R23" s="19"/>
      <c r="S23" s="2"/>
      <c r="T23" s="2"/>
      <c r="U23" s="2"/>
      <c r="V23" s="19"/>
      <c r="W23" s="2"/>
      <c r="X23" s="2">
        <f t="shared" si="2"/>
        <v>118010.96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"4183", " - ", "NON-TAXABLE SALES-COMPUTER EQU")</f>
        <v xml:space="preserve">          4183 - NON-TAXABLE SALES-COMPUTER EQU</v>
      </c>
      <c r="C24" s="11"/>
      <c r="D24" s="2">
        <f>--705.91</f>
        <v>705.91</v>
      </c>
      <c r="E24" s="2"/>
      <c r="F24" s="19"/>
      <c r="G24" s="2"/>
      <c r="H24" s="2"/>
      <c r="I24" s="2"/>
      <c r="J24" s="19"/>
      <c r="K24" s="2"/>
      <c r="L24" s="2">
        <f t="shared" si="0"/>
        <v>705.91</v>
      </c>
      <c r="M24" s="2"/>
      <c r="N24" s="19">
        <f t="shared" si="1"/>
        <v>0</v>
      </c>
      <c r="O24" s="11"/>
      <c r="P24" s="2">
        <f>--6762.22</f>
        <v>6762.22</v>
      </c>
      <c r="Q24" s="2"/>
      <c r="R24" s="19"/>
      <c r="S24" s="2"/>
      <c r="T24" s="2"/>
      <c r="U24" s="2"/>
      <c r="V24" s="19"/>
      <c r="W24" s="2"/>
      <c r="X24" s="2">
        <f t="shared" si="2"/>
        <v>6762.22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"4184", " - ", "NON-TAXABLE SALES-SOFTWARE LIC")</f>
        <v xml:space="preserve">          4184 - NON-TAXABLE SALES-SOFTWARE LIC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--2728</f>
        <v>2728</v>
      </c>
      <c r="Q25" s="2"/>
      <c r="R25" s="19"/>
      <c r="S25" s="2"/>
      <c r="T25" s="2"/>
      <c r="U25" s="2"/>
      <c r="V25" s="19"/>
      <c r="W25" s="2"/>
      <c r="X25" s="2">
        <f t="shared" si="2"/>
        <v>2728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"4185", " - ", "NON-TAXABLE SALES-SOFTWARE")</f>
        <v xml:space="preserve">          4185 - NON-TAXABLE SALES-SOFTWARE</v>
      </c>
      <c r="C26" s="11"/>
      <c r="D26" s="2">
        <f>--976.95</f>
        <v>976.95</v>
      </c>
      <c r="E26" s="2"/>
      <c r="F26" s="19"/>
      <c r="G26" s="2"/>
      <c r="H26" s="2"/>
      <c r="I26" s="2"/>
      <c r="J26" s="19"/>
      <c r="K26" s="2"/>
      <c r="L26" s="2">
        <f t="shared" si="0"/>
        <v>976.95</v>
      </c>
      <c r="M26" s="2"/>
      <c r="N26" s="19">
        <f t="shared" si="1"/>
        <v>0</v>
      </c>
      <c r="O26" s="11"/>
      <c r="P26" s="2">
        <f>--13122.74</f>
        <v>13122.74</v>
      </c>
      <c r="Q26" s="2"/>
      <c r="R26" s="19"/>
      <c r="S26" s="2"/>
      <c r="T26" s="2"/>
      <c r="U26" s="2"/>
      <c r="V26" s="19"/>
      <c r="W26" s="2"/>
      <c r="X26" s="2">
        <f t="shared" si="2"/>
        <v>13122.74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"4186", " - ", "NON-TAXABLE SALES-COMPUTER SUP")</f>
        <v xml:space="preserve">          4186 - NON-TAXABLE SALES-COMPUTER SUP</v>
      </c>
      <c r="C27" s="11"/>
      <c r="D27" s="2">
        <f>--149.98</f>
        <v>149.97999999999999</v>
      </c>
      <c r="E27" s="2"/>
      <c r="F27" s="19"/>
      <c r="G27" s="2"/>
      <c r="H27" s="2"/>
      <c r="I27" s="2"/>
      <c r="J27" s="19"/>
      <c r="K27" s="2"/>
      <c r="L27" s="2">
        <f t="shared" si="0"/>
        <v>149.97999999999999</v>
      </c>
      <c r="M27" s="2"/>
      <c r="N27" s="19">
        <f t="shared" si="1"/>
        <v>0</v>
      </c>
      <c r="O27" s="11"/>
      <c r="P27" s="2">
        <f>--2650.16</f>
        <v>2650.16</v>
      </c>
      <c r="Q27" s="2"/>
      <c r="R27" s="19"/>
      <c r="S27" s="2"/>
      <c r="T27" s="2"/>
      <c r="U27" s="2"/>
      <c r="V27" s="19"/>
      <c r="W27" s="2"/>
      <c r="X27" s="2">
        <f t="shared" si="2"/>
        <v>2650.16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"4188", " - ", "NON-TAXABLE SALES-MUSIC")</f>
        <v xml:space="preserve">          4188 - NON-TAXABLE SALES-MUSIC</v>
      </c>
      <c r="C28" s="11"/>
      <c r="D28" s="2">
        <f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--219.96</f>
        <v>219.96</v>
      </c>
      <c r="Q28" s="2"/>
      <c r="R28" s="19"/>
      <c r="S28" s="2"/>
      <c r="T28" s="2"/>
      <c r="U28" s="2"/>
      <c r="V28" s="19"/>
      <c r="W28" s="2"/>
      <c r="X28" s="2">
        <f t="shared" si="2"/>
        <v>219.96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"4281", " - ", "SALES RETURN TAXABLE-ELECTRONI")</f>
        <v xml:space="preserve">          4281 - SALES RETURN TAXABLE-ELECTRONI</v>
      </c>
      <c r="C29" s="11"/>
      <c r="D29" s="2">
        <f>-213.97</f>
        <v>-213.97</v>
      </c>
      <c r="E29" s="2"/>
      <c r="F29" s="19"/>
      <c r="G29" s="2"/>
      <c r="H29" s="2"/>
      <c r="I29" s="2"/>
      <c r="J29" s="19"/>
      <c r="K29" s="2"/>
      <c r="L29" s="2">
        <f t="shared" si="0"/>
        <v>-213.97</v>
      </c>
      <c r="M29" s="2"/>
      <c r="N29" s="19">
        <f t="shared" si="1"/>
        <v>0</v>
      </c>
      <c r="O29" s="11"/>
      <c r="P29" s="2">
        <f>-7781.7</f>
        <v>-7781.7</v>
      </c>
      <c r="Q29" s="2"/>
      <c r="R29" s="19"/>
      <c r="S29" s="2"/>
      <c r="T29" s="2"/>
      <c r="U29" s="2"/>
      <c r="V29" s="19"/>
      <c r="W29" s="2"/>
      <c r="X29" s="2">
        <f t="shared" si="2"/>
        <v>-7781.7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"4282", " - ", "SALES RETURN TAXABLE-COMPUTER")</f>
        <v xml:space="preserve">          4282 - SALES RETURN TAXABLE-COMPUTER</v>
      </c>
      <c r="C30" s="11"/>
      <c r="D30" s="2">
        <f>-6266.02</f>
        <v>-6266.02</v>
      </c>
      <c r="E30" s="2"/>
      <c r="F30" s="19"/>
      <c r="G30" s="2"/>
      <c r="H30" s="2"/>
      <c r="I30" s="2"/>
      <c r="J30" s="19"/>
      <c r="K30" s="2"/>
      <c r="L30" s="2">
        <f t="shared" si="0"/>
        <v>-6266.02</v>
      </c>
      <c r="M30" s="2"/>
      <c r="N30" s="19">
        <f t="shared" si="1"/>
        <v>0</v>
      </c>
      <c r="O30" s="11"/>
      <c r="P30" s="2">
        <f>-213491.15</f>
        <v>-213491.15</v>
      </c>
      <c r="Q30" s="2"/>
      <c r="R30" s="19"/>
      <c r="S30" s="2"/>
      <c r="T30" s="2"/>
      <c r="U30" s="2"/>
      <c r="V30" s="19"/>
      <c r="W30" s="2"/>
      <c r="X30" s="2">
        <f t="shared" si="2"/>
        <v>-213491.15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"4283", " - ", "SALES RETURN TAXABLE-COMPUTER")</f>
        <v xml:space="preserve">          4283 - SALES RETURN TAXABLE-COMPUTER</v>
      </c>
      <c r="C31" s="11"/>
      <c r="D31" s="2">
        <f>-627.65</f>
        <v>-627.65</v>
      </c>
      <c r="E31" s="2"/>
      <c r="F31" s="19"/>
      <c r="G31" s="2"/>
      <c r="H31" s="2"/>
      <c r="I31" s="2"/>
      <c r="J31" s="19"/>
      <c r="K31" s="2"/>
      <c r="L31" s="2">
        <f t="shared" si="0"/>
        <v>-627.65</v>
      </c>
      <c r="M31" s="2"/>
      <c r="N31" s="19">
        <f t="shared" si="1"/>
        <v>0</v>
      </c>
      <c r="O31" s="11"/>
      <c r="P31" s="2">
        <f>-6453.06</f>
        <v>-6453.06</v>
      </c>
      <c r="Q31" s="2"/>
      <c r="R31" s="19"/>
      <c r="S31" s="2"/>
      <c r="T31" s="2"/>
      <c r="U31" s="2"/>
      <c r="V31" s="19"/>
      <c r="W31" s="2"/>
      <c r="X31" s="2">
        <f t="shared" si="2"/>
        <v>-6453.06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"4284", " - ", "SALES RETURN TAXABLE-SOFTWARE")</f>
        <v xml:space="preserve">          4284 - SALES RETURN TAXABLE-SOFTWARE</v>
      </c>
      <c r="C32" s="11"/>
      <c r="D32" s="2">
        <f t="shared" ref="D32:D33" si="5"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-129</f>
        <v>-129</v>
      </c>
      <c r="Q32" s="2"/>
      <c r="R32" s="19"/>
      <c r="S32" s="2"/>
      <c r="T32" s="2"/>
      <c r="U32" s="2"/>
      <c r="V32" s="19"/>
      <c r="W32" s="2"/>
      <c r="X32" s="2">
        <f t="shared" si="2"/>
        <v>-129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"4285", " - ", "SALES RETURN TAXABLE-SOFTWARE")</f>
        <v xml:space="preserve">          4285 - SALES RETURN TAXABLE-SOFTWARE</v>
      </c>
      <c r="C33" s="11"/>
      <c r="D33" s="2">
        <f t="shared" si="5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-805.97</f>
        <v>-805.97</v>
      </c>
      <c r="Q33" s="2"/>
      <c r="R33" s="19"/>
      <c r="S33" s="2"/>
      <c r="T33" s="2"/>
      <c r="U33" s="2"/>
      <c r="V33" s="19"/>
      <c r="W33" s="2"/>
      <c r="X33" s="2">
        <f t="shared" si="2"/>
        <v>-805.97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"4286", " - ", "SALES RETURN TAXABLE-COMPUTER")</f>
        <v xml:space="preserve">          4286 - SALES RETURN TAXABLE-COMPUTER</v>
      </c>
      <c r="C34" s="11"/>
      <c r="D34" s="2">
        <f>-77.97</f>
        <v>-77.97</v>
      </c>
      <c r="E34" s="2"/>
      <c r="F34" s="19"/>
      <c r="G34" s="2"/>
      <c r="H34" s="2"/>
      <c r="I34" s="2"/>
      <c r="J34" s="19"/>
      <c r="K34" s="2"/>
      <c r="L34" s="2">
        <f t="shared" si="0"/>
        <v>-77.97</v>
      </c>
      <c r="M34" s="2"/>
      <c r="N34" s="19">
        <f t="shared" si="1"/>
        <v>0</v>
      </c>
      <c r="O34" s="11"/>
      <c r="P34" s="2">
        <f>-3660.86</f>
        <v>-3660.86</v>
      </c>
      <c r="Q34" s="2"/>
      <c r="R34" s="19"/>
      <c r="S34" s="2"/>
      <c r="T34" s="2"/>
      <c r="U34" s="2"/>
      <c r="V34" s="19"/>
      <c r="W34" s="2"/>
      <c r="X34" s="2">
        <f t="shared" si="2"/>
        <v>-3660.86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"4288", " - ", "TAXABLE SALES RETURN-MUSIC")</f>
        <v xml:space="preserve">          4288 - TAXABLE SALES RETURN-MUSIC</v>
      </c>
      <c r="C35" s="11"/>
      <c r="D35" s="2">
        <f t="shared" ref="D35:D38" si="6">0</f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-3.99</f>
        <v>-3.99</v>
      </c>
      <c r="Q35" s="2"/>
      <c r="R35" s="19"/>
      <c r="S35" s="2"/>
      <c r="T35" s="2"/>
      <c r="U35" s="2"/>
      <c r="V35" s="19"/>
      <c r="W35" s="2"/>
      <c r="X35" s="2">
        <f t="shared" si="2"/>
        <v>-3.99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"4381", " - ", "SALES RETURN NON TAXABLE-ELECT")</f>
        <v xml:space="preserve">          4381 - SALES RETURN NON TAXABLE-ELECT</v>
      </c>
      <c r="C36" s="11"/>
      <c r="D36" s="2">
        <f t="shared" si="6"/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-1279.84</f>
        <v>-1279.8399999999999</v>
      </c>
      <c r="Q36" s="2"/>
      <c r="R36" s="19"/>
      <c r="S36" s="2"/>
      <c r="T36" s="2"/>
      <c r="U36" s="2"/>
      <c r="V36" s="19"/>
      <c r="W36" s="2"/>
      <c r="X36" s="2">
        <f t="shared" si="2"/>
        <v>-1279.8399999999999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"4383", " - ", "SALES RETURN NON TAXABLE-COMPU")</f>
        <v xml:space="preserve">          4383 - SALES RETURN NON TAXABLE-COMPU</v>
      </c>
      <c r="C37" s="11"/>
      <c r="D37" s="2">
        <f t="shared" si="6"/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-49.98</f>
        <v>-49.98</v>
      </c>
      <c r="Q37" s="2"/>
      <c r="R37" s="19"/>
      <c r="S37" s="2"/>
      <c r="T37" s="2"/>
      <c r="U37" s="2"/>
      <c r="V37" s="19"/>
      <c r="W37" s="2"/>
      <c r="X37" s="2">
        <f t="shared" si="2"/>
        <v>-49.98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"4386", " - ", "SALES RETURN NON TAXABLE-COMPU")</f>
        <v xml:space="preserve">          4386 - SALES RETURN NON TAXABLE-COMPU</v>
      </c>
      <c r="C38" s="11"/>
      <c r="D38" s="2">
        <f t="shared" si="6"/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-104.96</f>
        <v>-104.96</v>
      </c>
      <c r="Q38" s="2"/>
      <c r="R38" s="19"/>
      <c r="S38" s="2"/>
      <c r="T38" s="2"/>
      <c r="U38" s="2"/>
      <c r="V38" s="19"/>
      <c r="W38" s="2"/>
      <c r="X38" s="2">
        <f t="shared" si="2"/>
        <v>-104.96</v>
      </c>
      <c r="Y38" s="2"/>
      <c r="Z38" s="19">
        <f t="shared" si="3"/>
        <v>0</v>
      </c>
    </row>
    <row r="39" spans="1:26" x14ac:dyDescent="0.25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collapsed="1" x14ac:dyDescent="0.25">
      <c r="A40" s="10"/>
      <c r="B40" s="29" t="s">
        <v>8</v>
      </c>
      <c r="C40" s="10"/>
      <c r="D40" s="4">
        <f>SUM(OSRRefD16x_0)</f>
        <v>104219.01000000001</v>
      </c>
      <c r="E40" s="4"/>
      <c r="F40" s="12">
        <f t="shared" ref="F40:F54" si="7">IF(D$12=0,0,D40/D$12)</f>
        <v>0.91178744494731367</v>
      </c>
      <c r="G40" s="4"/>
      <c r="H40" s="4">
        <f>SUM(OSRRefH16x_0)</f>
        <v>128102.00000000001</v>
      </c>
      <c r="I40" s="4"/>
      <c r="J40" s="12">
        <f t="shared" ref="J40:J54" si="8">IF(H$12=0,0,H40/H$12)</f>
        <v>0.78096689629945748</v>
      </c>
      <c r="K40" s="4"/>
      <c r="L40" s="4">
        <f t="shared" ref="L40:L54" si="9">+D40-H40</f>
        <v>-23882.990000000005</v>
      </c>
      <c r="M40" s="4"/>
      <c r="N40" s="12">
        <f t="shared" ref="N40:N54" si="10">IF(H40=0,0,L40/H40)</f>
        <v>-0.18643729215781177</v>
      </c>
      <c r="O40" s="10"/>
      <c r="P40" s="4">
        <f>SUM(OSRRefP16x_0)</f>
        <v>1776440.5399999998</v>
      </c>
      <c r="Q40" s="4"/>
      <c r="R40" s="12">
        <f t="shared" ref="R40:R54" si="11">IF(P$12=0,0,P40/P$12)</f>
        <v>0.8715157318760911</v>
      </c>
      <c r="S40" s="4"/>
      <c r="T40" s="4">
        <f>SUM(OSRRefT16x_0)</f>
        <v>1607676</v>
      </c>
      <c r="U40" s="4"/>
      <c r="V40" s="12">
        <f t="shared" ref="V40:V54" si="12">IF(T$12=0,0,T40/T$12)</f>
        <v>0.78096319746466136</v>
      </c>
      <c r="W40" s="4"/>
      <c r="X40" s="4">
        <f t="shared" ref="X40:X54" si="13">+P40-T40</f>
        <v>168764.5399999998</v>
      </c>
      <c r="Y40" s="4"/>
      <c r="Z40" s="12">
        <f t="shared" ref="Z40:Z54" si="14">IF(T40=0,0,X40/T40)</f>
        <v>0.10497422366198152</v>
      </c>
    </row>
    <row r="41" spans="1:26" s="24" customFormat="1" hidden="1" outlineLevel="1" x14ac:dyDescent="0.25">
      <c r="A41" s="44"/>
      <c r="B41" s="11" t="str">
        <f>CONCATENATE("          ", "5000", " - ", "PURCHASES @ COST")</f>
        <v xml:space="preserve">          5000 - PURCHASES @ COST</v>
      </c>
      <c r="C41" s="11"/>
      <c r="D41" s="2"/>
      <c r="E41" s="2"/>
      <c r="F41" s="19">
        <f t="shared" si="7"/>
        <v>0</v>
      </c>
      <c r="G41" s="2"/>
      <c r="H41" s="2">
        <v>128102.00000000001</v>
      </c>
      <c r="I41" s="2"/>
      <c r="J41" s="19">
        <f t="shared" si="8"/>
        <v>0.78096689629945748</v>
      </c>
      <c r="K41" s="2"/>
      <c r="L41" s="2">
        <f t="shared" si="9"/>
        <v>-128102.00000000001</v>
      </c>
      <c r="M41" s="2"/>
      <c r="N41" s="19">
        <f t="shared" si="10"/>
        <v>-1</v>
      </c>
      <c r="O41" s="11"/>
      <c r="P41" s="2"/>
      <c r="Q41" s="2"/>
      <c r="R41" s="19">
        <f t="shared" si="11"/>
        <v>0</v>
      </c>
      <c r="S41" s="2"/>
      <c r="T41" s="2">
        <v>1607676</v>
      </c>
      <c r="U41" s="2"/>
      <c r="V41" s="19">
        <f t="shared" si="12"/>
        <v>0.78096319746466136</v>
      </c>
      <c r="W41" s="2"/>
      <c r="X41" s="2">
        <f t="shared" si="13"/>
        <v>-1607676</v>
      </c>
      <c r="Y41" s="2"/>
      <c r="Z41" s="19">
        <f t="shared" si="14"/>
        <v>-1</v>
      </c>
    </row>
    <row r="42" spans="1:26" s="24" customFormat="1" hidden="1" outlineLevel="1" x14ac:dyDescent="0.25">
      <c r="A42" s="44"/>
      <c r="B42" s="11" t="str">
        <f>CONCATENATE("          ", "5081", " - ", "PURCHASES @ COST-ELECTRONICS")</f>
        <v xml:space="preserve">          5081 - PURCHASES @ COST-ELECTRONICS</v>
      </c>
      <c r="C42" s="11"/>
      <c r="D42" s="2">
        <v>35894.339999999997</v>
      </c>
      <c r="E42" s="2"/>
      <c r="F42" s="19">
        <f t="shared" si="7"/>
        <v>0.31403108278106029</v>
      </c>
      <c r="G42" s="2"/>
      <c r="H42" s="2"/>
      <c r="I42" s="2"/>
      <c r="J42" s="19">
        <f t="shared" si="8"/>
        <v>0</v>
      </c>
      <c r="K42" s="2"/>
      <c r="L42" s="2">
        <f t="shared" si="9"/>
        <v>35894.339999999997</v>
      </c>
      <c r="M42" s="2"/>
      <c r="N42" s="19">
        <f t="shared" si="10"/>
        <v>0</v>
      </c>
      <c r="O42" s="11"/>
      <c r="P42" s="2">
        <v>263024.61</v>
      </c>
      <c r="Q42" s="2"/>
      <c r="R42" s="19">
        <f t="shared" si="11"/>
        <v>0.12903898572680256</v>
      </c>
      <c r="S42" s="2"/>
      <c r="T42" s="2"/>
      <c r="U42" s="2"/>
      <c r="V42" s="19">
        <f t="shared" si="12"/>
        <v>0</v>
      </c>
      <c r="W42" s="2"/>
      <c r="X42" s="2">
        <f t="shared" si="13"/>
        <v>263024.61</v>
      </c>
      <c r="Y42" s="2"/>
      <c r="Z42" s="19">
        <f t="shared" si="14"/>
        <v>0</v>
      </c>
    </row>
    <row r="43" spans="1:26" s="24" customFormat="1" hidden="1" outlineLevel="1" x14ac:dyDescent="0.25">
      <c r="A43" s="44"/>
      <c r="B43" s="11" t="str">
        <f>CONCATENATE("          ", "5082", " - ", "PURCHASES @ COST-COMPUTER HARD")</f>
        <v xml:space="preserve">          5082 - PURCHASES @ COST-COMPUTER HARD</v>
      </c>
      <c r="C43" s="11"/>
      <c r="D43" s="2">
        <v>169875.81</v>
      </c>
      <c r="E43" s="2"/>
      <c r="F43" s="19">
        <f t="shared" si="7"/>
        <v>1.4862032440939066</v>
      </c>
      <c r="G43" s="2"/>
      <c r="H43" s="2"/>
      <c r="I43" s="2"/>
      <c r="J43" s="19">
        <f t="shared" si="8"/>
        <v>0</v>
      </c>
      <c r="K43" s="2"/>
      <c r="L43" s="2">
        <f t="shared" si="9"/>
        <v>169875.81</v>
      </c>
      <c r="M43" s="2"/>
      <c r="N43" s="19">
        <f t="shared" si="10"/>
        <v>0</v>
      </c>
      <c r="O43" s="11"/>
      <c r="P43" s="2">
        <v>1380824.79</v>
      </c>
      <c r="Q43" s="2"/>
      <c r="R43" s="19">
        <f t="shared" si="11"/>
        <v>0.67742798047690356</v>
      </c>
      <c r="S43" s="2"/>
      <c r="T43" s="2"/>
      <c r="U43" s="2"/>
      <c r="V43" s="19">
        <f t="shared" si="12"/>
        <v>0</v>
      </c>
      <c r="W43" s="2"/>
      <c r="X43" s="2">
        <f t="shared" si="13"/>
        <v>1380824.79</v>
      </c>
      <c r="Y43" s="2"/>
      <c r="Z43" s="19">
        <f t="shared" si="14"/>
        <v>0</v>
      </c>
    </row>
    <row r="44" spans="1:26" s="24" customFormat="1" hidden="1" outlineLevel="1" x14ac:dyDescent="0.25">
      <c r="A44" s="44"/>
      <c r="B44" s="11" t="str">
        <f>CONCATENATE("          ", "5083", " - ", "PURCHASES @ COST-COMPUTER EQUI")</f>
        <v xml:space="preserve">          5083 - PURCHASES @ COST-COMPUTER EQUI</v>
      </c>
      <c r="C44" s="11"/>
      <c r="D44" s="2">
        <v>6360.99</v>
      </c>
      <c r="E44" s="2"/>
      <c r="F44" s="19">
        <f t="shared" si="7"/>
        <v>5.565079556441202E-2</v>
      </c>
      <c r="G44" s="2"/>
      <c r="H44" s="2"/>
      <c r="I44" s="2"/>
      <c r="J44" s="19">
        <f t="shared" si="8"/>
        <v>0</v>
      </c>
      <c r="K44" s="2"/>
      <c r="L44" s="2">
        <f t="shared" si="9"/>
        <v>6360.99</v>
      </c>
      <c r="M44" s="2"/>
      <c r="N44" s="19">
        <f t="shared" si="10"/>
        <v>0</v>
      </c>
      <c r="O44" s="11"/>
      <c r="P44" s="2">
        <v>77477.73000000001</v>
      </c>
      <c r="Q44" s="2"/>
      <c r="R44" s="19">
        <f t="shared" si="11"/>
        <v>3.8010312782575995E-2</v>
      </c>
      <c r="S44" s="2"/>
      <c r="T44" s="2"/>
      <c r="U44" s="2"/>
      <c r="V44" s="19">
        <f t="shared" si="12"/>
        <v>0</v>
      </c>
      <c r="W44" s="2"/>
      <c r="X44" s="2">
        <f t="shared" si="13"/>
        <v>77477.73000000001</v>
      </c>
      <c r="Y44" s="2"/>
      <c r="Z44" s="19">
        <f t="shared" si="14"/>
        <v>0</v>
      </c>
    </row>
    <row r="45" spans="1:26" s="24" customFormat="1" hidden="1" outlineLevel="1" x14ac:dyDescent="0.25">
      <c r="A45" s="44"/>
      <c r="B45" s="11" t="str">
        <f>CONCATENATE("          ", "5084", " - ", "PURCHASES @ COST-SOFTWARE LICE")</f>
        <v xml:space="preserve">          5084 - PURCHASES @ COST-SOFTWARE LICE</v>
      </c>
      <c r="C45" s="11"/>
      <c r="D45" s="2"/>
      <c r="E45" s="2"/>
      <c r="F45" s="19">
        <f t="shared" si="7"/>
        <v>0</v>
      </c>
      <c r="G45" s="2"/>
      <c r="H45" s="2"/>
      <c r="I45" s="2"/>
      <c r="J45" s="19">
        <f t="shared" si="8"/>
        <v>0</v>
      </c>
      <c r="K45" s="2"/>
      <c r="L45" s="2">
        <f t="shared" si="9"/>
        <v>0</v>
      </c>
      <c r="M45" s="2"/>
      <c r="N45" s="19">
        <f t="shared" si="10"/>
        <v>0</v>
      </c>
      <c r="O45" s="11"/>
      <c r="P45" s="2">
        <v>2728</v>
      </c>
      <c r="Q45" s="2"/>
      <c r="R45" s="19">
        <f t="shared" si="11"/>
        <v>1.3383475906027099E-3</v>
      </c>
      <c r="S45" s="2"/>
      <c r="T45" s="2"/>
      <c r="U45" s="2"/>
      <c r="V45" s="19">
        <f t="shared" si="12"/>
        <v>0</v>
      </c>
      <c r="W45" s="2"/>
      <c r="X45" s="2">
        <f t="shared" si="13"/>
        <v>2728</v>
      </c>
      <c r="Y45" s="2"/>
      <c r="Z45" s="19">
        <f t="shared" si="14"/>
        <v>0</v>
      </c>
    </row>
    <row r="46" spans="1:26" s="24" customFormat="1" hidden="1" outlineLevel="1" x14ac:dyDescent="0.25">
      <c r="A46" s="44"/>
      <c r="B46" s="11" t="str">
        <f>CONCATENATE("          ", "5085", " - ", "PURCHASES @ COST-SOFTWARE")</f>
        <v xml:space="preserve">          5085 - PURCHASES @ COST-SOFTWARE</v>
      </c>
      <c r="C46" s="11"/>
      <c r="D46" s="2"/>
      <c r="E46" s="2"/>
      <c r="F46" s="19">
        <f t="shared" si="7"/>
        <v>0</v>
      </c>
      <c r="G46" s="2"/>
      <c r="H46" s="2"/>
      <c r="I46" s="2"/>
      <c r="J46" s="19">
        <f t="shared" si="8"/>
        <v>0</v>
      </c>
      <c r="K46" s="2"/>
      <c r="L46" s="2">
        <f t="shared" si="9"/>
        <v>0</v>
      </c>
      <c r="M46" s="2"/>
      <c r="N46" s="19">
        <f t="shared" si="10"/>
        <v>0</v>
      </c>
      <c r="O46" s="11"/>
      <c r="P46" s="2">
        <v>9162.39</v>
      </c>
      <c r="Q46" s="2"/>
      <c r="R46" s="19">
        <f t="shared" si="11"/>
        <v>4.4950376028820979E-3</v>
      </c>
      <c r="S46" s="2"/>
      <c r="T46" s="2"/>
      <c r="U46" s="2"/>
      <c r="V46" s="19">
        <f t="shared" si="12"/>
        <v>0</v>
      </c>
      <c r="W46" s="2"/>
      <c r="X46" s="2">
        <f t="shared" si="13"/>
        <v>9162.39</v>
      </c>
      <c r="Y46" s="2"/>
      <c r="Z46" s="19">
        <f t="shared" si="14"/>
        <v>0</v>
      </c>
    </row>
    <row r="47" spans="1:26" s="24" customFormat="1" hidden="1" outlineLevel="1" x14ac:dyDescent="0.25">
      <c r="A47" s="44"/>
      <c r="B47" s="11" t="str">
        <f>CONCATENATE("          ", "5086", " - ", "PURCHASES @ COST-COMPUTER SUPP")</f>
        <v xml:space="preserve">          5086 - PURCHASES @ COST-COMPUTER SUPP</v>
      </c>
      <c r="C47" s="11"/>
      <c r="D47" s="2">
        <v>948.45</v>
      </c>
      <c r="E47" s="2"/>
      <c r="F47" s="19">
        <f t="shared" si="7"/>
        <v>8.2977645072648421E-3</v>
      </c>
      <c r="G47" s="2"/>
      <c r="H47" s="2"/>
      <c r="I47" s="2"/>
      <c r="J47" s="19">
        <f t="shared" si="8"/>
        <v>0</v>
      </c>
      <c r="K47" s="2"/>
      <c r="L47" s="2">
        <f t="shared" si="9"/>
        <v>948.45</v>
      </c>
      <c r="M47" s="2"/>
      <c r="N47" s="19">
        <f t="shared" si="10"/>
        <v>0</v>
      </c>
      <c r="O47" s="11"/>
      <c r="P47" s="2">
        <v>29950.550000000003</v>
      </c>
      <c r="Q47" s="2"/>
      <c r="R47" s="19">
        <f t="shared" si="11"/>
        <v>1.4693638720574045E-2</v>
      </c>
      <c r="S47" s="2"/>
      <c r="T47" s="2"/>
      <c r="U47" s="2"/>
      <c r="V47" s="19">
        <f t="shared" si="12"/>
        <v>0</v>
      </c>
      <c r="W47" s="2"/>
      <c r="X47" s="2">
        <f t="shared" si="13"/>
        <v>29950.550000000003</v>
      </c>
      <c r="Y47" s="2"/>
      <c r="Z47" s="19">
        <f t="shared" si="14"/>
        <v>0</v>
      </c>
    </row>
    <row r="48" spans="1:26" s="24" customFormat="1" hidden="1" outlineLevel="1" x14ac:dyDescent="0.25">
      <c r="A48" s="44"/>
      <c r="B48" s="11" t="str">
        <f>CONCATENATE("          ", "5088", " - ", "PURCHASES @ COST-MUSIC")</f>
        <v xml:space="preserve">          5088 - PURCHASES @ COST-MUSIC</v>
      </c>
      <c r="C48" s="11"/>
      <c r="D48" s="2"/>
      <c r="E48" s="2"/>
      <c r="F48" s="19">
        <f t="shared" si="7"/>
        <v>0</v>
      </c>
      <c r="G48" s="2"/>
      <c r="H48" s="2"/>
      <c r="I48" s="2"/>
      <c r="J48" s="19">
        <f t="shared" si="8"/>
        <v>0</v>
      </c>
      <c r="K48" s="2"/>
      <c r="L48" s="2">
        <f t="shared" si="9"/>
        <v>0</v>
      </c>
      <c r="M48" s="2"/>
      <c r="N48" s="19">
        <f t="shared" si="10"/>
        <v>0</v>
      </c>
      <c r="O48" s="11"/>
      <c r="P48" s="2">
        <v>95.65</v>
      </c>
      <c r="Q48" s="2"/>
      <c r="R48" s="19">
        <f t="shared" si="11"/>
        <v>4.6925567097195458E-5</v>
      </c>
      <c r="S48" s="2"/>
      <c r="T48" s="2"/>
      <c r="U48" s="2"/>
      <c r="V48" s="19">
        <f t="shared" si="12"/>
        <v>0</v>
      </c>
      <c r="W48" s="2"/>
      <c r="X48" s="2">
        <f t="shared" si="13"/>
        <v>95.65</v>
      </c>
      <c r="Y48" s="2"/>
      <c r="Z48" s="19">
        <f t="shared" si="14"/>
        <v>0</v>
      </c>
    </row>
    <row r="49" spans="1:26" s="24" customFormat="1" hidden="1" outlineLevel="1" x14ac:dyDescent="0.25">
      <c r="A49" s="44"/>
      <c r="B49" s="11" t="str">
        <f>CONCATENATE("          ", "5200", " - ", "PURCHASES OFFSET")</f>
        <v xml:space="preserve">          5200 - PURCHASES OFFSET</v>
      </c>
      <c r="C49" s="11"/>
      <c r="D49" s="2">
        <v>-213259</v>
      </c>
      <c r="E49" s="2"/>
      <c r="F49" s="19">
        <f t="shared" si="7"/>
        <v>-1.8657525025618564</v>
      </c>
      <c r="G49" s="2"/>
      <c r="H49" s="2"/>
      <c r="I49" s="2"/>
      <c r="J49" s="19">
        <f t="shared" si="8"/>
        <v>0</v>
      </c>
      <c r="K49" s="2"/>
      <c r="L49" s="2">
        <f t="shared" si="9"/>
        <v>-213259</v>
      </c>
      <c r="M49" s="2"/>
      <c r="N49" s="19">
        <f t="shared" si="10"/>
        <v>0</v>
      </c>
      <c r="O49" s="11"/>
      <c r="P49" s="2">
        <v>-1763880</v>
      </c>
      <c r="Q49" s="2"/>
      <c r="R49" s="19">
        <f t="shared" si="11"/>
        <v>-0.86535357335495156</v>
      </c>
      <c r="S49" s="2"/>
      <c r="T49" s="2"/>
      <c r="U49" s="2"/>
      <c r="V49" s="19">
        <f t="shared" si="12"/>
        <v>0</v>
      </c>
      <c r="W49" s="2"/>
      <c r="X49" s="2">
        <f t="shared" si="13"/>
        <v>-1763880</v>
      </c>
      <c r="Y49" s="2"/>
      <c r="Z49" s="19">
        <f t="shared" si="14"/>
        <v>0</v>
      </c>
    </row>
    <row r="50" spans="1:26" s="24" customFormat="1" hidden="1" outlineLevel="1" x14ac:dyDescent="0.25">
      <c r="A50" s="44"/>
      <c r="B50" s="11" t="str">
        <f>CONCATENATE("          ", "5300", " - ", "COG$ OFFSET")</f>
        <v xml:space="preserve">          5300 - COG$ OFFSET</v>
      </c>
      <c r="C50" s="11"/>
      <c r="D50" s="2">
        <v>104218</v>
      </c>
      <c r="E50" s="2"/>
      <c r="F50" s="19">
        <f t="shared" si="7"/>
        <v>0.91177860869642802</v>
      </c>
      <c r="G50" s="2"/>
      <c r="H50" s="2"/>
      <c r="I50" s="2"/>
      <c r="J50" s="19">
        <f t="shared" si="8"/>
        <v>0</v>
      </c>
      <c r="K50" s="2"/>
      <c r="L50" s="2">
        <f t="shared" si="9"/>
        <v>104218</v>
      </c>
      <c r="M50" s="2"/>
      <c r="N50" s="19">
        <f t="shared" si="10"/>
        <v>0</v>
      </c>
      <c r="O50" s="11"/>
      <c r="P50" s="2">
        <v>1776438</v>
      </c>
      <c r="Q50" s="2"/>
      <c r="R50" s="19">
        <f t="shared" si="11"/>
        <v>0.87151448576066592</v>
      </c>
      <c r="S50" s="2"/>
      <c r="T50" s="2"/>
      <c r="U50" s="2"/>
      <c r="V50" s="19">
        <f t="shared" si="12"/>
        <v>0</v>
      </c>
      <c r="W50" s="2"/>
      <c r="X50" s="2">
        <f t="shared" si="13"/>
        <v>1776438</v>
      </c>
      <c r="Y50" s="2"/>
      <c r="Z50" s="19">
        <f t="shared" si="14"/>
        <v>0</v>
      </c>
    </row>
    <row r="51" spans="1:26" s="24" customFormat="1" hidden="1" outlineLevel="1" x14ac:dyDescent="0.25">
      <c r="A51" s="44"/>
      <c r="B51" s="11" t="str">
        <f>CONCATENATE("          ", "5581", " - ", "FREIGHT-IN-ELECTRONICS")</f>
        <v xml:space="preserve">          5581 - FREIGHT-IN-ELECTRONICS</v>
      </c>
      <c r="C51" s="11"/>
      <c r="D51" s="2"/>
      <c r="E51" s="2"/>
      <c r="F51" s="19">
        <f t="shared" si="7"/>
        <v>0</v>
      </c>
      <c r="G51" s="2"/>
      <c r="H51" s="2"/>
      <c r="I51" s="2"/>
      <c r="J51" s="19">
        <f t="shared" si="8"/>
        <v>0</v>
      </c>
      <c r="K51" s="2"/>
      <c r="L51" s="2">
        <f t="shared" si="9"/>
        <v>0</v>
      </c>
      <c r="M51" s="2"/>
      <c r="N51" s="19">
        <f t="shared" si="10"/>
        <v>0</v>
      </c>
      <c r="O51" s="11"/>
      <c r="P51" s="2">
        <v>105.75</v>
      </c>
      <c r="Q51" s="2"/>
      <c r="R51" s="19">
        <f t="shared" si="11"/>
        <v>5.1880593000819853E-5</v>
      </c>
      <c r="S51" s="2"/>
      <c r="T51" s="2"/>
      <c r="U51" s="2"/>
      <c r="V51" s="19">
        <f t="shared" si="12"/>
        <v>0</v>
      </c>
      <c r="W51" s="2"/>
      <c r="X51" s="2">
        <f t="shared" si="13"/>
        <v>105.75</v>
      </c>
      <c r="Y51" s="2"/>
      <c r="Z51" s="19">
        <f t="shared" si="14"/>
        <v>0</v>
      </c>
    </row>
    <row r="52" spans="1:26" s="24" customFormat="1" hidden="1" outlineLevel="1" x14ac:dyDescent="0.25">
      <c r="A52" s="44"/>
      <c r="B52" s="11" t="str">
        <f>CONCATENATE("          ", "5582", " - ", "FREIGHT-IN-COMPUTER HARDWARE")</f>
        <v xml:space="preserve">          5582 - FREIGHT-IN-COMPUTER HARDWARE</v>
      </c>
      <c r="C52" s="11"/>
      <c r="D52" s="2">
        <v>149.46</v>
      </c>
      <c r="E52" s="2"/>
      <c r="F52" s="19">
        <f t="shared" si="7"/>
        <v>1.3075901557866026E-3</v>
      </c>
      <c r="G52" s="2"/>
      <c r="H52" s="2"/>
      <c r="I52" s="2"/>
      <c r="J52" s="19">
        <f t="shared" si="8"/>
        <v>0</v>
      </c>
      <c r="K52" s="2"/>
      <c r="L52" s="2">
        <f t="shared" si="9"/>
        <v>149.46</v>
      </c>
      <c r="M52" s="2"/>
      <c r="N52" s="19">
        <f t="shared" si="10"/>
        <v>0</v>
      </c>
      <c r="O52" s="11"/>
      <c r="P52" s="2">
        <v>154.30000000000001</v>
      </c>
      <c r="Q52" s="2"/>
      <c r="R52" s="19">
        <f t="shared" si="11"/>
        <v>7.569905910190548E-5</v>
      </c>
      <c r="S52" s="2"/>
      <c r="T52" s="2"/>
      <c r="U52" s="2"/>
      <c r="V52" s="19">
        <f t="shared" si="12"/>
        <v>0</v>
      </c>
      <c r="W52" s="2"/>
      <c r="X52" s="2">
        <f t="shared" si="13"/>
        <v>154.30000000000001</v>
      </c>
      <c r="Y52" s="2"/>
      <c r="Z52" s="19">
        <f t="shared" si="14"/>
        <v>0</v>
      </c>
    </row>
    <row r="53" spans="1:26" s="24" customFormat="1" hidden="1" outlineLevel="1" x14ac:dyDescent="0.25">
      <c r="A53" s="44"/>
      <c r="B53" s="11" t="str">
        <f>CONCATENATE("          ", "5583", " - ", "FREIGHT-IN-COMPUTER EQUIPMENT")</f>
        <v xml:space="preserve">          5583 - FREIGHT-IN-COMPUTER EQUIPMENT</v>
      </c>
      <c r="C53" s="11"/>
      <c r="D53" s="2"/>
      <c r="E53" s="2"/>
      <c r="F53" s="19">
        <f t="shared" si="7"/>
        <v>0</v>
      </c>
      <c r="G53" s="2"/>
      <c r="H53" s="2"/>
      <c r="I53" s="2"/>
      <c r="J53" s="19">
        <f t="shared" si="8"/>
        <v>0</v>
      </c>
      <c r="K53" s="2"/>
      <c r="L53" s="2">
        <f t="shared" si="9"/>
        <v>0</v>
      </c>
      <c r="M53" s="2"/>
      <c r="N53" s="19">
        <f t="shared" si="10"/>
        <v>0</v>
      </c>
      <c r="O53" s="11"/>
      <c r="P53" s="2">
        <v>57.5</v>
      </c>
      <c r="Q53" s="2"/>
      <c r="R53" s="19">
        <f t="shared" si="11"/>
        <v>2.8209305886970606E-5</v>
      </c>
      <c r="S53" s="2"/>
      <c r="T53" s="2"/>
      <c r="U53" s="2"/>
      <c r="V53" s="19">
        <f t="shared" si="12"/>
        <v>0</v>
      </c>
      <c r="W53" s="2"/>
      <c r="X53" s="2">
        <f t="shared" si="13"/>
        <v>57.5</v>
      </c>
      <c r="Y53" s="2"/>
      <c r="Z53" s="19">
        <f t="shared" si="14"/>
        <v>0</v>
      </c>
    </row>
    <row r="54" spans="1:26" s="24" customFormat="1" hidden="1" outlineLevel="1" x14ac:dyDescent="0.25">
      <c r="A54" s="44"/>
      <c r="B54" s="11" t="str">
        <f>CONCATENATE("          ", "5586", " - ", "FREIGHT-IN-COMPUTER SUPPLIES")</f>
        <v xml:space="preserve">          5586 - FREIGHT-IN-COMPUTER SUPPLIES</v>
      </c>
      <c r="C54" s="11"/>
      <c r="D54" s="2">
        <v>30.96</v>
      </c>
      <c r="E54" s="2"/>
      <c r="F54" s="19">
        <f t="shared" si="7"/>
        <v>2.7086171031147609E-4</v>
      </c>
      <c r="G54" s="2"/>
      <c r="H54" s="2"/>
      <c r="I54" s="2"/>
      <c r="J54" s="19">
        <f t="shared" si="8"/>
        <v>0</v>
      </c>
      <c r="K54" s="2"/>
      <c r="L54" s="2">
        <f t="shared" si="9"/>
        <v>30.96</v>
      </c>
      <c r="M54" s="2"/>
      <c r="N54" s="19">
        <f t="shared" si="10"/>
        <v>0</v>
      </c>
      <c r="O54" s="11"/>
      <c r="P54" s="2">
        <v>301.27</v>
      </c>
      <c r="Q54" s="2"/>
      <c r="R54" s="19">
        <f t="shared" si="11"/>
        <v>1.4780204494900233E-4</v>
      </c>
      <c r="S54" s="2"/>
      <c r="T54" s="2"/>
      <c r="U54" s="2"/>
      <c r="V54" s="19">
        <f t="shared" si="12"/>
        <v>0</v>
      </c>
      <c r="W54" s="2"/>
      <c r="X54" s="2">
        <f t="shared" si="13"/>
        <v>301.27</v>
      </c>
      <c r="Y54" s="2"/>
      <c r="Z54" s="19">
        <f t="shared" si="14"/>
        <v>0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8" t="s">
        <v>6</v>
      </c>
      <c r="C56" s="28"/>
      <c r="D56" s="20">
        <f>D12-D40</f>
        <v>10082.86</v>
      </c>
      <c r="E56" s="14"/>
      <c r="F56" s="22">
        <f>IF(D$12=0,0,D56/D$12)</f>
        <v>8.8212555052686367E-2</v>
      </c>
      <c r="G56" s="14"/>
      <c r="H56" s="20">
        <f>H12-H40</f>
        <v>35927.999999999985</v>
      </c>
      <c r="I56" s="14"/>
      <c r="J56" s="22">
        <f>IF(H$12=0,0,H56/H$12)</f>
        <v>0.21903310370054249</v>
      </c>
      <c r="K56" s="16"/>
      <c r="L56" s="20">
        <f>+D56-H56</f>
        <v>-25845.139999999985</v>
      </c>
      <c r="M56" s="16"/>
      <c r="N56" s="22">
        <f>IF(H56=0,0,L56/H56)</f>
        <v>-0.71935927410376299</v>
      </c>
      <c r="O56" s="29"/>
      <c r="P56" s="20">
        <f>P12-P40</f>
        <v>261893.91000000038</v>
      </c>
      <c r="Q56" s="14"/>
      <c r="R56" s="22">
        <f>IF(P$12=0,0,P56/P$12)</f>
        <v>0.1284842681239089</v>
      </c>
      <c r="S56" s="14"/>
      <c r="T56" s="20">
        <f>T12-T40</f>
        <v>450905</v>
      </c>
      <c r="U56" s="14"/>
      <c r="V56" s="22">
        <f>IF(T$12=0,0,T56/T$12)</f>
        <v>0.21903680253533866</v>
      </c>
      <c r="W56" s="16"/>
      <c r="X56" s="20">
        <f>+P56-T56</f>
        <v>-189011.08999999962</v>
      </c>
      <c r="Y56" s="16"/>
      <c r="Z56" s="22">
        <f>IF(T56=0,0,X56/T56)</f>
        <v>-0.41918162362360056</v>
      </c>
    </row>
    <row r="57" spans="1:26" x14ac:dyDescent="0.25">
      <c r="A57" s="9"/>
      <c r="B57" s="10"/>
      <c r="C57" s="9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9" t="s">
        <v>9</v>
      </c>
      <c r="C58" s="10"/>
      <c r="D58" s="21">
        <f>SUM(OSRRefD22x_0)</f>
        <v>14300.55</v>
      </c>
      <c r="E58" s="21"/>
      <c r="F58" s="30">
        <f t="shared" ref="F58:F69" si="15">IF(D$12=0,0,D58/D$12)</f>
        <v>0.12511212633704066</v>
      </c>
      <c r="G58" s="21"/>
      <c r="H58" s="21">
        <f>SUM(OSRRefH22x_0)</f>
        <v>17343.113898116924</v>
      </c>
      <c r="I58" s="21"/>
      <c r="J58" s="30">
        <f t="shared" ref="J58:J69" si="16">IF(H$12=0,0,H58/H$12)</f>
        <v>0.10573135339948134</v>
      </c>
      <c r="K58" s="4"/>
      <c r="L58" s="21">
        <f t="shared" ref="L58:L69" si="17">+D58-H58</f>
        <v>-3042.563898116925</v>
      </c>
      <c r="M58" s="4"/>
      <c r="N58" s="30">
        <f t="shared" ref="N58:N69" si="18">IF(H58=0,0,L58/H58)</f>
        <v>-0.17543354186512491</v>
      </c>
      <c r="O58" s="10"/>
      <c r="P58" s="21">
        <f>SUM(OSRRefP22x_0)</f>
        <v>174800.15000000002</v>
      </c>
      <c r="Q58" s="21"/>
      <c r="R58" s="30">
        <f t="shared" ref="R58:R69" si="19">IF(P$12=0,0,P58/P$12)</f>
        <v>8.5756363485884279E-2</v>
      </c>
      <c r="S58" s="21"/>
      <c r="T58" s="21">
        <f>SUM(OSRRefT22x_0)</f>
        <v>150033.26646658999</v>
      </c>
      <c r="U58" s="21"/>
      <c r="V58" s="30">
        <f t="shared" ref="V58:V69" si="20">IF(T$12=0,0,T58/T$12)</f>
        <v>7.2881886341411878E-2</v>
      </c>
      <c r="W58" s="4"/>
      <c r="X58" s="21">
        <f t="shared" ref="X58:X69" si="21">+P58-T58</f>
        <v>24766.883533410029</v>
      </c>
      <c r="Y58" s="4"/>
      <c r="Z58" s="30">
        <f t="shared" ref="Z58:Z69" si="22">IF(T58=0,0,X58/T58)</f>
        <v>0.1650759469329105</v>
      </c>
    </row>
    <row r="59" spans="1:26" s="27" customFormat="1" outlineLevel="1" collapsed="1" x14ac:dyDescent="0.25">
      <c r="A59" s="26"/>
      <c r="B59" s="13" t="str">
        <f>CONCATENATE("     ","*Benefits                                         ")</f>
        <v xml:space="preserve">     *Benefits                                         </v>
      </c>
      <c r="C59" s="13"/>
      <c r="D59" s="1">
        <f>SUM(OSRRefD22_0x_0)</f>
        <v>-3105.0600000000004</v>
      </c>
      <c r="E59" s="1"/>
      <c r="F59" s="5">
        <f t="shared" si="15"/>
        <v>-2.716543482621938E-2</v>
      </c>
      <c r="G59" s="1"/>
      <c r="H59" s="1">
        <f>SUM(OSRRefH22_0x_0)</f>
        <v>2456.1270073476921</v>
      </c>
      <c r="I59" s="1"/>
      <c r="J59" s="5">
        <f t="shared" si="16"/>
        <v>1.4973645109721954E-2</v>
      </c>
      <c r="K59" s="1"/>
      <c r="L59" s="1">
        <f t="shared" si="17"/>
        <v>-5561.187007347693</v>
      </c>
      <c r="M59" s="1"/>
      <c r="N59" s="5">
        <f t="shared" si="18"/>
        <v>-2.2642098681016805</v>
      </c>
      <c r="O59" s="13"/>
      <c r="P59" s="1">
        <f>SUM(OSRRefP22_0x_0)</f>
        <v>21336.489999999994</v>
      </c>
      <c r="Q59" s="1"/>
      <c r="R59" s="5">
        <f t="shared" si="19"/>
        <v>1.0467609964596336E-2</v>
      </c>
      <c r="S59" s="1"/>
      <c r="T59" s="1">
        <f>SUM(OSRRefT22_0x_0)</f>
        <v>23252.128906589998</v>
      </c>
      <c r="U59" s="1"/>
      <c r="V59" s="5">
        <f t="shared" si="20"/>
        <v>1.1295221760324223E-2</v>
      </c>
      <c r="W59" s="1"/>
      <c r="X59" s="1">
        <f t="shared" si="21"/>
        <v>-1915.6389065900039</v>
      </c>
      <c r="Y59" s="1"/>
      <c r="Z59" s="5">
        <f t="shared" si="22"/>
        <v>-8.2385527548278964E-2</v>
      </c>
    </row>
    <row r="60" spans="1:26" s="24" customFormat="1" hidden="1" outlineLevel="2" x14ac:dyDescent="0.25">
      <c r="A60" s="25"/>
      <c r="B60" s="11" t="str">
        <f>CONCATENATE("          ", "6111", " - ", "F.I.C.A.")</f>
        <v xml:space="preserve">          6111 - F.I.C.A.</v>
      </c>
      <c r="C60" s="11"/>
      <c r="D60" s="6">
        <v>1205.07</v>
      </c>
      <c r="E60" s="2"/>
      <c r="F60" s="7">
        <f t="shared" si="15"/>
        <v>1.0542872133238063E-2</v>
      </c>
      <c r="G60" s="2"/>
      <c r="H60" s="6">
        <v>368.84942751692296</v>
      </c>
      <c r="I60" s="2"/>
      <c r="J60" s="7">
        <f t="shared" si="16"/>
        <v>2.2486705329325305E-3</v>
      </c>
      <c r="K60" s="2"/>
      <c r="L60" s="6">
        <f t="shared" si="17"/>
        <v>836.22057248307692</v>
      </c>
      <c r="M60" s="2"/>
      <c r="N60" s="7">
        <f t="shared" si="18"/>
        <v>2.2671055181310016</v>
      </c>
      <c r="O60" s="11"/>
      <c r="P60" s="6">
        <v>6680.45</v>
      </c>
      <c r="Q60" s="2"/>
      <c r="R60" s="7">
        <f t="shared" si="19"/>
        <v>3.277406217610657E-3</v>
      </c>
      <c r="S60" s="2"/>
      <c r="T60" s="6">
        <v>4284.3991173900004</v>
      </c>
      <c r="U60" s="2"/>
      <c r="V60" s="7">
        <f t="shared" si="20"/>
        <v>2.081239026975378E-3</v>
      </c>
      <c r="W60" s="2"/>
      <c r="X60" s="6">
        <f t="shared" si="21"/>
        <v>2396.0508826099995</v>
      </c>
      <c r="Y60" s="2"/>
      <c r="Z60" s="7">
        <f t="shared" si="22"/>
        <v>0.55925015783068366</v>
      </c>
    </row>
    <row r="61" spans="1:26" s="24" customFormat="1" hidden="1" outlineLevel="2" x14ac:dyDescent="0.25">
      <c r="A61" s="25"/>
      <c r="B61" s="11" t="str">
        <f>CONCATENATE("          ", "6112", " - ", "COMPENSATION INSURANCE")</f>
        <v xml:space="preserve">          6112 - COMPENSATION INSURANCE</v>
      </c>
      <c r="C61" s="11"/>
      <c r="D61" s="6">
        <v>498.29</v>
      </c>
      <c r="E61" s="2"/>
      <c r="F61" s="7">
        <f t="shared" si="15"/>
        <v>4.3594212413147742E-3</v>
      </c>
      <c r="G61" s="2"/>
      <c r="H61" s="6">
        <v>216.894434961538</v>
      </c>
      <c r="I61" s="2"/>
      <c r="J61" s="7">
        <f t="shared" si="16"/>
        <v>1.3222851610165092E-3</v>
      </c>
      <c r="K61" s="2"/>
      <c r="L61" s="6">
        <f t="shared" si="17"/>
        <v>281.395565038462</v>
      </c>
      <c r="M61" s="2"/>
      <c r="N61" s="7">
        <f t="shared" si="18"/>
        <v>1.2973849010388949</v>
      </c>
      <c r="O61" s="11"/>
      <c r="P61" s="6">
        <v>1865.18</v>
      </c>
      <c r="Q61" s="2"/>
      <c r="R61" s="7">
        <f t="shared" si="19"/>
        <v>9.15051011378432E-4</v>
      </c>
      <c r="S61" s="2"/>
      <c r="T61" s="6">
        <v>1819.1142829999969</v>
      </c>
      <c r="U61" s="2"/>
      <c r="V61" s="7">
        <f t="shared" si="20"/>
        <v>8.8367389138440354E-4</v>
      </c>
      <c r="W61" s="2"/>
      <c r="X61" s="6">
        <f t="shared" si="21"/>
        <v>46.065717000003133</v>
      </c>
      <c r="Y61" s="2"/>
      <c r="Z61" s="7">
        <f t="shared" si="22"/>
        <v>2.5323157225742705E-2</v>
      </c>
    </row>
    <row r="62" spans="1:26" s="24" customFormat="1" hidden="1" outlineLevel="2" x14ac:dyDescent="0.25">
      <c r="A62" s="25"/>
      <c r="B62" s="11" t="str">
        <f>CONCATENATE("          ", "6113", " - ", "GROUP INSURANCE")</f>
        <v xml:space="preserve">          6113 - GROUP INSURANCE</v>
      </c>
      <c r="C62" s="11"/>
      <c r="D62" s="6">
        <v>1331.95</v>
      </c>
      <c r="E62" s="2"/>
      <c r="F62" s="7">
        <f t="shared" si="15"/>
        <v>1.1652915214772951E-2</v>
      </c>
      <c r="G62" s="2"/>
      <c r="H62" s="6">
        <v>1186.2</v>
      </c>
      <c r="I62" s="2"/>
      <c r="J62" s="7">
        <f t="shared" si="16"/>
        <v>7.2316039748826439E-3</v>
      </c>
      <c r="K62" s="2"/>
      <c r="L62" s="6">
        <f t="shared" si="17"/>
        <v>145.75</v>
      </c>
      <c r="M62" s="2"/>
      <c r="N62" s="7">
        <f t="shared" si="18"/>
        <v>0.12287135390322036</v>
      </c>
      <c r="O62" s="11"/>
      <c r="P62" s="6">
        <v>10520.31</v>
      </c>
      <c r="Q62" s="2"/>
      <c r="R62" s="7">
        <f t="shared" si="19"/>
        <v>5.1612285707087957E-3</v>
      </c>
      <c r="S62" s="2"/>
      <c r="T62" s="6">
        <v>10675.8</v>
      </c>
      <c r="U62" s="2"/>
      <c r="V62" s="7">
        <f t="shared" si="20"/>
        <v>5.1859994821675708E-3</v>
      </c>
      <c r="W62" s="2"/>
      <c r="X62" s="6">
        <f t="shared" si="21"/>
        <v>-155.48999999999978</v>
      </c>
      <c r="Y62" s="2"/>
      <c r="Z62" s="7">
        <f t="shared" si="22"/>
        <v>-1.4564716461529795E-2</v>
      </c>
    </row>
    <row r="63" spans="1:26" s="24" customFormat="1" hidden="1" outlineLevel="2" x14ac:dyDescent="0.25">
      <c r="A63" s="25"/>
      <c r="B63" s="11" t="str">
        <f>CONCATENATE("          ", "6114", " - ", "STATE UNEMPLOYMENT INSURANCE")</f>
        <v xml:space="preserve">          6114 - STATE UNEMPLOYMENT INSURANCE</v>
      </c>
      <c r="C63" s="11"/>
      <c r="D63" s="6">
        <v>75.099999999999994</v>
      </c>
      <c r="E63" s="2"/>
      <c r="F63" s="7">
        <f t="shared" si="15"/>
        <v>6.570321202968944E-4</v>
      </c>
      <c r="G63" s="2"/>
      <c r="H63" s="6">
        <v>29.680291100000002</v>
      </c>
      <c r="I63" s="2"/>
      <c r="J63" s="7">
        <f t="shared" si="16"/>
        <v>1.8094428519173323E-4</v>
      </c>
      <c r="K63" s="2"/>
      <c r="L63" s="6">
        <f t="shared" si="17"/>
        <v>45.419708899999989</v>
      </c>
      <c r="M63" s="2"/>
      <c r="N63" s="7">
        <f t="shared" si="18"/>
        <v>1.5302986330885409</v>
      </c>
      <c r="O63" s="11"/>
      <c r="P63" s="6">
        <v>290.58999999999997</v>
      </c>
      <c r="Q63" s="2"/>
      <c r="R63" s="7">
        <f t="shared" si="19"/>
        <v>1.4256247300338762E-4</v>
      </c>
      <c r="S63" s="2"/>
      <c r="T63" s="6">
        <v>248.9314282</v>
      </c>
      <c r="U63" s="2"/>
      <c r="V63" s="7">
        <f t="shared" si="20"/>
        <v>1.2092379566312911E-4</v>
      </c>
      <c r="W63" s="2"/>
      <c r="X63" s="6">
        <f t="shared" si="21"/>
        <v>41.658571799999976</v>
      </c>
      <c r="Y63" s="2"/>
      <c r="Z63" s="7">
        <f t="shared" si="22"/>
        <v>0.16734958739934622</v>
      </c>
    </row>
    <row r="64" spans="1:26" s="24" customFormat="1" hidden="1" outlineLevel="2" x14ac:dyDescent="0.25">
      <c r="A64" s="25"/>
      <c r="B64" s="11" t="str">
        <f>CONCATENATE("          ", "6115", " - ", "P.E.R.S.")</f>
        <v xml:space="preserve">          6115 - P.E.R.S.</v>
      </c>
      <c r="C64" s="11"/>
      <c r="D64" s="6">
        <v>374.08</v>
      </c>
      <c r="E64" s="2"/>
      <c r="F64" s="7">
        <f t="shared" si="15"/>
        <v>3.2727373576652767E-3</v>
      </c>
      <c r="G64" s="2"/>
      <c r="H64" s="6">
        <v>294.022912615385</v>
      </c>
      <c r="I64" s="2"/>
      <c r="J64" s="7">
        <f t="shared" si="16"/>
        <v>1.7924947425189599E-3</v>
      </c>
      <c r="K64" s="2"/>
      <c r="L64" s="6">
        <f t="shared" si="17"/>
        <v>80.057087384614988</v>
      </c>
      <c r="M64" s="2"/>
      <c r="N64" s="7">
        <f t="shared" si="18"/>
        <v>0.27228179828739624</v>
      </c>
      <c r="O64" s="11"/>
      <c r="P64" s="6">
        <v>2329.44</v>
      </c>
      <c r="Q64" s="2"/>
      <c r="R64" s="7">
        <f t="shared" si="19"/>
        <v>1.1428154000929533E-3</v>
      </c>
      <c r="S64" s="2"/>
      <c r="T64" s="6">
        <v>2866.7233980000033</v>
      </c>
      <c r="U64" s="2"/>
      <c r="V64" s="7">
        <f t="shared" si="20"/>
        <v>1.3925725526467033E-3</v>
      </c>
      <c r="W64" s="2"/>
      <c r="X64" s="6">
        <f t="shared" si="21"/>
        <v>-537.28339800000322</v>
      </c>
      <c r="Y64" s="2"/>
      <c r="Z64" s="7">
        <f t="shared" si="22"/>
        <v>-0.18742073210650323</v>
      </c>
    </row>
    <row r="65" spans="1:26" s="24" customFormat="1" hidden="1" outlineLevel="2" x14ac:dyDescent="0.25">
      <c r="A65" s="25"/>
      <c r="B65" s="11" t="str">
        <f>CONCATENATE("          ", "6116", " - ", "EDUCATIONAL BENEFITS")</f>
        <v xml:space="preserve">          6116 - EDUCATIONAL BENEFITS</v>
      </c>
      <c r="C65" s="11"/>
      <c r="D65" s="6"/>
      <c r="E65" s="2"/>
      <c r="F65" s="7">
        <f t="shared" si="15"/>
        <v>0</v>
      </c>
      <c r="G65" s="2"/>
      <c r="H65" s="6">
        <v>0</v>
      </c>
      <c r="I65" s="2"/>
      <c r="J65" s="7">
        <f t="shared" si="16"/>
        <v>0</v>
      </c>
      <c r="K65" s="2"/>
      <c r="L65" s="6">
        <f t="shared" si="17"/>
        <v>0</v>
      </c>
      <c r="M65" s="2"/>
      <c r="N65" s="7">
        <f t="shared" si="18"/>
        <v>0</v>
      </c>
      <c r="O65" s="11"/>
      <c r="P65" s="6"/>
      <c r="Q65" s="2"/>
      <c r="R65" s="7">
        <f t="shared" si="19"/>
        <v>0</v>
      </c>
      <c r="S65" s="2"/>
      <c r="T65" s="6">
        <v>0</v>
      </c>
      <c r="U65" s="2"/>
      <c r="V65" s="7">
        <f t="shared" si="20"/>
        <v>0</v>
      </c>
      <c r="W65" s="2"/>
      <c r="X65" s="6">
        <f t="shared" si="21"/>
        <v>0</v>
      </c>
      <c r="Y65" s="2"/>
      <c r="Z65" s="7">
        <f t="shared" si="22"/>
        <v>0</v>
      </c>
    </row>
    <row r="66" spans="1:26" s="24" customFormat="1" hidden="1" outlineLevel="2" x14ac:dyDescent="0.25">
      <c r="A66" s="25"/>
      <c r="B66" s="11" t="str">
        <f>CONCATENATE("          ", "6117", " - ", "RETIREMENT STAFF HOURLY")</f>
        <v xml:space="preserve">          6117 - RETIREMENT STAFF HOURLY</v>
      </c>
      <c r="C66" s="11"/>
      <c r="D66" s="6">
        <v>101.5</v>
      </c>
      <c r="E66" s="2"/>
      <c r="F66" s="7">
        <f t="shared" si="15"/>
        <v>8.8799947017489727E-4</v>
      </c>
      <c r="G66" s="2"/>
      <c r="H66" s="6"/>
      <c r="I66" s="2"/>
      <c r="J66" s="7">
        <f t="shared" si="16"/>
        <v>0</v>
      </c>
      <c r="K66" s="2"/>
      <c r="L66" s="6">
        <f t="shared" si="17"/>
        <v>101.5</v>
      </c>
      <c r="M66" s="2"/>
      <c r="N66" s="7">
        <f t="shared" si="18"/>
        <v>0</v>
      </c>
      <c r="O66" s="11"/>
      <c r="P66" s="6">
        <v>1391.48</v>
      </c>
      <c r="Q66" s="2"/>
      <c r="R66" s="7">
        <f t="shared" si="19"/>
        <v>6.8265539053220629E-4</v>
      </c>
      <c r="S66" s="2"/>
      <c r="T66" s="6"/>
      <c r="U66" s="2"/>
      <c r="V66" s="7">
        <f t="shared" si="20"/>
        <v>0</v>
      </c>
      <c r="W66" s="2"/>
      <c r="X66" s="6">
        <f t="shared" si="21"/>
        <v>1391.48</v>
      </c>
      <c r="Y66" s="2"/>
      <c r="Z66" s="7">
        <f t="shared" si="22"/>
        <v>0</v>
      </c>
    </row>
    <row r="67" spans="1:26" s="24" customFormat="1" hidden="1" outlineLevel="2" x14ac:dyDescent="0.25">
      <c r="A67" s="25"/>
      <c r="B67" s="11" t="str">
        <f>CONCATENATE("          ", "6118", " - ", "VACATION")</f>
        <v xml:space="preserve">          6118 - VACATION</v>
      </c>
      <c r="C67" s="11"/>
      <c r="D67" s="6">
        <v>733.78</v>
      </c>
      <c r="E67" s="2"/>
      <c r="F67" s="7">
        <f t="shared" si="15"/>
        <v>6.4196674997530657E-3</v>
      </c>
      <c r="G67" s="2"/>
      <c r="H67" s="6">
        <v>170.943553846154</v>
      </c>
      <c r="I67" s="2"/>
      <c r="J67" s="7">
        <f t="shared" si="16"/>
        <v>1.0421481061156739E-3</v>
      </c>
      <c r="K67" s="2"/>
      <c r="L67" s="6">
        <f t="shared" si="17"/>
        <v>562.83644615384594</v>
      </c>
      <c r="M67" s="2"/>
      <c r="N67" s="7">
        <f t="shared" si="18"/>
        <v>3.2925280508698691</v>
      </c>
      <c r="O67" s="11"/>
      <c r="P67" s="6">
        <v>2400.85</v>
      </c>
      <c r="Q67" s="2"/>
      <c r="R67" s="7">
        <f t="shared" si="19"/>
        <v>1.1778489050214501E-3</v>
      </c>
      <c r="S67" s="2"/>
      <c r="T67" s="6">
        <v>1666.69965</v>
      </c>
      <c r="U67" s="2"/>
      <c r="V67" s="7">
        <f t="shared" si="20"/>
        <v>8.0963520502715222E-4</v>
      </c>
      <c r="W67" s="2"/>
      <c r="X67" s="6">
        <f t="shared" si="21"/>
        <v>734.15034999999989</v>
      </c>
      <c r="Y67" s="2"/>
      <c r="Z67" s="7">
        <f t="shared" si="22"/>
        <v>0.44048149287125599</v>
      </c>
    </row>
    <row r="68" spans="1:26" s="24" customFormat="1" hidden="1" outlineLevel="2" x14ac:dyDescent="0.25">
      <c r="A68" s="25"/>
      <c r="B68" s="11" t="str">
        <f>CONCATENATE("          ", "6119", " - ", "SICK LEAVE")</f>
        <v xml:space="preserve">          6119 - SICK LEAVE</v>
      </c>
      <c r="C68" s="11"/>
      <c r="D68" s="6">
        <v>-7714.8</v>
      </c>
      <c r="E68" s="2"/>
      <c r="F68" s="7">
        <f t="shared" si="15"/>
        <v>-6.7494958743894565E-2</v>
      </c>
      <c r="G68" s="2"/>
      <c r="H68" s="6">
        <v>189.536387307692</v>
      </c>
      <c r="I68" s="2"/>
      <c r="J68" s="7">
        <f t="shared" si="16"/>
        <v>1.155498307063903E-3</v>
      </c>
      <c r="K68" s="2"/>
      <c r="L68" s="6">
        <f t="shared" si="17"/>
        <v>-7904.3363873076923</v>
      </c>
      <c r="M68" s="2"/>
      <c r="N68" s="7">
        <f t="shared" si="18"/>
        <v>-41.703529858231654</v>
      </c>
      <c r="O68" s="11"/>
      <c r="P68" s="6">
        <v>-5731.56</v>
      </c>
      <c r="Q68" s="2"/>
      <c r="R68" s="7">
        <f t="shared" si="19"/>
        <v>-2.8118839869482656E-3</v>
      </c>
      <c r="S68" s="2"/>
      <c r="T68" s="6">
        <v>1690.461029999997</v>
      </c>
      <c r="U68" s="2"/>
      <c r="V68" s="7">
        <f t="shared" si="20"/>
        <v>8.2117780645988517E-4</v>
      </c>
      <c r="W68" s="2"/>
      <c r="X68" s="6">
        <f t="shared" si="21"/>
        <v>-7422.0210299999972</v>
      </c>
      <c r="Y68" s="2"/>
      <c r="Z68" s="7">
        <f t="shared" si="22"/>
        <v>-4.3905306885424089</v>
      </c>
    </row>
    <row r="69" spans="1:26" s="24" customFormat="1" hidden="1" outlineLevel="2" x14ac:dyDescent="0.25">
      <c r="A69" s="25"/>
      <c r="B69" s="11" t="str">
        <f>CONCATENATE("          ", "6156", " - ", "EMPLOYEE MEALS")</f>
        <v xml:space="preserve">          6156 - EMPLOYEE MEALS</v>
      </c>
      <c r="C69" s="11"/>
      <c r="D69" s="6">
        <v>289.97000000000003</v>
      </c>
      <c r="E69" s="2"/>
      <c r="F69" s="7">
        <f t="shared" si="15"/>
        <v>2.5368788804592613E-3</v>
      </c>
      <c r="G69" s="2"/>
      <c r="H69" s="6"/>
      <c r="I69" s="2"/>
      <c r="J69" s="7">
        <f t="shared" si="16"/>
        <v>0</v>
      </c>
      <c r="K69" s="2"/>
      <c r="L69" s="6">
        <f t="shared" si="17"/>
        <v>289.97000000000003</v>
      </c>
      <c r="M69" s="2"/>
      <c r="N69" s="7">
        <f t="shared" si="18"/>
        <v>0</v>
      </c>
      <c r="O69" s="11"/>
      <c r="P69" s="6">
        <v>1589.75</v>
      </c>
      <c r="Q69" s="2"/>
      <c r="R69" s="7">
        <f t="shared" si="19"/>
        <v>7.7992598319672217E-4</v>
      </c>
      <c r="S69" s="2"/>
      <c r="T69" s="6"/>
      <c r="U69" s="2"/>
      <c r="V69" s="7">
        <f t="shared" si="20"/>
        <v>0</v>
      </c>
      <c r="W69" s="2"/>
      <c r="X69" s="6">
        <f t="shared" si="21"/>
        <v>1589.75</v>
      </c>
      <c r="Y69" s="2"/>
      <c r="Z69" s="7">
        <f t="shared" si="22"/>
        <v>0</v>
      </c>
    </row>
    <row r="70" spans="1:26" s="27" customFormat="1" outlineLevel="1" collapsed="1" x14ac:dyDescent="0.25">
      <c r="A70" s="26"/>
      <c r="B70" s="13" t="str">
        <f>CONCATENATE("     ","*Payroll                                          ")</f>
        <v xml:space="preserve">     *Payroll                                          </v>
      </c>
      <c r="C70" s="13"/>
      <c r="D70" s="1">
        <f>SUM(OSRRefD22_1x_0)</f>
        <v>11282.27</v>
      </c>
      <c r="E70" s="1"/>
      <c r="F70" s="5">
        <f t="shared" ref="F70:F80" si="23">IF(D$12=0,0,D70/D$12)</f>
        <v>9.8705909185912696E-2</v>
      </c>
      <c r="G70" s="1"/>
      <c r="H70" s="1">
        <f>SUM(OSRRefH22_1x_0)</f>
        <v>11141.986890769231</v>
      </c>
      <c r="I70" s="1"/>
      <c r="J70" s="5">
        <f t="shared" ref="J70:J80" si="24">IF(H$12=0,0,H70/H$12)</f>
        <v>6.7926518873189234E-2</v>
      </c>
      <c r="K70" s="1"/>
      <c r="L70" s="1">
        <f t="shared" ref="L70:L80" si="25">+D70-H70</f>
        <v>140.2831092307697</v>
      </c>
      <c r="M70" s="1"/>
      <c r="N70" s="5">
        <f t="shared" ref="N70:N80" si="26">IF(H70=0,0,L70/H70)</f>
        <v>1.2590493114561967E-2</v>
      </c>
      <c r="O70" s="13"/>
      <c r="P70" s="1">
        <f>SUM(OSRRefP22_1x_0)</f>
        <v>91979.49</v>
      </c>
      <c r="Q70" s="1"/>
      <c r="R70" s="5">
        <f t="shared" ref="R70:R80" si="27">IF(P$12=0,0,P70/P$12)</f>
        <v>4.5124827282392248E-2</v>
      </c>
      <c r="S70" s="1"/>
      <c r="T70" s="1">
        <f>SUM(OSRRefT22_1x_0)</f>
        <v>93076.137560000003</v>
      </c>
      <c r="U70" s="1"/>
      <c r="V70" s="5">
        <f t="shared" ref="V70:V80" si="28">IF(T$12=0,0,T70/T$12)</f>
        <v>4.5213735850083141E-2</v>
      </c>
      <c r="W70" s="1"/>
      <c r="X70" s="1">
        <f t="shared" ref="X70:X80" si="29">+P70-T70</f>
        <v>-1096.6475599999976</v>
      </c>
      <c r="Y70" s="1"/>
      <c r="Z70" s="5">
        <f t="shared" ref="Z70:Z80" si="30">IF(T70=0,0,X70/T70)</f>
        <v>-1.1782263303449413E-2</v>
      </c>
    </row>
    <row r="71" spans="1:26" s="24" customFormat="1" hidden="1" outlineLevel="2" x14ac:dyDescent="0.25">
      <c r="A71" s="25"/>
      <c r="B71" s="11" t="str">
        <f>CONCATENATE("          ", "6001", " - ", "ADMINISTRATIVE SALARIES")</f>
        <v xml:space="preserve">          6001 - ADMINISTRATIVE SALARIES</v>
      </c>
      <c r="C71" s="11"/>
      <c r="D71" s="6"/>
      <c r="E71" s="2"/>
      <c r="F71" s="7">
        <f t="shared" si="23"/>
        <v>0</v>
      </c>
      <c r="G71" s="2"/>
      <c r="H71" s="6">
        <v>3145.3613907692297</v>
      </c>
      <c r="I71" s="2"/>
      <c r="J71" s="7">
        <f t="shared" si="24"/>
        <v>1.9175525152528378E-2</v>
      </c>
      <c r="K71" s="2"/>
      <c r="L71" s="6">
        <f t="shared" si="25"/>
        <v>-3145.3613907692297</v>
      </c>
      <c r="M71" s="2"/>
      <c r="N71" s="7">
        <f t="shared" si="26"/>
        <v>-1</v>
      </c>
      <c r="O71" s="11"/>
      <c r="P71" s="6"/>
      <c r="Q71" s="2"/>
      <c r="R71" s="7">
        <f t="shared" si="27"/>
        <v>0</v>
      </c>
      <c r="S71" s="2"/>
      <c r="T71" s="6">
        <v>30667.273559999998</v>
      </c>
      <c r="U71" s="2"/>
      <c r="V71" s="7">
        <f t="shared" si="28"/>
        <v>1.4897287772499599E-2</v>
      </c>
      <c r="W71" s="2"/>
      <c r="X71" s="6">
        <f t="shared" si="29"/>
        <v>-30667.273559999998</v>
      </c>
      <c r="Y71" s="2"/>
      <c r="Z71" s="7">
        <f t="shared" si="30"/>
        <v>-1</v>
      </c>
    </row>
    <row r="72" spans="1:26" s="24" customFormat="1" hidden="1" outlineLevel="2" x14ac:dyDescent="0.25">
      <c r="A72" s="25"/>
      <c r="B72" s="11" t="str">
        <f>CONCATENATE("          ", "6002", " - ", "STAFF SALARIES")</f>
        <v xml:space="preserve">          6002 - STAFF SALARIES</v>
      </c>
      <c r="C72" s="11"/>
      <c r="D72" s="6">
        <v>3236.06</v>
      </c>
      <c r="E72" s="2"/>
      <c r="F72" s="7">
        <f t="shared" si="23"/>
        <v>2.8311522812356434E-2</v>
      </c>
      <c r="G72" s="2"/>
      <c r="H72" s="6">
        <v>0</v>
      </c>
      <c r="I72" s="2"/>
      <c r="J72" s="7">
        <f t="shared" si="24"/>
        <v>0</v>
      </c>
      <c r="K72" s="2"/>
      <c r="L72" s="6">
        <f t="shared" si="25"/>
        <v>3236.06</v>
      </c>
      <c r="M72" s="2"/>
      <c r="N72" s="7">
        <f t="shared" si="26"/>
        <v>0</v>
      </c>
      <c r="O72" s="11"/>
      <c r="P72" s="6">
        <v>30572.32</v>
      </c>
      <c r="Q72" s="2"/>
      <c r="R72" s="7">
        <f t="shared" si="27"/>
        <v>1.4998676983553899E-2</v>
      </c>
      <c r="S72" s="2"/>
      <c r="T72" s="6">
        <v>0</v>
      </c>
      <c r="U72" s="2"/>
      <c r="V72" s="7">
        <f t="shared" si="28"/>
        <v>0</v>
      </c>
      <c r="W72" s="2"/>
      <c r="X72" s="6">
        <f t="shared" si="29"/>
        <v>30572.32</v>
      </c>
      <c r="Y72" s="2"/>
      <c r="Z72" s="7">
        <f t="shared" si="30"/>
        <v>0</v>
      </c>
    </row>
    <row r="73" spans="1:26" s="24" customFormat="1" hidden="1" outlineLevel="2" x14ac:dyDescent="0.25">
      <c r="A73" s="25"/>
      <c r="B73" s="11" t="str">
        <f>CONCATENATE("          ", "6003", " - ", "STAFF HOURLY-9 MONTH")</f>
        <v xml:space="preserve">          6003 - STAFF HOURLY-9 MONTH</v>
      </c>
      <c r="C73" s="11"/>
      <c r="D73" s="6"/>
      <c r="E73" s="2"/>
      <c r="F73" s="7">
        <f t="shared" si="23"/>
        <v>0</v>
      </c>
      <c r="G73" s="2"/>
      <c r="H73" s="6">
        <v>0</v>
      </c>
      <c r="I73" s="2"/>
      <c r="J73" s="7">
        <f t="shared" si="24"/>
        <v>0</v>
      </c>
      <c r="K73" s="2"/>
      <c r="L73" s="6">
        <f t="shared" si="25"/>
        <v>0</v>
      </c>
      <c r="M73" s="2"/>
      <c r="N73" s="7">
        <f t="shared" si="26"/>
        <v>0</v>
      </c>
      <c r="O73" s="11"/>
      <c r="P73" s="6"/>
      <c r="Q73" s="2"/>
      <c r="R73" s="7">
        <f t="shared" si="27"/>
        <v>0</v>
      </c>
      <c r="S73" s="2"/>
      <c r="T73" s="6">
        <v>0</v>
      </c>
      <c r="U73" s="2"/>
      <c r="V73" s="7">
        <f t="shared" si="28"/>
        <v>0</v>
      </c>
      <c r="W73" s="2"/>
      <c r="X73" s="6">
        <f t="shared" si="29"/>
        <v>0</v>
      </c>
      <c r="Y73" s="2"/>
      <c r="Z73" s="7">
        <f t="shared" si="30"/>
        <v>0</v>
      </c>
    </row>
    <row r="74" spans="1:26" s="24" customFormat="1" hidden="1" outlineLevel="2" x14ac:dyDescent="0.25">
      <c r="A74" s="25"/>
      <c r="B74" s="11" t="str">
        <f>CONCATENATE("          ", "6004", " - ", "STAFF HOURLY")</f>
        <v xml:space="preserve">          6004 - STAFF HOURLY</v>
      </c>
      <c r="C74" s="11"/>
      <c r="D74" s="6">
        <v>2419.62</v>
      </c>
      <c r="E74" s="2"/>
      <c r="F74" s="7">
        <f t="shared" si="23"/>
        <v>2.1168682542114136E-2</v>
      </c>
      <c r="G74" s="2"/>
      <c r="H74" s="6">
        <v>1400.8</v>
      </c>
      <c r="I74" s="2"/>
      <c r="J74" s="7">
        <f t="shared" si="24"/>
        <v>8.5399012375784907E-3</v>
      </c>
      <c r="K74" s="2"/>
      <c r="L74" s="6">
        <f t="shared" si="25"/>
        <v>1018.8199999999999</v>
      </c>
      <c r="M74" s="2"/>
      <c r="N74" s="7">
        <f t="shared" si="26"/>
        <v>0.72731296402055967</v>
      </c>
      <c r="O74" s="11"/>
      <c r="P74" s="6">
        <v>2419.62</v>
      </c>
      <c r="Q74" s="2"/>
      <c r="R74" s="7">
        <f t="shared" si="27"/>
        <v>1.1870574036562055E-3</v>
      </c>
      <c r="S74" s="2"/>
      <c r="T74" s="6">
        <v>13270.52</v>
      </c>
      <c r="U74" s="2"/>
      <c r="V74" s="7">
        <f t="shared" si="28"/>
        <v>6.4464405335519954E-3</v>
      </c>
      <c r="W74" s="2"/>
      <c r="X74" s="6">
        <f t="shared" si="29"/>
        <v>-10850.900000000001</v>
      </c>
      <c r="Y74" s="2"/>
      <c r="Z74" s="7">
        <f t="shared" si="30"/>
        <v>-0.817669541208634</v>
      </c>
    </row>
    <row r="75" spans="1:26" s="24" customFormat="1" hidden="1" outlineLevel="2" x14ac:dyDescent="0.25">
      <c r="A75" s="25"/>
      <c r="B75" s="11" t="str">
        <f>CONCATENATE("          ", "6005", " - ", "TEMPORARY WAGES-HOURLY")</f>
        <v xml:space="preserve">          6005 - TEMPORARY WAGES-HOURLY</v>
      </c>
      <c r="C75" s="11"/>
      <c r="D75" s="6">
        <v>2659.98</v>
      </c>
      <c r="E75" s="2"/>
      <c r="F75" s="7">
        <f t="shared" si="23"/>
        <v>2.3271535277594319E-2</v>
      </c>
      <c r="G75" s="2"/>
      <c r="H75" s="6">
        <v>0</v>
      </c>
      <c r="I75" s="2"/>
      <c r="J75" s="7">
        <f t="shared" si="24"/>
        <v>0</v>
      </c>
      <c r="K75" s="2"/>
      <c r="L75" s="6">
        <f t="shared" si="25"/>
        <v>2659.98</v>
      </c>
      <c r="M75" s="2"/>
      <c r="N75" s="7">
        <f t="shared" si="26"/>
        <v>0</v>
      </c>
      <c r="O75" s="11"/>
      <c r="P75" s="6">
        <v>29960.57</v>
      </c>
      <c r="Q75" s="2"/>
      <c r="R75" s="7">
        <f t="shared" si="27"/>
        <v>1.4698554498747738E-2</v>
      </c>
      <c r="S75" s="2"/>
      <c r="T75" s="6">
        <v>0</v>
      </c>
      <c r="U75" s="2"/>
      <c r="V75" s="7">
        <f t="shared" si="28"/>
        <v>0</v>
      </c>
      <c r="W75" s="2"/>
      <c r="X75" s="6">
        <f t="shared" si="29"/>
        <v>29960.57</v>
      </c>
      <c r="Y75" s="2"/>
      <c r="Z75" s="7">
        <f t="shared" si="30"/>
        <v>0</v>
      </c>
    </row>
    <row r="76" spans="1:26" s="24" customFormat="1" hidden="1" outlineLevel="2" x14ac:dyDescent="0.25">
      <c r="A76" s="25"/>
      <c r="B76" s="11" t="str">
        <f>CONCATENATE("          ", "6006", " - ", "TEMPORARY PART TIME")</f>
        <v xml:space="preserve">          6006 - TEMPORARY PART TIME</v>
      </c>
      <c r="C76" s="11"/>
      <c r="D76" s="6"/>
      <c r="E76" s="2"/>
      <c r="F76" s="7">
        <f t="shared" si="23"/>
        <v>0</v>
      </c>
      <c r="G76" s="2"/>
      <c r="H76" s="6">
        <v>0</v>
      </c>
      <c r="I76" s="2"/>
      <c r="J76" s="7">
        <f t="shared" si="24"/>
        <v>0</v>
      </c>
      <c r="K76" s="2"/>
      <c r="L76" s="6">
        <f t="shared" si="25"/>
        <v>0</v>
      </c>
      <c r="M76" s="2"/>
      <c r="N76" s="7">
        <f t="shared" si="26"/>
        <v>0</v>
      </c>
      <c r="O76" s="11"/>
      <c r="P76" s="6">
        <v>9008.99</v>
      </c>
      <c r="Q76" s="2"/>
      <c r="R76" s="7">
        <f t="shared" si="27"/>
        <v>4.4197800807419009E-3</v>
      </c>
      <c r="S76" s="2"/>
      <c r="T76" s="6">
        <v>0</v>
      </c>
      <c r="U76" s="2"/>
      <c r="V76" s="7">
        <f t="shared" si="28"/>
        <v>0</v>
      </c>
      <c r="W76" s="2"/>
      <c r="X76" s="6">
        <f t="shared" si="29"/>
        <v>9008.99</v>
      </c>
      <c r="Y76" s="2"/>
      <c r="Z76" s="7">
        <f t="shared" si="30"/>
        <v>0</v>
      </c>
    </row>
    <row r="77" spans="1:26" s="24" customFormat="1" hidden="1" outlineLevel="2" x14ac:dyDescent="0.25">
      <c r="A77" s="25"/>
      <c r="B77" s="11" t="str">
        <f>CONCATENATE("          ", "6007", " - ", "STUDENT HOURLY")</f>
        <v xml:space="preserve">          6007 - STUDENT HOURLY</v>
      </c>
      <c r="C77" s="11"/>
      <c r="D77" s="6">
        <v>2966.61</v>
      </c>
      <c r="E77" s="2"/>
      <c r="F77" s="7">
        <f t="shared" si="23"/>
        <v>2.5954168553847804E-2</v>
      </c>
      <c r="G77" s="2"/>
      <c r="H77" s="6">
        <v>0</v>
      </c>
      <c r="I77" s="2"/>
      <c r="J77" s="7">
        <f t="shared" si="24"/>
        <v>0</v>
      </c>
      <c r="K77" s="2"/>
      <c r="L77" s="6">
        <f t="shared" si="25"/>
        <v>2966.61</v>
      </c>
      <c r="M77" s="2"/>
      <c r="N77" s="7">
        <f t="shared" si="26"/>
        <v>0</v>
      </c>
      <c r="O77" s="11"/>
      <c r="P77" s="6">
        <v>20017.990000000002</v>
      </c>
      <c r="Q77" s="2"/>
      <c r="R77" s="7">
        <f t="shared" si="27"/>
        <v>9.8207583156925005E-3</v>
      </c>
      <c r="S77" s="2"/>
      <c r="T77" s="6">
        <v>9378.75</v>
      </c>
      <c r="U77" s="2"/>
      <c r="V77" s="7">
        <f t="shared" si="28"/>
        <v>4.5559295456433337E-3</v>
      </c>
      <c r="W77" s="2"/>
      <c r="X77" s="6">
        <f t="shared" si="29"/>
        <v>10639.240000000002</v>
      </c>
      <c r="Y77" s="2"/>
      <c r="Z77" s="7">
        <f t="shared" si="30"/>
        <v>1.1343985072637612</v>
      </c>
    </row>
    <row r="78" spans="1:26" s="24" customFormat="1" hidden="1" outlineLevel="2" x14ac:dyDescent="0.25">
      <c r="A78" s="25"/>
      <c r="B78" s="11" t="str">
        <f>CONCATENATE("          ", "6008", " - ", "STUDENT HOURLY-FICA EXEMPT")</f>
        <v xml:space="preserve">          6008 - STUDENT HOURLY-FICA EXEMPT</v>
      </c>
      <c r="C78" s="11"/>
      <c r="D78" s="6"/>
      <c r="E78" s="2"/>
      <c r="F78" s="7">
        <f t="shared" si="23"/>
        <v>0</v>
      </c>
      <c r="G78" s="2"/>
      <c r="H78" s="6">
        <v>6595.8255000000008</v>
      </c>
      <c r="I78" s="2"/>
      <c r="J78" s="7">
        <f t="shared" si="24"/>
        <v>4.021109248308237E-2</v>
      </c>
      <c r="K78" s="2"/>
      <c r="L78" s="6">
        <f t="shared" si="25"/>
        <v>-6595.8255000000008</v>
      </c>
      <c r="M78" s="2"/>
      <c r="N78" s="7">
        <f t="shared" si="26"/>
        <v>-1</v>
      </c>
      <c r="O78" s="11"/>
      <c r="P78" s="6"/>
      <c r="Q78" s="2"/>
      <c r="R78" s="7">
        <f t="shared" si="27"/>
        <v>0</v>
      </c>
      <c r="S78" s="2"/>
      <c r="T78" s="6">
        <v>39759.593999999997</v>
      </c>
      <c r="U78" s="2"/>
      <c r="V78" s="7">
        <f t="shared" si="28"/>
        <v>1.9314077998388208E-2</v>
      </c>
      <c r="W78" s="2"/>
      <c r="X78" s="6">
        <f t="shared" si="29"/>
        <v>-39759.593999999997</v>
      </c>
      <c r="Y78" s="2"/>
      <c r="Z78" s="7">
        <f t="shared" si="30"/>
        <v>-1</v>
      </c>
    </row>
    <row r="79" spans="1:26" s="24" customFormat="1" hidden="1" outlineLevel="2" x14ac:dyDescent="0.25">
      <c r="A79" s="25"/>
      <c r="B79" s="11" t="str">
        <f>CONCATENATE("          ", "6009", " - ", "TEMPORARY-SEASONAL")</f>
        <v xml:space="preserve">          6009 - TEMPORARY-SEASONAL</v>
      </c>
      <c r="C79" s="11"/>
      <c r="D79" s="6"/>
      <c r="E79" s="2"/>
      <c r="F79" s="7">
        <f t="shared" si="23"/>
        <v>0</v>
      </c>
      <c r="G79" s="2"/>
      <c r="H79" s="6">
        <v>0</v>
      </c>
      <c r="I79" s="2"/>
      <c r="J79" s="7">
        <f t="shared" si="24"/>
        <v>0</v>
      </c>
      <c r="K79" s="2"/>
      <c r="L79" s="6">
        <f t="shared" si="25"/>
        <v>0</v>
      </c>
      <c r="M79" s="2"/>
      <c r="N79" s="7">
        <f t="shared" si="26"/>
        <v>0</v>
      </c>
      <c r="O79" s="11"/>
      <c r="P79" s="6"/>
      <c r="Q79" s="2"/>
      <c r="R79" s="7">
        <f t="shared" si="27"/>
        <v>0</v>
      </c>
      <c r="S79" s="2"/>
      <c r="T79" s="6">
        <v>0</v>
      </c>
      <c r="U79" s="2"/>
      <c r="V79" s="7">
        <f t="shared" si="28"/>
        <v>0</v>
      </c>
      <c r="W79" s="2"/>
      <c r="X79" s="6">
        <f t="shared" si="29"/>
        <v>0</v>
      </c>
      <c r="Y79" s="2"/>
      <c r="Z79" s="7">
        <f t="shared" si="30"/>
        <v>0</v>
      </c>
    </row>
    <row r="80" spans="1:26" s="24" customFormat="1" hidden="1" outlineLevel="2" x14ac:dyDescent="0.25">
      <c r="A80" s="25"/>
      <c r="B80" s="11" t="str">
        <f>CONCATENATE("          ", "6010", " - ", "GRATUITY")</f>
        <v xml:space="preserve">          6010 - GRATUITY</v>
      </c>
      <c r="C80" s="11"/>
      <c r="D80" s="6"/>
      <c r="E80" s="2"/>
      <c r="F80" s="7">
        <f t="shared" si="23"/>
        <v>0</v>
      </c>
      <c r="G80" s="2"/>
      <c r="H80" s="6">
        <v>0</v>
      </c>
      <c r="I80" s="2"/>
      <c r="J80" s="7">
        <f t="shared" si="24"/>
        <v>0</v>
      </c>
      <c r="K80" s="2"/>
      <c r="L80" s="6">
        <f t="shared" si="25"/>
        <v>0</v>
      </c>
      <c r="M80" s="2"/>
      <c r="N80" s="7">
        <f t="shared" si="26"/>
        <v>0</v>
      </c>
      <c r="O80" s="11"/>
      <c r="P80" s="6"/>
      <c r="Q80" s="2"/>
      <c r="R80" s="7">
        <f t="shared" si="27"/>
        <v>0</v>
      </c>
      <c r="S80" s="2"/>
      <c r="T80" s="6">
        <v>0</v>
      </c>
      <c r="U80" s="2"/>
      <c r="V80" s="7">
        <f t="shared" si="28"/>
        <v>0</v>
      </c>
      <c r="W80" s="2"/>
      <c r="X80" s="6">
        <f t="shared" si="29"/>
        <v>0</v>
      </c>
      <c r="Y80" s="2"/>
      <c r="Z80" s="7">
        <f t="shared" si="30"/>
        <v>0</v>
      </c>
    </row>
    <row r="81" spans="1:26" s="27" customFormat="1" outlineLevel="1" collapsed="1" x14ac:dyDescent="0.25">
      <c r="A81" s="26"/>
      <c r="B81" s="13" t="str">
        <f>CONCATENATE("     ","Advertising/Promo                                 ")</f>
        <v xml:space="preserve">     Advertising/Promo                                 </v>
      </c>
      <c r="C81" s="13"/>
      <c r="D81" s="1">
        <f>SUM(OSRRefD22_2x_0)</f>
        <v>24.69</v>
      </c>
      <c r="E81" s="1"/>
      <c r="F81" s="5">
        <f t="shared" ref="F81:F97" si="31">IF(D$12=0,0,D81/D$12)</f>
        <v>2.1600696471545041E-4</v>
      </c>
      <c r="G81" s="1"/>
      <c r="H81" s="1">
        <f>SUM(OSRRefH22_2x_0)</f>
        <v>250</v>
      </c>
      <c r="I81" s="1"/>
      <c r="J81" s="5">
        <f t="shared" ref="J81:J97" si="32">IF(H$12=0,0,H81/H$12)</f>
        <v>1.5241114430287143E-3</v>
      </c>
      <c r="K81" s="1"/>
      <c r="L81" s="1">
        <f t="shared" ref="L81:L97" si="33">+D81-H81</f>
        <v>-225.31</v>
      </c>
      <c r="M81" s="1"/>
      <c r="N81" s="5">
        <f t="shared" ref="N81:N97" si="34">IF(H81=0,0,L81/H81)</f>
        <v>-0.90124000000000004</v>
      </c>
      <c r="O81" s="13"/>
      <c r="P81" s="1">
        <f>SUM(OSRRefP22_2x_0)</f>
        <v>1745.92</v>
      </c>
      <c r="Q81" s="1"/>
      <c r="R81" s="5">
        <f t="shared" ref="R81:R97" si="35">IF(P$12=0,0,P81/P$12)</f>
        <v>8.5654245798573436E-4</v>
      </c>
      <c r="S81" s="1"/>
      <c r="T81" s="1">
        <f>SUM(OSRRefT22_2x_0)</f>
        <v>2250</v>
      </c>
      <c r="U81" s="1"/>
      <c r="V81" s="5">
        <f t="shared" ref="V81:V97" si="36">IF(T$12=0,0,T81/T$12)</f>
        <v>1.0929858965957619E-3</v>
      </c>
      <c r="W81" s="1"/>
      <c r="X81" s="1">
        <f t="shared" ref="X81:X97" si="37">+P81-T81</f>
        <v>-504.07999999999993</v>
      </c>
      <c r="Y81" s="1"/>
      <c r="Z81" s="5">
        <f t="shared" ref="Z81:Z97" si="38">IF(T81=0,0,X81/T81)</f>
        <v>-0.22403555555555552</v>
      </c>
    </row>
    <row r="82" spans="1:26" s="24" customFormat="1" hidden="1" outlineLevel="2" x14ac:dyDescent="0.25">
      <c r="A82" s="25"/>
      <c r="B82" s="11" t="str">
        <f>CONCATENATE("          ", "6362", " - ", "ADVERTISING EXPENSE")</f>
        <v xml:space="preserve">          6362 - ADVERTISING EXPENSE</v>
      </c>
      <c r="C82" s="11"/>
      <c r="D82" s="6">
        <v>24.69</v>
      </c>
      <c r="E82" s="2"/>
      <c r="F82" s="7">
        <f t="shared" si="31"/>
        <v>2.1600696471545041E-4</v>
      </c>
      <c r="G82" s="2"/>
      <c r="H82" s="6">
        <v>250</v>
      </c>
      <c r="I82" s="2"/>
      <c r="J82" s="7">
        <f t="shared" si="32"/>
        <v>1.5241114430287143E-3</v>
      </c>
      <c r="K82" s="2"/>
      <c r="L82" s="6">
        <f t="shared" si="33"/>
        <v>-225.31</v>
      </c>
      <c r="M82" s="2"/>
      <c r="N82" s="7">
        <f t="shared" si="34"/>
        <v>-0.90124000000000004</v>
      </c>
      <c r="O82" s="11"/>
      <c r="P82" s="6">
        <v>1745.92</v>
      </c>
      <c r="Q82" s="2"/>
      <c r="R82" s="7">
        <f t="shared" si="35"/>
        <v>8.5654245798573436E-4</v>
      </c>
      <c r="S82" s="2"/>
      <c r="T82" s="6">
        <v>2250</v>
      </c>
      <c r="U82" s="2"/>
      <c r="V82" s="7">
        <f t="shared" si="36"/>
        <v>1.0929858965957619E-3</v>
      </c>
      <c r="W82" s="2"/>
      <c r="X82" s="6">
        <f t="shared" si="37"/>
        <v>-504.07999999999993</v>
      </c>
      <c r="Y82" s="2"/>
      <c r="Z82" s="7">
        <f t="shared" si="38"/>
        <v>-0.22403555555555552</v>
      </c>
    </row>
    <row r="83" spans="1:26" s="27" customFormat="1" outlineLevel="1" collapsed="1" x14ac:dyDescent="0.25">
      <c r="A83" s="26"/>
      <c r="B83" s="13" t="str">
        <f>CONCATENATE("     ","Depreciation                                      ")</f>
        <v xml:space="preserve">     Depreciation                                      </v>
      </c>
      <c r="C83" s="13"/>
      <c r="D83" s="1">
        <f>SUM(OSRRefD22_3x_0)</f>
        <v>280.44</v>
      </c>
      <c r="E83" s="1"/>
      <c r="F83" s="5">
        <f t="shared" si="31"/>
        <v>2.4535031666586028E-3</v>
      </c>
      <c r="G83" s="1"/>
      <c r="H83" s="1">
        <f>SUM(OSRRefH22_3x_0)</f>
        <v>0</v>
      </c>
      <c r="I83" s="1"/>
      <c r="J83" s="5">
        <f t="shared" si="32"/>
        <v>0</v>
      </c>
      <c r="K83" s="1"/>
      <c r="L83" s="1">
        <f t="shared" si="33"/>
        <v>280.44</v>
      </c>
      <c r="M83" s="1"/>
      <c r="N83" s="5">
        <f t="shared" si="34"/>
        <v>0</v>
      </c>
      <c r="O83" s="13"/>
      <c r="P83" s="1">
        <f>SUM(OSRRefP22_3x_0)</f>
        <v>2523.96</v>
      </c>
      <c r="Q83" s="1"/>
      <c r="R83" s="5">
        <f t="shared" si="35"/>
        <v>1.2382462554170145E-3</v>
      </c>
      <c r="S83" s="1"/>
      <c r="T83" s="1">
        <f>SUM(OSRRefT22_3x_0)</f>
        <v>0</v>
      </c>
      <c r="U83" s="1"/>
      <c r="V83" s="5">
        <f t="shared" si="36"/>
        <v>0</v>
      </c>
      <c r="W83" s="1"/>
      <c r="X83" s="1">
        <f t="shared" si="37"/>
        <v>2523.96</v>
      </c>
      <c r="Y83" s="1"/>
      <c r="Z83" s="5">
        <f t="shared" si="38"/>
        <v>0</v>
      </c>
    </row>
    <row r="84" spans="1:26" s="24" customFormat="1" hidden="1" outlineLevel="2" x14ac:dyDescent="0.25">
      <c r="A84" s="25"/>
      <c r="B84" s="11" t="str">
        <f>CONCATENATE("          ", "6322", " - ", "EQUIPMENT DEPRECIATION EXPENSE")</f>
        <v xml:space="preserve">          6322 - EQUIPMENT DEPRECIATION EXPENSE</v>
      </c>
      <c r="C84" s="11"/>
      <c r="D84" s="6">
        <v>280.44</v>
      </c>
      <c r="E84" s="2"/>
      <c r="F84" s="7">
        <f t="shared" si="31"/>
        <v>2.4535031666586028E-3</v>
      </c>
      <c r="G84" s="2"/>
      <c r="H84" s="6"/>
      <c r="I84" s="2"/>
      <c r="J84" s="7">
        <f t="shared" si="32"/>
        <v>0</v>
      </c>
      <c r="K84" s="2"/>
      <c r="L84" s="6">
        <f t="shared" si="33"/>
        <v>280.44</v>
      </c>
      <c r="M84" s="2"/>
      <c r="N84" s="7">
        <f t="shared" si="34"/>
        <v>0</v>
      </c>
      <c r="O84" s="11"/>
      <c r="P84" s="6">
        <v>2523.96</v>
      </c>
      <c r="Q84" s="2"/>
      <c r="R84" s="7">
        <f t="shared" si="35"/>
        <v>1.2382462554170145E-3</v>
      </c>
      <c r="S84" s="2"/>
      <c r="T84" s="6"/>
      <c r="U84" s="2"/>
      <c r="V84" s="7">
        <f t="shared" si="36"/>
        <v>0</v>
      </c>
      <c r="W84" s="2"/>
      <c r="X84" s="6">
        <f t="shared" si="37"/>
        <v>2523.96</v>
      </c>
      <c r="Y84" s="2"/>
      <c r="Z84" s="7">
        <f t="shared" si="38"/>
        <v>0</v>
      </c>
    </row>
    <row r="85" spans="1:26" s="27" customFormat="1" outlineLevel="1" collapsed="1" x14ac:dyDescent="0.25">
      <c r="A85" s="26"/>
      <c r="B85" s="13" t="str">
        <f>CONCATENATE("     ","Discounts and Markdowns                           ")</f>
        <v xml:space="preserve">     Discounts and Markdowns                           </v>
      </c>
      <c r="C85" s="13"/>
      <c r="D85" s="1">
        <f>SUM(OSRRefD22_4x_0)</f>
        <v>4929.46</v>
      </c>
      <c r="E85" s="1"/>
      <c r="F85" s="5">
        <f t="shared" si="31"/>
        <v>4.3126678504909845E-2</v>
      </c>
      <c r="G85" s="1"/>
      <c r="H85" s="1">
        <f>SUM(OSRRefH22_4x_0)</f>
        <v>2500</v>
      </c>
      <c r="I85" s="1"/>
      <c r="J85" s="5">
        <f t="shared" si="32"/>
        <v>1.5241114430287143E-2</v>
      </c>
      <c r="K85" s="1"/>
      <c r="L85" s="1">
        <f t="shared" si="33"/>
        <v>2429.46</v>
      </c>
      <c r="M85" s="1"/>
      <c r="N85" s="5">
        <f t="shared" si="34"/>
        <v>0.97178399999999998</v>
      </c>
      <c r="O85" s="13"/>
      <c r="P85" s="1">
        <f>SUM(OSRRefP22_4x_0)</f>
        <v>54716.33</v>
      </c>
      <c r="Q85" s="1"/>
      <c r="R85" s="5">
        <f t="shared" si="35"/>
        <v>2.6843646782303068E-2</v>
      </c>
      <c r="S85" s="1"/>
      <c r="T85" s="1">
        <f>SUM(OSRRefT22_4x_0)</f>
        <v>22500</v>
      </c>
      <c r="U85" s="1"/>
      <c r="V85" s="5">
        <f t="shared" si="36"/>
        <v>1.0929858965957618E-2</v>
      </c>
      <c r="W85" s="1"/>
      <c r="X85" s="1">
        <f t="shared" si="37"/>
        <v>32216.33</v>
      </c>
      <c r="Y85" s="1"/>
      <c r="Z85" s="5">
        <f t="shared" si="38"/>
        <v>1.431836888888889</v>
      </c>
    </row>
    <row r="86" spans="1:26" s="24" customFormat="1" hidden="1" outlineLevel="2" x14ac:dyDescent="0.25">
      <c r="A86" s="25"/>
      <c r="B86" s="11" t="str">
        <f>CONCATENATE("          ", "6382", " - ", "DISCOUNTS/MARK DOWNS")</f>
        <v xml:space="preserve">          6382 - DISCOUNTS/MARK DOWNS</v>
      </c>
      <c r="C86" s="11"/>
      <c r="D86" s="6">
        <v>4929.46</v>
      </c>
      <c r="E86" s="2"/>
      <c r="F86" s="7">
        <f t="shared" si="31"/>
        <v>4.3126678504909845E-2</v>
      </c>
      <c r="G86" s="2"/>
      <c r="H86" s="6">
        <v>2500</v>
      </c>
      <c r="I86" s="2"/>
      <c r="J86" s="7">
        <f t="shared" si="32"/>
        <v>1.5241114430287143E-2</v>
      </c>
      <c r="K86" s="2"/>
      <c r="L86" s="6">
        <f t="shared" si="33"/>
        <v>2429.46</v>
      </c>
      <c r="M86" s="2"/>
      <c r="N86" s="7">
        <f t="shared" si="34"/>
        <v>0.97178399999999998</v>
      </c>
      <c r="O86" s="11"/>
      <c r="P86" s="6">
        <v>54716.33</v>
      </c>
      <c r="Q86" s="2"/>
      <c r="R86" s="7">
        <f t="shared" si="35"/>
        <v>2.6843646782303068E-2</v>
      </c>
      <c r="S86" s="2"/>
      <c r="T86" s="6">
        <v>22500</v>
      </c>
      <c r="U86" s="2"/>
      <c r="V86" s="7">
        <f t="shared" si="36"/>
        <v>1.0929858965957618E-2</v>
      </c>
      <c r="W86" s="2"/>
      <c r="X86" s="6">
        <f t="shared" si="37"/>
        <v>32216.33</v>
      </c>
      <c r="Y86" s="2"/>
      <c r="Z86" s="7">
        <f t="shared" si="38"/>
        <v>1.431836888888889</v>
      </c>
    </row>
    <row r="87" spans="1:26" s="27" customFormat="1" outlineLevel="1" collapsed="1" x14ac:dyDescent="0.25">
      <c r="A87" s="26"/>
      <c r="B87" s="13" t="str">
        <f>CONCATENATE("     ","Employees' Appreciation                           ")</f>
        <v xml:space="preserve">     Employees' Appreciation                           </v>
      </c>
      <c r="C87" s="13"/>
      <c r="D87" s="1">
        <f>SUM(OSRRefD22_5x_0)</f>
        <v>0</v>
      </c>
      <c r="E87" s="1"/>
      <c r="F87" s="5">
        <f t="shared" si="31"/>
        <v>0</v>
      </c>
      <c r="G87" s="1"/>
      <c r="H87" s="1">
        <f>SUM(OSRRefH22_5x_0)</f>
        <v>40</v>
      </c>
      <c r="I87" s="1"/>
      <c r="J87" s="5">
        <f t="shared" si="32"/>
        <v>2.4385783088459427E-4</v>
      </c>
      <c r="K87" s="1"/>
      <c r="L87" s="1">
        <f t="shared" si="33"/>
        <v>-40</v>
      </c>
      <c r="M87" s="1"/>
      <c r="N87" s="5">
        <f t="shared" si="34"/>
        <v>-1</v>
      </c>
      <c r="O87" s="13"/>
      <c r="P87" s="1">
        <f>SUM(OSRRefP22_5x_0)</f>
        <v>0</v>
      </c>
      <c r="Q87" s="1"/>
      <c r="R87" s="5">
        <f t="shared" si="35"/>
        <v>0</v>
      </c>
      <c r="S87" s="1"/>
      <c r="T87" s="1">
        <f>SUM(OSRRefT22_5x_0)</f>
        <v>360</v>
      </c>
      <c r="U87" s="1"/>
      <c r="V87" s="5">
        <f t="shared" si="36"/>
        <v>1.748777434553219E-4</v>
      </c>
      <c r="W87" s="1"/>
      <c r="X87" s="1">
        <f t="shared" si="37"/>
        <v>-360</v>
      </c>
      <c r="Y87" s="1"/>
      <c r="Z87" s="5">
        <f t="shared" si="38"/>
        <v>-1</v>
      </c>
    </row>
    <row r="88" spans="1:26" s="24" customFormat="1" hidden="1" outlineLevel="2" x14ac:dyDescent="0.25">
      <c r="A88" s="25"/>
      <c r="B88" s="11" t="str">
        <f>CONCATENATE("          ", "6277", " - ", "EMPLOYEE APPRECIATION")</f>
        <v xml:space="preserve">          6277 - EMPLOYEE APPRECIATION</v>
      </c>
      <c r="C88" s="11"/>
      <c r="D88" s="6"/>
      <c r="E88" s="2"/>
      <c r="F88" s="7">
        <f t="shared" si="31"/>
        <v>0</v>
      </c>
      <c r="G88" s="2"/>
      <c r="H88" s="6">
        <v>40</v>
      </c>
      <c r="I88" s="2"/>
      <c r="J88" s="7">
        <f t="shared" si="32"/>
        <v>2.4385783088459427E-4</v>
      </c>
      <c r="K88" s="2"/>
      <c r="L88" s="6">
        <f t="shared" si="33"/>
        <v>-40</v>
      </c>
      <c r="M88" s="2"/>
      <c r="N88" s="7">
        <f t="shared" si="34"/>
        <v>-1</v>
      </c>
      <c r="O88" s="11"/>
      <c r="P88" s="6"/>
      <c r="Q88" s="2"/>
      <c r="R88" s="7">
        <f t="shared" si="35"/>
        <v>0</v>
      </c>
      <c r="S88" s="2"/>
      <c r="T88" s="6">
        <v>360</v>
      </c>
      <c r="U88" s="2"/>
      <c r="V88" s="7">
        <f t="shared" si="36"/>
        <v>1.748777434553219E-4</v>
      </c>
      <c r="W88" s="2"/>
      <c r="X88" s="6">
        <f t="shared" si="37"/>
        <v>-360</v>
      </c>
      <c r="Y88" s="2"/>
      <c r="Z88" s="7">
        <f t="shared" si="38"/>
        <v>-1</v>
      </c>
    </row>
    <row r="89" spans="1:26" s="27" customFormat="1" outlineLevel="1" collapsed="1" x14ac:dyDescent="0.25">
      <c r="A89" s="26"/>
      <c r="B89" s="13" t="str">
        <f>CONCATENATE("     ","Freight out/Postage                               ")</f>
        <v xml:space="preserve">     Freight out/Postage                               </v>
      </c>
      <c r="C89" s="13"/>
      <c r="D89" s="1">
        <f>SUM(OSRRefD22_6x_0)</f>
        <v>0</v>
      </c>
      <c r="E89" s="1"/>
      <c r="F89" s="5">
        <f t="shared" si="31"/>
        <v>0</v>
      </c>
      <c r="G89" s="1"/>
      <c r="H89" s="1">
        <f>SUM(OSRRefH22_6x_0)</f>
        <v>25</v>
      </c>
      <c r="I89" s="1"/>
      <c r="J89" s="5">
        <f t="shared" si="32"/>
        <v>1.5241114430287144E-4</v>
      </c>
      <c r="K89" s="1"/>
      <c r="L89" s="1">
        <f t="shared" si="33"/>
        <v>-25</v>
      </c>
      <c r="M89" s="1"/>
      <c r="N89" s="5">
        <f t="shared" si="34"/>
        <v>-1</v>
      </c>
      <c r="O89" s="13"/>
      <c r="P89" s="1">
        <f>SUM(OSRRefP22_6x_0)</f>
        <v>49.72</v>
      </c>
      <c r="Q89" s="1"/>
      <c r="R89" s="5">
        <f t="shared" si="35"/>
        <v>2.4392464151307453E-5</v>
      </c>
      <c r="S89" s="1"/>
      <c r="T89" s="1">
        <f>SUM(OSRRefT22_6x_0)</f>
        <v>225</v>
      </c>
      <c r="U89" s="1"/>
      <c r="V89" s="5">
        <f t="shared" si="36"/>
        <v>1.0929858965957618E-4</v>
      </c>
      <c r="W89" s="1"/>
      <c r="X89" s="1">
        <f t="shared" si="37"/>
        <v>-175.28</v>
      </c>
      <c r="Y89" s="1"/>
      <c r="Z89" s="5">
        <f t="shared" si="38"/>
        <v>-0.77902222222222228</v>
      </c>
    </row>
    <row r="90" spans="1:26" s="24" customFormat="1" hidden="1" outlineLevel="2" x14ac:dyDescent="0.25">
      <c r="A90" s="25"/>
      <c r="B90" s="11" t="str">
        <f>CONCATENATE("          ", "6305", " - ", "FREIGHT OUT")</f>
        <v xml:space="preserve">          6305 - FREIGHT OUT</v>
      </c>
      <c r="C90" s="11"/>
      <c r="D90" s="6"/>
      <c r="E90" s="2"/>
      <c r="F90" s="7">
        <f t="shared" si="31"/>
        <v>0</v>
      </c>
      <c r="G90" s="2"/>
      <c r="H90" s="6">
        <v>25</v>
      </c>
      <c r="I90" s="2"/>
      <c r="J90" s="7">
        <f t="shared" si="32"/>
        <v>1.5241114430287144E-4</v>
      </c>
      <c r="K90" s="2"/>
      <c r="L90" s="6">
        <f t="shared" si="33"/>
        <v>-25</v>
      </c>
      <c r="M90" s="2"/>
      <c r="N90" s="7">
        <f t="shared" si="34"/>
        <v>-1</v>
      </c>
      <c r="O90" s="11"/>
      <c r="P90" s="6">
        <v>49.72</v>
      </c>
      <c r="Q90" s="2"/>
      <c r="R90" s="7">
        <f t="shared" si="35"/>
        <v>2.4392464151307453E-5</v>
      </c>
      <c r="S90" s="2"/>
      <c r="T90" s="6">
        <v>225</v>
      </c>
      <c r="U90" s="2"/>
      <c r="V90" s="7">
        <f t="shared" si="36"/>
        <v>1.0929858965957618E-4</v>
      </c>
      <c r="W90" s="2"/>
      <c r="X90" s="6">
        <f t="shared" si="37"/>
        <v>-175.28</v>
      </c>
      <c r="Y90" s="2"/>
      <c r="Z90" s="7">
        <f t="shared" si="38"/>
        <v>-0.77902222222222228</v>
      </c>
    </row>
    <row r="91" spans="1:26" s="27" customFormat="1" outlineLevel="1" collapsed="1" x14ac:dyDescent="0.25">
      <c r="A91" s="26"/>
      <c r="B91" s="13" t="str">
        <f>CONCATENATE("     ","Repair and Maintenance                            ")</f>
        <v xml:space="preserve">     Repair and Maintenance                            </v>
      </c>
      <c r="C91" s="13"/>
      <c r="D91" s="1">
        <f>SUM(OSRRefD22_7x_0)</f>
        <v>0</v>
      </c>
      <c r="E91" s="1"/>
      <c r="F91" s="5">
        <f t="shared" si="31"/>
        <v>0</v>
      </c>
      <c r="G91" s="1"/>
      <c r="H91" s="1">
        <f>SUM(OSRRefH22_7x_0)</f>
        <v>0</v>
      </c>
      <c r="I91" s="1"/>
      <c r="J91" s="5">
        <f t="shared" si="32"/>
        <v>0</v>
      </c>
      <c r="K91" s="1"/>
      <c r="L91" s="1">
        <f t="shared" si="33"/>
        <v>0</v>
      </c>
      <c r="M91" s="1"/>
      <c r="N91" s="5">
        <f t="shared" si="34"/>
        <v>0</v>
      </c>
      <c r="O91" s="13"/>
      <c r="P91" s="1">
        <f>SUM(OSRRefP22_7x_0)</f>
        <v>197.18</v>
      </c>
      <c r="Q91" s="1"/>
      <c r="R91" s="5">
        <f t="shared" si="35"/>
        <v>9.6735842344223725E-5</v>
      </c>
      <c r="S91" s="1"/>
      <c r="T91" s="1">
        <f>SUM(OSRRefT22_7x_0)</f>
        <v>0</v>
      </c>
      <c r="U91" s="1"/>
      <c r="V91" s="5">
        <f t="shared" si="36"/>
        <v>0</v>
      </c>
      <c r="W91" s="1"/>
      <c r="X91" s="1">
        <f t="shared" si="37"/>
        <v>197.18</v>
      </c>
      <c r="Y91" s="1"/>
      <c r="Z91" s="5">
        <f t="shared" si="38"/>
        <v>0</v>
      </c>
    </row>
    <row r="92" spans="1:26" s="24" customFormat="1" hidden="1" outlineLevel="2" x14ac:dyDescent="0.25">
      <c r="A92" s="25"/>
      <c r="B92" s="11" t="str">
        <f>CONCATENATE("          ", "6375", " - ", "OUTSIDE REPAIRS &amp; MAINTENANCE")</f>
        <v xml:space="preserve">          6375 - OUTSIDE REPAIRS &amp; MAINTENANCE</v>
      </c>
      <c r="C92" s="11"/>
      <c r="D92" s="6"/>
      <c r="E92" s="2"/>
      <c r="F92" s="7">
        <f t="shared" si="31"/>
        <v>0</v>
      </c>
      <c r="G92" s="2"/>
      <c r="H92" s="6"/>
      <c r="I92" s="2"/>
      <c r="J92" s="7">
        <f t="shared" si="32"/>
        <v>0</v>
      </c>
      <c r="K92" s="2"/>
      <c r="L92" s="6">
        <f t="shared" si="33"/>
        <v>0</v>
      </c>
      <c r="M92" s="2"/>
      <c r="N92" s="7">
        <f t="shared" si="34"/>
        <v>0</v>
      </c>
      <c r="O92" s="11"/>
      <c r="P92" s="6">
        <v>197.18</v>
      </c>
      <c r="Q92" s="2"/>
      <c r="R92" s="7">
        <f t="shared" si="35"/>
        <v>9.6735842344223725E-5</v>
      </c>
      <c r="S92" s="2"/>
      <c r="T92" s="6"/>
      <c r="U92" s="2"/>
      <c r="V92" s="7">
        <f t="shared" si="36"/>
        <v>0</v>
      </c>
      <c r="W92" s="2"/>
      <c r="X92" s="6">
        <f t="shared" si="37"/>
        <v>197.18</v>
      </c>
      <c r="Y92" s="2"/>
      <c r="Z92" s="7">
        <f t="shared" si="38"/>
        <v>0</v>
      </c>
    </row>
    <row r="93" spans="1:26" s="27" customFormat="1" outlineLevel="1" collapsed="1" x14ac:dyDescent="0.25">
      <c r="A93" s="26"/>
      <c r="B93" s="13" t="str">
        <f>CONCATENATE("     ","Subscriptions &amp; Dues                              ")</f>
        <v xml:space="preserve">     Subscriptions &amp; Dues                              </v>
      </c>
      <c r="C93" s="13"/>
      <c r="D93" s="1">
        <f>SUM(OSRRefD22_8x_0)</f>
        <v>0</v>
      </c>
      <c r="E93" s="1"/>
      <c r="F93" s="5">
        <f t="shared" si="31"/>
        <v>0</v>
      </c>
      <c r="G93" s="1"/>
      <c r="H93" s="1">
        <f>SUM(OSRRefH22_8x_0)</f>
        <v>0</v>
      </c>
      <c r="I93" s="1"/>
      <c r="J93" s="5">
        <f t="shared" si="32"/>
        <v>0</v>
      </c>
      <c r="K93" s="1"/>
      <c r="L93" s="1">
        <f t="shared" si="33"/>
        <v>0</v>
      </c>
      <c r="M93" s="1"/>
      <c r="N93" s="5">
        <f t="shared" si="34"/>
        <v>0</v>
      </c>
      <c r="O93" s="13"/>
      <c r="P93" s="1">
        <f>SUM(OSRRefP22_8x_0)</f>
        <v>-4886.5</v>
      </c>
      <c r="Q93" s="1"/>
      <c r="R93" s="5">
        <f t="shared" si="35"/>
        <v>-2.3973004037683805E-3</v>
      </c>
      <c r="S93" s="1"/>
      <c r="T93" s="1">
        <f>SUM(OSRRefT22_8x_0)</f>
        <v>0</v>
      </c>
      <c r="U93" s="1"/>
      <c r="V93" s="5">
        <f t="shared" si="36"/>
        <v>0</v>
      </c>
      <c r="W93" s="1"/>
      <c r="X93" s="1">
        <f t="shared" si="37"/>
        <v>-4886.5</v>
      </c>
      <c r="Y93" s="1"/>
      <c r="Z93" s="5">
        <f t="shared" si="38"/>
        <v>0</v>
      </c>
    </row>
    <row r="94" spans="1:26" s="24" customFormat="1" hidden="1" outlineLevel="2" x14ac:dyDescent="0.25">
      <c r="A94" s="25"/>
      <c r="B94" s="11" t="str">
        <f>CONCATENATE("          ", "6258", " - ", "MEMBERSHIP DUES")</f>
        <v xml:space="preserve">          6258 - MEMBERSHIP DUES</v>
      </c>
      <c r="C94" s="11"/>
      <c r="D94" s="6"/>
      <c r="E94" s="2"/>
      <c r="F94" s="7">
        <f t="shared" si="31"/>
        <v>0</v>
      </c>
      <c r="G94" s="2"/>
      <c r="H94" s="6"/>
      <c r="I94" s="2"/>
      <c r="J94" s="7">
        <f t="shared" si="32"/>
        <v>0</v>
      </c>
      <c r="K94" s="2"/>
      <c r="L94" s="6">
        <f t="shared" si="33"/>
        <v>0</v>
      </c>
      <c r="M94" s="2"/>
      <c r="N94" s="7">
        <f t="shared" si="34"/>
        <v>0</v>
      </c>
      <c r="O94" s="11"/>
      <c r="P94" s="6">
        <v>-4886.5</v>
      </c>
      <c r="Q94" s="2"/>
      <c r="R94" s="7">
        <f t="shared" si="35"/>
        <v>-2.3973004037683805E-3</v>
      </c>
      <c r="S94" s="2"/>
      <c r="T94" s="6"/>
      <c r="U94" s="2"/>
      <c r="V94" s="7">
        <f t="shared" si="36"/>
        <v>0</v>
      </c>
      <c r="W94" s="2"/>
      <c r="X94" s="6">
        <f t="shared" si="37"/>
        <v>-4886.5</v>
      </c>
      <c r="Y94" s="2"/>
      <c r="Z94" s="7">
        <f t="shared" si="38"/>
        <v>0</v>
      </c>
    </row>
    <row r="95" spans="1:26" s="27" customFormat="1" outlineLevel="1" collapsed="1" x14ac:dyDescent="0.25">
      <c r="A95" s="26"/>
      <c r="B95" s="13" t="str">
        <f>CONCATENATE("     ","Supplies                                          ")</f>
        <v xml:space="preserve">     Supplies                                          </v>
      </c>
      <c r="C95" s="13"/>
      <c r="D95" s="1">
        <f>SUM(OSRRefD22_9x_0)</f>
        <v>58.95</v>
      </c>
      <c r="E95" s="1"/>
      <c r="F95" s="5">
        <f t="shared" si="31"/>
        <v>5.1573959376167685E-4</v>
      </c>
      <c r="G95" s="1"/>
      <c r="H95" s="1">
        <f>SUM(OSRRefH22_9x_0)</f>
        <v>275</v>
      </c>
      <c r="I95" s="1"/>
      <c r="J95" s="5">
        <f t="shared" si="32"/>
        <v>1.6765225873315857E-3</v>
      </c>
      <c r="K95" s="1"/>
      <c r="L95" s="1">
        <f t="shared" si="33"/>
        <v>-216.05</v>
      </c>
      <c r="M95" s="1"/>
      <c r="N95" s="5">
        <f t="shared" si="34"/>
        <v>-0.78563636363636369</v>
      </c>
      <c r="O95" s="13"/>
      <c r="P95" s="1">
        <f>SUM(OSRRefP22_9x_0)</f>
        <v>3135.2700000000004</v>
      </c>
      <c r="Q95" s="1"/>
      <c r="R95" s="5">
        <f t="shared" si="35"/>
        <v>1.5381528777085626E-3</v>
      </c>
      <c r="S95" s="1"/>
      <c r="T95" s="1">
        <f>SUM(OSRRefT22_9x_0)</f>
        <v>2475</v>
      </c>
      <c r="U95" s="1"/>
      <c r="V95" s="5">
        <f t="shared" si="36"/>
        <v>1.2022844862553379E-3</v>
      </c>
      <c r="W95" s="1"/>
      <c r="X95" s="1">
        <f t="shared" si="37"/>
        <v>660.27000000000044</v>
      </c>
      <c r="Y95" s="1"/>
      <c r="Z95" s="5">
        <f t="shared" si="38"/>
        <v>0.26677575757575778</v>
      </c>
    </row>
    <row r="96" spans="1:26" s="24" customFormat="1" hidden="1" outlineLevel="2" x14ac:dyDescent="0.25">
      <c r="A96" s="25"/>
      <c r="B96" s="11" t="str">
        <f>CONCATENATE("          ", "6241", " - ", "OFFICE EXPENSE")</f>
        <v xml:space="preserve">          6241 - OFFICE EXPENSE</v>
      </c>
      <c r="C96" s="11"/>
      <c r="D96" s="6">
        <v>58.95</v>
      </c>
      <c r="E96" s="2"/>
      <c r="F96" s="7">
        <f t="shared" si="31"/>
        <v>5.1573959376167685E-4</v>
      </c>
      <c r="G96" s="2"/>
      <c r="H96" s="6">
        <v>275</v>
      </c>
      <c r="I96" s="2"/>
      <c r="J96" s="7">
        <f t="shared" si="32"/>
        <v>1.6765225873315857E-3</v>
      </c>
      <c r="K96" s="2"/>
      <c r="L96" s="6">
        <f t="shared" si="33"/>
        <v>-216.05</v>
      </c>
      <c r="M96" s="2"/>
      <c r="N96" s="7">
        <f t="shared" si="34"/>
        <v>-0.78563636363636369</v>
      </c>
      <c r="O96" s="11"/>
      <c r="P96" s="6">
        <v>1125.8900000000001</v>
      </c>
      <c r="Q96" s="2"/>
      <c r="R96" s="7">
        <f t="shared" si="35"/>
        <v>5.5235783313184938E-4</v>
      </c>
      <c r="S96" s="2"/>
      <c r="T96" s="6">
        <v>2475</v>
      </c>
      <c r="U96" s="2"/>
      <c r="V96" s="7">
        <f t="shared" si="36"/>
        <v>1.2022844862553379E-3</v>
      </c>
      <c r="W96" s="2"/>
      <c r="X96" s="6">
        <f t="shared" si="37"/>
        <v>-1349.11</v>
      </c>
      <c r="Y96" s="2"/>
      <c r="Z96" s="7">
        <f t="shared" si="38"/>
        <v>-0.54509494949494941</v>
      </c>
    </row>
    <row r="97" spans="1:26" s="24" customFormat="1" hidden="1" outlineLevel="2" x14ac:dyDescent="0.25">
      <c r="A97" s="25"/>
      <c r="B97" s="11" t="str">
        <f>CONCATENATE("          ", "6247", " - ", "STORE SUPPLIES")</f>
        <v xml:space="preserve">          6247 - STORE SUPPLIES</v>
      </c>
      <c r="C97" s="11"/>
      <c r="D97" s="6"/>
      <c r="E97" s="2"/>
      <c r="F97" s="7">
        <f t="shared" si="31"/>
        <v>0</v>
      </c>
      <c r="G97" s="2"/>
      <c r="H97" s="6"/>
      <c r="I97" s="2"/>
      <c r="J97" s="7">
        <f t="shared" si="32"/>
        <v>0</v>
      </c>
      <c r="K97" s="2"/>
      <c r="L97" s="6">
        <f t="shared" si="33"/>
        <v>0</v>
      </c>
      <c r="M97" s="2"/>
      <c r="N97" s="7">
        <f t="shared" si="34"/>
        <v>0</v>
      </c>
      <c r="O97" s="11"/>
      <c r="P97" s="6">
        <v>2009.38</v>
      </c>
      <c r="Q97" s="2"/>
      <c r="R97" s="7">
        <f t="shared" si="35"/>
        <v>9.8579504457671301E-4</v>
      </c>
      <c r="S97" s="2"/>
      <c r="T97" s="6"/>
      <c r="U97" s="2"/>
      <c r="V97" s="7">
        <f t="shared" si="36"/>
        <v>0</v>
      </c>
      <c r="W97" s="2"/>
      <c r="X97" s="6">
        <f t="shared" si="37"/>
        <v>2009.38</v>
      </c>
      <c r="Y97" s="2"/>
      <c r="Z97" s="7">
        <f t="shared" si="38"/>
        <v>0</v>
      </c>
    </row>
    <row r="98" spans="1:26" s="27" customFormat="1" outlineLevel="1" collapsed="1" x14ac:dyDescent="0.25">
      <c r="A98" s="26"/>
      <c r="B98" s="13" t="str">
        <f>CONCATENATE("     ","Telephone/Data Lines                              ")</f>
        <v xml:space="preserve">     Telephone/Data Lines                              </v>
      </c>
      <c r="C98" s="13"/>
      <c r="D98" s="1">
        <f>SUM(OSRRefD22_10x_0)</f>
        <v>258.75</v>
      </c>
      <c r="E98" s="1"/>
      <c r="F98" s="5">
        <f t="shared" ref="F98:F100" si="39">IF(D$12=0,0,D98/D$12)</f>
        <v>2.2637424917020168E-3</v>
      </c>
      <c r="G98" s="1"/>
      <c r="H98" s="1">
        <f>SUM(OSRRefH22_10x_0)</f>
        <v>280</v>
      </c>
      <c r="I98" s="1"/>
      <c r="J98" s="5">
        <f t="shared" ref="J98:J100" si="40">IF(H$12=0,0,H98/H$12)</f>
        <v>1.7070048161921599E-3</v>
      </c>
      <c r="K98" s="1"/>
      <c r="L98" s="1">
        <f t="shared" ref="L98:L100" si="41">+D98-H98</f>
        <v>-21.25</v>
      </c>
      <c r="M98" s="1"/>
      <c r="N98" s="5">
        <f t="shared" ref="N98:N100" si="42">IF(H98=0,0,L98/H98)</f>
        <v>-7.5892857142857137E-2</v>
      </c>
      <c r="O98" s="13"/>
      <c r="P98" s="1">
        <f>SUM(OSRRefP22_10x_0)</f>
        <v>2304.6</v>
      </c>
      <c r="Q98" s="1"/>
      <c r="R98" s="5">
        <f t="shared" ref="R98:R100" si="43">IF(P$12=0,0,P98/P$12)</f>
        <v>1.130628979949782E-3</v>
      </c>
      <c r="S98" s="1"/>
      <c r="T98" s="1">
        <f>SUM(OSRRefT22_10x_0)</f>
        <v>2520</v>
      </c>
      <c r="U98" s="1"/>
      <c r="V98" s="5">
        <f t="shared" ref="V98:V100" si="44">IF(T$12=0,0,T98/T$12)</f>
        <v>1.2241442041872532E-3</v>
      </c>
      <c r="W98" s="1"/>
      <c r="X98" s="1">
        <f t="shared" ref="X98:X100" si="45">+P98-T98</f>
        <v>-215.40000000000009</v>
      </c>
      <c r="Y98" s="1"/>
      <c r="Z98" s="5">
        <f t="shared" ref="Z98:Z100" si="46">IF(T98=0,0,X98/T98)</f>
        <v>-8.5476190476190511E-2</v>
      </c>
    </row>
    <row r="99" spans="1:26" s="24" customFormat="1" hidden="1" outlineLevel="2" x14ac:dyDescent="0.25">
      <c r="A99" s="25"/>
      <c r="B99" s="11" t="str">
        <f>CONCATENATE("          ", "6303", " - ", "DATA PHONE LINES")</f>
        <v xml:space="preserve">          6303 - DATA PHONE LINES</v>
      </c>
      <c r="C99" s="11"/>
      <c r="D99" s="6"/>
      <c r="E99" s="2"/>
      <c r="F99" s="7">
        <f t="shared" si="39"/>
        <v>0</v>
      </c>
      <c r="G99" s="2"/>
      <c r="H99" s="6">
        <v>280</v>
      </c>
      <c r="I99" s="2"/>
      <c r="J99" s="7">
        <f t="shared" si="40"/>
        <v>1.7070048161921599E-3</v>
      </c>
      <c r="K99" s="2"/>
      <c r="L99" s="6">
        <f t="shared" si="41"/>
        <v>-280</v>
      </c>
      <c r="M99" s="2"/>
      <c r="N99" s="7">
        <f t="shared" si="42"/>
        <v>-1</v>
      </c>
      <c r="O99" s="11"/>
      <c r="P99" s="6"/>
      <c r="Q99" s="2"/>
      <c r="R99" s="7">
        <f t="shared" si="43"/>
        <v>0</v>
      </c>
      <c r="S99" s="2"/>
      <c r="T99" s="6">
        <v>2520</v>
      </c>
      <c r="U99" s="2"/>
      <c r="V99" s="7">
        <f t="shared" si="44"/>
        <v>1.2241442041872532E-3</v>
      </c>
      <c r="W99" s="2"/>
      <c r="X99" s="6">
        <f t="shared" si="45"/>
        <v>-2520</v>
      </c>
      <c r="Y99" s="2"/>
      <c r="Z99" s="7">
        <f t="shared" si="46"/>
        <v>-1</v>
      </c>
    </row>
    <row r="100" spans="1:26" s="24" customFormat="1" hidden="1" outlineLevel="2" x14ac:dyDescent="0.25">
      <c r="A100" s="25"/>
      <c r="B100" s="11" t="str">
        <f>CONCATENATE("          ", "6309", " - ", "TELEPHONE")</f>
        <v xml:space="preserve">          6309 - TELEPHONE</v>
      </c>
      <c r="C100" s="11"/>
      <c r="D100" s="6">
        <v>258.75</v>
      </c>
      <c r="E100" s="2"/>
      <c r="F100" s="7">
        <f t="shared" si="39"/>
        <v>2.2637424917020168E-3</v>
      </c>
      <c r="G100" s="2"/>
      <c r="H100" s="6"/>
      <c r="I100" s="2"/>
      <c r="J100" s="7">
        <f t="shared" si="40"/>
        <v>0</v>
      </c>
      <c r="K100" s="2"/>
      <c r="L100" s="6">
        <f t="shared" si="41"/>
        <v>258.75</v>
      </c>
      <c r="M100" s="2"/>
      <c r="N100" s="7">
        <f t="shared" si="42"/>
        <v>0</v>
      </c>
      <c r="O100" s="11"/>
      <c r="P100" s="6">
        <v>2304.6</v>
      </c>
      <c r="Q100" s="2"/>
      <c r="R100" s="7">
        <f t="shared" si="43"/>
        <v>1.130628979949782E-3</v>
      </c>
      <c r="S100" s="2"/>
      <c r="T100" s="6"/>
      <c r="U100" s="2"/>
      <c r="V100" s="7">
        <f t="shared" si="44"/>
        <v>0</v>
      </c>
      <c r="W100" s="2"/>
      <c r="X100" s="6">
        <f t="shared" si="45"/>
        <v>2304.6</v>
      </c>
      <c r="Y100" s="2"/>
      <c r="Z100" s="7">
        <f t="shared" si="46"/>
        <v>0</v>
      </c>
    </row>
    <row r="101" spans="1:26" s="27" customFormat="1" outlineLevel="1" collapsed="1" x14ac:dyDescent="0.25">
      <c r="A101" s="26"/>
      <c r="B101" s="13" t="str">
        <f>CONCATENATE("     ","Training                                          ")</f>
        <v xml:space="preserve">     Training                                          </v>
      </c>
      <c r="C101" s="13"/>
      <c r="D101" s="1">
        <f>SUM(OSRRefD22_11x_0)</f>
        <v>571.04999999999995</v>
      </c>
      <c r="E101" s="1"/>
      <c r="F101" s="5">
        <f t="shared" ref="F101:F104" si="47">IF(D$12=0,0,D101/D$12)</f>
        <v>4.9959812555997541E-3</v>
      </c>
      <c r="G101" s="1"/>
      <c r="H101" s="1">
        <f>SUM(OSRRefH22_11x_0)</f>
        <v>375</v>
      </c>
      <c r="I101" s="1"/>
      <c r="J101" s="5">
        <f t="shared" ref="J101:J104" si="48">IF(H$12=0,0,H101/H$12)</f>
        <v>2.2861671645430714E-3</v>
      </c>
      <c r="K101" s="1"/>
      <c r="L101" s="1">
        <f t="shared" ref="L101:L104" si="49">+D101-H101</f>
        <v>196.04999999999995</v>
      </c>
      <c r="M101" s="1"/>
      <c r="N101" s="5">
        <f t="shared" ref="N101:N104" si="50">IF(H101=0,0,L101/H101)</f>
        <v>0.52279999999999993</v>
      </c>
      <c r="O101" s="13"/>
      <c r="P101" s="1">
        <f>SUM(OSRRefP22_11x_0)</f>
        <v>1875.75</v>
      </c>
      <c r="Q101" s="1"/>
      <c r="R101" s="5">
        <f t="shared" ref="R101:R104" si="51">IF(P$12=0,0,P101/P$12)</f>
        <v>9.2023661769539337E-4</v>
      </c>
      <c r="S101" s="1"/>
      <c r="T101" s="1">
        <f>SUM(OSRRefT22_11x_0)</f>
        <v>3375</v>
      </c>
      <c r="U101" s="1"/>
      <c r="V101" s="5">
        <f t="shared" ref="V101:V104" si="52">IF(T$12=0,0,T101/T$12)</f>
        <v>1.6394788448936427E-3</v>
      </c>
      <c r="W101" s="1"/>
      <c r="X101" s="1">
        <f t="shared" ref="X101:X104" si="53">+P101-T101</f>
        <v>-1499.25</v>
      </c>
      <c r="Y101" s="1"/>
      <c r="Z101" s="5">
        <f t="shared" ref="Z101:Z104" si="54">IF(T101=0,0,X101/T101)</f>
        <v>-0.44422222222222224</v>
      </c>
    </row>
    <row r="102" spans="1:26" s="24" customFormat="1" hidden="1" outlineLevel="2" x14ac:dyDescent="0.25">
      <c r="A102" s="25"/>
      <c r="B102" s="11" t="str">
        <f>CONCATENATE("          ", "6376", " - ", "TRAINING")</f>
        <v xml:space="preserve">          6376 - TRAINING</v>
      </c>
      <c r="C102" s="11"/>
      <c r="D102" s="6">
        <v>571.04999999999995</v>
      </c>
      <c r="E102" s="2"/>
      <c r="F102" s="7">
        <f t="shared" si="47"/>
        <v>4.9959812555997541E-3</v>
      </c>
      <c r="G102" s="2"/>
      <c r="H102" s="6">
        <v>375</v>
      </c>
      <c r="I102" s="2"/>
      <c r="J102" s="7">
        <f t="shared" si="48"/>
        <v>2.2861671645430714E-3</v>
      </c>
      <c r="K102" s="2"/>
      <c r="L102" s="6">
        <f t="shared" si="49"/>
        <v>196.04999999999995</v>
      </c>
      <c r="M102" s="2"/>
      <c r="N102" s="7">
        <f t="shared" si="50"/>
        <v>0.52279999999999993</v>
      </c>
      <c r="O102" s="11"/>
      <c r="P102" s="6">
        <v>1875.75</v>
      </c>
      <c r="Q102" s="2"/>
      <c r="R102" s="7">
        <f t="shared" si="51"/>
        <v>9.2023661769539337E-4</v>
      </c>
      <c r="S102" s="2"/>
      <c r="T102" s="6">
        <v>3375</v>
      </c>
      <c r="U102" s="2"/>
      <c r="V102" s="7">
        <f t="shared" si="52"/>
        <v>1.6394788448936427E-3</v>
      </c>
      <c r="W102" s="2"/>
      <c r="X102" s="6">
        <f t="shared" si="53"/>
        <v>-1499.25</v>
      </c>
      <c r="Y102" s="2"/>
      <c r="Z102" s="7">
        <f t="shared" si="54"/>
        <v>-0.44422222222222224</v>
      </c>
    </row>
    <row r="103" spans="1:26" s="27" customFormat="1" outlineLevel="1" collapsed="1" x14ac:dyDescent="0.25">
      <c r="A103" s="26"/>
      <c r="B103" s="13" t="str">
        <f>CONCATENATE("     ","Travel                                            ")</f>
        <v xml:space="preserve">     Travel                                            </v>
      </c>
      <c r="C103" s="13"/>
      <c r="D103" s="1">
        <f>SUM(OSRRefD22_12x_0)</f>
        <v>0</v>
      </c>
      <c r="E103" s="1"/>
      <c r="F103" s="5">
        <f t="shared" si="47"/>
        <v>0</v>
      </c>
      <c r="G103" s="1"/>
      <c r="H103" s="1">
        <f>SUM(OSRRefH22_12x_0)</f>
        <v>0</v>
      </c>
      <c r="I103" s="1"/>
      <c r="J103" s="5">
        <f t="shared" si="48"/>
        <v>0</v>
      </c>
      <c r="K103" s="1"/>
      <c r="L103" s="1">
        <f t="shared" si="49"/>
        <v>0</v>
      </c>
      <c r="M103" s="1"/>
      <c r="N103" s="5">
        <f t="shared" si="50"/>
        <v>0</v>
      </c>
      <c r="O103" s="13"/>
      <c r="P103" s="1">
        <f>SUM(OSRRefP22_12x_0)</f>
        <v>-178.06</v>
      </c>
      <c r="Q103" s="1"/>
      <c r="R103" s="5">
        <f t="shared" si="51"/>
        <v>-8.7355634891025854E-5</v>
      </c>
      <c r="S103" s="1"/>
      <c r="T103" s="1">
        <f>SUM(OSRRefT22_12x_0)</f>
        <v>0</v>
      </c>
      <c r="U103" s="1"/>
      <c r="V103" s="5">
        <f t="shared" si="52"/>
        <v>0</v>
      </c>
      <c r="W103" s="1"/>
      <c r="X103" s="1">
        <f t="shared" si="53"/>
        <v>-178.06</v>
      </c>
      <c r="Y103" s="1"/>
      <c r="Z103" s="5">
        <f t="shared" si="54"/>
        <v>0</v>
      </c>
    </row>
    <row r="104" spans="1:26" s="24" customFormat="1" hidden="1" outlineLevel="2" x14ac:dyDescent="0.25">
      <c r="A104" s="25"/>
      <c r="B104" s="11" t="str">
        <f>CONCATENATE("          ", "6292", " - ", "TRAVEL/CONFERENCE")</f>
        <v xml:space="preserve">          6292 - TRAVEL/CONFERENCE</v>
      </c>
      <c r="C104" s="11"/>
      <c r="D104" s="6"/>
      <c r="E104" s="2"/>
      <c r="F104" s="7">
        <f t="shared" si="47"/>
        <v>0</v>
      </c>
      <c r="G104" s="2"/>
      <c r="H104" s="6"/>
      <c r="I104" s="2"/>
      <c r="J104" s="7">
        <f t="shared" si="48"/>
        <v>0</v>
      </c>
      <c r="K104" s="2"/>
      <c r="L104" s="6">
        <f t="shared" si="49"/>
        <v>0</v>
      </c>
      <c r="M104" s="2"/>
      <c r="N104" s="7">
        <f t="shared" si="50"/>
        <v>0</v>
      </c>
      <c r="O104" s="11"/>
      <c r="P104" s="6">
        <v>-178.06</v>
      </c>
      <c r="Q104" s="2"/>
      <c r="R104" s="7">
        <f t="shared" si="51"/>
        <v>-8.7355634891025854E-5</v>
      </c>
      <c r="S104" s="2"/>
      <c r="T104" s="6"/>
      <c r="U104" s="2"/>
      <c r="V104" s="7">
        <f t="shared" si="52"/>
        <v>0</v>
      </c>
      <c r="W104" s="2"/>
      <c r="X104" s="6">
        <f t="shared" si="53"/>
        <v>-178.06</v>
      </c>
      <c r="Y104" s="2"/>
      <c r="Z104" s="7">
        <f t="shared" si="54"/>
        <v>0</v>
      </c>
    </row>
    <row r="105" spans="1:26" s="56" customFormat="1" x14ac:dyDescent="0.25">
      <c r="A105" s="36"/>
      <c r="B105" s="36"/>
      <c r="C105" s="36"/>
      <c r="D105" s="1"/>
      <c r="E105" s="1"/>
      <c r="F105" s="5"/>
      <c r="G105" s="1"/>
      <c r="H105" s="1"/>
      <c r="I105" s="1"/>
      <c r="J105" s="5"/>
      <c r="K105" s="1"/>
      <c r="L105" s="1"/>
      <c r="M105" s="1"/>
      <c r="N105" s="5"/>
      <c r="O105" s="36"/>
      <c r="P105" s="1"/>
      <c r="Q105" s="1"/>
      <c r="R105" s="5"/>
      <c r="S105" s="1"/>
      <c r="T105" s="1"/>
      <c r="U105" s="1"/>
      <c r="V105" s="5"/>
      <c r="W105" s="1"/>
      <c r="X105" s="1"/>
      <c r="Y105" s="1"/>
      <c r="Z105" s="5"/>
    </row>
    <row r="106" spans="1:26" s="23" customFormat="1" collapsed="1" x14ac:dyDescent="0.25">
      <c r="A106" s="10"/>
      <c r="B106" s="29" t="s">
        <v>0</v>
      </c>
      <c r="C106" s="10"/>
      <c r="D106" s="4">
        <f>SUM(OSRRefD25x_0)</f>
        <v>-923.49</v>
      </c>
      <c r="E106" s="4"/>
      <c r="F106" s="12">
        <f t="shared" ref="F106:F110" si="55">IF(D$12=0,0,D106/D$12)</f>
        <v>-8.0793953764710935E-3</v>
      </c>
      <c r="G106" s="4"/>
      <c r="H106" s="4">
        <f>SUM(OSRRefH25x_0)</f>
        <v>2025</v>
      </c>
      <c r="I106" s="4"/>
      <c r="J106" s="12">
        <f t="shared" ref="J106:J110" si="56">IF(H$12=0,0,H106/H$12)</f>
        <v>1.2345302688532586E-2</v>
      </c>
      <c r="K106" s="4"/>
      <c r="L106" s="4">
        <f t="shared" ref="L106:L110" si="57">+D106-H106</f>
        <v>-2948.49</v>
      </c>
      <c r="M106" s="4"/>
      <c r="N106" s="12">
        <f t="shared" ref="N106:N110" si="58">IF(H106=0,0,L106/H106)</f>
        <v>-1.4560444444444443</v>
      </c>
      <c r="O106" s="10"/>
      <c r="P106" s="4">
        <f>SUM(OSRRefP25x_0)</f>
        <v>13143.64</v>
      </c>
      <c r="Q106" s="4"/>
      <c r="R106" s="12">
        <f t="shared" ref="R106:R110" si="59">IF(P$12=0,0,P106/P$12)</f>
        <v>6.4482254126647359E-3</v>
      </c>
      <c r="S106" s="4"/>
      <c r="T106" s="4">
        <f>SUM(OSRRefT25x_0)</f>
        <v>17550</v>
      </c>
      <c r="U106" s="4"/>
      <c r="V106" s="12">
        <f t="shared" ref="V106:V110" si="60">IF(T$12=0,0,T106/T$12)</f>
        <v>8.5252899934469429E-3</v>
      </c>
      <c r="W106" s="4"/>
      <c r="X106" s="4">
        <f t="shared" ref="X106:X110" si="61">+P106-T106</f>
        <v>-4406.3600000000006</v>
      </c>
      <c r="Y106" s="4"/>
      <c r="Z106" s="12">
        <f t="shared" ref="Z106:Z110" si="62">IF(T106=0,0,X106/T106)</f>
        <v>-0.2510746438746439</v>
      </c>
    </row>
    <row r="107" spans="1:26" s="24" customFormat="1" hidden="1" outlineLevel="1" x14ac:dyDescent="0.25">
      <c r="A107" s="44"/>
      <c r="B107" s="11" t="str">
        <f>CONCATENATE("          ", "4187", " - ", "NON-TAXABLE SALES-COMPUTER REP")</f>
        <v xml:space="preserve">          4187 - NON-TAXABLE SALES-COMPUTER REP</v>
      </c>
      <c r="C107" s="11"/>
      <c r="D107" s="2">
        <f>-213.35</f>
        <v>-213.35</v>
      </c>
      <c r="E107" s="2"/>
      <c r="F107" s="19">
        <f t="shared" si="55"/>
        <v>-1.8665486400178753E-3</v>
      </c>
      <c r="G107" s="2"/>
      <c r="H107" s="2"/>
      <c r="I107" s="2"/>
      <c r="J107" s="19">
        <f t="shared" si="56"/>
        <v>0</v>
      </c>
      <c r="K107" s="2"/>
      <c r="L107" s="2">
        <f t="shared" si="57"/>
        <v>-213.35</v>
      </c>
      <c r="M107" s="2"/>
      <c r="N107" s="19">
        <f t="shared" si="58"/>
        <v>0</v>
      </c>
      <c r="O107" s="11"/>
      <c r="P107" s="2">
        <f>--15579.51</f>
        <v>15579.51</v>
      </c>
      <c r="Q107" s="2"/>
      <c r="R107" s="19">
        <f t="shared" si="59"/>
        <v>7.6432550114629121E-3</v>
      </c>
      <c r="S107" s="2"/>
      <c r="T107" s="2"/>
      <c r="U107" s="2"/>
      <c r="V107" s="19">
        <f t="shared" si="60"/>
        <v>0</v>
      </c>
      <c r="W107" s="2"/>
      <c r="X107" s="2">
        <f t="shared" si="61"/>
        <v>15579.51</v>
      </c>
      <c r="Y107" s="2"/>
      <c r="Z107" s="19">
        <f t="shared" si="62"/>
        <v>0</v>
      </c>
    </row>
    <row r="108" spans="1:26" s="24" customFormat="1" hidden="1" outlineLevel="1" x14ac:dyDescent="0.25">
      <c r="A108" s="44"/>
      <c r="B108" s="11" t="str">
        <f>CONCATENATE("          ", "4387", " - ", "SALES RETURN NON TAXABLE-COMPU")</f>
        <v xml:space="preserve">          4387 - SALES RETURN NON TAXABLE-COMPU</v>
      </c>
      <c r="C108" s="11"/>
      <c r="D108" s="2">
        <f>0</f>
        <v>0</v>
      </c>
      <c r="E108" s="2"/>
      <c r="F108" s="19">
        <f t="shared" si="55"/>
        <v>0</v>
      </c>
      <c r="G108" s="2"/>
      <c r="H108" s="2"/>
      <c r="I108" s="2"/>
      <c r="J108" s="19">
        <f t="shared" si="56"/>
        <v>0</v>
      </c>
      <c r="K108" s="2"/>
      <c r="L108" s="2">
        <f t="shared" si="57"/>
        <v>0</v>
      </c>
      <c r="M108" s="2"/>
      <c r="N108" s="19">
        <f t="shared" si="58"/>
        <v>0</v>
      </c>
      <c r="O108" s="11"/>
      <c r="P108" s="2">
        <f>-7889</f>
        <v>-7889</v>
      </c>
      <c r="Q108" s="2"/>
      <c r="R108" s="19">
        <f t="shared" si="59"/>
        <v>-3.8703167676923671E-3</v>
      </c>
      <c r="S108" s="2"/>
      <c r="T108" s="2"/>
      <c r="U108" s="2"/>
      <c r="V108" s="19">
        <f t="shared" si="60"/>
        <v>0</v>
      </c>
      <c r="W108" s="2"/>
      <c r="X108" s="2">
        <f t="shared" si="61"/>
        <v>-7889</v>
      </c>
      <c r="Y108" s="2"/>
      <c r="Z108" s="19">
        <f t="shared" si="62"/>
        <v>0</v>
      </c>
    </row>
    <row r="109" spans="1:26" s="24" customFormat="1" hidden="1" outlineLevel="1" x14ac:dyDescent="0.25">
      <c r="A109" s="44"/>
      <c r="B109" s="11" t="str">
        <f>CONCATENATE("          ", "5087", " - ", "PURCHASES @ COST-COMPUTER REPA")</f>
        <v xml:space="preserve">          5087 - PURCHASES @ COST-COMPUTER REPA</v>
      </c>
      <c r="C109" s="11"/>
      <c r="D109" s="2">
        <f>-48.04</f>
        <v>-48.04</v>
      </c>
      <c r="E109" s="2"/>
      <c r="F109" s="19">
        <f t="shared" si="55"/>
        <v>-4.2029058667194153E-4</v>
      </c>
      <c r="G109" s="2"/>
      <c r="H109" s="2"/>
      <c r="I109" s="2"/>
      <c r="J109" s="19">
        <f t="shared" si="56"/>
        <v>0</v>
      </c>
      <c r="K109" s="2"/>
      <c r="L109" s="2">
        <f t="shared" si="57"/>
        <v>-48.04</v>
      </c>
      <c r="M109" s="2"/>
      <c r="N109" s="19">
        <f t="shared" si="58"/>
        <v>0</v>
      </c>
      <c r="O109" s="11"/>
      <c r="P109" s="2">
        <f>-104.76</f>
        <v>-104.76</v>
      </c>
      <c r="Q109" s="2"/>
      <c r="R109" s="19">
        <f t="shared" si="59"/>
        <v>-5.1394902342939846E-5</v>
      </c>
      <c r="S109" s="2"/>
      <c r="T109" s="2"/>
      <c r="U109" s="2"/>
      <c r="V109" s="19">
        <f t="shared" si="60"/>
        <v>0</v>
      </c>
      <c r="W109" s="2"/>
      <c r="X109" s="2">
        <f t="shared" si="61"/>
        <v>-104.76</v>
      </c>
      <c r="Y109" s="2"/>
      <c r="Z109" s="19">
        <f t="shared" si="62"/>
        <v>0</v>
      </c>
    </row>
    <row r="110" spans="1:26" s="24" customFormat="1" hidden="1" outlineLevel="1" x14ac:dyDescent="0.25">
      <c r="A110" s="44"/>
      <c r="B110" s="11" t="str">
        <f>CONCATENATE("          ", "9150", " - ", "MISC. INCOME")</f>
        <v xml:space="preserve">          9150 - MISC. INCOME</v>
      </c>
      <c r="C110" s="11"/>
      <c r="D110" s="2">
        <f>-662.1</f>
        <v>-662.1</v>
      </c>
      <c r="E110" s="2"/>
      <c r="F110" s="19">
        <f t="shared" si="55"/>
        <v>-5.7925561497812758E-3</v>
      </c>
      <c r="G110" s="2"/>
      <c r="H110" s="2">
        <v>2025</v>
      </c>
      <c r="I110" s="2"/>
      <c r="J110" s="19">
        <f t="shared" si="56"/>
        <v>1.2345302688532586E-2</v>
      </c>
      <c r="K110" s="2"/>
      <c r="L110" s="2">
        <f t="shared" si="57"/>
        <v>-2687.1</v>
      </c>
      <c r="M110" s="2"/>
      <c r="N110" s="19">
        <f t="shared" si="58"/>
        <v>-1.3269629629629629</v>
      </c>
      <c r="O110" s="11"/>
      <c r="P110" s="2">
        <f>--5557.89</f>
        <v>5557.89</v>
      </c>
      <c r="Q110" s="2"/>
      <c r="R110" s="19">
        <f t="shared" si="59"/>
        <v>2.7266820712371319E-3</v>
      </c>
      <c r="S110" s="2"/>
      <c r="T110" s="2">
        <v>17550</v>
      </c>
      <c r="U110" s="2"/>
      <c r="V110" s="19">
        <f t="shared" si="60"/>
        <v>8.5252899934469429E-3</v>
      </c>
      <c r="W110" s="2"/>
      <c r="X110" s="2">
        <f t="shared" si="61"/>
        <v>-11992.11</v>
      </c>
      <c r="Y110" s="2"/>
      <c r="Z110" s="19">
        <f t="shared" si="62"/>
        <v>-0.68331111111111109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10"/>
      <c r="B112" s="28" t="s">
        <v>3</v>
      </c>
      <c r="C112" s="28"/>
      <c r="D112" s="20">
        <f>+D56-D58+D106</f>
        <v>-5141.1799999999985</v>
      </c>
      <c r="E112" s="14"/>
      <c r="F112" s="22">
        <f>IF(D$12=0,0,D112/D$12)</f>
        <v>-4.497896666082539E-2</v>
      </c>
      <c r="G112" s="14"/>
      <c r="H112" s="20">
        <f>+H56-H58+H106</f>
        <v>20609.886101883061</v>
      </c>
      <c r="I112" s="14"/>
      <c r="J112" s="22">
        <f>IF(H$12=0,0,H112/H$12)</f>
        <v>0.12564705298959375</v>
      </c>
      <c r="K112" s="16"/>
      <c r="L112" s="20">
        <f>+D112-H112</f>
        <v>-25751.066101883058</v>
      </c>
      <c r="M112" s="16"/>
      <c r="N112" s="22">
        <f>IF(H112=0,0,L112/H112)</f>
        <v>-1.2494521306224133</v>
      </c>
      <c r="O112" s="29"/>
      <c r="P112" s="20">
        <f>+P56-P58+P106</f>
        <v>100237.40000000036</v>
      </c>
      <c r="Q112" s="14"/>
      <c r="R112" s="22">
        <f>IF(P$12=0,0,P112/P$12)</f>
        <v>4.9176130050689347E-2</v>
      </c>
      <c r="S112" s="14"/>
      <c r="T112" s="20">
        <f>+T56-T58+T106</f>
        <v>318421.73353341001</v>
      </c>
      <c r="U112" s="14"/>
      <c r="V112" s="22">
        <f>IF(T$12=0,0,T112/T$12)</f>
        <v>0.15468020618737374</v>
      </c>
      <c r="W112" s="16"/>
      <c r="X112" s="20">
        <f>+P112-T112</f>
        <v>-218184.33353340963</v>
      </c>
      <c r="Y112" s="16"/>
      <c r="Z112" s="22">
        <f>IF(T112=0,0,X112/T112)</f>
        <v>-0.68520553265098316</v>
      </c>
    </row>
    <row r="113" spans="1:26" x14ac:dyDescent="0.25">
      <c r="A113" s="9"/>
      <c r="B113" s="10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52"/>
      <c r="B114" s="10" t="s">
        <v>14</v>
      </c>
      <c r="C114" s="10"/>
      <c r="D114" s="4">
        <v>22315.510000000002</v>
      </c>
      <c r="E114" s="4"/>
      <c r="F114" s="12">
        <f>IF(D$12=0,0,D114/D$12)</f>
        <v>0.19523311385894213</v>
      </c>
      <c r="G114" s="4"/>
      <c r="H114" s="4">
        <v>12807</v>
      </c>
      <c r="I114" s="4"/>
      <c r="J114" s="12">
        <f>IF(H$12=0,0,H114/H$12)</f>
        <v>7.807718100347498E-2</v>
      </c>
      <c r="K114" s="4"/>
      <c r="L114" s="4">
        <f>+D114-H114</f>
        <v>9508.510000000002</v>
      </c>
      <c r="M114" s="4"/>
      <c r="N114" s="12">
        <f>IF(H114=0,0,L114/H114)</f>
        <v>0.74244631841961439</v>
      </c>
      <c r="O114" s="10"/>
      <c r="P114" s="4">
        <v>218412.48</v>
      </c>
      <c r="Q114" s="4"/>
      <c r="R114" s="12">
        <f>IF(P$12=0,0,P114/P$12)</f>
        <v>0.10715242535394522</v>
      </c>
      <c r="S114" s="4"/>
      <c r="T114" s="4">
        <v>240627.99999999997</v>
      </c>
      <c r="U114" s="4"/>
      <c r="V114" s="12">
        <f>IF(T$12=0,0,T114/T$12)</f>
        <v>0.11689022681157553</v>
      </c>
      <c r="W114" s="4"/>
      <c r="X114" s="4">
        <f>+P114-T114</f>
        <v>-22215.51999999996</v>
      </c>
      <c r="Y114" s="4"/>
      <c r="Z114" s="12">
        <f>IF(T114=0,0,X114/T114)</f>
        <v>-9.2323087919942662E-2</v>
      </c>
    </row>
    <row r="115" spans="1:26" x14ac:dyDescent="0.25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8" t="s">
        <v>4</v>
      </c>
      <c r="C116" s="28"/>
      <c r="D116" s="31">
        <f>+D112-D114</f>
        <v>-27456.690000000002</v>
      </c>
      <c r="E116" s="14"/>
      <c r="F116" s="34">
        <f>IF(D$12=0,0,D116/D$12)</f>
        <v>-0.24021208051976753</v>
      </c>
      <c r="G116" s="14"/>
      <c r="H116" s="31">
        <f>+H112-H114</f>
        <v>7802.8861018830612</v>
      </c>
      <c r="I116" s="14"/>
      <c r="J116" s="34">
        <f>IF(H$12=0,0,H116/H$12)</f>
        <v>4.7569871986118763E-2</v>
      </c>
      <c r="K116" s="16"/>
      <c r="L116" s="31">
        <f>D116-H116</f>
        <v>-35259.576101883067</v>
      </c>
      <c r="M116" s="16"/>
      <c r="N116" s="34">
        <f>IF(H116=0,0,L116/H116)</f>
        <v>-4.5187864645844202</v>
      </c>
      <c r="O116" s="29"/>
      <c r="P116" s="31">
        <f>+P112-P114</f>
        <v>-118175.07999999965</v>
      </c>
      <c r="Q116" s="14"/>
      <c r="R116" s="34">
        <f>IF(P$12=0,0,P116/P$12)</f>
        <v>-5.7976295303255869E-2</v>
      </c>
      <c r="S116" s="14"/>
      <c r="T116" s="31">
        <f>+T112-T114</f>
        <v>77793.733533410035</v>
      </c>
      <c r="U116" s="14"/>
      <c r="V116" s="34">
        <f>IF(T$12=0,0,T116/T$12)</f>
        <v>3.7789979375798199E-2</v>
      </c>
      <c r="W116" s="16"/>
      <c r="X116" s="31">
        <f>P116-T116</f>
        <v>-195968.81353340967</v>
      </c>
      <c r="Y116" s="16"/>
      <c r="Z116" s="34">
        <f>IF(T116=0,0,X116/T116)</f>
        <v>-2.5190822529329697</v>
      </c>
    </row>
    <row r="117" spans="1:26" ht="15.75" thickTop="1" x14ac:dyDescent="0.25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x14ac:dyDescent="0.25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.75" thickBot="1" x14ac:dyDescent="0.3">
      <c r="A119" s="10"/>
      <c r="B119" s="28" t="s">
        <v>5</v>
      </c>
      <c r="C119" s="28"/>
      <c r="D119" s="32">
        <f>SUM(D116:D118)</f>
        <v>-27456.690000000002</v>
      </c>
      <c r="E119" s="14"/>
      <c r="F119" s="35">
        <f>IF(D$12=0,0,D119/D$12)</f>
        <v>-0.24021208051976753</v>
      </c>
      <c r="G119" s="14"/>
      <c r="H119" s="32">
        <f>SUM(H116:H118)</f>
        <v>7802.8861018830612</v>
      </c>
      <c r="I119" s="14"/>
      <c r="J119" s="35">
        <f>IF(H$12=0,0,H119/H$12)</f>
        <v>4.7569871986118763E-2</v>
      </c>
      <c r="K119" s="16"/>
      <c r="L119" s="32">
        <f>+D119-H119</f>
        <v>-35259.576101883067</v>
      </c>
      <c r="M119" s="16"/>
      <c r="N119" s="35">
        <f>IF(H119=0,0,L119/H119)</f>
        <v>-4.5187864645844202</v>
      </c>
      <c r="O119" s="29"/>
      <c r="P119" s="32">
        <f>SUM(P116:P118)</f>
        <v>-118175.07999999965</v>
      </c>
      <c r="Q119" s="14"/>
      <c r="R119" s="35">
        <f>IF(P$12=0,0,P119/P$12)</f>
        <v>-5.7976295303255869E-2</v>
      </c>
      <c r="S119" s="14"/>
      <c r="T119" s="32">
        <f>SUM(T116:T118)</f>
        <v>77793.733533410035</v>
      </c>
      <c r="U119" s="14"/>
      <c r="V119" s="35">
        <f>IF(T$12=0,0,T119/T$12)</f>
        <v>3.7789979375798199E-2</v>
      </c>
      <c r="W119" s="16"/>
      <c r="X119" s="32">
        <f>+P119-T119</f>
        <v>-195968.81353340967</v>
      </c>
      <c r="Y119" s="16"/>
      <c r="Z119" s="35">
        <f>IF(T119=0,0,X119/T119)</f>
        <v>-2.5190822529329697</v>
      </c>
    </row>
    <row r="120" spans="1:26" ht="15.75" thickTop="1" x14ac:dyDescent="0.25">
      <c r="A120" s="9"/>
      <c r="C120" s="9"/>
      <c r="D120" s="18"/>
      <c r="E120" s="18"/>
      <c r="G120" s="18"/>
      <c r="H120" s="18"/>
      <c r="I120" s="18"/>
      <c r="J120" s="42"/>
      <c r="K120" s="18"/>
      <c r="L120" s="18"/>
      <c r="M120" s="18"/>
      <c r="P120" s="18"/>
      <c r="Q120" s="18"/>
      <c r="R120" s="42"/>
      <c r="S120" s="18"/>
      <c r="T120" s="18"/>
      <c r="U120" s="18"/>
      <c r="V120" s="42"/>
      <c r="W120" s="18"/>
      <c r="X120" s="18"/>
    </row>
    <row r="121" spans="1:26" x14ac:dyDescent="0.25">
      <c r="A121" s="9"/>
      <c r="B121" s="57">
        <v>43934.466127662039</v>
      </c>
      <c r="D121" s="18"/>
      <c r="E121" s="18"/>
      <c r="G121" s="18"/>
      <c r="H121" s="18"/>
      <c r="I121" s="18"/>
      <c r="J121" s="42"/>
      <c r="K121" s="18"/>
      <c r="L121" s="18"/>
      <c r="M121" s="18"/>
      <c r="P121" s="18"/>
      <c r="Q121" s="18"/>
      <c r="R121" s="42"/>
      <c r="S121" s="18"/>
      <c r="T121" s="18"/>
      <c r="U121" s="18"/>
      <c r="V121" s="42"/>
      <c r="W121" s="18"/>
      <c r="X121" s="18"/>
    </row>
    <row r="122" spans="1:26" x14ac:dyDescent="0.25">
      <c r="A122" s="9"/>
      <c r="B122" s="62" t="s">
        <v>314</v>
      </c>
      <c r="D122" s="18"/>
      <c r="E122" s="18"/>
      <c r="G122" s="18"/>
      <c r="H122" s="18"/>
      <c r="I122" s="18"/>
      <c r="J122" s="42"/>
      <c r="K122" s="18"/>
      <c r="L122" s="18"/>
      <c r="M122" s="18"/>
      <c r="P122" s="18"/>
      <c r="Q122" s="18"/>
      <c r="R122" s="42"/>
      <c r="S122" s="18"/>
      <c r="T122" s="18"/>
      <c r="U122" s="18"/>
      <c r="V122" s="42"/>
      <c r="W122" s="18"/>
      <c r="X122" s="18"/>
    </row>
    <row r="123" spans="1:26" x14ac:dyDescent="0.25">
      <c r="A123" s="9"/>
      <c r="B123" s="60"/>
      <c r="D123" s="18"/>
      <c r="E123" s="18"/>
      <c r="G123" s="18"/>
      <c r="H123" s="18"/>
      <c r="I123" s="18"/>
      <c r="J123" s="42"/>
      <c r="K123" s="18"/>
      <c r="L123" s="18"/>
      <c r="M123" s="18"/>
      <c r="P123" s="18"/>
      <c r="Q123" s="18"/>
      <c r="R123" s="42"/>
      <c r="S123" s="18"/>
      <c r="T123" s="18"/>
      <c r="U123" s="18"/>
      <c r="V123" s="42"/>
      <c r="W123" s="18"/>
      <c r="X123" s="18"/>
    </row>
    <row r="124" spans="1:26" x14ac:dyDescent="0.25">
      <c r="D124" s="18"/>
      <c r="E124" s="18"/>
      <c r="G124" s="18"/>
      <c r="H124" s="18"/>
      <c r="I124" s="18"/>
      <c r="J124" s="42"/>
      <c r="K124" s="18"/>
      <c r="L124" s="18"/>
      <c r="M124" s="18"/>
      <c r="P124" s="18"/>
      <c r="Q124" s="18"/>
      <c r="R124" s="42"/>
      <c r="S124" s="18"/>
      <c r="T124" s="18"/>
      <c r="U124" s="18"/>
      <c r="V124" s="42"/>
      <c r="W124" s="18"/>
      <c r="X124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","317", " - ", "Computer Store")</f>
        <v>Department 317 - Computer Store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114301.87000000001</v>
      </c>
      <c r="E12" s="4"/>
      <c r="F12" s="12"/>
      <c r="G12" s="4"/>
      <c r="H12" s="4">
        <f>SUM(OSRRefH13x_0)</f>
        <v>164030</v>
      </c>
      <c r="I12" s="4"/>
      <c r="J12" s="12"/>
      <c r="K12" s="4"/>
      <c r="L12" s="4">
        <f t="shared" ref="L12:L38" si="0">+D12-H12</f>
        <v>-49728.12999999999</v>
      </c>
      <c r="M12" s="4"/>
      <c r="N12" s="12">
        <f t="shared" ref="N12:N38" si="1">IF(H12=0,0,L12/H12)</f>
        <v>-0.30316484789367792</v>
      </c>
      <c r="O12" s="10"/>
      <c r="P12" s="4">
        <f>SUM(OSRRefP13x_0)</f>
        <v>2038334.4500000002</v>
      </c>
      <c r="Q12" s="4"/>
      <c r="R12" s="12"/>
      <c r="S12" s="4"/>
      <c r="T12" s="4">
        <f>SUM(OSRRefT13x_0)</f>
        <v>2058581</v>
      </c>
      <c r="U12" s="4"/>
      <c r="V12" s="12"/>
      <c r="W12" s="4"/>
      <c r="X12" s="4">
        <f t="shared" ref="X12:X38" si="2">+P12-T12</f>
        <v>-20246.549999999814</v>
      </c>
      <c r="Y12" s="4"/>
      <c r="Z12" s="12">
        <f t="shared" ref="Z12:Z38" si="3">IF(T12=0,0,X12/T12)</f>
        <v>-9.8351971576536527E-3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144347</v>
      </c>
      <c r="I13" s="2"/>
      <c r="J13" s="19"/>
      <c r="K13" s="2"/>
      <c r="L13" s="2">
        <f t="shared" si="0"/>
        <v>-144347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1811550</v>
      </c>
      <c r="U13" s="2"/>
      <c r="V13" s="19"/>
      <c r="W13" s="2"/>
      <c r="X13" s="2">
        <f t="shared" si="2"/>
        <v>-1811550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--14974.95</f>
        <v>14974.95</v>
      </c>
      <c r="E14" s="2"/>
      <c r="F14" s="19"/>
      <c r="G14" s="2"/>
      <c r="H14" s="2"/>
      <c r="I14" s="2"/>
      <c r="J14" s="19"/>
      <c r="K14" s="2"/>
      <c r="L14" s="2">
        <f t="shared" si="0"/>
        <v>14974.95</v>
      </c>
      <c r="M14" s="2"/>
      <c r="N14" s="19">
        <f t="shared" si="1"/>
        <v>0</v>
      </c>
      <c r="O14" s="11"/>
      <c r="P14" s="2">
        <f>--311197.12</f>
        <v>311197.12</v>
      </c>
      <c r="Q14" s="2"/>
      <c r="R14" s="19"/>
      <c r="S14" s="2"/>
      <c r="T14" s="2"/>
      <c r="U14" s="2"/>
      <c r="V14" s="19"/>
      <c r="W14" s="2"/>
      <c r="X14" s="2">
        <f t="shared" si="2"/>
        <v>311197.12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--77563.48</f>
        <v>77563.48</v>
      </c>
      <c r="E15" s="2"/>
      <c r="F15" s="19"/>
      <c r="G15" s="2"/>
      <c r="H15" s="2"/>
      <c r="I15" s="2"/>
      <c r="J15" s="19"/>
      <c r="K15" s="2"/>
      <c r="L15" s="2">
        <f t="shared" si="0"/>
        <v>77563.48</v>
      </c>
      <c r="M15" s="2"/>
      <c r="N15" s="19">
        <f t="shared" si="1"/>
        <v>0</v>
      </c>
      <c r="O15" s="11"/>
      <c r="P15" s="2">
        <f>--1661109.03</f>
        <v>1661109.03</v>
      </c>
      <c r="Q15" s="2"/>
      <c r="R15" s="19"/>
      <c r="S15" s="2"/>
      <c r="T15" s="2"/>
      <c r="U15" s="2"/>
      <c r="V15" s="19"/>
      <c r="W15" s="2"/>
      <c r="X15" s="2">
        <f t="shared" si="2"/>
        <v>1661109.03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--4721.24</f>
        <v>4721.24</v>
      </c>
      <c r="E16" s="2"/>
      <c r="F16" s="19"/>
      <c r="G16" s="2"/>
      <c r="H16" s="2"/>
      <c r="I16" s="2"/>
      <c r="J16" s="19"/>
      <c r="K16" s="2"/>
      <c r="L16" s="2">
        <f t="shared" si="0"/>
        <v>4721.24</v>
      </c>
      <c r="M16" s="2"/>
      <c r="N16" s="19">
        <f t="shared" si="1"/>
        <v>0</v>
      </c>
      <c r="O16" s="11"/>
      <c r="P16" s="2">
        <f>--99968.32</f>
        <v>99968.320000000007</v>
      </c>
      <c r="Q16" s="2"/>
      <c r="R16" s="19"/>
      <c r="S16" s="2"/>
      <c r="T16" s="2"/>
      <c r="U16" s="2"/>
      <c r="V16" s="19"/>
      <c r="W16" s="2"/>
      <c r="X16" s="2">
        <f t="shared" si="2"/>
        <v>99968.320000000007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 t="shared" ref="D17:D18" si="4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--129</f>
        <v>129</v>
      </c>
      <c r="Q17" s="2"/>
      <c r="R17" s="19"/>
      <c r="S17" s="2"/>
      <c r="T17" s="2"/>
      <c r="U17" s="2"/>
      <c r="V17" s="19"/>
      <c r="W17" s="2"/>
      <c r="X17" s="2">
        <f t="shared" si="2"/>
        <v>129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"4085", " - ", "TAXABLE SALES-SOFTWARE")</f>
        <v xml:space="preserve">          4085 - TAXABLE SALES-SOFTWARE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--4557.93</f>
        <v>4557.93</v>
      </c>
      <c r="Q18" s="2"/>
      <c r="R18" s="19"/>
      <c r="S18" s="2"/>
      <c r="T18" s="2"/>
      <c r="U18" s="2"/>
      <c r="V18" s="19"/>
      <c r="W18" s="2"/>
      <c r="X18" s="2">
        <f t="shared" si="2"/>
        <v>4557.93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--2048.99</f>
        <v>2048.9899999999998</v>
      </c>
      <c r="E19" s="2"/>
      <c r="F19" s="19"/>
      <c r="G19" s="2"/>
      <c r="H19" s="2"/>
      <c r="I19" s="2"/>
      <c r="J19" s="19"/>
      <c r="K19" s="2"/>
      <c r="L19" s="2">
        <f t="shared" si="0"/>
        <v>2048.9899999999998</v>
      </c>
      <c r="M19" s="2"/>
      <c r="N19" s="19">
        <f t="shared" si="1"/>
        <v>0</v>
      </c>
      <c r="O19" s="11"/>
      <c r="P19" s="2">
        <f>--48266.32</f>
        <v>48266.32</v>
      </c>
      <c r="Q19" s="2"/>
      <c r="R19" s="19"/>
      <c r="S19" s="2"/>
      <c r="T19" s="2"/>
      <c r="U19" s="2"/>
      <c r="V19" s="19"/>
      <c r="W19" s="2"/>
      <c r="X19" s="2">
        <f t="shared" si="2"/>
        <v>48266.32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"4088", " - ", "TAXABLE SALES-MUSIC")</f>
        <v xml:space="preserve">          4088 - TAXABLE SALES-MUSIC</v>
      </c>
      <c r="C20" s="11"/>
      <c r="D20" s="2">
        <f>--199.99</f>
        <v>199.99</v>
      </c>
      <c r="E20" s="2"/>
      <c r="F20" s="19"/>
      <c r="G20" s="2"/>
      <c r="H20" s="2"/>
      <c r="I20" s="2"/>
      <c r="J20" s="19"/>
      <c r="K20" s="2"/>
      <c r="L20" s="2">
        <f t="shared" si="0"/>
        <v>199.99</v>
      </c>
      <c r="M20" s="2"/>
      <c r="N20" s="19">
        <f t="shared" si="1"/>
        <v>0</v>
      </c>
      <c r="O20" s="11"/>
      <c r="P20" s="2">
        <f>--1294.83</f>
        <v>1294.83</v>
      </c>
      <c r="Q20" s="2"/>
      <c r="R20" s="19"/>
      <c r="S20" s="2"/>
      <c r="T20" s="2"/>
      <c r="U20" s="2"/>
      <c r="V20" s="19"/>
      <c r="W20" s="2"/>
      <c r="X20" s="2">
        <f t="shared" si="2"/>
        <v>1294.83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19683</v>
      </c>
      <c r="I21" s="2"/>
      <c r="J21" s="19"/>
      <c r="K21" s="2"/>
      <c r="L21" s="2">
        <f t="shared" si="0"/>
        <v>-19683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247031</v>
      </c>
      <c r="U21" s="2"/>
      <c r="V21" s="19"/>
      <c r="W21" s="2"/>
      <c r="X21" s="2">
        <f t="shared" si="2"/>
        <v>-247031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"4181", " - ", "NON-TAXABLE SALES-ELECTRONICS")</f>
        <v xml:space="preserve">          4181 - NON-TAXABLE SALES-ELECTRONICS</v>
      </c>
      <c r="C22" s="11"/>
      <c r="D22" s="2">
        <f>--13.99</f>
        <v>13.99</v>
      </c>
      <c r="E22" s="2"/>
      <c r="F22" s="19"/>
      <c r="G22" s="2"/>
      <c r="H22" s="2"/>
      <c r="I22" s="2"/>
      <c r="J22" s="19"/>
      <c r="K22" s="2"/>
      <c r="L22" s="2">
        <f t="shared" si="0"/>
        <v>13.99</v>
      </c>
      <c r="M22" s="2"/>
      <c r="N22" s="19">
        <f t="shared" si="1"/>
        <v>0</v>
      </c>
      <c r="O22" s="11"/>
      <c r="P22" s="2">
        <f>--2078.37</f>
        <v>2078.37</v>
      </c>
      <c r="Q22" s="2"/>
      <c r="R22" s="19"/>
      <c r="S22" s="2"/>
      <c r="T22" s="2"/>
      <c r="U22" s="2"/>
      <c r="V22" s="19"/>
      <c r="W22" s="2"/>
      <c r="X22" s="2">
        <f t="shared" si="2"/>
        <v>2078.37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"4182", " - ", "NON-TAXABLE SALES-COMPUTER HAR")</f>
        <v xml:space="preserve">          4182 - NON-TAXABLE SALES-COMPUTER HAR</v>
      </c>
      <c r="C23" s="11"/>
      <c r="D23" s="2">
        <f>--20132</f>
        <v>20132</v>
      </c>
      <c r="E23" s="2"/>
      <c r="F23" s="19"/>
      <c r="G23" s="2"/>
      <c r="H23" s="2"/>
      <c r="I23" s="2"/>
      <c r="J23" s="19"/>
      <c r="K23" s="2"/>
      <c r="L23" s="2">
        <f t="shared" si="0"/>
        <v>20132</v>
      </c>
      <c r="M23" s="2"/>
      <c r="N23" s="19">
        <f t="shared" si="1"/>
        <v>0</v>
      </c>
      <c r="O23" s="11"/>
      <c r="P23" s="2">
        <f>--118010.96</f>
        <v>118010.96</v>
      </c>
      <c r="Q23" s="2"/>
      <c r="R23" s="19"/>
      <c r="S23" s="2"/>
      <c r="T23" s="2"/>
      <c r="U23" s="2"/>
      <c r="V23" s="19"/>
      <c r="W23" s="2"/>
      <c r="X23" s="2">
        <f t="shared" si="2"/>
        <v>118010.96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"4183", " - ", "NON-TAXABLE SALES-COMPUTER EQU")</f>
        <v xml:space="preserve">          4183 - NON-TAXABLE SALES-COMPUTER EQU</v>
      </c>
      <c r="C24" s="11"/>
      <c r="D24" s="2">
        <f>--705.91</f>
        <v>705.91</v>
      </c>
      <c r="E24" s="2"/>
      <c r="F24" s="19"/>
      <c r="G24" s="2"/>
      <c r="H24" s="2"/>
      <c r="I24" s="2"/>
      <c r="J24" s="19"/>
      <c r="K24" s="2"/>
      <c r="L24" s="2">
        <f t="shared" si="0"/>
        <v>705.91</v>
      </c>
      <c r="M24" s="2"/>
      <c r="N24" s="19">
        <f t="shared" si="1"/>
        <v>0</v>
      </c>
      <c r="O24" s="11"/>
      <c r="P24" s="2">
        <f>--6762.22</f>
        <v>6762.22</v>
      </c>
      <c r="Q24" s="2"/>
      <c r="R24" s="19"/>
      <c r="S24" s="2"/>
      <c r="T24" s="2"/>
      <c r="U24" s="2"/>
      <c r="V24" s="19"/>
      <c r="W24" s="2"/>
      <c r="X24" s="2">
        <f t="shared" si="2"/>
        <v>6762.22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"4184", " - ", "NON-TAXABLE SALES-SOFTWARE LIC")</f>
        <v xml:space="preserve">          4184 - NON-TAXABLE SALES-SOFTWARE LIC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--2728</f>
        <v>2728</v>
      </c>
      <c r="Q25" s="2"/>
      <c r="R25" s="19"/>
      <c r="S25" s="2"/>
      <c r="T25" s="2"/>
      <c r="U25" s="2"/>
      <c r="V25" s="19"/>
      <c r="W25" s="2"/>
      <c r="X25" s="2">
        <f t="shared" si="2"/>
        <v>2728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"4185", " - ", "NON-TAXABLE SALES-SOFTWARE")</f>
        <v xml:space="preserve">          4185 - NON-TAXABLE SALES-SOFTWARE</v>
      </c>
      <c r="C26" s="11"/>
      <c r="D26" s="2">
        <f>--976.95</f>
        <v>976.95</v>
      </c>
      <c r="E26" s="2"/>
      <c r="F26" s="19"/>
      <c r="G26" s="2"/>
      <c r="H26" s="2"/>
      <c r="I26" s="2"/>
      <c r="J26" s="19"/>
      <c r="K26" s="2"/>
      <c r="L26" s="2">
        <f t="shared" si="0"/>
        <v>976.95</v>
      </c>
      <c r="M26" s="2"/>
      <c r="N26" s="19">
        <f t="shared" si="1"/>
        <v>0</v>
      </c>
      <c r="O26" s="11"/>
      <c r="P26" s="2">
        <f>--13122.74</f>
        <v>13122.74</v>
      </c>
      <c r="Q26" s="2"/>
      <c r="R26" s="19"/>
      <c r="S26" s="2"/>
      <c r="T26" s="2"/>
      <c r="U26" s="2"/>
      <c r="V26" s="19"/>
      <c r="W26" s="2"/>
      <c r="X26" s="2">
        <f t="shared" si="2"/>
        <v>13122.74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"4186", " - ", "NON-TAXABLE SALES-COMPUTER SUP")</f>
        <v xml:space="preserve">          4186 - NON-TAXABLE SALES-COMPUTER SUP</v>
      </c>
      <c r="C27" s="11"/>
      <c r="D27" s="2">
        <f>--149.98</f>
        <v>149.97999999999999</v>
      </c>
      <c r="E27" s="2"/>
      <c r="F27" s="19"/>
      <c r="G27" s="2"/>
      <c r="H27" s="2"/>
      <c r="I27" s="2"/>
      <c r="J27" s="19"/>
      <c r="K27" s="2"/>
      <c r="L27" s="2">
        <f t="shared" si="0"/>
        <v>149.97999999999999</v>
      </c>
      <c r="M27" s="2"/>
      <c r="N27" s="19">
        <f t="shared" si="1"/>
        <v>0</v>
      </c>
      <c r="O27" s="11"/>
      <c r="P27" s="2">
        <f>--2650.16</f>
        <v>2650.16</v>
      </c>
      <c r="Q27" s="2"/>
      <c r="R27" s="19"/>
      <c r="S27" s="2"/>
      <c r="T27" s="2"/>
      <c r="U27" s="2"/>
      <c r="V27" s="19"/>
      <c r="W27" s="2"/>
      <c r="X27" s="2">
        <f t="shared" si="2"/>
        <v>2650.16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"4188", " - ", "NON-TAXABLE SALES-MUSIC")</f>
        <v xml:space="preserve">          4188 - NON-TAXABLE SALES-MUSIC</v>
      </c>
      <c r="C28" s="11"/>
      <c r="D28" s="2">
        <f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--219.96</f>
        <v>219.96</v>
      </c>
      <c r="Q28" s="2"/>
      <c r="R28" s="19"/>
      <c r="S28" s="2"/>
      <c r="T28" s="2"/>
      <c r="U28" s="2"/>
      <c r="V28" s="19"/>
      <c r="W28" s="2"/>
      <c r="X28" s="2">
        <f t="shared" si="2"/>
        <v>219.96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"4281", " - ", "SALES RETURN TAXABLE-ELECTRONI")</f>
        <v xml:space="preserve">          4281 - SALES RETURN TAXABLE-ELECTRONI</v>
      </c>
      <c r="C29" s="11"/>
      <c r="D29" s="2">
        <f>-213.97</f>
        <v>-213.97</v>
      </c>
      <c r="E29" s="2"/>
      <c r="F29" s="19"/>
      <c r="G29" s="2"/>
      <c r="H29" s="2"/>
      <c r="I29" s="2"/>
      <c r="J29" s="19"/>
      <c r="K29" s="2"/>
      <c r="L29" s="2">
        <f t="shared" si="0"/>
        <v>-213.97</v>
      </c>
      <c r="M29" s="2"/>
      <c r="N29" s="19">
        <f t="shared" si="1"/>
        <v>0</v>
      </c>
      <c r="O29" s="11"/>
      <c r="P29" s="2">
        <f>-7781.7</f>
        <v>-7781.7</v>
      </c>
      <c r="Q29" s="2"/>
      <c r="R29" s="19"/>
      <c r="S29" s="2"/>
      <c r="T29" s="2"/>
      <c r="U29" s="2"/>
      <c r="V29" s="19"/>
      <c r="W29" s="2"/>
      <c r="X29" s="2">
        <f t="shared" si="2"/>
        <v>-7781.7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"4282", " - ", "SALES RETURN TAXABLE-COMPUTER")</f>
        <v xml:space="preserve">          4282 - SALES RETURN TAXABLE-COMPUTER</v>
      </c>
      <c r="C30" s="11"/>
      <c r="D30" s="2">
        <f>-6266.02</f>
        <v>-6266.02</v>
      </c>
      <c r="E30" s="2"/>
      <c r="F30" s="19"/>
      <c r="G30" s="2"/>
      <c r="H30" s="2"/>
      <c r="I30" s="2"/>
      <c r="J30" s="19"/>
      <c r="K30" s="2"/>
      <c r="L30" s="2">
        <f t="shared" si="0"/>
        <v>-6266.02</v>
      </c>
      <c r="M30" s="2"/>
      <c r="N30" s="19">
        <f t="shared" si="1"/>
        <v>0</v>
      </c>
      <c r="O30" s="11"/>
      <c r="P30" s="2">
        <f>-213491.15</f>
        <v>-213491.15</v>
      </c>
      <c r="Q30" s="2"/>
      <c r="R30" s="19"/>
      <c r="S30" s="2"/>
      <c r="T30" s="2"/>
      <c r="U30" s="2"/>
      <c r="V30" s="19"/>
      <c r="W30" s="2"/>
      <c r="X30" s="2">
        <f t="shared" si="2"/>
        <v>-213491.15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"4283", " - ", "SALES RETURN TAXABLE-COMPUTER")</f>
        <v xml:space="preserve">          4283 - SALES RETURN TAXABLE-COMPUTER</v>
      </c>
      <c r="C31" s="11"/>
      <c r="D31" s="2">
        <f>-627.65</f>
        <v>-627.65</v>
      </c>
      <c r="E31" s="2"/>
      <c r="F31" s="19"/>
      <c r="G31" s="2"/>
      <c r="H31" s="2"/>
      <c r="I31" s="2"/>
      <c r="J31" s="19"/>
      <c r="K31" s="2"/>
      <c r="L31" s="2">
        <f t="shared" si="0"/>
        <v>-627.65</v>
      </c>
      <c r="M31" s="2"/>
      <c r="N31" s="19">
        <f t="shared" si="1"/>
        <v>0</v>
      </c>
      <c r="O31" s="11"/>
      <c r="P31" s="2">
        <f>-6453.06</f>
        <v>-6453.06</v>
      </c>
      <c r="Q31" s="2"/>
      <c r="R31" s="19"/>
      <c r="S31" s="2"/>
      <c r="T31" s="2"/>
      <c r="U31" s="2"/>
      <c r="V31" s="19"/>
      <c r="W31" s="2"/>
      <c r="X31" s="2">
        <f t="shared" si="2"/>
        <v>-6453.06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"4284", " - ", "SALES RETURN TAXABLE-SOFTWARE")</f>
        <v xml:space="preserve">          4284 - SALES RETURN TAXABLE-SOFTWARE</v>
      </c>
      <c r="C32" s="11"/>
      <c r="D32" s="2">
        <f t="shared" ref="D32:D33" si="5"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-129</f>
        <v>-129</v>
      </c>
      <c r="Q32" s="2"/>
      <c r="R32" s="19"/>
      <c r="S32" s="2"/>
      <c r="T32" s="2"/>
      <c r="U32" s="2"/>
      <c r="V32" s="19"/>
      <c r="W32" s="2"/>
      <c r="X32" s="2">
        <f t="shared" si="2"/>
        <v>-129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"4285", " - ", "SALES RETURN TAXABLE-SOFTWARE")</f>
        <v xml:space="preserve">          4285 - SALES RETURN TAXABLE-SOFTWARE</v>
      </c>
      <c r="C33" s="11"/>
      <c r="D33" s="2">
        <f t="shared" si="5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-805.97</f>
        <v>-805.97</v>
      </c>
      <c r="Q33" s="2"/>
      <c r="R33" s="19"/>
      <c r="S33" s="2"/>
      <c r="T33" s="2"/>
      <c r="U33" s="2"/>
      <c r="V33" s="19"/>
      <c r="W33" s="2"/>
      <c r="X33" s="2">
        <f t="shared" si="2"/>
        <v>-805.97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"4286", " - ", "SALES RETURN TAXABLE-COMPUTER")</f>
        <v xml:space="preserve">          4286 - SALES RETURN TAXABLE-COMPUTER</v>
      </c>
      <c r="C34" s="11"/>
      <c r="D34" s="2">
        <f>-77.97</f>
        <v>-77.97</v>
      </c>
      <c r="E34" s="2"/>
      <c r="F34" s="19"/>
      <c r="G34" s="2"/>
      <c r="H34" s="2"/>
      <c r="I34" s="2"/>
      <c r="J34" s="19"/>
      <c r="K34" s="2"/>
      <c r="L34" s="2">
        <f t="shared" si="0"/>
        <v>-77.97</v>
      </c>
      <c r="M34" s="2"/>
      <c r="N34" s="19">
        <f t="shared" si="1"/>
        <v>0</v>
      </c>
      <c r="O34" s="11"/>
      <c r="P34" s="2">
        <f>-3660.86</f>
        <v>-3660.86</v>
      </c>
      <c r="Q34" s="2"/>
      <c r="R34" s="19"/>
      <c r="S34" s="2"/>
      <c r="T34" s="2"/>
      <c r="U34" s="2"/>
      <c r="V34" s="19"/>
      <c r="W34" s="2"/>
      <c r="X34" s="2">
        <f t="shared" si="2"/>
        <v>-3660.86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"4288", " - ", "TAXABLE SALES RETURN-MUSIC")</f>
        <v xml:space="preserve">          4288 - TAXABLE SALES RETURN-MUSIC</v>
      </c>
      <c r="C35" s="11"/>
      <c r="D35" s="2">
        <f t="shared" ref="D35:D38" si="6">0</f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-3.99</f>
        <v>-3.99</v>
      </c>
      <c r="Q35" s="2"/>
      <c r="R35" s="19"/>
      <c r="S35" s="2"/>
      <c r="T35" s="2"/>
      <c r="U35" s="2"/>
      <c r="V35" s="19"/>
      <c r="W35" s="2"/>
      <c r="X35" s="2">
        <f t="shared" si="2"/>
        <v>-3.99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"4381", " - ", "SALES RETURN NON TAXABLE-ELECT")</f>
        <v xml:space="preserve">          4381 - SALES RETURN NON TAXABLE-ELECT</v>
      </c>
      <c r="C36" s="11"/>
      <c r="D36" s="2">
        <f t="shared" si="6"/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-1279.84</f>
        <v>-1279.8399999999999</v>
      </c>
      <c r="Q36" s="2"/>
      <c r="R36" s="19"/>
      <c r="S36" s="2"/>
      <c r="T36" s="2"/>
      <c r="U36" s="2"/>
      <c r="V36" s="19"/>
      <c r="W36" s="2"/>
      <c r="X36" s="2">
        <f t="shared" si="2"/>
        <v>-1279.8399999999999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"4383", " - ", "SALES RETURN NON TAXABLE-COMPU")</f>
        <v xml:space="preserve">          4383 - SALES RETURN NON TAXABLE-COMPU</v>
      </c>
      <c r="C37" s="11"/>
      <c r="D37" s="2">
        <f t="shared" si="6"/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-49.98</f>
        <v>-49.98</v>
      </c>
      <c r="Q37" s="2"/>
      <c r="R37" s="19"/>
      <c r="S37" s="2"/>
      <c r="T37" s="2"/>
      <c r="U37" s="2"/>
      <c r="V37" s="19"/>
      <c r="W37" s="2"/>
      <c r="X37" s="2">
        <f t="shared" si="2"/>
        <v>-49.98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"4386", " - ", "SALES RETURN NON TAXABLE-COMPU")</f>
        <v xml:space="preserve">          4386 - SALES RETURN NON TAXABLE-COMPU</v>
      </c>
      <c r="C38" s="11"/>
      <c r="D38" s="2">
        <f t="shared" si="6"/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-104.96</f>
        <v>-104.96</v>
      </c>
      <c r="Q38" s="2"/>
      <c r="R38" s="19"/>
      <c r="S38" s="2"/>
      <c r="T38" s="2"/>
      <c r="U38" s="2"/>
      <c r="V38" s="19"/>
      <c r="W38" s="2"/>
      <c r="X38" s="2">
        <f t="shared" si="2"/>
        <v>-104.96</v>
      </c>
      <c r="Y38" s="2"/>
      <c r="Z38" s="19">
        <f t="shared" si="3"/>
        <v>0</v>
      </c>
    </row>
    <row r="39" spans="1:26" x14ac:dyDescent="0.25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collapsed="1" x14ac:dyDescent="0.25">
      <c r="A40" s="10"/>
      <c r="B40" s="29" t="s">
        <v>8</v>
      </c>
      <c r="C40" s="10"/>
      <c r="D40" s="4">
        <f>SUM(OSRRefD16x_0)</f>
        <v>104219.01000000001</v>
      </c>
      <c r="E40" s="4"/>
      <c r="F40" s="12">
        <f t="shared" ref="F40:F54" si="7">IF(D$12=0,0,D40/D$12)</f>
        <v>0.91178744494731367</v>
      </c>
      <c r="G40" s="4"/>
      <c r="H40" s="4">
        <f>SUM(OSRRefH16x_0)</f>
        <v>128102.00000000001</v>
      </c>
      <c r="I40" s="4"/>
      <c r="J40" s="12">
        <f t="shared" ref="J40:J54" si="8">IF(H$12=0,0,H40/H$12)</f>
        <v>0.78096689629945748</v>
      </c>
      <c r="K40" s="4"/>
      <c r="L40" s="4">
        <f t="shared" ref="L40:L54" si="9">+D40-H40</f>
        <v>-23882.990000000005</v>
      </c>
      <c r="M40" s="4"/>
      <c r="N40" s="12">
        <f t="shared" ref="N40:N54" si="10">IF(H40=0,0,L40/H40)</f>
        <v>-0.18643729215781177</v>
      </c>
      <c r="O40" s="10"/>
      <c r="P40" s="4">
        <f>SUM(OSRRefP16x_0)</f>
        <v>1776440.5399999998</v>
      </c>
      <c r="Q40" s="4"/>
      <c r="R40" s="12">
        <f t="shared" ref="R40:R54" si="11">IF(P$12=0,0,P40/P$12)</f>
        <v>0.8715157318760911</v>
      </c>
      <c r="S40" s="4"/>
      <c r="T40" s="4">
        <f>SUM(OSRRefT16x_0)</f>
        <v>1607676</v>
      </c>
      <c r="U40" s="4"/>
      <c r="V40" s="12">
        <f t="shared" ref="V40:V54" si="12">IF(T$12=0,0,T40/T$12)</f>
        <v>0.78096319746466136</v>
      </c>
      <c r="W40" s="4"/>
      <c r="X40" s="4">
        <f t="shared" ref="X40:X54" si="13">+P40-T40</f>
        <v>168764.5399999998</v>
      </c>
      <c r="Y40" s="4"/>
      <c r="Z40" s="12">
        <f t="shared" ref="Z40:Z54" si="14">IF(T40=0,0,X40/T40)</f>
        <v>0.10497422366198152</v>
      </c>
    </row>
    <row r="41" spans="1:26" s="24" customFormat="1" hidden="1" outlineLevel="1" x14ac:dyDescent="0.25">
      <c r="A41" s="44"/>
      <c r="B41" s="11" t="str">
        <f>CONCATENATE("          ", "5000", " - ", "PURCHASES @ COST")</f>
        <v xml:space="preserve">          5000 - PURCHASES @ COST</v>
      </c>
      <c r="C41" s="11"/>
      <c r="D41" s="2"/>
      <c r="E41" s="2"/>
      <c r="F41" s="19">
        <f t="shared" si="7"/>
        <v>0</v>
      </c>
      <c r="G41" s="2"/>
      <c r="H41" s="2">
        <v>128102.00000000001</v>
      </c>
      <c r="I41" s="2"/>
      <c r="J41" s="19">
        <f t="shared" si="8"/>
        <v>0.78096689629945748</v>
      </c>
      <c r="K41" s="2"/>
      <c r="L41" s="2">
        <f t="shared" si="9"/>
        <v>-128102.00000000001</v>
      </c>
      <c r="M41" s="2"/>
      <c r="N41" s="19">
        <f t="shared" si="10"/>
        <v>-1</v>
      </c>
      <c r="O41" s="11"/>
      <c r="P41" s="2"/>
      <c r="Q41" s="2"/>
      <c r="R41" s="19">
        <f t="shared" si="11"/>
        <v>0</v>
      </c>
      <c r="S41" s="2"/>
      <c r="T41" s="2">
        <v>1607676</v>
      </c>
      <c r="U41" s="2"/>
      <c r="V41" s="19">
        <f t="shared" si="12"/>
        <v>0.78096319746466136</v>
      </c>
      <c r="W41" s="2"/>
      <c r="X41" s="2">
        <f t="shared" si="13"/>
        <v>-1607676</v>
      </c>
      <c r="Y41" s="2"/>
      <c r="Z41" s="19">
        <f t="shared" si="14"/>
        <v>-1</v>
      </c>
    </row>
    <row r="42" spans="1:26" s="24" customFormat="1" hidden="1" outlineLevel="1" x14ac:dyDescent="0.25">
      <c r="A42" s="44"/>
      <c r="B42" s="11" t="str">
        <f>CONCATENATE("          ", "5081", " - ", "PURCHASES @ COST-ELECTRONICS")</f>
        <v xml:space="preserve">          5081 - PURCHASES @ COST-ELECTRONICS</v>
      </c>
      <c r="C42" s="11"/>
      <c r="D42" s="2">
        <v>35894.339999999997</v>
      </c>
      <c r="E42" s="2"/>
      <c r="F42" s="19">
        <f t="shared" si="7"/>
        <v>0.31403108278106029</v>
      </c>
      <c r="G42" s="2"/>
      <c r="H42" s="2"/>
      <c r="I42" s="2"/>
      <c r="J42" s="19">
        <f t="shared" si="8"/>
        <v>0</v>
      </c>
      <c r="K42" s="2"/>
      <c r="L42" s="2">
        <f t="shared" si="9"/>
        <v>35894.339999999997</v>
      </c>
      <c r="M42" s="2"/>
      <c r="N42" s="19">
        <f t="shared" si="10"/>
        <v>0</v>
      </c>
      <c r="O42" s="11"/>
      <c r="P42" s="2">
        <v>263024.61</v>
      </c>
      <c r="Q42" s="2"/>
      <c r="R42" s="19">
        <f t="shared" si="11"/>
        <v>0.12903898572680256</v>
      </c>
      <c r="S42" s="2"/>
      <c r="T42" s="2"/>
      <c r="U42" s="2"/>
      <c r="V42" s="19">
        <f t="shared" si="12"/>
        <v>0</v>
      </c>
      <c r="W42" s="2"/>
      <c r="X42" s="2">
        <f t="shared" si="13"/>
        <v>263024.61</v>
      </c>
      <c r="Y42" s="2"/>
      <c r="Z42" s="19">
        <f t="shared" si="14"/>
        <v>0</v>
      </c>
    </row>
    <row r="43" spans="1:26" s="24" customFormat="1" hidden="1" outlineLevel="1" x14ac:dyDescent="0.25">
      <c r="A43" s="44"/>
      <c r="B43" s="11" t="str">
        <f>CONCATENATE("          ", "5082", " - ", "PURCHASES @ COST-COMPUTER HARD")</f>
        <v xml:space="preserve">          5082 - PURCHASES @ COST-COMPUTER HARD</v>
      </c>
      <c r="C43" s="11"/>
      <c r="D43" s="2">
        <v>169875.81</v>
      </c>
      <c r="E43" s="2"/>
      <c r="F43" s="19">
        <f t="shared" si="7"/>
        <v>1.4862032440939066</v>
      </c>
      <c r="G43" s="2"/>
      <c r="H43" s="2"/>
      <c r="I43" s="2"/>
      <c r="J43" s="19">
        <f t="shared" si="8"/>
        <v>0</v>
      </c>
      <c r="K43" s="2"/>
      <c r="L43" s="2">
        <f t="shared" si="9"/>
        <v>169875.81</v>
      </c>
      <c r="M43" s="2"/>
      <c r="N43" s="19">
        <f t="shared" si="10"/>
        <v>0</v>
      </c>
      <c r="O43" s="11"/>
      <c r="P43" s="2">
        <v>1380824.79</v>
      </c>
      <c r="Q43" s="2"/>
      <c r="R43" s="19">
        <f t="shared" si="11"/>
        <v>0.67742798047690356</v>
      </c>
      <c r="S43" s="2"/>
      <c r="T43" s="2"/>
      <c r="U43" s="2"/>
      <c r="V43" s="19">
        <f t="shared" si="12"/>
        <v>0</v>
      </c>
      <c r="W43" s="2"/>
      <c r="X43" s="2">
        <f t="shared" si="13"/>
        <v>1380824.79</v>
      </c>
      <c r="Y43" s="2"/>
      <c r="Z43" s="19">
        <f t="shared" si="14"/>
        <v>0</v>
      </c>
    </row>
    <row r="44" spans="1:26" s="24" customFormat="1" hidden="1" outlineLevel="1" x14ac:dyDescent="0.25">
      <c r="A44" s="44"/>
      <c r="B44" s="11" t="str">
        <f>CONCATENATE("          ", "5083", " - ", "PURCHASES @ COST-COMPUTER EQUI")</f>
        <v xml:space="preserve">          5083 - PURCHASES @ COST-COMPUTER EQUI</v>
      </c>
      <c r="C44" s="11"/>
      <c r="D44" s="2">
        <v>6360.99</v>
      </c>
      <c r="E44" s="2"/>
      <c r="F44" s="19">
        <f t="shared" si="7"/>
        <v>5.565079556441202E-2</v>
      </c>
      <c r="G44" s="2"/>
      <c r="H44" s="2"/>
      <c r="I44" s="2"/>
      <c r="J44" s="19">
        <f t="shared" si="8"/>
        <v>0</v>
      </c>
      <c r="K44" s="2"/>
      <c r="L44" s="2">
        <f t="shared" si="9"/>
        <v>6360.99</v>
      </c>
      <c r="M44" s="2"/>
      <c r="N44" s="19">
        <f t="shared" si="10"/>
        <v>0</v>
      </c>
      <c r="O44" s="11"/>
      <c r="P44" s="2">
        <v>77477.73000000001</v>
      </c>
      <c r="Q44" s="2"/>
      <c r="R44" s="19">
        <f t="shared" si="11"/>
        <v>3.8010312782575995E-2</v>
      </c>
      <c r="S44" s="2"/>
      <c r="T44" s="2"/>
      <c r="U44" s="2"/>
      <c r="V44" s="19">
        <f t="shared" si="12"/>
        <v>0</v>
      </c>
      <c r="W44" s="2"/>
      <c r="X44" s="2">
        <f t="shared" si="13"/>
        <v>77477.73000000001</v>
      </c>
      <c r="Y44" s="2"/>
      <c r="Z44" s="19">
        <f t="shared" si="14"/>
        <v>0</v>
      </c>
    </row>
    <row r="45" spans="1:26" s="24" customFormat="1" hidden="1" outlineLevel="1" x14ac:dyDescent="0.25">
      <c r="A45" s="44"/>
      <c r="B45" s="11" t="str">
        <f>CONCATENATE("          ", "5084", " - ", "PURCHASES @ COST-SOFTWARE LICE")</f>
        <v xml:space="preserve">          5084 - PURCHASES @ COST-SOFTWARE LICE</v>
      </c>
      <c r="C45" s="11"/>
      <c r="D45" s="2"/>
      <c r="E45" s="2"/>
      <c r="F45" s="19">
        <f t="shared" si="7"/>
        <v>0</v>
      </c>
      <c r="G45" s="2"/>
      <c r="H45" s="2"/>
      <c r="I45" s="2"/>
      <c r="J45" s="19">
        <f t="shared" si="8"/>
        <v>0</v>
      </c>
      <c r="K45" s="2"/>
      <c r="L45" s="2">
        <f t="shared" si="9"/>
        <v>0</v>
      </c>
      <c r="M45" s="2"/>
      <c r="N45" s="19">
        <f t="shared" si="10"/>
        <v>0</v>
      </c>
      <c r="O45" s="11"/>
      <c r="P45" s="2">
        <v>2728</v>
      </c>
      <c r="Q45" s="2"/>
      <c r="R45" s="19">
        <f t="shared" si="11"/>
        <v>1.3383475906027099E-3</v>
      </c>
      <c r="S45" s="2"/>
      <c r="T45" s="2"/>
      <c r="U45" s="2"/>
      <c r="V45" s="19">
        <f t="shared" si="12"/>
        <v>0</v>
      </c>
      <c r="W45" s="2"/>
      <c r="X45" s="2">
        <f t="shared" si="13"/>
        <v>2728</v>
      </c>
      <c r="Y45" s="2"/>
      <c r="Z45" s="19">
        <f t="shared" si="14"/>
        <v>0</v>
      </c>
    </row>
    <row r="46" spans="1:26" s="24" customFormat="1" hidden="1" outlineLevel="1" x14ac:dyDescent="0.25">
      <c r="A46" s="44"/>
      <c r="B46" s="11" t="str">
        <f>CONCATENATE("          ", "5085", " - ", "PURCHASES @ COST-SOFTWARE")</f>
        <v xml:space="preserve">          5085 - PURCHASES @ COST-SOFTWARE</v>
      </c>
      <c r="C46" s="11"/>
      <c r="D46" s="2"/>
      <c r="E46" s="2"/>
      <c r="F46" s="19">
        <f t="shared" si="7"/>
        <v>0</v>
      </c>
      <c r="G46" s="2"/>
      <c r="H46" s="2"/>
      <c r="I46" s="2"/>
      <c r="J46" s="19">
        <f t="shared" si="8"/>
        <v>0</v>
      </c>
      <c r="K46" s="2"/>
      <c r="L46" s="2">
        <f t="shared" si="9"/>
        <v>0</v>
      </c>
      <c r="M46" s="2"/>
      <c r="N46" s="19">
        <f t="shared" si="10"/>
        <v>0</v>
      </c>
      <c r="O46" s="11"/>
      <c r="P46" s="2">
        <v>9162.39</v>
      </c>
      <c r="Q46" s="2"/>
      <c r="R46" s="19">
        <f t="shared" si="11"/>
        <v>4.4950376028820979E-3</v>
      </c>
      <c r="S46" s="2"/>
      <c r="T46" s="2"/>
      <c r="U46" s="2"/>
      <c r="V46" s="19">
        <f t="shared" si="12"/>
        <v>0</v>
      </c>
      <c r="W46" s="2"/>
      <c r="X46" s="2">
        <f t="shared" si="13"/>
        <v>9162.39</v>
      </c>
      <c r="Y46" s="2"/>
      <c r="Z46" s="19">
        <f t="shared" si="14"/>
        <v>0</v>
      </c>
    </row>
    <row r="47" spans="1:26" s="24" customFormat="1" hidden="1" outlineLevel="1" x14ac:dyDescent="0.25">
      <c r="A47" s="44"/>
      <c r="B47" s="11" t="str">
        <f>CONCATENATE("          ", "5086", " - ", "PURCHASES @ COST-COMPUTER SUPP")</f>
        <v xml:space="preserve">          5086 - PURCHASES @ COST-COMPUTER SUPP</v>
      </c>
      <c r="C47" s="11"/>
      <c r="D47" s="2">
        <v>948.45</v>
      </c>
      <c r="E47" s="2"/>
      <c r="F47" s="19">
        <f t="shared" si="7"/>
        <v>8.2977645072648421E-3</v>
      </c>
      <c r="G47" s="2"/>
      <c r="H47" s="2"/>
      <c r="I47" s="2"/>
      <c r="J47" s="19">
        <f t="shared" si="8"/>
        <v>0</v>
      </c>
      <c r="K47" s="2"/>
      <c r="L47" s="2">
        <f t="shared" si="9"/>
        <v>948.45</v>
      </c>
      <c r="M47" s="2"/>
      <c r="N47" s="19">
        <f t="shared" si="10"/>
        <v>0</v>
      </c>
      <c r="O47" s="11"/>
      <c r="P47" s="2">
        <v>29950.550000000003</v>
      </c>
      <c r="Q47" s="2"/>
      <c r="R47" s="19">
        <f t="shared" si="11"/>
        <v>1.4693638720574045E-2</v>
      </c>
      <c r="S47" s="2"/>
      <c r="T47" s="2"/>
      <c r="U47" s="2"/>
      <c r="V47" s="19">
        <f t="shared" si="12"/>
        <v>0</v>
      </c>
      <c r="W47" s="2"/>
      <c r="X47" s="2">
        <f t="shared" si="13"/>
        <v>29950.550000000003</v>
      </c>
      <c r="Y47" s="2"/>
      <c r="Z47" s="19">
        <f t="shared" si="14"/>
        <v>0</v>
      </c>
    </row>
    <row r="48" spans="1:26" s="24" customFormat="1" hidden="1" outlineLevel="1" x14ac:dyDescent="0.25">
      <c r="A48" s="44"/>
      <c r="B48" s="11" t="str">
        <f>CONCATENATE("          ", "5088", " - ", "PURCHASES @ COST-MUSIC")</f>
        <v xml:space="preserve">          5088 - PURCHASES @ COST-MUSIC</v>
      </c>
      <c r="C48" s="11"/>
      <c r="D48" s="2"/>
      <c r="E48" s="2"/>
      <c r="F48" s="19">
        <f t="shared" si="7"/>
        <v>0</v>
      </c>
      <c r="G48" s="2"/>
      <c r="H48" s="2"/>
      <c r="I48" s="2"/>
      <c r="J48" s="19">
        <f t="shared" si="8"/>
        <v>0</v>
      </c>
      <c r="K48" s="2"/>
      <c r="L48" s="2">
        <f t="shared" si="9"/>
        <v>0</v>
      </c>
      <c r="M48" s="2"/>
      <c r="N48" s="19">
        <f t="shared" si="10"/>
        <v>0</v>
      </c>
      <c r="O48" s="11"/>
      <c r="P48" s="2">
        <v>95.65</v>
      </c>
      <c r="Q48" s="2"/>
      <c r="R48" s="19">
        <f t="shared" si="11"/>
        <v>4.6925567097195458E-5</v>
      </c>
      <c r="S48" s="2"/>
      <c r="T48" s="2"/>
      <c r="U48" s="2"/>
      <c r="V48" s="19">
        <f t="shared" si="12"/>
        <v>0</v>
      </c>
      <c r="W48" s="2"/>
      <c r="X48" s="2">
        <f t="shared" si="13"/>
        <v>95.65</v>
      </c>
      <c r="Y48" s="2"/>
      <c r="Z48" s="19">
        <f t="shared" si="14"/>
        <v>0</v>
      </c>
    </row>
    <row r="49" spans="1:26" s="24" customFormat="1" hidden="1" outlineLevel="1" x14ac:dyDescent="0.25">
      <c r="A49" s="44"/>
      <c r="B49" s="11" t="str">
        <f>CONCATENATE("          ", "5200", " - ", "PURCHASES OFFSET")</f>
        <v xml:space="preserve">          5200 - PURCHASES OFFSET</v>
      </c>
      <c r="C49" s="11"/>
      <c r="D49" s="2">
        <v>-213259</v>
      </c>
      <c r="E49" s="2"/>
      <c r="F49" s="19">
        <f t="shared" si="7"/>
        <v>-1.8657525025618564</v>
      </c>
      <c r="G49" s="2"/>
      <c r="H49" s="2"/>
      <c r="I49" s="2"/>
      <c r="J49" s="19">
        <f t="shared" si="8"/>
        <v>0</v>
      </c>
      <c r="K49" s="2"/>
      <c r="L49" s="2">
        <f t="shared" si="9"/>
        <v>-213259</v>
      </c>
      <c r="M49" s="2"/>
      <c r="N49" s="19">
        <f t="shared" si="10"/>
        <v>0</v>
      </c>
      <c r="O49" s="11"/>
      <c r="P49" s="2">
        <v>-1763880</v>
      </c>
      <c r="Q49" s="2"/>
      <c r="R49" s="19">
        <f t="shared" si="11"/>
        <v>-0.86535357335495156</v>
      </c>
      <c r="S49" s="2"/>
      <c r="T49" s="2"/>
      <c r="U49" s="2"/>
      <c r="V49" s="19">
        <f t="shared" si="12"/>
        <v>0</v>
      </c>
      <c r="W49" s="2"/>
      <c r="X49" s="2">
        <f t="shared" si="13"/>
        <v>-1763880</v>
      </c>
      <c r="Y49" s="2"/>
      <c r="Z49" s="19">
        <f t="shared" si="14"/>
        <v>0</v>
      </c>
    </row>
    <row r="50" spans="1:26" s="24" customFormat="1" hidden="1" outlineLevel="1" x14ac:dyDescent="0.25">
      <c r="A50" s="44"/>
      <c r="B50" s="11" t="str">
        <f>CONCATENATE("          ", "5300", " - ", "COG$ OFFSET")</f>
        <v xml:space="preserve">          5300 - COG$ OFFSET</v>
      </c>
      <c r="C50" s="11"/>
      <c r="D50" s="2">
        <v>104218</v>
      </c>
      <c r="E50" s="2"/>
      <c r="F50" s="19">
        <f t="shared" si="7"/>
        <v>0.91177860869642802</v>
      </c>
      <c r="G50" s="2"/>
      <c r="H50" s="2"/>
      <c r="I50" s="2"/>
      <c r="J50" s="19">
        <f t="shared" si="8"/>
        <v>0</v>
      </c>
      <c r="K50" s="2"/>
      <c r="L50" s="2">
        <f t="shared" si="9"/>
        <v>104218</v>
      </c>
      <c r="M50" s="2"/>
      <c r="N50" s="19">
        <f t="shared" si="10"/>
        <v>0</v>
      </c>
      <c r="O50" s="11"/>
      <c r="P50" s="2">
        <v>1776438</v>
      </c>
      <c r="Q50" s="2"/>
      <c r="R50" s="19">
        <f t="shared" si="11"/>
        <v>0.87151448576066592</v>
      </c>
      <c r="S50" s="2"/>
      <c r="T50" s="2"/>
      <c r="U50" s="2"/>
      <c r="V50" s="19">
        <f t="shared" si="12"/>
        <v>0</v>
      </c>
      <c r="W50" s="2"/>
      <c r="X50" s="2">
        <f t="shared" si="13"/>
        <v>1776438</v>
      </c>
      <c r="Y50" s="2"/>
      <c r="Z50" s="19">
        <f t="shared" si="14"/>
        <v>0</v>
      </c>
    </row>
    <row r="51" spans="1:26" s="24" customFormat="1" hidden="1" outlineLevel="1" x14ac:dyDescent="0.25">
      <c r="A51" s="44"/>
      <c r="B51" s="11" t="str">
        <f>CONCATENATE("          ", "5581", " - ", "FREIGHT-IN-ELECTRONICS")</f>
        <v xml:space="preserve">          5581 - FREIGHT-IN-ELECTRONICS</v>
      </c>
      <c r="C51" s="11"/>
      <c r="D51" s="2"/>
      <c r="E51" s="2"/>
      <c r="F51" s="19">
        <f t="shared" si="7"/>
        <v>0</v>
      </c>
      <c r="G51" s="2"/>
      <c r="H51" s="2"/>
      <c r="I51" s="2"/>
      <c r="J51" s="19">
        <f t="shared" si="8"/>
        <v>0</v>
      </c>
      <c r="K51" s="2"/>
      <c r="L51" s="2">
        <f t="shared" si="9"/>
        <v>0</v>
      </c>
      <c r="M51" s="2"/>
      <c r="N51" s="19">
        <f t="shared" si="10"/>
        <v>0</v>
      </c>
      <c r="O51" s="11"/>
      <c r="P51" s="2">
        <v>105.75</v>
      </c>
      <c r="Q51" s="2"/>
      <c r="R51" s="19">
        <f t="shared" si="11"/>
        <v>5.1880593000819853E-5</v>
      </c>
      <c r="S51" s="2"/>
      <c r="T51" s="2"/>
      <c r="U51" s="2"/>
      <c r="V51" s="19">
        <f t="shared" si="12"/>
        <v>0</v>
      </c>
      <c r="W51" s="2"/>
      <c r="X51" s="2">
        <f t="shared" si="13"/>
        <v>105.75</v>
      </c>
      <c r="Y51" s="2"/>
      <c r="Z51" s="19">
        <f t="shared" si="14"/>
        <v>0</v>
      </c>
    </row>
    <row r="52" spans="1:26" s="24" customFormat="1" hidden="1" outlineLevel="1" x14ac:dyDescent="0.25">
      <c r="A52" s="44"/>
      <c r="B52" s="11" t="str">
        <f>CONCATENATE("          ", "5582", " - ", "FREIGHT-IN-COMPUTER HARDWARE")</f>
        <v xml:space="preserve">          5582 - FREIGHT-IN-COMPUTER HARDWARE</v>
      </c>
      <c r="C52" s="11"/>
      <c r="D52" s="2">
        <v>149.46</v>
      </c>
      <c r="E52" s="2"/>
      <c r="F52" s="19">
        <f t="shared" si="7"/>
        <v>1.3075901557866026E-3</v>
      </c>
      <c r="G52" s="2"/>
      <c r="H52" s="2"/>
      <c r="I52" s="2"/>
      <c r="J52" s="19">
        <f t="shared" si="8"/>
        <v>0</v>
      </c>
      <c r="K52" s="2"/>
      <c r="L52" s="2">
        <f t="shared" si="9"/>
        <v>149.46</v>
      </c>
      <c r="M52" s="2"/>
      <c r="N52" s="19">
        <f t="shared" si="10"/>
        <v>0</v>
      </c>
      <c r="O52" s="11"/>
      <c r="P52" s="2">
        <v>154.30000000000001</v>
      </c>
      <c r="Q52" s="2"/>
      <c r="R52" s="19">
        <f t="shared" si="11"/>
        <v>7.569905910190548E-5</v>
      </c>
      <c r="S52" s="2"/>
      <c r="T52" s="2"/>
      <c r="U52" s="2"/>
      <c r="V52" s="19">
        <f t="shared" si="12"/>
        <v>0</v>
      </c>
      <c r="W52" s="2"/>
      <c r="X52" s="2">
        <f t="shared" si="13"/>
        <v>154.30000000000001</v>
      </c>
      <c r="Y52" s="2"/>
      <c r="Z52" s="19">
        <f t="shared" si="14"/>
        <v>0</v>
      </c>
    </row>
    <row r="53" spans="1:26" s="24" customFormat="1" hidden="1" outlineLevel="1" x14ac:dyDescent="0.25">
      <c r="A53" s="44"/>
      <c r="B53" s="11" t="str">
        <f>CONCATENATE("          ", "5583", " - ", "FREIGHT-IN-COMPUTER EQUIPMENT")</f>
        <v xml:space="preserve">          5583 - FREIGHT-IN-COMPUTER EQUIPMENT</v>
      </c>
      <c r="C53" s="11"/>
      <c r="D53" s="2"/>
      <c r="E53" s="2"/>
      <c r="F53" s="19">
        <f t="shared" si="7"/>
        <v>0</v>
      </c>
      <c r="G53" s="2"/>
      <c r="H53" s="2"/>
      <c r="I53" s="2"/>
      <c r="J53" s="19">
        <f t="shared" si="8"/>
        <v>0</v>
      </c>
      <c r="K53" s="2"/>
      <c r="L53" s="2">
        <f t="shared" si="9"/>
        <v>0</v>
      </c>
      <c r="M53" s="2"/>
      <c r="N53" s="19">
        <f t="shared" si="10"/>
        <v>0</v>
      </c>
      <c r="O53" s="11"/>
      <c r="P53" s="2">
        <v>57.5</v>
      </c>
      <c r="Q53" s="2"/>
      <c r="R53" s="19">
        <f t="shared" si="11"/>
        <v>2.8209305886970606E-5</v>
      </c>
      <c r="S53" s="2"/>
      <c r="T53" s="2"/>
      <c r="U53" s="2"/>
      <c r="V53" s="19">
        <f t="shared" si="12"/>
        <v>0</v>
      </c>
      <c r="W53" s="2"/>
      <c r="X53" s="2">
        <f t="shared" si="13"/>
        <v>57.5</v>
      </c>
      <c r="Y53" s="2"/>
      <c r="Z53" s="19">
        <f t="shared" si="14"/>
        <v>0</v>
      </c>
    </row>
    <row r="54" spans="1:26" s="24" customFormat="1" hidden="1" outlineLevel="1" x14ac:dyDescent="0.25">
      <c r="A54" s="44"/>
      <c r="B54" s="11" t="str">
        <f>CONCATENATE("          ", "5586", " - ", "FREIGHT-IN-COMPUTER SUPPLIES")</f>
        <v xml:space="preserve">          5586 - FREIGHT-IN-COMPUTER SUPPLIES</v>
      </c>
      <c r="C54" s="11"/>
      <c r="D54" s="2">
        <v>30.96</v>
      </c>
      <c r="E54" s="2"/>
      <c r="F54" s="19">
        <f t="shared" si="7"/>
        <v>2.7086171031147609E-4</v>
      </c>
      <c r="G54" s="2"/>
      <c r="H54" s="2"/>
      <c r="I54" s="2"/>
      <c r="J54" s="19">
        <f t="shared" si="8"/>
        <v>0</v>
      </c>
      <c r="K54" s="2"/>
      <c r="L54" s="2">
        <f t="shared" si="9"/>
        <v>30.96</v>
      </c>
      <c r="M54" s="2"/>
      <c r="N54" s="19">
        <f t="shared" si="10"/>
        <v>0</v>
      </c>
      <c r="O54" s="11"/>
      <c r="P54" s="2">
        <v>301.27</v>
      </c>
      <c r="Q54" s="2"/>
      <c r="R54" s="19">
        <f t="shared" si="11"/>
        <v>1.4780204494900233E-4</v>
      </c>
      <c r="S54" s="2"/>
      <c r="T54" s="2"/>
      <c r="U54" s="2"/>
      <c r="V54" s="19">
        <f t="shared" si="12"/>
        <v>0</v>
      </c>
      <c r="W54" s="2"/>
      <c r="X54" s="2">
        <f t="shared" si="13"/>
        <v>301.27</v>
      </c>
      <c r="Y54" s="2"/>
      <c r="Z54" s="19">
        <f t="shared" si="14"/>
        <v>0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8" t="s">
        <v>6</v>
      </c>
      <c r="C56" s="28"/>
      <c r="D56" s="20">
        <f>D12-D40</f>
        <v>10082.86</v>
      </c>
      <c r="E56" s="14"/>
      <c r="F56" s="22">
        <f>IF(D$12=0,0,D56/D$12)</f>
        <v>8.8212555052686367E-2</v>
      </c>
      <c r="G56" s="14"/>
      <c r="H56" s="20">
        <f>H12-H40</f>
        <v>35927.999999999985</v>
      </c>
      <c r="I56" s="14"/>
      <c r="J56" s="22">
        <f>IF(H$12=0,0,H56/H$12)</f>
        <v>0.21903310370054249</v>
      </c>
      <c r="K56" s="16"/>
      <c r="L56" s="20">
        <f>+D56-H56</f>
        <v>-25845.139999999985</v>
      </c>
      <c r="M56" s="16"/>
      <c r="N56" s="22">
        <f>IF(H56=0,0,L56/H56)</f>
        <v>-0.71935927410376299</v>
      </c>
      <c r="O56" s="29"/>
      <c r="P56" s="20">
        <f>P12-P40</f>
        <v>261893.91000000038</v>
      </c>
      <c r="Q56" s="14"/>
      <c r="R56" s="22">
        <f>IF(P$12=0,0,P56/P$12)</f>
        <v>0.1284842681239089</v>
      </c>
      <c r="S56" s="14"/>
      <c r="T56" s="20">
        <f>T12-T40</f>
        <v>450905</v>
      </c>
      <c r="U56" s="14"/>
      <c r="V56" s="22">
        <f>IF(T$12=0,0,T56/T$12)</f>
        <v>0.21903680253533866</v>
      </c>
      <c r="W56" s="16"/>
      <c r="X56" s="20">
        <f>+P56-T56</f>
        <v>-189011.08999999962</v>
      </c>
      <c r="Y56" s="16"/>
      <c r="Z56" s="22">
        <f>IF(T56=0,0,X56/T56)</f>
        <v>-0.41918162362360056</v>
      </c>
    </row>
    <row r="57" spans="1:26" x14ac:dyDescent="0.25">
      <c r="A57" s="9"/>
      <c r="B57" s="10"/>
      <c r="C57" s="9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9" t="s">
        <v>9</v>
      </c>
      <c r="C58" s="10"/>
      <c r="D58" s="21">
        <f>SUM(OSRRefD22x_0)</f>
        <v>14300.55</v>
      </c>
      <c r="E58" s="21"/>
      <c r="F58" s="30">
        <f t="shared" ref="F58:F69" si="15">IF(D$12=0,0,D58/D$12)</f>
        <v>0.12511212633704066</v>
      </c>
      <c r="G58" s="21"/>
      <c r="H58" s="21">
        <f>SUM(OSRRefH22x_0)</f>
        <v>17343.113898116924</v>
      </c>
      <c r="I58" s="21"/>
      <c r="J58" s="30">
        <f t="shared" ref="J58:J69" si="16">IF(H$12=0,0,H58/H$12)</f>
        <v>0.10573135339948134</v>
      </c>
      <c r="K58" s="4"/>
      <c r="L58" s="21">
        <f t="shared" ref="L58:L69" si="17">+D58-H58</f>
        <v>-3042.563898116925</v>
      </c>
      <c r="M58" s="4"/>
      <c r="N58" s="30">
        <f t="shared" ref="N58:N69" si="18">IF(H58=0,0,L58/H58)</f>
        <v>-0.17543354186512491</v>
      </c>
      <c r="O58" s="10"/>
      <c r="P58" s="21">
        <f>SUM(OSRRefP22x_0)</f>
        <v>174800.15000000002</v>
      </c>
      <c r="Q58" s="21"/>
      <c r="R58" s="30">
        <f t="shared" ref="R58:R69" si="19">IF(P$12=0,0,P58/P$12)</f>
        <v>8.5756363485884279E-2</v>
      </c>
      <c r="S58" s="21"/>
      <c r="T58" s="21">
        <f>SUM(OSRRefT22x_0)</f>
        <v>150033.26646658999</v>
      </c>
      <c r="U58" s="21"/>
      <c r="V58" s="30">
        <f t="shared" ref="V58:V69" si="20">IF(T$12=0,0,T58/T$12)</f>
        <v>7.2881886341411878E-2</v>
      </c>
      <c r="W58" s="4"/>
      <c r="X58" s="21">
        <f t="shared" ref="X58:X69" si="21">+P58-T58</f>
        <v>24766.883533410029</v>
      </c>
      <c r="Y58" s="4"/>
      <c r="Z58" s="30">
        <f t="shared" ref="Z58:Z69" si="22">IF(T58=0,0,X58/T58)</f>
        <v>0.1650759469329105</v>
      </c>
    </row>
    <row r="59" spans="1:26" s="27" customFormat="1" outlineLevel="1" collapsed="1" x14ac:dyDescent="0.25">
      <c r="A59" s="26"/>
      <c r="B59" s="13" t="str">
        <f>CONCATENATE("     ","*Benefits                                         ")</f>
        <v xml:space="preserve">     *Benefits                                         </v>
      </c>
      <c r="C59" s="13"/>
      <c r="D59" s="1">
        <f>SUM(OSRRefD22_0x_0)</f>
        <v>-3105.0600000000004</v>
      </c>
      <c r="E59" s="1"/>
      <c r="F59" s="5">
        <f t="shared" si="15"/>
        <v>-2.716543482621938E-2</v>
      </c>
      <c r="G59" s="1"/>
      <c r="H59" s="1">
        <f>SUM(OSRRefH22_0x_0)</f>
        <v>2456.1270073476921</v>
      </c>
      <c r="I59" s="1"/>
      <c r="J59" s="5">
        <f t="shared" si="16"/>
        <v>1.4973645109721954E-2</v>
      </c>
      <c r="K59" s="1"/>
      <c r="L59" s="1">
        <f t="shared" si="17"/>
        <v>-5561.187007347693</v>
      </c>
      <c r="M59" s="1"/>
      <c r="N59" s="5">
        <f t="shared" si="18"/>
        <v>-2.2642098681016805</v>
      </c>
      <c r="O59" s="13"/>
      <c r="P59" s="1">
        <f>SUM(OSRRefP22_0x_0)</f>
        <v>21336.489999999994</v>
      </c>
      <c r="Q59" s="1"/>
      <c r="R59" s="5">
        <f t="shared" si="19"/>
        <v>1.0467609964596336E-2</v>
      </c>
      <c r="S59" s="1"/>
      <c r="T59" s="1">
        <f>SUM(OSRRefT22_0x_0)</f>
        <v>23252.128906589998</v>
      </c>
      <c r="U59" s="1"/>
      <c r="V59" s="5">
        <f t="shared" si="20"/>
        <v>1.1295221760324223E-2</v>
      </c>
      <c r="W59" s="1"/>
      <c r="X59" s="1">
        <f t="shared" si="21"/>
        <v>-1915.6389065900039</v>
      </c>
      <c r="Y59" s="1"/>
      <c r="Z59" s="5">
        <f t="shared" si="22"/>
        <v>-8.2385527548278964E-2</v>
      </c>
    </row>
    <row r="60" spans="1:26" s="24" customFormat="1" hidden="1" outlineLevel="2" x14ac:dyDescent="0.25">
      <c r="A60" s="25"/>
      <c r="B60" s="11" t="str">
        <f>CONCATENATE("          ", "6111", " - ", "F.I.C.A.")</f>
        <v xml:space="preserve">          6111 - F.I.C.A.</v>
      </c>
      <c r="C60" s="11"/>
      <c r="D60" s="6">
        <v>1205.07</v>
      </c>
      <c r="E60" s="2"/>
      <c r="F60" s="7">
        <f t="shared" si="15"/>
        <v>1.0542872133238063E-2</v>
      </c>
      <c r="G60" s="2"/>
      <c r="H60" s="6">
        <v>368.84942751692296</v>
      </c>
      <c r="I60" s="2"/>
      <c r="J60" s="7">
        <f t="shared" si="16"/>
        <v>2.2486705329325305E-3</v>
      </c>
      <c r="K60" s="2"/>
      <c r="L60" s="6">
        <f t="shared" si="17"/>
        <v>836.22057248307692</v>
      </c>
      <c r="M60" s="2"/>
      <c r="N60" s="7">
        <f t="shared" si="18"/>
        <v>2.2671055181310016</v>
      </c>
      <c r="O60" s="11"/>
      <c r="P60" s="6">
        <v>6680.45</v>
      </c>
      <c r="Q60" s="2"/>
      <c r="R60" s="7">
        <f t="shared" si="19"/>
        <v>3.277406217610657E-3</v>
      </c>
      <c r="S60" s="2"/>
      <c r="T60" s="6">
        <v>4284.3991173900004</v>
      </c>
      <c r="U60" s="2"/>
      <c r="V60" s="7">
        <f t="shared" si="20"/>
        <v>2.081239026975378E-3</v>
      </c>
      <c r="W60" s="2"/>
      <c r="X60" s="6">
        <f t="shared" si="21"/>
        <v>2396.0508826099995</v>
      </c>
      <c r="Y60" s="2"/>
      <c r="Z60" s="7">
        <f t="shared" si="22"/>
        <v>0.55925015783068366</v>
      </c>
    </row>
    <row r="61" spans="1:26" s="24" customFormat="1" hidden="1" outlineLevel="2" x14ac:dyDescent="0.25">
      <c r="A61" s="25"/>
      <c r="B61" s="11" t="str">
        <f>CONCATENATE("          ", "6112", " - ", "COMPENSATION INSURANCE")</f>
        <v xml:space="preserve">          6112 - COMPENSATION INSURANCE</v>
      </c>
      <c r="C61" s="11"/>
      <c r="D61" s="6">
        <v>498.29</v>
      </c>
      <c r="E61" s="2"/>
      <c r="F61" s="7">
        <f t="shared" si="15"/>
        <v>4.3594212413147742E-3</v>
      </c>
      <c r="G61" s="2"/>
      <c r="H61" s="6">
        <v>216.894434961538</v>
      </c>
      <c r="I61" s="2"/>
      <c r="J61" s="7">
        <f t="shared" si="16"/>
        <v>1.3222851610165092E-3</v>
      </c>
      <c r="K61" s="2"/>
      <c r="L61" s="6">
        <f t="shared" si="17"/>
        <v>281.395565038462</v>
      </c>
      <c r="M61" s="2"/>
      <c r="N61" s="7">
        <f t="shared" si="18"/>
        <v>1.2973849010388949</v>
      </c>
      <c r="O61" s="11"/>
      <c r="P61" s="6">
        <v>1865.18</v>
      </c>
      <c r="Q61" s="2"/>
      <c r="R61" s="7">
        <f t="shared" si="19"/>
        <v>9.15051011378432E-4</v>
      </c>
      <c r="S61" s="2"/>
      <c r="T61" s="6">
        <v>1819.1142829999969</v>
      </c>
      <c r="U61" s="2"/>
      <c r="V61" s="7">
        <f t="shared" si="20"/>
        <v>8.8367389138440354E-4</v>
      </c>
      <c r="W61" s="2"/>
      <c r="X61" s="6">
        <f t="shared" si="21"/>
        <v>46.065717000003133</v>
      </c>
      <c r="Y61" s="2"/>
      <c r="Z61" s="7">
        <f t="shared" si="22"/>
        <v>2.5323157225742705E-2</v>
      </c>
    </row>
    <row r="62" spans="1:26" s="24" customFormat="1" hidden="1" outlineLevel="2" x14ac:dyDescent="0.25">
      <c r="A62" s="25"/>
      <c r="B62" s="11" t="str">
        <f>CONCATENATE("          ", "6113", " - ", "GROUP INSURANCE")</f>
        <v xml:space="preserve">          6113 - GROUP INSURANCE</v>
      </c>
      <c r="C62" s="11"/>
      <c r="D62" s="6">
        <v>1331.95</v>
      </c>
      <c r="E62" s="2"/>
      <c r="F62" s="7">
        <f t="shared" si="15"/>
        <v>1.1652915214772951E-2</v>
      </c>
      <c r="G62" s="2"/>
      <c r="H62" s="6">
        <v>1186.2</v>
      </c>
      <c r="I62" s="2"/>
      <c r="J62" s="7">
        <f t="shared" si="16"/>
        <v>7.2316039748826439E-3</v>
      </c>
      <c r="K62" s="2"/>
      <c r="L62" s="6">
        <f t="shared" si="17"/>
        <v>145.75</v>
      </c>
      <c r="M62" s="2"/>
      <c r="N62" s="7">
        <f t="shared" si="18"/>
        <v>0.12287135390322036</v>
      </c>
      <c r="O62" s="11"/>
      <c r="P62" s="6">
        <v>10520.31</v>
      </c>
      <c r="Q62" s="2"/>
      <c r="R62" s="7">
        <f t="shared" si="19"/>
        <v>5.1612285707087957E-3</v>
      </c>
      <c r="S62" s="2"/>
      <c r="T62" s="6">
        <v>10675.8</v>
      </c>
      <c r="U62" s="2"/>
      <c r="V62" s="7">
        <f t="shared" si="20"/>
        <v>5.1859994821675708E-3</v>
      </c>
      <c r="W62" s="2"/>
      <c r="X62" s="6">
        <f t="shared" si="21"/>
        <v>-155.48999999999978</v>
      </c>
      <c r="Y62" s="2"/>
      <c r="Z62" s="7">
        <f t="shared" si="22"/>
        <v>-1.4564716461529795E-2</v>
      </c>
    </row>
    <row r="63" spans="1:26" s="24" customFormat="1" hidden="1" outlineLevel="2" x14ac:dyDescent="0.25">
      <c r="A63" s="25"/>
      <c r="B63" s="11" t="str">
        <f>CONCATENATE("          ", "6114", " - ", "STATE UNEMPLOYMENT INSURANCE")</f>
        <v xml:space="preserve">          6114 - STATE UNEMPLOYMENT INSURANCE</v>
      </c>
      <c r="C63" s="11"/>
      <c r="D63" s="6">
        <v>75.099999999999994</v>
      </c>
      <c r="E63" s="2"/>
      <c r="F63" s="7">
        <f t="shared" si="15"/>
        <v>6.570321202968944E-4</v>
      </c>
      <c r="G63" s="2"/>
      <c r="H63" s="6">
        <v>29.680291100000002</v>
      </c>
      <c r="I63" s="2"/>
      <c r="J63" s="7">
        <f t="shared" si="16"/>
        <v>1.8094428519173323E-4</v>
      </c>
      <c r="K63" s="2"/>
      <c r="L63" s="6">
        <f t="shared" si="17"/>
        <v>45.419708899999989</v>
      </c>
      <c r="M63" s="2"/>
      <c r="N63" s="7">
        <f t="shared" si="18"/>
        <v>1.5302986330885409</v>
      </c>
      <c r="O63" s="11"/>
      <c r="P63" s="6">
        <v>290.58999999999997</v>
      </c>
      <c r="Q63" s="2"/>
      <c r="R63" s="7">
        <f t="shared" si="19"/>
        <v>1.4256247300338762E-4</v>
      </c>
      <c r="S63" s="2"/>
      <c r="T63" s="6">
        <v>248.9314282</v>
      </c>
      <c r="U63" s="2"/>
      <c r="V63" s="7">
        <f t="shared" si="20"/>
        <v>1.2092379566312911E-4</v>
      </c>
      <c r="W63" s="2"/>
      <c r="X63" s="6">
        <f t="shared" si="21"/>
        <v>41.658571799999976</v>
      </c>
      <c r="Y63" s="2"/>
      <c r="Z63" s="7">
        <f t="shared" si="22"/>
        <v>0.16734958739934622</v>
      </c>
    </row>
    <row r="64" spans="1:26" s="24" customFormat="1" hidden="1" outlineLevel="2" x14ac:dyDescent="0.25">
      <c r="A64" s="25"/>
      <c r="B64" s="11" t="str">
        <f>CONCATENATE("          ", "6115", " - ", "P.E.R.S.")</f>
        <v xml:space="preserve">          6115 - P.E.R.S.</v>
      </c>
      <c r="C64" s="11"/>
      <c r="D64" s="6">
        <v>374.08</v>
      </c>
      <c r="E64" s="2"/>
      <c r="F64" s="7">
        <f t="shared" si="15"/>
        <v>3.2727373576652767E-3</v>
      </c>
      <c r="G64" s="2"/>
      <c r="H64" s="6">
        <v>294.022912615385</v>
      </c>
      <c r="I64" s="2"/>
      <c r="J64" s="7">
        <f t="shared" si="16"/>
        <v>1.7924947425189599E-3</v>
      </c>
      <c r="K64" s="2"/>
      <c r="L64" s="6">
        <f t="shared" si="17"/>
        <v>80.057087384614988</v>
      </c>
      <c r="M64" s="2"/>
      <c r="N64" s="7">
        <f t="shared" si="18"/>
        <v>0.27228179828739624</v>
      </c>
      <c r="O64" s="11"/>
      <c r="P64" s="6">
        <v>2329.44</v>
      </c>
      <c r="Q64" s="2"/>
      <c r="R64" s="7">
        <f t="shared" si="19"/>
        <v>1.1428154000929533E-3</v>
      </c>
      <c r="S64" s="2"/>
      <c r="T64" s="6">
        <v>2866.7233980000033</v>
      </c>
      <c r="U64" s="2"/>
      <c r="V64" s="7">
        <f t="shared" si="20"/>
        <v>1.3925725526467033E-3</v>
      </c>
      <c r="W64" s="2"/>
      <c r="X64" s="6">
        <f t="shared" si="21"/>
        <v>-537.28339800000322</v>
      </c>
      <c r="Y64" s="2"/>
      <c r="Z64" s="7">
        <f t="shared" si="22"/>
        <v>-0.18742073210650323</v>
      </c>
    </row>
    <row r="65" spans="1:26" s="24" customFormat="1" hidden="1" outlineLevel="2" x14ac:dyDescent="0.25">
      <c r="A65" s="25"/>
      <c r="B65" s="11" t="str">
        <f>CONCATENATE("          ", "6116", " - ", "EDUCATIONAL BENEFITS")</f>
        <v xml:space="preserve">          6116 - EDUCATIONAL BENEFITS</v>
      </c>
      <c r="C65" s="11"/>
      <c r="D65" s="6"/>
      <c r="E65" s="2"/>
      <c r="F65" s="7">
        <f t="shared" si="15"/>
        <v>0</v>
      </c>
      <c r="G65" s="2"/>
      <c r="H65" s="6">
        <v>0</v>
      </c>
      <c r="I65" s="2"/>
      <c r="J65" s="7">
        <f t="shared" si="16"/>
        <v>0</v>
      </c>
      <c r="K65" s="2"/>
      <c r="L65" s="6">
        <f t="shared" si="17"/>
        <v>0</v>
      </c>
      <c r="M65" s="2"/>
      <c r="N65" s="7">
        <f t="shared" si="18"/>
        <v>0</v>
      </c>
      <c r="O65" s="11"/>
      <c r="P65" s="6"/>
      <c r="Q65" s="2"/>
      <c r="R65" s="7">
        <f t="shared" si="19"/>
        <v>0</v>
      </c>
      <c r="S65" s="2"/>
      <c r="T65" s="6">
        <v>0</v>
      </c>
      <c r="U65" s="2"/>
      <c r="V65" s="7">
        <f t="shared" si="20"/>
        <v>0</v>
      </c>
      <c r="W65" s="2"/>
      <c r="X65" s="6">
        <f t="shared" si="21"/>
        <v>0</v>
      </c>
      <c r="Y65" s="2"/>
      <c r="Z65" s="7">
        <f t="shared" si="22"/>
        <v>0</v>
      </c>
    </row>
    <row r="66" spans="1:26" s="24" customFormat="1" hidden="1" outlineLevel="2" x14ac:dyDescent="0.25">
      <c r="A66" s="25"/>
      <c r="B66" s="11" t="str">
        <f>CONCATENATE("          ", "6117", " - ", "RETIREMENT STAFF HOURLY")</f>
        <v xml:space="preserve">          6117 - RETIREMENT STAFF HOURLY</v>
      </c>
      <c r="C66" s="11"/>
      <c r="D66" s="6">
        <v>101.5</v>
      </c>
      <c r="E66" s="2"/>
      <c r="F66" s="7">
        <f t="shared" si="15"/>
        <v>8.8799947017489727E-4</v>
      </c>
      <c r="G66" s="2"/>
      <c r="H66" s="6"/>
      <c r="I66" s="2"/>
      <c r="J66" s="7">
        <f t="shared" si="16"/>
        <v>0</v>
      </c>
      <c r="K66" s="2"/>
      <c r="L66" s="6">
        <f t="shared" si="17"/>
        <v>101.5</v>
      </c>
      <c r="M66" s="2"/>
      <c r="N66" s="7">
        <f t="shared" si="18"/>
        <v>0</v>
      </c>
      <c r="O66" s="11"/>
      <c r="P66" s="6">
        <v>1391.48</v>
      </c>
      <c r="Q66" s="2"/>
      <c r="R66" s="7">
        <f t="shared" si="19"/>
        <v>6.8265539053220629E-4</v>
      </c>
      <c r="S66" s="2"/>
      <c r="T66" s="6"/>
      <c r="U66" s="2"/>
      <c r="V66" s="7">
        <f t="shared" si="20"/>
        <v>0</v>
      </c>
      <c r="W66" s="2"/>
      <c r="X66" s="6">
        <f t="shared" si="21"/>
        <v>1391.48</v>
      </c>
      <c r="Y66" s="2"/>
      <c r="Z66" s="7">
        <f t="shared" si="22"/>
        <v>0</v>
      </c>
    </row>
    <row r="67" spans="1:26" s="24" customFormat="1" hidden="1" outlineLevel="2" x14ac:dyDescent="0.25">
      <c r="A67" s="25"/>
      <c r="B67" s="11" t="str">
        <f>CONCATENATE("          ", "6118", " - ", "VACATION")</f>
        <v xml:space="preserve">          6118 - VACATION</v>
      </c>
      <c r="C67" s="11"/>
      <c r="D67" s="6">
        <v>733.78</v>
      </c>
      <c r="E67" s="2"/>
      <c r="F67" s="7">
        <f t="shared" si="15"/>
        <v>6.4196674997530657E-3</v>
      </c>
      <c r="G67" s="2"/>
      <c r="H67" s="6">
        <v>170.943553846154</v>
      </c>
      <c r="I67" s="2"/>
      <c r="J67" s="7">
        <f t="shared" si="16"/>
        <v>1.0421481061156739E-3</v>
      </c>
      <c r="K67" s="2"/>
      <c r="L67" s="6">
        <f t="shared" si="17"/>
        <v>562.83644615384594</v>
      </c>
      <c r="M67" s="2"/>
      <c r="N67" s="7">
        <f t="shared" si="18"/>
        <v>3.2925280508698691</v>
      </c>
      <c r="O67" s="11"/>
      <c r="P67" s="6">
        <v>2400.85</v>
      </c>
      <c r="Q67" s="2"/>
      <c r="R67" s="7">
        <f t="shared" si="19"/>
        <v>1.1778489050214501E-3</v>
      </c>
      <c r="S67" s="2"/>
      <c r="T67" s="6">
        <v>1666.69965</v>
      </c>
      <c r="U67" s="2"/>
      <c r="V67" s="7">
        <f t="shared" si="20"/>
        <v>8.0963520502715222E-4</v>
      </c>
      <c r="W67" s="2"/>
      <c r="X67" s="6">
        <f t="shared" si="21"/>
        <v>734.15034999999989</v>
      </c>
      <c r="Y67" s="2"/>
      <c r="Z67" s="7">
        <f t="shared" si="22"/>
        <v>0.44048149287125599</v>
      </c>
    </row>
    <row r="68" spans="1:26" s="24" customFormat="1" hidden="1" outlineLevel="2" x14ac:dyDescent="0.25">
      <c r="A68" s="25"/>
      <c r="B68" s="11" t="str">
        <f>CONCATENATE("          ", "6119", " - ", "SICK LEAVE")</f>
        <v xml:space="preserve">          6119 - SICK LEAVE</v>
      </c>
      <c r="C68" s="11"/>
      <c r="D68" s="6">
        <v>-7714.8</v>
      </c>
      <c r="E68" s="2"/>
      <c r="F68" s="7">
        <f t="shared" si="15"/>
        <v>-6.7494958743894565E-2</v>
      </c>
      <c r="G68" s="2"/>
      <c r="H68" s="6">
        <v>189.536387307692</v>
      </c>
      <c r="I68" s="2"/>
      <c r="J68" s="7">
        <f t="shared" si="16"/>
        <v>1.155498307063903E-3</v>
      </c>
      <c r="K68" s="2"/>
      <c r="L68" s="6">
        <f t="shared" si="17"/>
        <v>-7904.3363873076923</v>
      </c>
      <c r="M68" s="2"/>
      <c r="N68" s="7">
        <f t="shared" si="18"/>
        <v>-41.703529858231654</v>
      </c>
      <c r="O68" s="11"/>
      <c r="P68" s="6">
        <v>-5731.56</v>
      </c>
      <c r="Q68" s="2"/>
      <c r="R68" s="7">
        <f t="shared" si="19"/>
        <v>-2.8118839869482656E-3</v>
      </c>
      <c r="S68" s="2"/>
      <c r="T68" s="6">
        <v>1690.461029999997</v>
      </c>
      <c r="U68" s="2"/>
      <c r="V68" s="7">
        <f t="shared" si="20"/>
        <v>8.2117780645988517E-4</v>
      </c>
      <c r="W68" s="2"/>
      <c r="X68" s="6">
        <f t="shared" si="21"/>
        <v>-7422.0210299999972</v>
      </c>
      <c r="Y68" s="2"/>
      <c r="Z68" s="7">
        <f t="shared" si="22"/>
        <v>-4.3905306885424089</v>
      </c>
    </row>
    <row r="69" spans="1:26" s="24" customFormat="1" hidden="1" outlineLevel="2" x14ac:dyDescent="0.25">
      <c r="A69" s="25"/>
      <c r="B69" s="11" t="str">
        <f>CONCATENATE("          ", "6156", " - ", "EMPLOYEE MEALS")</f>
        <v xml:space="preserve">          6156 - EMPLOYEE MEALS</v>
      </c>
      <c r="C69" s="11"/>
      <c r="D69" s="6">
        <v>289.97000000000003</v>
      </c>
      <c r="E69" s="2"/>
      <c r="F69" s="7">
        <f t="shared" si="15"/>
        <v>2.5368788804592613E-3</v>
      </c>
      <c r="G69" s="2"/>
      <c r="H69" s="6"/>
      <c r="I69" s="2"/>
      <c r="J69" s="7">
        <f t="shared" si="16"/>
        <v>0</v>
      </c>
      <c r="K69" s="2"/>
      <c r="L69" s="6">
        <f t="shared" si="17"/>
        <v>289.97000000000003</v>
      </c>
      <c r="M69" s="2"/>
      <c r="N69" s="7">
        <f t="shared" si="18"/>
        <v>0</v>
      </c>
      <c r="O69" s="11"/>
      <c r="P69" s="6">
        <v>1589.75</v>
      </c>
      <c r="Q69" s="2"/>
      <c r="R69" s="7">
        <f t="shared" si="19"/>
        <v>7.7992598319672217E-4</v>
      </c>
      <c r="S69" s="2"/>
      <c r="T69" s="6"/>
      <c r="U69" s="2"/>
      <c r="V69" s="7">
        <f t="shared" si="20"/>
        <v>0</v>
      </c>
      <c r="W69" s="2"/>
      <c r="X69" s="6">
        <f t="shared" si="21"/>
        <v>1589.75</v>
      </c>
      <c r="Y69" s="2"/>
      <c r="Z69" s="7">
        <f t="shared" si="22"/>
        <v>0</v>
      </c>
    </row>
    <row r="70" spans="1:26" s="27" customFormat="1" outlineLevel="1" collapsed="1" x14ac:dyDescent="0.25">
      <c r="A70" s="26"/>
      <c r="B70" s="13" t="str">
        <f>CONCATENATE("     ","*Payroll                                          ")</f>
        <v xml:space="preserve">     *Payroll                                          </v>
      </c>
      <c r="C70" s="13"/>
      <c r="D70" s="1">
        <f>SUM(OSRRefD22_1x_0)</f>
        <v>11282.27</v>
      </c>
      <c r="E70" s="1"/>
      <c r="F70" s="5">
        <f t="shared" ref="F70:F80" si="23">IF(D$12=0,0,D70/D$12)</f>
        <v>9.8705909185912696E-2</v>
      </c>
      <c r="G70" s="1"/>
      <c r="H70" s="1">
        <f>SUM(OSRRefH22_1x_0)</f>
        <v>11141.986890769231</v>
      </c>
      <c r="I70" s="1"/>
      <c r="J70" s="5">
        <f t="shared" ref="J70:J80" si="24">IF(H$12=0,0,H70/H$12)</f>
        <v>6.7926518873189234E-2</v>
      </c>
      <c r="K70" s="1"/>
      <c r="L70" s="1">
        <f t="shared" ref="L70:L80" si="25">+D70-H70</f>
        <v>140.2831092307697</v>
      </c>
      <c r="M70" s="1"/>
      <c r="N70" s="5">
        <f t="shared" ref="N70:N80" si="26">IF(H70=0,0,L70/H70)</f>
        <v>1.2590493114561967E-2</v>
      </c>
      <c r="O70" s="13"/>
      <c r="P70" s="1">
        <f>SUM(OSRRefP22_1x_0)</f>
        <v>91979.49</v>
      </c>
      <c r="Q70" s="1"/>
      <c r="R70" s="5">
        <f t="shared" ref="R70:R80" si="27">IF(P$12=0,0,P70/P$12)</f>
        <v>4.5124827282392248E-2</v>
      </c>
      <c r="S70" s="1"/>
      <c r="T70" s="1">
        <f>SUM(OSRRefT22_1x_0)</f>
        <v>93076.137560000003</v>
      </c>
      <c r="U70" s="1"/>
      <c r="V70" s="5">
        <f t="shared" ref="V70:V80" si="28">IF(T$12=0,0,T70/T$12)</f>
        <v>4.5213735850083141E-2</v>
      </c>
      <c r="W70" s="1"/>
      <c r="X70" s="1">
        <f t="shared" ref="X70:X80" si="29">+P70-T70</f>
        <v>-1096.6475599999976</v>
      </c>
      <c r="Y70" s="1"/>
      <c r="Z70" s="5">
        <f t="shared" ref="Z70:Z80" si="30">IF(T70=0,0,X70/T70)</f>
        <v>-1.1782263303449413E-2</v>
      </c>
    </row>
    <row r="71" spans="1:26" s="24" customFormat="1" hidden="1" outlineLevel="2" x14ac:dyDescent="0.25">
      <c r="A71" s="25"/>
      <c r="B71" s="11" t="str">
        <f>CONCATENATE("          ", "6001", " - ", "ADMINISTRATIVE SALARIES")</f>
        <v xml:space="preserve">          6001 - ADMINISTRATIVE SALARIES</v>
      </c>
      <c r="C71" s="11"/>
      <c r="D71" s="6"/>
      <c r="E71" s="2"/>
      <c r="F71" s="7">
        <f t="shared" si="23"/>
        <v>0</v>
      </c>
      <c r="G71" s="2"/>
      <c r="H71" s="6">
        <v>3145.3613907692297</v>
      </c>
      <c r="I71" s="2"/>
      <c r="J71" s="7">
        <f t="shared" si="24"/>
        <v>1.9175525152528378E-2</v>
      </c>
      <c r="K71" s="2"/>
      <c r="L71" s="6">
        <f t="shared" si="25"/>
        <v>-3145.3613907692297</v>
      </c>
      <c r="M71" s="2"/>
      <c r="N71" s="7">
        <f t="shared" si="26"/>
        <v>-1</v>
      </c>
      <c r="O71" s="11"/>
      <c r="P71" s="6"/>
      <c r="Q71" s="2"/>
      <c r="R71" s="7">
        <f t="shared" si="27"/>
        <v>0</v>
      </c>
      <c r="S71" s="2"/>
      <c r="T71" s="6">
        <v>30667.273559999998</v>
      </c>
      <c r="U71" s="2"/>
      <c r="V71" s="7">
        <f t="shared" si="28"/>
        <v>1.4897287772499599E-2</v>
      </c>
      <c r="W71" s="2"/>
      <c r="X71" s="6">
        <f t="shared" si="29"/>
        <v>-30667.273559999998</v>
      </c>
      <c r="Y71" s="2"/>
      <c r="Z71" s="7">
        <f t="shared" si="30"/>
        <v>-1</v>
      </c>
    </row>
    <row r="72" spans="1:26" s="24" customFormat="1" hidden="1" outlineLevel="2" x14ac:dyDescent="0.25">
      <c r="A72" s="25"/>
      <c r="B72" s="11" t="str">
        <f>CONCATENATE("          ", "6002", " - ", "STAFF SALARIES")</f>
        <v xml:space="preserve">          6002 - STAFF SALARIES</v>
      </c>
      <c r="C72" s="11"/>
      <c r="D72" s="6">
        <v>3236.06</v>
      </c>
      <c r="E72" s="2"/>
      <c r="F72" s="7">
        <f t="shared" si="23"/>
        <v>2.8311522812356434E-2</v>
      </c>
      <c r="G72" s="2"/>
      <c r="H72" s="6">
        <v>0</v>
      </c>
      <c r="I72" s="2"/>
      <c r="J72" s="7">
        <f t="shared" si="24"/>
        <v>0</v>
      </c>
      <c r="K72" s="2"/>
      <c r="L72" s="6">
        <f t="shared" si="25"/>
        <v>3236.06</v>
      </c>
      <c r="M72" s="2"/>
      <c r="N72" s="7">
        <f t="shared" si="26"/>
        <v>0</v>
      </c>
      <c r="O72" s="11"/>
      <c r="P72" s="6">
        <v>30572.32</v>
      </c>
      <c r="Q72" s="2"/>
      <c r="R72" s="7">
        <f t="shared" si="27"/>
        <v>1.4998676983553899E-2</v>
      </c>
      <c r="S72" s="2"/>
      <c r="T72" s="6">
        <v>0</v>
      </c>
      <c r="U72" s="2"/>
      <c r="V72" s="7">
        <f t="shared" si="28"/>
        <v>0</v>
      </c>
      <c r="W72" s="2"/>
      <c r="X72" s="6">
        <f t="shared" si="29"/>
        <v>30572.32</v>
      </c>
      <c r="Y72" s="2"/>
      <c r="Z72" s="7">
        <f t="shared" si="30"/>
        <v>0</v>
      </c>
    </row>
    <row r="73" spans="1:26" s="24" customFormat="1" hidden="1" outlineLevel="2" x14ac:dyDescent="0.25">
      <c r="A73" s="25"/>
      <c r="B73" s="11" t="str">
        <f>CONCATENATE("          ", "6003", " - ", "STAFF HOURLY-9 MONTH")</f>
        <v xml:space="preserve">          6003 - STAFF HOURLY-9 MONTH</v>
      </c>
      <c r="C73" s="11"/>
      <c r="D73" s="6"/>
      <c r="E73" s="2"/>
      <c r="F73" s="7">
        <f t="shared" si="23"/>
        <v>0</v>
      </c>
      <c r="G73" s="2"/>
      <c r="H73" s="6">
        <v>0</v>
      </c>
      <c r="I73" s="2"/>
      <c r="J73" s="7">
        <f t="shared" si="24"/>
        <v>0</v>
      </c>
      <c r="K73" s="2"/>
      <c r="L73" s="6">
        <f t="shared" si="25"/>
        <v>0</v>
      </c>
      <c r="M73" s="2"/>
      <c r="N73" s="7">
        <f t="shared" si="26"/>
        <v>0</v>
      </c>
      <c r="O73" s="11"/>
      <c r="P73" s="6"/>
      <c r="Q73" s="2"/>
      <c r="R73" s="7">
        <f t="shared" si="27"/>
        <v>0</v>
      </c>
      <c r="S73" s="2"/>
      <c r="T73" s="6">
        <v>0</v>
      </c>
      <c r="U73" s="2"/>
      <c r="V73" s="7">
        <f t="shared" si="28"/>
        <v>0</v>
      </c>
      <c r="W73" s="2"/>
      <c r="X73" s="6">
        <f t="shared" si="29"/>
        <v>0</v>
      </c>
      <c r="Y73" s="2"/>
      <c r="Z73" s="7">
        <f t="shared" si="30"/>
        <v>0</v>
      </c>
    </row>
    <row r="74" spans="1:26" s="24" customFormat="1" hidden="1" outlineLevel="2" x14ac:dyDescent="0.25">
      <c r="A74" s="25"/>
      <c r="B74" s="11" t="str">
        <f>CONCATENATE("          ", "6004", " - ", "STAFF HOURLY")</f>
        <v xml:space="preserve">          6004 - STAFF HOURLY</v>
      </c>
      <c r="C74" s="11"/>
      <c r="D74" s="6">
        <v>2419.62</v>
      </c>
      <c r="E74" s="2"/>
      <c r="F74" s="7">
        <f t="shared" si="23"/>
        <v>2.1168682542114136E-2</v>
      </c>
      <c r="G74" s="2"/>
      <c r="H74" s="6">
        <v>1400.8</v>
      </c>
      <c r="I74" s="2"/>
      <c r="J74" s="7">
        <f t="shared" si="24"/>
        <v>8.5399012375784907E-3</v>
      </c>
      <c r="K74" s="2"/>
      <c r="L74" s="6">
        <f t="shared" si="25"/>
        <v>1018.8199999999999</v>
      </c>
      <c r="M74" s="2"/>
      <c r="N74" s="7">
        <f t="shared" si="26"/>
        <v>0.72731296402055967</v>
      </c>
      <c r="O74" s="11"/>
      <c r="P74" s="6">
        <v>2419.62</v>
      </c>
      <c r="Q74" s="2"/>
      <c r="R74" s="7">
        <f t="shared" si="27"/>
        <v>1.1870574036562055E-3</v>
      </c>
      <c r="S74" s="2"/>
      <c r="T74" s="6">
        <v>13270.52</v>
      </c>
      <c r="U74" s="2"/>
      <c r="V74" s="7">
        <f t="shared" si="28"/>
        <v>6.4464405335519954E-3</v>
      </c>
      <c r="W74" s="2"/>
      <c r="X74" s="6">
        <f t="shared" si="29"/>
        <v>-10850.900000000001</v>
      </c>
      <c r="Y74" s="2"/>
      <c r="Z74" s="7">
        <f t="shared" si="30"/>
        <v>-0.817669541208634</v>
      </c>
    </row>
    <row r="75" spans="1:26" s="24" customFormat="1" hidden="1" outlineLevel="2" x14ac:dyDescent="0.25">
      <c r="A75" s="25"/>
      <c r="B75" s="11" t="str">
        <f>CONCATENATE("          ", "6005", " - ", "TEMPORARY WAGES-HOURLY")</f>
        <v xml:space="preserve">          6005 - TEMPORARY WAGES-HOURLY</v>
      </c>
      <c r="C75" s="11"/>
      <c r="D75" s="6">
        <v>2659.98</v>
      </c>
      <c r="E75" s="2"/>
      <c r="F75" s="7">
        <f t="shared" si="23"/>
        <v>2.3271535277594319E-2</v>
      </c>
      <c r="G75" s="2"/>
      <c r="H75" s="6">
        <v>0</v>
      </c>
      <c r="I75" s="2"/>
      <c r="J75" s="7">
        <f t="shared" si="24"/>
        <v>0</v>
      </c>
      <c r="K75" s="2"/>
      <c r="L75" s="6">
        <f t="shared" si="25"/>
        <v>2659.98</v>
      </c>
      <c r="M75" s="2"/>
      <c r="N75" s="7">
        <f t="shared" si="26"/>
        <v>0</v>
      </c>
      <c r="O75" s="11"/>
      <c r="P75" s="6">
        <v>29960.57</v>
      </c>
      <c r="Q75" s="2"/>
      <c r="R75" s="7">
        <f t="shared" si="27"/>
        <v>1.4698554498747738E-2</v>
      </c>
      <c r="S75" s="2"/>
      <c r="T75" s="6">
        <v>0</v>
      </c>
      <c r="U75" s="2"/>
      <c r="V75" s="7">
        <f t="shared" si="28"/>
        <v>0</v>
      </c>
      <c r="W75" s="2"/>
      <c r="X75" s="6">
        <f t="shared" si="29"/>
        <v>29960.57</v>
      </c>
      <c r="Y75" s="2"/>
      <c r="Z75" s="7">
        <f t="shared" si="30"/>
        <v>0</v>
      </c>
    </row>
    <row r="76" spans="1:26" s="24" customFormat="1" hidden="1" outlineLevel="2" x14ac:dyDescent="0.25">
      <c r="A76" s="25"/>
      <c r="B76" s="11" t="str">
        <f>CONCATENATE("          ", "6006", " - ", "TEMPORARY PART TIME")</f>
        <v xml:space="preserve">          6006 - TEMPORARY PART TIME</v>
      </c>
      <c r="C76" s="11"/>
      <c r="D76" s="6"/>
      <c r="E76" s="2"/>
      <c r="F76" s="7">
        <f t="shared" si="23"/>
        <v>0</v>
      </c>
      <c r="G76" s="2"/>
      <c r="H76" s="6">
        <v>0</v>
      </c>
      <c r="I76" s="2"/>
      <c r="J76" s="7">
        <f t="shared" si="24"/>
        <v>0</v>
      </c>
      <c r="K76" s="2"/>
      <c r="L76" s="6">
        <f t="shared" si="25"/>
        <v>0</v>
      </c>
      <c r="M76" s="2"/>
      <c r="N76" s="7">
        <f t="shared" si="26"/>
        <v>0</v>
      </c>
      <c r="O76" s="11"/>
      <c r="P76" s="6">
        <v>9008.99</v>
      </c>
      <c r="Q76" s="2"/>
      <c r="R76" s="7">
        <f t="shared" si="27"/>
        <v>4.4197800807419009E-3</v>
      </c>
      <c r="S76" s="2"/>
      <c r="T76" s="6">
        <v>0</v>
      </c>
      <c r="U76" s="2"/>
      <c r="V76" s="7">
        <f t="shared" si="28"/>
        <v>0</v>
      </c>
      <c r="W76" s="2"/>
      <c r="X76" s="6">
        <f t="shared" si="29"/>
        <v>9008.99</v>
      </c>
      <c r="Y76" s="2"/>
      <c r="Z76" s="7">
        <f t="shared" si="30"/>
        <v>0</v>
      </c>
    </row>
    <row r="77" spans="1:26" s="24" customFormat="1" hidden="1" outlineLevel="2" x14ac:dyDescent="0.25">
      <c r="A77" s="25"/>
      <c r="B77" s="11" t="str">
        <f>CONCATENATE("          ", "6007", " - ", "STUDENT HOURLY")</f>
        <v xml:space="preserve">          6007 - STUDENT HOURLY</v>
      </c>
      <c r="C77" s="11"/>
      <c r="D77" s="6">
        <v>2966.61</v>
      </c>
      <c r="E77" s="2"/>
      <c r="F77" s="7">
        <f t="shared" si="23"/>
        <v>2.5954168553847804E-2</v>
      </c>
      <c r="G77" s="2"/>
      <c r="H77" s="6">
        <v>0</v>
      </c>
      <c r="I77" s="2"/>
      <c r="J77" s="7">
        <f t="shared" si="24"/>
        <v>0</v>
      </c>
      <c r="K77" s="2"/>
      <c r="L77" s="6">
        <f t="shared" si="25"/>
        <v>2966.61</v>
      </c>
      <c r="M77" s="2"/>
      <c r="N77" s="7">
        <f t="shared" si="26"/>
        <v>0</v>
      </c>
      <c r="O77" s="11"/>
      <c r="P77" s="6">
        <v>20017.990000000002</v>
      </c>
      <c r="Q77" s="2"/>
      <c r="R77" s="7">
        <f t="shared" si="27"/>
        <v>9.8207583156925005E-3</v>
      </c>
      <c r="S77" s="2"/>
      <c r="T77" s="6">
        <v>9378.75</v>
      </c>
      <c r="U77" s="2"/>
      <c r="V77" s="7">
        <f t="shared" si="28"/>
        <v>4.5559295456433337E-3</v>
      </c>
      <c r="W77" s="2"/>
      <c r="X77" s="6">
        <f t="shared" si="29"/>
        <v>10639.240000000002</v>
      </c>
      <c r="Y77" s="2"/>
      <c r="Z77" s="7">
        <f t="shared" si="30"/>
        <v>1.1343985072637612</v>
      </c>
    </row>
    <row r="78" spans="1:26" s="24" customFormat="1" hidden="1" outlineLevel="2" x14ac:dyDescent="0.25">
      <c r="A78" s="25"/>
      <c r="B78" s="11" t="str">
        <f>CONCATENATE("          ", "6008", " - ", "STUDENT HOURLY-FICA EXEMPT")</f>
        <v xml:space="preserve">          6008 - STUDENT HOURLY-FICA EXEMPT</v>
      </c>
      <c r="C78" s="11"/>
      <c r="D78" s="6"/>
      <c r="E78" s="2"/>
      <c r="F78" s="7">
        <f t="shared" si="23"/>
        <v>0</v>
      </c>
      <c r="G78" s="2"/>
      <c r="H78" s="6">
        <v>6595.8255000000008</v>
      </c>
      <c r="I78" s="2"/>
      <c r="J78" s="7">
        <f t="shared" si="24"/>
        <v>4.021109248308237E-2</v>
      </c>
      <c r="K78" s="2"/>
      <c r="L78" s="6">
        <f t="shared" si="25"/>
        <v>-6595.8255000000008</v>
      </c>
      <c r="M78" s="2"/>
      <c r="N78" s="7">
        <f t="shared" si="26"/>
        <v>-1</v>
      </c>
      <c r="O78" s="11"/>
      <c r="P78" s="6"/>
      <c r="Q78" s="2"/>
      <c r="R78" s="7">
        <f t="shared" si="27"/>
        <v>0</v>
      </c>
      <c r="S78" s="2"/>
      <c r="T78" s="6">
        <v>39759.593999999997</v>
      </c>
      <c r="U78" s="2"/>
      <c r="V78" s="7">
        <f t="shared" si="28"/>
        <v>1.9314077998388208E-2</v>
      </c>
      <c r="W78" s="2"/>
      <c r="X78" s="6">
        <f t="shared" si="29"/>
        <v>-39759.593999999997</v>
      </c>
      <c r="Y78" s="2"/>
      <c r="Z78" s="7">
        <f t="shared" si="30"/>
        <v>-1</v>
      </c>
    </row>
    <row r="79" spans="1:26" s="24" customFormat="1" hidden="1" outlineLevel="2" x14ac:dyDescent="0.25">
      <c r="A79" s="25"/>
      <c r="B79" s="11" t="str">
        <f>CONCATENATE("          ", "6009", " - ", "TEMPORARY-SEASONAL")</f>
        <v xml:space="preserve">          6009 - TEMPORARY-SEASONAL</v>
      </c>
      <c r="C79" s="11"/>
      <c r="D79" s="6"/>
      <c r="E79" s="2"/>
      <c r="F79" s="7">
        <f t="shared" si="23"/>
        <v>0</v>
      </c>
      <c r="G79" s="2"/>
      <c r="H79" s="6">
        <v>0</v>
      </c>
      <c r="I79" s="2"/>
      <c r="J79" s="7">
        <f t="shared" si="24"/>
        <v>0</v>
      </c>
      <c r="K79" s="2"/>
      <c r="L79" s="6">
        <f t="shared" si="25"/>
        <v>0</v>
      </c>
      <c r="M79" s="2"/>
      <c r="N79" s="7">
        <f t="shared" si="26"/>
        <v>0</v>
      </c>
      <c r="O79" s="11"/>
      <c r="P79" s="6"/>
      <c r="Q79" s="2"/>
      <c r="R79" s="7">
        <f t="shared" si="27"/>
        <v>0</v>
      </c>
      <c r="S79" s="2"/>
      <c r="T79" s="6">
        <v>0</v>
      </c>
      <c r="U79" s="2"/>
      <c r="V79" s="7">
        <f t="shared" si="28"/>
        <v>0</v>
      </c>
      <c r="W79" s="2"/>
      <c r="X79" s="6">
        <f t="shared" si="29"/>
        <v>0</v>
      </c>
      <c r="Y79" s="2"/>
      <c r="Z79" s="7">
        <f t="shared" si="30"/>
        <v>0</v>
      </c>
    </row>
    <row r="80" spans="1:26" s="24" customFormat="1" hidden="1" outlineLevel="2" x14ac:dyDescent="0.25">
      <c r="A80" s="25"/>
      <c r="B80" s="11" t="str">
        <f>CONCATENATE("          ", "6010", " - ", "GRATUITY")</f>
        <v xml:space="preserve">          6010 - GRATUITY</v>
      </c>
      <c r="C80" s="11"/>
      <c r="D80" s="6"/>
      <c r="E80" s="2"/>
      <c r="F80" s="7">
        <f t="shared" si="23"/>
        <v>0</v>
      </c>
      <c r="G80" s="2"/>
      <c r="H80" s="6">
        <v>0</v>
      </c>
      <c r="I80" s="2"/>
      <c r="J80" s="7">
        <f t="shared" si="24"/>
        <v>0</v>
      </c>
      <c r="K80" s="2"/>
      <c r="L80" s="6">
        <f t="shared" si="25"/>
        <v>0</v>
      </c>
      <c r="M80" s="2"/>
      <c r="N80" s="7">
        <f t="shared" si="26"/>
        <v>0</v>
      </c>
      <c r="O80" s="11"/>
      <c r="P80" s="6"/>
      <c r="Q80" s="2"/>
      <c r="R80" s="7">
        <f t="shared" si="27"/>
        <v>0</v>
      </c>
      <c r="S80" s="2"/>
      <c r="T80" s="6">
        <v>0</v>
      </c>
      <c r="U80" s="2"/>
      <c r="V80" s="7">
        <f t="shared" si="28"/>
        <v>0</v>
      </c>
      <c r="W80" s="2"/>
      <c r="X80" s="6">
        <f t="shared" si="29"/>
        <v>0</v>
      </c>
      <c r="Y80" s="2"/>
      <c r="Z80" s="7">
        <f t="shared" si="30"/>
        <v>0</v>
      </c>
    </row>
    <row r="81" spans="1:26" s="27" customFormat="1" outlineLevel="1" collapsed="1" x14ac:dyDescent="0.25">
      <c r="A81" s="26"/>
      <c r="B81" s="13" t="str">
        <f>CONCATENATE("     ","Advertising/Promo                                 ")</f>
        <v xml:space="preserve">     Advertising/Promo                                 </v>
      </c>
      <c r="C81" s="13"/>
      <c r="D81" s="1">
        <f>SUM(OSRRefD22_2x_0)</f>
        <v>24.69</v>
      </c>
      <c r="E81" s="1"/>
      <c r="F81" s="5">
        <f t="shared" ref="F81:F97" si="31">IF(D$12=0,0,D81/D$12)</f>
        <v>2.1600696471545041E-4</v>
      </c>
      <c r="G81" s="1"/>
      <c r="H81" s="1">
        <f>SUM(OSRRefH22_2x_0)</f>
        <v>250</v>
      </c>
      <c r="I81" s="1"/>
      <c r="J81" s="5">
        <f t="shared" ref="J81:J97" si="32">IF(H$12=0,0,H81/H$12)</f>
        <v>1.5241114430287143E-3</v>
      </c>
      <c r="K81" s="1"/>
      <c r="L81" s="1">
        <f t="shared" ref="L81:L97" si="33">+D81-H81</f>
        <v>-225.31</v>
      </c>
      <c r="M81" s="1"/>
      <c r="N81" s="5">
        <f t="shared" ref="N81:N97" si="34">IF(H81=0,0,L81/H81)</f>
        <v>-0.90124000000000004</v>
      </c>
      <c r="O81" s="13"/>
      <c r="P81" s="1">
        <f>SUM(OSRRefP22_2x_0)</f>
        <v>1745.92</v>
      </c>
      <c r="Q81" s="1"/>
      <c r="R81" s="5">
        <f t="shared" ref="R81:R97" si="35">IF(P$12=0,0,P81/P$12)</f>
        <v>8.5654245798573436E-4</v>
      </c>
      <c r="S81" s="1"/>
      <c r="T81" s="1">
        <f>SUM(OSRRefT22_2x_0)</f>
        <v>2250</v>
      </c>
      <c r="U81" s="1"/>
      <c r="V81" s="5">
        <f t="shared" ref="V81:V97" si="36">IF(T$12=0,0,T81/T$12)</f>
        <v>1.0929858965957619E-3</v>
      </c>
      <c r="W81" s="1"/>
      <c r="X81" s="1">
        <f t="shared" ref="X81:X97" si="37">+P81-T81</f>
        <v>-504.07999999999993</v>
      </c>
      <c r="Y81" s="1"/>
      <c r="Z81" s="5">
        <f t="shared" ref="Z81:Z97" si="38">IF(T81=0,0,X81/T81)</f>
        <v>-0.22403555555555552</v>
      </c>
    </row>
    <row r="82" spans="1:26" s="24" customFormat="1" hidden="1" outlineLevel="2" x14ac:dyDescent="0.25">
      <c r="A82" s="25"/>
      <c r="B82" s="11" t="str">
        <f>CONCATENATE("          ", "6362", " - ", "ADVERTISING EXPENSE")</f>
        <v xml:space="preserve">          6362 - ADVERTISING EXPENSE</v>
      </c>
      <c r="C82" s="11"/>
      <c r="D82" s="6">
        <v>24.69</v>
      </c>
      <c r="E82" s="2"/>
      <c r="F82" s="7">
        <f t="shared" si="31"/>
        <v>2.1600696471545041E-4</v>
      </c>
      <c r="G82" s="2"/>
      <c r="H82" s="6">
        <v>250</v>
      </c>
      <c r="I82" s="2"/>
      <c r="J82" s="7">
        <f t="shared" si="32"/>
        <v>1.5241114430287143E-3</v>
      </c>
      <c r="K82" s="2"/>
      <c r="L82" s="6">
        <f t="shared" si="33"/>
        <v>-225.31</v>
      </c>
      <c r="M82" s="2"/>
      <c r="N82" s="7">
        <f t="shared" si="34"/>
        <v>-0.90124000000000004</v>
      </c>
      <c r="O82" s="11"/>
      <c r="P82" s="6">
        <v>1745.92</v>
      </c>
      <c r="Q82" s="2"/>
      <c r="R82" s="7">
        <f t="shared" si="35"/>
        <v>8.5654245798573436E-4</v>
      </c>
      <c r="S82" s="2"/>
      <c r="T82" s="6">
        <v>2250</v>
      </c>
      <c r="U82" s="2"/>
      <c r="V82" s="7">
        <f t="shared" si="36"/>
        <v>1.0929858965957619E-3</v>
      </c>
      <c r="W82" s="2"/>
      <c r="X82" s="6">
        <f t="shared" si="37"/>
        <v>-504.07999999999993</v>
      </c>
      <c r="Y82" s="2"/>
      <c r="Z82" s="7">
        <f t="shared" si="38"/>
        <v>-0.22403555555555552</v>
      </c>
    </row>
    <row r="83" spans="1:26" s="27" customFormat="1" outlineLevel="1" collapsed="1" x14ac:dyDescent="0.25">
      <c r="A83" s="26"/>
      <c r="B83" s="13" t="str">
        <f>CONCATENATE("     ","Depreciation                                      ")</f>
        <v xml:space="preserve">     Depreciation                                      </v>
      </c>
      <c r="C83" s="13"/>
      <c r="D83" s="1">
        <f>SUM(OSRRefD22_3x_0)</f>
        <v>280.44</v>
      </c>
      <c r="E83" s="1"/>
      <c r="F83" s="5">
        <f t="shared" si="31"/>
        <v>2.4535031666586028E-3</v>
      </c>
      <c r="G83" s="1"/>
      <c r="H83" s="1">
        <f>SUM(OSRRefH22_3x_0)</f>
        <v>0</v>
      </c>
      <c r="I83" s="1"/>
      <c r="J83" s="5">
        <f t="shared" si="32"/>
        <v>0</v>
      </c>
      <c r="K83" s="1"/>
      <c r="L83" s="1">
        <f t="shared" si="33"/>
        <v>280.44</v>
      </c>
      <c r="M83" s="1"/>
      <c r="N83" s="5">
        <f t="shared" si="34"/>
        <v>0</v>
      </c>
      <c r="O83" s="13"/>
      <c r="P83" s="1">
        <f>SUM(OSRRefP22_3x_0)</f>
        <v>2523.96</v>
      </c>
      <c r="Q83" s="1"/>
      <c r="R83" s="5">
        <f t="shared" si="35"/>
        <v>1.2382462554170145E-3</v>
      </c>
      <c r="S83" s="1"/>
      <c r="T83" s="1">
        <f>SUM(OSRRefT22_3x_0)</f>
        <v>0</v>
      </c>
      <c r="U83" s="1"/>
      <c r="V83" s="5">
        <f t="shared" si="36"/>
        <v>0</v>
      </c>
      <c r="W83" s="1"/>
      <c r="X83" s="1">
        <f t="shared" si="37"/>
        <v>2523.96</v>
      </c>
      <c r="Y83" s="1"/>
      <c r="Z83" s="5">
        <f t="shared" si="38"/>
        <v>0</v>
      </c>
    </row>
    <row r="84" spans="1:26" s="24" customFormat="1" hidden="1" outlineLevel="2" x14ac:dyDescent="0.25">
      <c r="A84" s="25"/>
      <c r="B84" s="11" t="str">
        <f>CONCATENATE("          ", "6322", " - ", "EQUIPMENT DEPRECIATION EXPENSE")</f>
        <v xml:space="preserve">          6322 - EQUIPMENT DEPRECIATION EXPENSE</v>
      </c>
      <c r="C84" s="11"/>
      <c r="D84" s="6">
        <v>280.44</v>
      </c>
      <c r="E84" s="2"/>
      <c r="F84" s="7">
        <f t="shared" si="31"/>
        <v>2.4535031666586028E-3</v>
      </c>
      <c r="G84" s="2"/>
      <c r="H84" s="6"/>
      <c r="I84" s="2"/>
      <c r="J84" s="7">
        <f t="shared" si="32"/>
        <v>0</v>
      </c>
      <c r="K84" s="2"/>
      <c r="L84" s="6">
        <f t="shared" si="33"/>
        <v>280.44</v>
      </c>
      <c r="M84" s="2"/>
      <c r="N84" s="7">
        <f t="shared" si="34"/>
        <v>0</v>
      </c>
      <c r="O84" s="11"/>
      <c r="P84" s="6">
        <v>2523.96</v>
      </c>
      <c r="Q84" s="2"/>
      <c r="R84" s="7">
        <f t="shared" si="35"/>
        <v>1.2382462554170145E-3</v>
      </c>
      <c r="S84" s="2"/>
      <c r="T84" s="6"/>
      <c r="U84" s="2"/>
      <c r="V84" s="7">
        <f t="shared" si="36"/>
        <v>0</v>
      </c>
      <c r="W84" s="2"/>
      <c r="X84" s="6">
        <f t="shared" si="37"/>
        <v>2523.96</v>
      </c>
      <c r="Y84" s="2"/>
      <c r="Z84" s="7">
        <f t="shared" si="38"/>
        <v>0</v>
      </c>
    </row>
    <row r="85" spans="1:26" s="27" customFormat="1" outlineLevel="1" collapsed="1" x14ac:dyDescent="0.25">
      <c r="A85" s="26"/>
      <c r="B85" s="13" t="str">
        <f>CONCATENATE("     ","Discounts and Markdowns                           ")</f>
        <v xml:space="preserve">     Discounts and Markdowns                           </v>
      </c>
      <c r="C85" s="13"/>
      <c r="D85" s="1">
        <f>SUM(OSRRefD22_4x_0)</f>
        <v>4929.46</v>
      </c>
      <c r="E85" s="1"/>
      <c r="F85" s="5">
        <f t="shared" si="31"/>
        <v>4.3126678504909845E-2</v>
      </c>
      <c r="G85" s="1"/>
      <c r="H85" s="1">
        <f>SUM(OSRRefH22_4x_0)</f>
        <v>2500</v>
      </c>
      <c r="I85" s="1"/>
      <c r="J85" s="5">
        <f t="shared" si="32"/>
        <v>1.5241114430287143E-2</v>
      </c>
      <c r="K85" s="1"/>
      <c r="L85" s="1">
        <f t="shared" si="33"/>
        <v>2429.46</v>
      </c>
      <c r="M85" s="1"/>
      <c r="N85" s="5">
        <f t="shared" si="34"/>
        <v>0.97178399999999998</v>
      </c>
      <c r="O85" s="13"/>
      <c r="P85" s="1">
        <f>SUM(OSRRefP22_4x_0)</f>
        <v>54716.33</v>
      </c>
      <c r="Q85" s="1"/>
      <c r="R85" s="5">
        <f t="shared" si="35"/>
        <v>2.6843646782303068E-2</v>
      </c>
      <c r="S85" s="1"/>
      <c r="T85" s="1">
        <f>SUM(OSRRefT22_4x_0)</f>
        <v>22500</v>
      </c>
      <c r="U85" s="1"/>
      <c r="V85" s="5">
        <f t="shared" si="36"/>
        <v>1.0929858965957618E-2</v>
      </c>
      <c r="W85" s="1"/>
      <c r="X85" s="1">
        <f t="shared" si="37"/>
        <v>32216.33</v>
      </c>
      <c r="Y85" s="1"/>
      <c r="Z85" s="5">
        <f t="shared" si="38"/>
        <v>1.431836888888889</v>
      </c>
    </row>
    <row r="86" spans="1:26" s="24" customFormat="1" hidden="1" outlineLevel="2" x14ac:dyDescent="0.25">
      <c r="A86" s="25"/>
      <c r="B86" s="11" t="str">
        <f>CONCATENATE("          ", "6382", " - ", "DISCOUNTS/MARK DOWNS")</f>
        <v xml:space="preserve">          6382 - DISCOUNTS/MARK DOWNS</v>
      </c>
      <c r="C86" s="11"/>
      <c r="D86" s="6">
        <v>4929.46</v>
      </c>
      <c r="E86" s="2"/>
      <c r="F86" s="7">
        <f t="shared" si="31"/>
        <v>4.3126678504909845E-2</v>
      </c>
      <c r="G86" s="2"/>
      <c r="H86" s="6">
        <v>2500</v>
      </c>
      <c r="I86" s="2"/>
      <c r="J86" s="7">
        <f t="shared" si="32"/>
        <v>1.5241114430287143E-2</v>
      </c>
      <c r="K86" s="2"/>
      <c r="L86" s="6">
        <f t="shared" si="33"/>
        <v>2429.46</v>
      </c>
      <c r="M86" s="2"/>
      <c r="N86" s="7">
        <f t="shared" si="34"/>
        <v>0.97178399999999998</v>
      </c>
      <c r="O86" s="11"/>
      <c r="P86" s="6">
        <v>54716.33</v>
      </c>
      <c r="Q86" s="2"/>
      <c r="R86" s="7">
        <f t="shared" si="35"/>
        <v>2.6843646782303068E-2</v>
      </c>
      <c r="S86" s="2"/>
      <c r="T86" s="6">
        <v>22500</v>
      </c>
      <c r="U86" s="2"/>
      <c r="V86" s="7">
        <f t="shared" si="36"/>
        <v>1.0929858965957618E-2</v>
      </c>
      <c r="W86" s="2"/>
      <c r="X86" s="6">
        <f t="shared" si="37"/>
        <v>32216.33</v>
      </c>
      <c r="Y86" s="2"/>
      <c r="Z86" s="7">
        <f t="shared" si="38"/>
        <v>1.431836888888889</v>
      </c>
    </row>
    <row r="87" spans="1:26" s="27" customFormat="1" outlineLevel="1" collapsed="1" x14ac:dyDescent="0.25">
      <c r="A87" s="26"/>
      <c r="B87" s="13" t="str">
        <f>CONCATENATE("     ","Employees' Appreciation                           ")</f>
        <v xml:space="preserve">     Employees' Appreciation                           </v>
      </c>
      <c r="C87" s="13"/>
      <c r="D87" s="1">
        <f>SUM(OSRRefD22_5x_0)</f>
        <v>0</v>
      </c>
      <c r="E87" s="1"/>
      <c r="F87" s="5">
        <f t="shared" si="31"/>
        <v>0</v>
      </c>
      <c r="G87" s="1"/>
      <c r="H87" s="1">
        <f>SUM(OSRRefH22_5x_0)</f>
        <v>40</v>
      </c>
      <c r="I87" s="1"/>
      <c r="J87" s="5">
        <f t="shared" si="32"/>
        <v>2.4385783088459427E-4</v>
      </c>
      <c r="K87" s="1"/>
      <c r="L87" s="1">
        <f t="shared" si="33"/>
        <v>-40</v>
      </c>
      <c r="M87" s="1"/>
      <c r="N87" s="5">
        <f t="shared" si="34"/>
        <v>-1</v>
      </c>
      <c r="O87" s="13"/>
      <c r="P87" s="1">
        <f>SUM(OSRRefP22_5x_0)</f>
        <v>0</v>
      </c>
      <c r="Q87" s="1"/>
      <c r="R87" s="5">
        <f t="shared" si="35"/>
        <v>0</v>
      </c>
      <c r="S87" s="1"/>
      <c r="T87" s="1">
        <f>SUM(OSRRefT22_5x_0)</f>
        <v>360</v>
      </c>
      <c r="U87" s="1"/>
      <c r="V87" s="5">
        <f t="shared" si="36"/>
        <v>1.748777434553219E-4</v>
      </c>
      <c r="W87" s="1"/>
      <c r="X87" s="1">
        <f t="shared" si="37"/>
        <v>-360</v>
      </c>
      <c r="Y87" s="1"/>
      <c r="Z87" s="5">
        <f t="shared" si="38"/>
        <v>-1</v>
      </c>
    </row>
    <row r="88" spans="1:26" s="24" customFormat="1" hidden="1" outlineLevel="2" x14ac:dyDescent="0.25">
      <c r="A88" s="25"/>
      <c r="B88" s="11" t="str">
        <f>CONCATENATE("          ", "6277", " - ", "EMPLOYEE APPRECIATION")</f>
        <v xml:space="preserve">          6277 - EMPLOYEE APPRECIATION</v>
      </c>
      <c r="C88" s="11"/>
      <c r="D88" s="6"/>
      <c r="E88" s="2"/>
      <c r="F88" s="7">
        <f t="shared" si="31"/>
        <v>0</v>
      </c>
      <c r="G88" s="2"/>
      <c r="H88" s="6">
        <v>40</v>
      </c>
      <c r="I88" s="2"/>
      <c r="J88" s="7">
        <f t="shared" si="32"/>
        <v>2.4385783088459427E-4</v>
      </c>
      <c r="K88" s="2"/>
      <c r="L88" s="6">
        <f t="shared" si="33"/>
        <v>-40</v>
      </c>
      <c r="M88" s="2"/>
      <c r="N88" s="7">
        <f t="shared" si="34"/>
        <v>-1</v>
      </c>
      <c r="O88" s="11"/>
      <c r="P88" s="6"/>
      <c r="Q88" s="2"/>
      <c r="R88" s="7">
        <f t="shared" si="35"/>
        <v>0</v>
      </c>
      <c r="S88" s="2"/>
      <c r="T88" s="6">
        <v>360</v>
      </c>
      <c r="U88" s="2"/>
      <c r="V88" s="7">
        <f t="shared" si="36"/>
        <v>1.748777434553219E-4</v>
      </c>
      <c r="W88" s="2"/>
      <c r="X88" s="6">
        <f t="shared" si="37"/>
        <v>-360</v>
      </c>
      <c r="Y88" s="2"/>
      <c r="Z88" s="7">
        <f t="shared" si="38"/>
        <v>-1</v>
      </c>
    </row>
    <row r="89" spans="1:26" s="27" customFormat="1" outlineLevel="1" collapsed="1" x14ac:dyDescent="0.25">
      <c r="A89" s="26"/>
      <c r="B89" s="13" t="str">
        <f>CONCATENATE("     ","Freight out/Postage                               ")</f>
        <v xml:space="preserve">     Freight out/Postage                               </v>
      </c>
      <c r="C89" s="13"/>
      <c r="D89" s="1">
        <f>SUM(OSRRefD22_6x_0)</f>
        <v>0</v>
      </c>
      <c r="E89" s="1"/>
      <c r="F89" s="5">
        <f t="shared" si="31"/>
        <v>0</v>
      </c>
      <c r="G89" s="1"/>
      <c r="H89" s="1">
        <f>SUM(OSRRefH22_6x_0)</f>
        <v>25</v>
      </c>
      <c r="I89" s="1"/>
      <c r="J89" s="5">
        <f t="shared" si="32"/>
        <v>1.5241114430287144E-4</v>
      </c>
      <c r="K89" s="1"/>
      <c r="L89" s="1">
        <f t="shared" si="33"/>
        <v>-25</v>
      </c>
      <c r="M89" s="1"/>
      <c r="N89" s="5">
        <f t="shared" si="34"/>
        <v>-1</v>
      </c>
      <c r="O89" s="13"/>
      <c r="P89" s="1">
        <f>SUM(OSRRefP22_6x_0)</f>
        <v>49.72</v>
      </c>
      <c r="Q89" s="1"/>
      <c r="R89" s="5">
        <f t="shared" si="35"/>
        <v>2.4392464151307453E-5</v>
      </c>
      <c r="S89" s="1"/>
      <c r="T89" s="1">
        <f>SUM(OSRRefT22_6x_0)</f>
        <v>225</v>
      </c>
      <c r="U89" s="1"/>
      <c r="V89" s="5">
        <f t="shared" si="36"/>
        <v>1.0929858965957618E-4</v>
      </c>
      <c r="W89" s="1"/>
      <c r="X89" s="1">
        <f t="shared" si="37"/>
        <v>-175.28</v>
      </c>
      <c r="Y89" s="1"/>
      <c r="Z89" s="5">
        <f t="shared" si="38"/>
        <v>-0.77902222222222228</v>
      </c>
    </row>
    <row r="90" spans="1:26" s="24" customFormat="1" hidden="1" outlineLevel="2" x14ac:dyDescent="0.25">
      <c r="A90" s="25"/>
      <c r="B90" s="11" t="str">
        <f>CONCATENATE("          ", "6305", " - ", "FREIGHT OUT")</f>
        <v xml:space="preserve">          6305 - FREIGHT OUT</v>
      </c>
      <c r="C90" s="11"/>
      <c r="D90" s="6"/>
      <c r="E90" s="2"/>
      <c r="F90" s="7">
        <f t="shared" si="31"/>
        <v>0</v>
      </c>
      <c r="G90" s="2"/>
      <c r="H90" s="6">
        <v>25</v>
      </c>
      <c r="I90" s="2"/>
      <c r="J90" s="7">
        <f t="shared" si="32"/>
        <v>1.5241114430287144E-4</v>
      </c>
      <c r="K90" s="2"/>
      <c r="L90" s="6">
        <f t="shared" si="33"/>
        <v>-25</v>
      </c>
      <c r="M90" s="2"/>
      <c r="N90" s="7">
        <f t="shared" si="34"/>
        <v>-1</v>
      </c>
      <c r="O90" s="11"/>
      <c r="P90" s="6">
        <v>49.72</v>
      </c>
      <c r="Q90" s="2"/>
      <c r="R90" s="7">
        <f t="shared" si="35"/>
        <v>2.4392464151307453E-5</v>
      </c>
      <c r="S90" s="2"/>
      <c r="T90" s="6">
        <v>225</v>
      </c>
      <c r="U90" s="2"/>
      <c r="V90" s="7">
        <f t="shared" si="36"/>
        <v>1.0929858965957618E-4</v>
      </c>
      <c r="W90" s="2"/>
      <c r="X90" s="6">
        <f t="shared" si="37"/>
        <v>-175.28</v>
      </c>
      <c r="Y90" s="2"/>
      <c r="Z90" s="7">
        <f t="shared" si="38"/>
        <v>-0.77902222222222228</v>
      </c>
    </row>
    <row r="91" spans="1:26" s="27" customFormat="1" outlineLevel="1" collapsed="1" x14ac:dyDescent="0.25">
      <c r="A91" s="26"/>
      <c r="B91" s="13" t="str">
        <f>CONCATENATE("     ","Repair and Maintenance                            ")</f>
        <v xml:space="preserve">     Repair and Maintenance                            </v>
      </c>
      <c r="C91" s="13"/>
      <c r="D91" s="1">
        <f>SUM(OSRRefD22_7x_0)</f>
        <v>0</v>
      </c>
      <c r="E91" s="1"/>
      <c r="F91" s="5">
        <f t="shared" si="31"/>
        <v>0</v>
      </c>
      <c r="G91" s="1"/>
      <c r="H91" s="1">
        <f>SUM(OSRRefH22_7x_0)</f>
        <v>0</v>
      </c>
      <c r="I91" s="1"/>
      <c r="J91" s="5">
        <f t="shared" si="32"/>
        <v>0</v>
      </c>
      <c r="K91" s="1"/>
      <c r="L91" s="1">
        <f t="shared" si="33"/>
        <v>0</v>
      </c>
      <c r="M91" s="1"/>
      <c r="N91" s="5">
        <f t="shared" si="34"/>
        <v>0</v>
      </c>
      <c r="O91" s="13"/>
      <c r="P91" s="1">
        <f>SUM(OSRRefP22_7x_0)</f>
        <v>197.18</v>
      </c>
      <c r="Q91" s="1"/>
      <c r="R91" s="5">
        <f t="shared" si="35"/>
        <v>9.6735842344223725E-5</v>
      </c>
      <c r="S91" s="1"/>
      <c r="T91" s="1">
        <f>SUM(OSRRefT22_7x_0)</f>
        <v>0</v>
      </c>
      <c r="U91" s="1"/>
      <c r="V91" s="5">
        <f t="shared" si="36"/>
        <v>0</v>
      </c>
      <c r="W91" s="1"/>
      <c r="X91" s="1">
        <f t="shared" si="37"/>
        <v>197.18</v>
      </c>
      <c r="Y91" s="1"/>
      <c r="Z91" s="5">
        <f t="shared" si="38"/>
        <v>0</v>
      </c>
    </row>
    <row r="92" spans="1:26" s="24" customFormat="1" hidden="1" outlineLevel="2" x14ac:dyDescent="0.25">
      <c r="A92" s="25"/>
      <c r="B92" s="11" t="str">
        <f>CONCATENATE("          ", "6375", " - ", "OUTSIDE REPAIRS &amp; MAINTENANCE")</f>
        <v xml:space="preserve">          6375 - OUTSIDE REPAIRS &amp; MAINTENANCE</v>
      </c>
      <c r="C92" s="11"/>
      <c r="D92" s="6"/>
      <c r="E92" s="2"/>
      <c r="F92" s="7">
        <f t="shared" si="31"/>
        <v>0</v>
      </c>
      <c r="G92" s="2"/>
      <c r="H92" s="6"/>
      <c r="I92" s="2"/>
      <c r="J92" s="7">
        <f t="shared" si="32"/>
        <v>0</v>
      </c>
      <c r="K92" s="2"/>
      <c r="L92" s="6">
        <f t="shared" si="33"/>
        <v>0</v>
      </c>
      <c r="M92" s="2"/>
      <c r="N92" s="7">
        <f t="shared" si="34"/>
        <v>0</v>
      </c>
      <c r="O92" s="11"/>
      <c r="P92" s="6">
        <v>197.18</v>
      </c>
      <c r="Q92" s="2"/>
      <c r="R92" s="7">
        <f t="shared" si="35"/>
        <v>9.6735842344223725E-5</v>
      </c>
      <c r="S92" s="2"/>
      <c r="T92" s="6"/>
      <c r="U92" s="2"/>
      <c r="V92" s="7">
        <f t="shared" si="36"/>
        <v>0</v>
      </c>
      <c r="W92" s="2"/>
      <c r="X92" s="6">
        <f t="shared" si="37"/>
        <v>197.18</v>
      </c>
      <c r="Y92" s="2"/>
      <c r="Z92" s="7">
        <f t="shared" si="38"/>
        <v>0</v>
      </c>
    </row>
    <row r="93" spans="1:26" s="27" customFormat="1" outlineLevel="1" collapsed="1" x14ac:dyDescent="0.25">
      <c r="A93" s="26"/>
      <c r="B93" s="13" t="str">
        <f>CONCATENATE("     ","Subscriptions &amp; Dues                              ")</f>
        <v xml:space="preserve">     Subscriptions &amp; Dues                              </v>
      </c>
      <c r="C93" s="13"/>
      <c r="D93" s="1">
        <f>SUM(OSRRefD22_8x_0)</f>
        <v>0</v>
      </c>
      <c r="E93" s="1"/>
      <c r="F93" s="5">
        <f t="shared" si="31"/>
        <v>0</v>
      </c>
      <c r="G93" s="1"/>
      <c r="H93" s="1">
        <f>SUM(OSRRefH22_8x_0)</f>
        <v>0</v>
      </c>
      <c r="I93" s="1"/>
      <c r="J93" s="5">
        <f t="shared" si="32"/>
        <v>0</v>
      </c>
      <c r="K93" s="1"/>
      <c r="L93" s="1">
        <f t="shared" si="33"/>
        <v>0</v>
      </c>
      <c r="M93" s="1"/>
      <c r="N93" s="5">
        <f t="shared" si="34"/>
        <v>0</v>
      </c>
      <c r="O93" s="13"/>
      <c r="P93" s="1">
        <f>SUM(OSRRefP22_8x_0)</f>
        <v>-4886.5</v>
      </c>
      <c r="Q93" s="1"/>
      <c r="R93" s="5">
        <f t="shared" si="35"/>
        <v>-2.3973004037683805E-3</v>
      </c>
      <c r="S93" s="1"/>
      <c r="T93" s="1">
        <f>SUM(OSRRefT22_8x_0)</f>
        <v>0</v>
      </c>
      <c r="U93" s="1"/>
      <c r="V93" s="5">
        <f t="shared" si="36"/>
        <v>0</v>
      </c>
      <c r="W93" s="1"/>
      <c r="X93" s="1">
        <f t="shared" si="37"/>
        <v>-4886.5</v>
      </c>
      <c r="Y93" s="1"/>
      <c r="Z93" s="5">
        <f t="shared" si="38"/>
        <v>0</v>
      </c>
    </row>
    <row r="94" spans="1:26" s="24" customFormat="1" hidden="1" outlineLevel="2" x14ac:dyDescent="0.25">
      <c r="A94" s="25"/>
      <c r="B94" s="11" t="str">
        <f>CONCATENATE("          ", "6258", " - ", "MEMBERSHIP DUES")</f>
        <v xml:space="preserve">          6258 - MEMBERSHIP DUES</v>
      </c>
      <c r="C94" s="11"/>
      <c r="D94" s="6"/>
      <c r="E94" s="2"/>
      <c r="F94" s="7">
        <f t="shared" si="31"/>
        <v>0</v>
      </c>
      <c r="G94" s="2"/>
      <c r="H94" s="6"/>
      <c r="I94" s="2"/>
      <c r="J94" s="7">
        <f t="shared" si="32"/>
        <v>0</v>
      </c>
      <c r="K94" s="2"/>
      <c r="L94" s="6">
        <f t="shared" si="33"/>
        <v>0</v>
      </c>
      <c r="M94" s="2"/>
      <c r="N94" s="7">
        <f t="shared" si="34"/>
        <v>0</v>
      </c>
      <c r="O94" s="11"/>
      <c r="P94" s="6">
        <v>-4886.5</v>
      </c>
      <c r="Q94" s="2"/>
      <c r="R94" s="7">
        <f t="shared" si="35"/>
        <v>-2.3973004037683805E-3</v>
      </c>
      <c r="S94" s="2"/>
      <c r="T94" s="6"/>
      <c r="U94" s="2"/>
      <c r="V94" s="7">
        <f t="shared" si="36"/>
        <v>0</v>
      </c>
      <c r="W94" s="2"/>
      <c r="X94" s="6">
        <f t="shared" si="37"/>
        <v>-4886.5</v>
      </c>
      <c r="Y94" s="2"/>
      <c r="Z94" s="7">
        <f t="shared" si="38"/>
        <v>0</v>
      </c>
    </row>
    <row r="95" spans="1:26" s="27" customFormat="1" outlineLevel="1" collapsed="1" x14ac:dyDescent="0.25">
      <c r="A95" s="26"/>
      <c r="B95" s="13" t="str">
        <f>CONCATENATE("     ","Supplies                                          ")</f>
        <v xml:space="preserve">     Supplies                                          </v>
      </c>
      <c r="C95" s="13"/>
      <c r="D95" s="1">
        <f>SUM(OSRRefD22_9x_0)</f>
        <v>58.95</v>
      </c>
      <c r="E95" s="1"/>
      <c r="F95" s="5">
        <f t="shared" si="31"/>
        <v>5.1573959376167685E-4</v>
      </c>
      <c r="G95" s="1"/>
      <c r="H95" s="1">
        <f>SUM(OSRRefH22_9x_0)</f>
        <v>275</v>
      </c>
      <c r="I95" s="1"/>
      <c r="J95" s="5">
        <f t="shared" si="32"/>
        <v>1.6765225873315857E-3</v>
      </c>
      <c r="K95" s="1"/>
      <c r="L95" s="1">
        <f t="shared" si="33"/>
        <v>-216.05</v>
      </c>
      <c r="M95" s="1"/>
      <c r="N95" s="5">
        <f t="shared" si="34"/>
        <v>-0.78563636363636369</v>
      </c>
      <c r="O95" s="13"/>
      <c r="P95" s="1">
        <f>SUM(OSRRefP22_9x_0)</f>
        <v>3135.2700000000004</v>
      </c>
      <c r="Q95" s="1"/>
      <c r="R95" s="5">
        <f t="shared" si="35"/>
        <v>1.5381528777085626E-3</v>
      </c>
      <c r="S95" s="1"/>
      <c r="T95" s="1">
        <f>SUM(OSRRefT22_9x_0)</f>
        <v>2475</v>
      </c>
      <c r="U95" s="1"/>
      <c r="V95" s="5">
        <f t="shared" si="36"/>
        <v>1.2022844862553379E-3</v>
      </c>
      <c r="W95" s="1"/>
      <c r="X95" s="1">
        <f t="shared" si="37"/>
        <v>660.27000000000044</v>
      </c>
      <c r="Y95" s="1"/>
      <c r="Z95" s="5">
        <f t="shared" si="38"/>
        <v>0.26677575757575778</v>
      </c>
    </row>
    <row r="96" spans="1:26" s="24" customFormat="1" hidden="1" outlineLevel="2" x14ac:dyDescent="0.25">
      <c r="A96" s="25"/>
      <c r="B96" s="11" t="str">
        <f>CONCATENATE("          ", "6241", " - ", "OFFICE EXPENSE")</f>
        <v xml:space="preserve">          6241 - OFFICE EXPENSE</v>
      </c>
      <c r="C96" s="11"/>
      <c r="D96" s="6">
        <v>58.95</v>
      </c>
      <c r="E96" s="2"/>
      <c r="F96" s="7">
        <f t="shared" si="31"/>
        <v>5.1573959376167685E-4</v>
      </c>
      <c r="G96" s="2"/>
      <c r="H96" s="6">
        <v>275</v>
      </c>
      <c r="I96" s="2"/>
      <c r="J96" s="7">
        <f t="shared" si="32"/>
        <v>1.6765225873315857E-3</v>
      </c>
      <c r="K96" s="2"/>
      <c r="L96" s="6">
        <f t="shared" si="33"/>
        <v>-216.05</v>
      </c>
      <c r="M96" s="2"/>
      <c r="N96" s="7">
        <f t="shared" si="34"/>
        <v>-0.78563636363636369</v>
      </c>
      <c r="O96" s="11"/>
      <c r="P96" s="6">
        <v>1125.8900000000001</v>
      </c>
      <c r="Q96" s="2"/>
      <c r="R96" s="7">
        <f t="shared" si="35"/>
        <v>5.5235783313184938E-4</v>
      </c>
      <c r="S96" s="2"/>
      <c r="T96" s="6">
        <v>2475</v>
      </c>
      <c r="U96" s="2"/>
      <c r="V96" s="7">
        <f t="shared" si="36"/>
        <v>1.2022844862553379E-3</v>
      </c>
      <c r="W96" s="2"/>
      <c r="X96" s="6">
        <f t="shared" si="37"/>
        <v>-1349.11</v>
      </c>
      <c r="Y96" s="2"/>
      <c r="Z96" s="7">
        <f t="shared" si="38"/>
        <v>-0.54509494949494941</v>
      </c>
    </row>
    <row r="97" spans="1:26" s="24" customFormat="1" hidden="1" outlineLevel="2" x14ac:dyDescent="0.25">
      <c r="A97" s="25"/>
      <c r="B97" s="11" t="str">
        <f>CONCATENATE("          ", "6247", " - ", "STORE SUPPLIES")</f>
        <v xml:space="preserve">          6247 - STORE SUPPLIES</v>
      </c>
      <c r="C97" s="11"/>
      <c r="D97" s="6"/>
      <c r="E97" s="2"/>
      <c r="F97" s="7">
        <f t="shared" si="31"/>
        <v>0</v>
      </c>
      <c r="G97" s="2"/>
      <c r="H97" s="6"/>
      <c r="I97" s="2"/>
      <c r="J97" s="7">
        <f t="shared" si="32"/>
        <v>0</v>
      </c>
      <c r="K97" s="2"/>
      <c r="L97" s="6">
        <f t="shared" si="33"/>
        <v>0</v>
      </c>
      <c r="M97" s="2"/>
      <c r="N97" s="7">
        <f t="shared" si="34"/>
        <v>0</v>
      </c>
      <c r="O97" s="11"/>
      <c r="P97" s="6">
        <v>2009.38</v>
      </c>
      <c r="Q97" s="2"/>
      <c r="R97" s="7">
        <f t="shared" si="35"/>
        <v>9.8579504457671301E-4</v>
      </c>
      <c r="S97" s="2"/>
      <c r="T97" s="6"/>
      <c r="U97" s="2"/>
      <c r="V97" s="7">
        <f t="shared" si="36"/>
        <v>0</v>
      </c>
      <c r="W97" s="2"/>
      <c r="X97" s="6">
        <f t="shared" si="37"/>
        <v>2009.38</v>
      </c>
      <c r="Y97" s="2"/>
      <c r="Z97" s="7">
        <f t="shared" si="38"/>
        <v>0</v>
      </c>
    </row>
    <row r="98" spans="1:26" s="27" customFormat="1" outlineLevel="1" collapsed="1" x14ac:dyDescent="0.25">
      <c r="A98" s="26"/>
      <c r="B98" s="13" t="str">
        <f>CONCATENATE("     ","Telephone/Data Lines                              ")</f>
        <v xml:space="preserve">     Telephone/Data Lines                              </v>
      </c>
      <c r="C98" s="13"/>
      <c r="D98" s="1">
        <f>SUM(OSRRefD22_10x_0)</f>
        <v>258.75</v>
      </c>
      <c r="E98" s="1"/>
      <c r="F98" s="5">
        <f t="shared" ref="F98:F100" si="39">IF(D$12=0,0,D98/D$12)</f>
        <v>2.2637424917020168E-3</v>
      </c>
      <c r="G98" s="1"/>
      <c r="H98" s="1">
        <f>SUM(OSRRefH22_10x_0)</f>
        <v>280</v>
      </c>
      <c r="I98" s="1"/>
      <c r="J98" s="5">
        <f t="shared" ref="J98:J100" si="40">IF(H$12=0,0,H98/H$12)</f>
        <v>1.7070048161921599E-3</v>
      </c>
      <c r="K98" s="1"/>
      <c r="L98" s="1">
        <f t="shared" ref="L98:L100" si="41">+D98-H98</f>
        <v>-21.25</v>
      </c>
      <c r="M98" s="1"/>
      <c r="N98" s="5">
        <f t="shared" ref="N98:N100" si="42">IF(H98=0,0,L98/H98)</f>
        <v>-7.5892857142857137E-2</v>
      </c>
      <c r="O98" s="13"/>
      <c r="P98" s="1">
        <f>SUM(OSRRefP22_10x_0)</f>
        <v>2304.6</v>
      </c>
      <c r="Q98" s="1"/>
      <c r="R98" s="5">
        <f t="shared" ref="R98:R100" si="43">IF(P$12=0,0,P98/P$12)</f>
        <v>1.130628979949782E-3</v>
      </c>
      <c r="S98" s="1"/>
      <c r="T98" s="1">
        <f>SUM(OSRRefT22_10x_0)</f>
        <v>2520</v>
      </c>
      <c r="U98" s="1"/>
      <c r="V98" s="5">
        <f t="shared" ref="V98:V100" si="44">IF(T$12=0,0,T98/T$12)</f>
        <v>1.2241442041872532E-3</v>
      </c>
      <c r="W98" s="1"/>
      <c r="X98" s="1">
        <f t="shared" ref="X98:X100" si="45">+P98-T98</f>
        <v>-215.40000000000009</v>
      </c>
      <c r="Y98" s="1"/>
      <c r="Z98" s="5">
        <f t="shared" ref="Z98:Z100" si="46">IF(T98=0,0,X98/T98)</f>
        <v>-8.5476190476190511E-2</v>
      </c>
    </row>
    <row r="99" spans="1:26" s="24" customFormat="1" hidden="1" outlineLevel="2" x14ac:dyDescent="0.25">
      <c r="A99" s="25"/>
      <c r="B99" s="11" t="str">
        <f>CONCATENATE("          ", "6303", " - ", "DATA PHONE LINES")</f>
        <v xml:space="preserve">          6303 - DATA PHONE LINES</v>
      </c>
      <c r="C99" s="11"/>
      <c r="D99" s="6"/>
      <c r="E99" s="2"/>
      <c r="F99" s="7">
        <f t="shared" si="39"/>
        <v>0</v>
      </c>
      <c r="G99" s="2"/>
      <c r="H99" s="6">
        <v>280</v>
      </c>
      <c r="I99" s="2"/>
      <c r="J99" s="7">
        <f t="shared" si="40"/>
        <v>1.7070048161921599E-3</v>
      </c>
      <c r="K99" s="2"/>
      <c r="L99" s="6">
        <f t="shared" si="41"/>
        <v>-280</v>
      </c>
      <c r="M99" s="2"/>
      <c r="N99" s="7">
        <f t="shared" si="42"/>
        <v>-1</v>
      </c>
      <c r="O99" s="11"/>
      <c r="P99" s="6"/>
      <c r="Q99" s="2"/>
      <c r="R99" s="7">
        <f t="shared" si="43"/>
        <v>0</v>
      </c>
      <c r="S99" s="2"/>
      <c r="T99" s="6">
        <v>2520</v>
      </c>
      <c r="U99" s="2"/>
      <c r="V99" s="7">
        <f t="shared" si="44"/>
        <v>1.2241442041872532E-3</v>
      </c>
      <c r="W99" s="2"/>
      <c r="X99" s="6">
        <f t="shared" si="45"/>
        <v>-2520</v>
      </c>
      <c r="Y99" s="2"/>
      <c r="Z99" s="7">
        <f t="shared" si="46"/>
        <v>-1</v>
      </c>
    </row>
    <row r="100" spans="1:26" s="24" customFormat="1" hidden="1" outlineLevel="2" x14ac:dyDescent="0.25">
      <c r="A100" s="25"/>
      <c r="B100" s="11" t="str">
        <f>CONCATENATE("          ", "6309", " - ", "TELEPHONE")</f>
        <v xml:space="preserve">          6309 - TELEPHONE</v>
      </c>
      <c r="C100" s="11"/>
      <c r="D100" s="6">
        <v>258.75</v>
      </c>
      <c r="E100" s="2"/>
      <c r="F100" s="7">
        <f t="shared" si="39"/>
        <v>2.2637424917020168E-3</v>
      </c>
      <c r="G100" s="2"/>
      <c r="H100" s="6"/>
      <c r="I100" s="2"/>
      <c r="J100" s="7">
        <f t="shared" si="40"/>
        <v>0</v>
      </c>
      <c r="K100" s="2"/>
      <c r="L100" s="6">
        <f t="shared" si="41"/>
        <v>258.75</v>
      </c>
      <c r="M100" s="2"/>
      <c r="N100" s="7">
        <f t="shared" si="42"/>
        <v>0</v>
      </c>
      <c r="O100" s="11"/>
      <c r="P100" s="6">
        <v>2304.6</v>
      </c>
      <c r="Q100" s="2"/>
      <c r="R100" s="7">
        <f t="shared" si="43"/>
        <v>1.130628979949782E-3</v>
      </c>
      <c r="S100" s="2"/>
      <c r="T100" s="6"/>
      <c r="U100" s="2"/>
      <c r="V100" s="7">
        <f t="shared" si="44"/>
        <v>0</v>
      </c>
      <c r="W100" s="2"/>
      <c r="X100" s="6">
        <f t="shared" si="45"/>
        <v>2304.6</v>
      </c>
      <c r="Y100" s="2"/>
      <c r="Z100" s="7">
        <f t="shared" si="46"/>
        <v>0</v>
      </c>
    </row>
    <row r="101" spans="1:26" s="27" customFormat="1" outlineLevel="1" collapsed="1" x14ac:dyDescent="0.25">
      <c r="A101" s="26"/>
      <c r="B101" s="13" t="str">
        <f>CONCATENATE("     ","Training                                          ")</f>
        <v xml:space="preserve">     Training                                          </v>
      </c>
      <c r="C101" s="13"/>
      <c r="D101" s="1">
        <f>SUM(OSRRefD22_11x_0)</f>
        <v>571.04999999999995</v>
      </c>
      <c r="E101" s="1"/>
      <c r="F101" s="5">
        <f t="shared" ref="F101:F104" si="47">IF(D$12=0,0,D101/D$12)</f>
        <v>4.9959812555997541E-3</v>
      </c>
      <c r="G101" s="1"/>
      <c r="H101" s="1">
        <f>SUM(OSRRefH22_11x_0)</f>
        <v>375</v>
      </c>
      <c r="I101" s="1"/>
      <c r="J101" s="5">
        <f t="shared" ref="J101:J104" si="48">IF(H$12=0,0,H101/H$12)</f>
        <v>2.2861671645430714E-3</v>
      </c>
      <c r="K101" s="1"/>
      <c r="L101" s="1">
        <f t="shared" ref="L101:L104" si="49">+D101-H101</f>
        <v>196.04999999999995</v>
      </c>
      <c r="M101" s="1"/>
      <c r="N101" s="5">
        <f t="shared" ref="N101:N104" si="50">IF(H101=0,0,L101/H101)</f>
        <v>0.52279999999999993</v>
      </c>
      <c r="O101" s="13"/>
      <c r="P101" s="1">
        <f>SUM(OSRRefP22_11x_0)</f>
        <v>1875.75</v>
      </c>
      <c r="Q101" s="1"/>
      <c r="R101" s="5">
        <f t="shared" ref="R101:R104" si="51">IF(P$12=0,0,P101/P$12)</f>
        <v>9.2023661769539337E-4</v>
      </c>
      <c r="S101" s="1"/>
      <c r="T101" s="1">
        <f>SUM(OSRRefT22_11x_0)</f>
        <v>3375</v>
      </c>
      <c r="U101" s="1"/>
      <c r="V101" s="5">
        <f t="shared" ref="V101:V104" si="52">IF(T$12=0,0,T101/T$12)</f>
        <v>1.6394788448936427E-3</v>
      </c>
      <c r="W101" s="1"/>
      <c r="X101" s="1">
        <f t="shared" ref="X101:X104" si="53">+P101-T101</f>
        <v>-1499.25</v>
      </c>
      <c r="Y101" s="1"/>
      <c r="Z101" s="5">
        <f t="shared" ref="Z101:Z104" si="54">IF(T101=0,0,X101/T101)</f>
        <v>-0.44422222222222224</v>
      </c>
    </row>
    <row r="102" spans="1:26" s="24" customFormat="1" hidden="1" outlineLevel="2" x14ac:dyDescent="0.25">
      <c r="A102" s="25"/>
      <c r="B102" s="11" t="str">
        <f>CONCATENATE("          ", "6376", " - ", "TRAINING")</f>
        <v xml:space="preserve">          6376 - TRAINING</v>
      </c>
      <c r="C102" s="11"/>
      <c r="D102" s="6">
        <v>571.04999999999995</v>
      </c>
      <c r="E102" s="2"/>
      <c r="F102" s="7">
        <f t="shared" si="47"/>
        <v>4.9959812555997541E-3</v>
      </c>
      <c r="G102" s="2"/>
      <c r="H102" s="6">
        <v>375</v>
      </c>
      <c r="I102" s="2"/>
      <c r="J102" s="7">
        <f t="shared" si="48"/>
        <v>2.2861671645430714E-3</v>
      </c>
      <c r="K102" s="2"/>
      <c r="L102" s="6">
        <f t="shared" si="49"/>
        <v>196.04999999999995</v>
      </c>
      <c r="M102" s="2"/>
      <c r="N102" s="7">
        <f t="shared" si="50"/>
        <v>0.52279999999999993</v>
      </c>
      <c r="O102" s="11"/>
      <c r="P102" s="6">
        <v>1875.75</v>
      </c>
      <c r="Q102" s="2"/>
      <c r="R102" s="7">
        <f t="shared" si="51"/>
        <v>9.2023661769539337E-4</v>
      </c>
      <c r="S102" s="2"/>
      <c r="T102" s="6">
        <v>3375</v>
      </c>
      <c r="U102" s="2"/>
      <c r="V102" s="7">
        <f t="shared" si="52"/>
        <v>1.6394788448936427E-3</v>
      </c>
      <c r="W102" s="2"/>
      <c r="X102" s="6">
        <f t="shared" si="53"/>
        <v>-1499.25</v>
      </c>
      <c r="Y102" s="2"/>
      <c r="Z102" s="7">
        <f t="shared" si="54"/>
        <v>-0.44422222222222224</v>
      </c>
    </row>
    <row r="103" spans="1:26" s="27" customFormat="1" outlineLevel="1" collapsed="1" x14ac:dyDescent="0.25">
      <c r="A103" s="26"/>
      <c r="B103" s="13" t="str">
        <f>CONCATENATE("     ","Travel                                            ")</f>
        <v xml:space="preserve">     Travel                                            </v>
      </c>
      <c r="C103" s="13"/>
      <c r="D103" s="1">
        <f>SUM(OSRRefD22_12x_0)</f>
        <v>0</v>
      </c>
      <c r="E103" s="1"/>
      <c r="F103" s="5">
        <f t="shared" si="47"/>
        <v>0</v>
      </c>
      <c r="G103" s="1"/>
      <c r="H103" s="1">
        <f>SUM(OSRRefH22_12x_0)</f>
        <v>0</v>
      </c>
      <c r="I103" s="1"/>
      <c r="J103" s="5">
        <f t="shared" si="48"/>
        <v>0</v>
      </c>
      <c r="K103" s="1"/>
      <c r="L103" s="1">
        <f t="shared" si="49"/>
        <v>0</v>
      </c>
      <c r="M103" s="1"/>
      <c r="N103" s="5">
        <f t="shared" si="50"/>
        <v>0</v>
      </c>
      <c r="O103" s="13"/>
      <c r="P103" s="1">
        <f>SUM(OSRRefP22_12x_0)</f>
        <v>-178.06</v>
      </c>
      <c r="Q103" s="1"/>
      <c r="R103" s="5">
        <f t="shared" si="51"/>
        <v>-8.7355634891025854E-5</v>
      </c>
      <c r="S103" s="1"/>
      <c r="T103" s="1">
        <f>SUM(OSRRefT22_12x_0)</f>
        <v>0</v>
      </c>
      <c r="U103" s="1"/>
      <c r="V103" s="5">
        <f t="shared" si="52"/>
        <v>0</v>
      </c>
      <c r="W103" s="1"/>
      <c r="X103" s="1">
        <f t="shared" si="53"/>
        <v>-178.06</v>
      </c>
      <c r="Y103" s="1"/>
      <c r="Z103" s="5">
        <f t="shared" si="54"/>
        <v>0</v>
      </c>
    </row>
    <row r="104" spans="1:26" s="24" customFormat="1" hidden="1" outlineLevel="2" x14ac:dyDescent="0.25">
      <c r="A104" s="25"/>
      <c r="B104" s="11" t="str">
        <f>CONCATENATE("          ", "6292", " - ", "TRAVEL/CONFERENCE")</f>
        <v xml:space="preserve">          6292 - TRAVEL/CONFERENCE</v>
      </c>
      <c r="C104" s="11"/>
      <c r="D104" s="6"/>
      <c r="E104" s="2"/>
      <c r="F104" s="7">
        <f t="shared" si="47"/>
        <v>0</v>
      </c>
      <c r="G104" s="2"/>
      <c r="H104" s="6"/>
      <c r="I104" s="2"/>
      <c r="J104" s="7">
        <f t="shared" si="48"/>
        <v>0</v>
      </c>
      <c r="K104" s="2"/>
      <c r="L104" s="6">
        <f t="shared" si="49"/>
        <v>0</v>
      </c>
      <c r="M104" s="2"/>
      <c r="N104" s="7">
        <f t="shared" si="50"/>
        <v>0</v>
      </c>
      <c r="O104" s="11"/>
      <c r="P104" s="6">
        <v>-178.06</v>
      </c>
      <c r="Q104" s="2"/>
      <c r="R104" s="7">
        <f t="shared" si="51"/>
        <v>-8.7355634891025854E-5</v>
      </c>
      <c r="S104" s="2"/>
      <c r="T104" s="6"/>
      <c r="U104" s="2"/>
      <c r="V104" s="7">
        <f t="shared" si="52"/>
        <v>0</v>
      </c>
      <c r="W104" s="2"/>
      <c r="X104" s="6">
        <f t="shared" si="53"/>
        <v>-178.06</v>
      </c>
      <c r="Y104" s="2"/>
      <c r="Z104" s="7">
        <f t="shared" si="54"/>
        <v>0</v>
      </c>
    </row>
    <row r="105" spans="1:26" s="56" customFormat="1" x14ac:dyDescent="0.25">
      <c r="A105" s="36"/>
      <c r="B105" s="36"/>
      <c r="C105" s="36"/>
      <c r="D105" s="1"/>
      <c r="E105" s="1"/>
      <c r="F105" s="5"/>
      <c r="G105" s="1"/>
      <c r="H105" s="1"/>
      <c r="I105" s="1"/>
      <c r="J105" s="5"/>
      <c r="K105" s="1"/>
      <c r="L105" s="1"/>
      <c r="M105" s="1"/>
      <c r="N105" s="5"/>
      <c r="O105" s="36"/>
      <c r="P105" s="1"/>
      <c r="Q105" s="1"/>
      <c r="R105" s="5"/>
      <c r="S105" s="1"/>
      <c r="T105" s="1"/>
      <c r="U105" s="1"/>
      <c r="V105" s="5"/>
      <c r="W105" s="1"/>
      <c r="X105" s="1"/>
      <c r="Y105" s="1"/>
      <c r="Z105" s="5"/>
    </row>
    <row r="106" spans="1:26" s="23" customFormat="1" collapsed="1" x14ac:dyDescent="0.25">
      <c r="A106" s="10"/>
      <c r="B106" s="29" t="s">
        <v>0</v>
      </c>
      <c r="C106" s="10"/>
      <c r="D106" s="4">
        <f>SUM(OSRRefD25x_0)</f>
        <v>-923.49</v>
      </c>
      <c r="E106" s="4"/>
      <c r="F106" s="12">
        <f t="shared" ref="F106:F110" si="55">IF(D$12=0,0,D106/D$12)</f>
        <v>-8.0793953764710935E-3</v>
      </c>
      <c r="G106" s="4"/>
      <c r="H106" s="4">
        <f>SUM(OSRRefH25x_0)</f>
        <v>2025</v>
      </c>
      <c r="I106" s="4"/>
      <c r="J106" s="12">
        <f t="shared" ref="J106:J110" si="56">IF(H$12=0,0,H106/H$12)</f>
        <v>1.2345302688532586E-2</v>
      </c>
      <c r="K106" s="4"/>
      <c r="L106" s="4">
        <f t="shared" ref="L106:L110" si="57">+D106-H106</f>
        <v>-2948.49</v>
      </c>
      <c r="M106" s="4"/>
      <c r="N106" s="12">
        <f t="shared" ref="N106:N110" si="58">IF(H106=0,0,L106/H106)</f>
        <v>-1.4560444444444443</v>
      </c>
      <c r="O106" s="10"/>
      <c r="P106" s="4">
        <f>SUM(OSRRefP25x_0)</f>
        <v>13143.64</v>
      </c>
      <c r="Q106" s="4"/>
      <c r="R106" s="12">
        <f t="shared" ref="R106:R110" si="59">IF(P$12=0,0,P106/P$12)</f>
        <v>6.4482254126647359E-3</v>
      </c>
      <c r="S106" s="4"/>
      <c r="T106" s="4">
        <f>SUM(OSRRefT25x_0)</f>
        <v>17550</v>
      </c>
      <c r="U106" s="4"/>
      <c r="V106" s="12">
        <f t="shared" ref="V106:V110" si="60">IF(T$12=0,0,T106/T$12)</f>
        <v>8.5252899934469429E-3</v>
      </c>
      <c r="W106" s="4"/>
      <c r="X106" s="4">
        <f t="shared" ref="X106:X110" si="61">+P106-T106</f>
        <v>-4406.3600000000006</v>
      </c>
      <c r="Y106" s="4"/>
      <c r="Z106" s="12">
        <f t="shared" ref="Z106:Z110" si="62">IF(T106=0,0,X106/T106)</f>
        <v>-0.2510746438746439</v>
      </c>
    </row>
    <row r="107" spans="1:26" s="24" customFormat="1" hidden="1" outlineLevel="1" x14ac:dyDescent="0.25">
      <c r="A107" s="44"/>
      <c r="B107" s="11" t="str">
        <f>CONCATENATE("          ", "4187", " - ", "NON-TAXABLE SALES-COMPUTER REP")</f>
        <v xml:space="preserve">          4187 - NON-TAXABLE SALES-COMPUTER REP</v>
      </c>
      <c r="C107" s="11"/>
      <c r="D107" s="2">
        <f>-213.35</f>
        <v>-213.35</v>
      </c>
      <c r="E107" s="2"/>
      <c r="F107" s="19">
        <f t="shared" si="55"/>
        <v>-1.8665486400178753E-3</v>
      </c>
      <c r="G107" s="2"/>
      <c r="H107" s="2"/>
      <c r="I107" s="2"/>
      <c r="J107" s="19">
        <f t="shared" si="56"/>
        <v>0</v>
      </c>
      <c r="K107" s="2"/>
      <c r="L107" s="2">
        <f t="shared" si="57"/>
        <v>-213.35</v>
      </c>
      <c r="M107" s="2"/>
      <c r="N107" s="19">
        <f t="shared" si="58"/>
        <v>0</v>
      </c>
      <c r="O107" s="11"/>
      <c r="P107" s="2">
        <f>--15579.51</f>
        <v>15579.51</v>
      </c>
      <c r="Q107" s="2"/>
      <c r="R107" s="19">
        <f t="shared" si="59"/>
        <v>7.6432550114629121E-3</v>
      </c>
      <c r="S107" s="2"/>
      <c r="T107" s="2"/>
      <c r="U107" s="2"/>
      <c r="V107" s="19">
        <f t="shared" si="60"/>
        <v>0</v>
      </c>
      <c r="W107" s="2"/>
      <c r="X107" s="2">
        <f t="shared" si="61"/>
        <v>15579.51</v>
      </c>
      <c r="Y107" s="2"/>
      <c r="Z107" s="19">
        <f t="shared" si="62"/>
        <v>0</v>
      </c>
    </row>
    <row r="108" spans="1:26" s="24" customFormat="1" hidden="1" outlineLevel="1" x14ac:dyDescent="0.25">
      <c r="A108" s="44"/>
      <c r="B108" s="11" t="str">
        <f>CONCATENATE("          ", "4387", " - ", "SALES RETURN NON TAXABLE-COMPU")</f>
        <v xml:space="preserve">          4387 - SALES RETURN NON TAXABLE-COMPU</v>
      </c>
      <c r="C108" s="11"/>
      <c r="D108" s="2">
        <f>0</f>
        <v>0</v>
      </c>
      <c r="E108" s="2"/>
      <c r="F108" s="19">
        <f t="shared" si="55"/>
        <v>0</v>
      </c>
      <c r="G108" s="2"/>
      <c r="H108" s="2"/>
      <c r="I108" s="2"/>
      <c r="J108" s="19">
        <f t="shared" si="56"/>
        <v>0</v>
      </c>
      <c r="K108" s="2"/>
      <c r="L108" s="2">
        <f t="shared" si="57"/>
        <v>0</v>
      </c>
      <c r="M108" s="2"/>
      <c r="N108" s="19">
        <f t="shared" si="58"/>
        <v>0</v>
      </c>
      <c r="O108" s="11"/>
      <c r="P108" s="2">
        <f>-7889</f>
        <v>-7889</v>
      </c>
      <c r="Q108" s="2"/>
      <c r="R108" s="19">
        <f t="shared" si="59"/>
        <v>-3.8703167676923671E-3</v>
      </c>
      <c r="S108" s="2"/>
      <c r="T108" s="2"/>
      <c r="U108" s="2"/>
      <c r="V108" s="19">
        <f t="shared" si="60"/>
        <v>0</v>
      </c>
      <c r="W108" s="2"/>
      <c r="X108" s="2">
        <f t="shared" si="61"/>
        <v>-7889</v>
      </c>
      <c r="Y108" s="2"/>
      <c r="Z108" s="19">
        <f t="shared" si="62"/>
        <v>0</v>
      </c>
    </row>
    <row r="109" spans="1:26" s="24" customFormat="1" hidden="1" outlineLevel="1" x14ac:dyDescent="0.25">
      <c r="A109" s="44"/>
      <c r="B109" s="11" t="str">
        <f>CONCATENATE("          ", "5087", " - ", "PURCHASES @ COST-COMPUTER REPA")</f>
        <v xml:space="preserve">          5087 - PURCHASES @ COST-COMPUTER REPA</v>
      </c>
      <c r="C109" s="11"/>
      <c r="D109" s="2">
        <f>-48.04</f>
        <v>-48.04</v>
      </c>
      <c r="E109" s="2"/>
      <c r="F109" s="19">
        <f t="shared" si="55"/>
        <v>-4.2029058667194153E-4</v>
      </c>
      <c r="G109" s="2"/>
      <c r="H109" s="2"/>
      <c r="I109" s="2"/>
      <c r="J109" s="19">
        <f t="shared" si="56"/>
        <v>0</v>
      </c>
      <c r="K109" s="2"/>
      <c r="L109" s="2">
        <f t="shared" si="57"/>
        <v>-48.04</v>
      </c>
      <c r="M109" s="2"/>
      <c r="N109" s="19">
        <f t="shared" si="58"/>
        <v>0</v>
      </c>
      <c r="O109" s="11"/>
      <c r="P109" s="2">
        <f>-104.76</f>
        <v>-104.76</v>
      </c>
      <c r="Q109" s="2"/>
      <c r="R109" s="19">
        <f t="shared" si="59"/>
        <v>-5.1394902342939846E-5</v>
      </c>
      <c r="S109" s="2"/>
      <c r="T109" s="2"/>
      <c r="U109" s="2"/>
      <c r="V109" s="19">
        <f t="shared" si="60"/>
        <v>0</v>
      </c>
      <c r="W109" s="2"/>
      <c r="X109" s="2">
        <f t="shared" si="61"/>
        <v>-104.76</v>
      </c>
      <c r="Y109" s="2"/>
      <c r="Z109" s="19">
        <f t="shared" si="62"/>
        <v>0</v>
      </c>
    </row>
    <row r="110" spans="1:26" s="24" customFormat="1" hidden="1" outlineLevel="1" x14ac:dyDescent="0.25">
      <c r="A110" s="44"/>
      <c r="B110" s="11" t="str">
        <f>CONCATENATE("          ", "9150", " - ", "MISC. INCOME")</f>
        <v xml:space="preserve">          9150 - MISC. INCOME</v>
      </c>
      <c r="C110" s="11"/>
      <c r="D110" s="2">
        <f>-662.1</f>
        <v>-662.1</v>
      </c>
      <c r="E110" s="2"/>
      <c r="F110" s="19">
        <f t="shared" si="55"/>
        <v>-5.7925561497812758E-3</v>
      </c>
      <c r="G110" s="2"/>
      <c r="H110" s="2">
        <v>2025</v>
      </c>
      <c r="I110" s="2"/>
      <c r="J110" s="19">
        <f t="shared" si="56"/>
        <v>1.2345302688532586E-2</v>
      </c>
      <c r="K110" s="2"/>
      <c r="L110" s="2">
        <f t="shared" si="57"/>
        <v>-2687.1</v>
      </c>
      <c r="M110" s="2"/>
      <c r="N110" s="19">
        <f t="shared" si="58"/>
        <v>-1.3269629629629629</v>
      </c>
      <c r="O110" s="11"/>
      <c r="P110" s="2">
        <f>--5557.89</f>
        <v>5557.89</v>
      </c>
      <c r="Q110" s="2"/>
      <c r="R110" s="19">
        <f t="shared" si="59"/>
        <v>2.7266820712371319E-3</v>
      </c>
      <c r="S110" s="2"/>
      <c r="T110" s="2">
        <v>17550</v>
      </c>
      <c r="U110" s="2"/>
      <c r="V110" s="19">
        <f t="shared" si="60"/>
        <v>8.5252899934469429E-3</v>
      </c>
      <c r="W110" s="2"/>
      <c r="X110" s="2">
        <f t="shared" si="61"/>
        <v>-11992.11</v>
      </c>
      <c r="Y110" s="2"/>
      <c r="Z110" s="19">
        <f t="shared" si="62"/>
        <v>-0.68331111111111109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10"/>
      <c r="B112" s="28" t="s">
        <v>3</v>
      </c>
      <c r="C112" s="28"/>
      <c r="D112" s="20">
        <f>+D56-D58+D106</f>
        <v>-5141.1799999999985</v>
      </c>
      <c r="E112" s="14"/>
      <c r="F112" s="22">
        <f>IF(D$12=0,0,D112/D$12)</f>
        <v>-4.497896666082539E-2</v>
      </c>
      <c r="G112" s="14"/>
      <c r="H112" s="20">
        <f>+H56-H58+H106</f>
        <v>20609.886101883061</v>
      </c>
      <c r="I112" s="14"/>
      <c r="J112" s="22">
        <f>IF(H$12=0,0,H112/H$12)</f>
        <v>0.12564705298959375</v>
      </c>
      <c r="K112" s="16"/>
      <c r="L112" s="20">
        <f>+D112-H112</f>
        <v>-25751.066101883058</v>
      </c>
      <c r="M112" s="16"/>
      <c r="N112" s="22">
        <f>IF(H112=0,0,L112/H112)</f>
        <v>-1.2494521306224133</v>
      </c>
      <c r="O112" s="29"/>
      <c r="P112" s="20">
        <f>+P56-P58+P106</f>
        <v>100237.40000000036</v>
      </c>
      <c r="Q112" s="14"/>
      <c r="R112" s="22">
        <f>IF(P$12=0,0,P112/P$12)</f>
        <v>4.9176130050689347E-2</v>
      </c>
      <c r="S112" s="14"/>
      <c r="T112" s="20">
        <f>+T56-T58+T106</f>
        <v>318421.73353341001</v>
      </c>
      <c r="U112" s="14"/>
      <c r="V112" s="22">
        <f>IF(T$12=0,0,T112/T$12)</f>
        <v>0.15468020618737374</v>
      </c>
      <c r="W112" s="16"/>
      <c r="X112" s="20">
        <f>+P112-T112</f>
        <v>-218184.33353340963</v>
      </c>
      <c r="Y112" s="16"/>
      <c r="Z112" s="22">
        <f>IF(T112=0,0,X112/T112)</f>
        <v>-0.68520553265098316</v>
      </c>
    </row>
    <row r="113" spans="1:26" x14ac:dyDescent="0.25">
      <c r="A113" s="9"/>
      <c r="B113" s="10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52"/>
      <c r="B114" s="10" t="s">
        <v>14</v>
      </c>
      <c r="C114" s="10"/>
      <c r="D114" s="4">
        <v>22315.510000000002</v>
      </c>
      <c r="E114" s="4"/>
      <c r="F114" s="12">
        <f>IF(D$12=0,0,D114/D$12)</f>
        <v>0.19523311385894213</v>
      </c>
      <c r="G114" s="4"/>
      <c r="H114" s="4">
        <v>12807</v>
      </c>
      <c r="I114" s="4"/>
      <c r="J114" s="12">
        <f>IF(H$12=0,0,H114/H$12)</f>
        <v>7.807718100347498E-2</v>
      </c>
      <c r="K114" s="4"/>
      <c r="L114" s="4">
        <f>+D114-H114</f>
        <v>9508.510000000002</v>
      </c>
      <c r="M114" s="4"/>
      <c r="N114" s="12">
        <f>IF(H114=0,0,L114/H114)</f>
        <v>0.74244631841961439</v>
      </c>
      <c r="O114" s="10"/>
      <c r="P114" s="4">
        <v>218412.48</v>
      </c>
      <c r="Q114" s="4"/>
      <c r="R114" s="12">
        <f>IF(P$12=0,0,P114/P$12)</f>
        <v>0.10715242535394522</v>
      </c>
      <c r="S114" s="4"/>
      <c r="T114" s="4">
        <v>240627.99999999997</v>
      </c>
      <c r="U114" s="4"/>
      <c r="V114" s="12">
        <f>IF(T$12=0,0,T114/T$12)</f>
        <v>0.11689022681157553</v>
      </c>
      <c r="W114" s="4"/>
      <c r="X114" s="4">
        <f>+P114-T114</f>
        <v>-22215.51999999996</v>
      </c>
      <c r="Y114" s="4"/>
      <c r="Z114" s="12">
        <f>IF(T114=0,0,X114/T114)</f>
        <v>-9.2323087919942662E-2</v>
      </c>
    </row>
    <row r="115" spans="1:26" x14ac:dyDescent="0.25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8" t="s">
        <v>4</v>
      </c>
      <c r="C116" s="28"/>
      <c r="D116" s="31">
        <f>+D112-D114</f>
        <v>-27456.690000000002</v>
      </c>
      <c r="E116" s="14"/>
      <c r="F116" s="34">
        <f>IF(D$12=0,0,D116/D$12)</f>
        <v>-0.24021208051976753</v>
      </c>
      <c r="G116" s="14"/>
      <c r="H116" s="31">
        <f>+H112-H114</f>
        <v>7802.8861018830612</v>
      </c>
      <c r="I116" s="14"/>
      <c r="J116" s="34">
        <f>IF(H$12=0,0,H116/H$12)</f>
        <v>4.7569871986118763E-2</v>
      </c>
      <c r="K116" s="16"/>
      <c r="L116" s="31">
        <f>D116-H116</f>
        <v>-35259.576101883067</v>
      </c>
      <c r="M116" s="16"/>
      <c r="N116" s="34">
        <f>IF(H116=0,0,L116/H116)</f>
        <v>-4.5187864645844202</v>
      </c>
      <c r="O116" s="29"/>
      <c r="P116" s="31">
        <f>+P112-P114</f>
        <v>-118175.07999999965</v>
      </c>
      <c r="Q116" s="14"/>
      <c r="R116" s="34">
        <f>IF(P$12=0,0,P116/P$12)</f>
        <v>-5.7976295303255869E-2</v>
      </c>
      <c r="S116" s="14"/>
      <c r="T116" s="31">
        <f>+T112-T114</f>
        <v>77793.733533410035</v>
      </c>
      <c r="U116" s="14"/>
      <c r="V116" s="34">
        <f>IF(T$12=0,0,T116/T$12)</f>
        <v>3.7789979375798199E-2</v>
      </c>
      <c r="W116" s="16"/>
      <c r="X116" s="31">
        <f>P116-T116</f>
        <v>-195968.81353340967</v>
      </c>
      <c r="Y116" s="16"/>
      <c r="Z116" s="34">
        <f>IF(T116=0,0,X116/T116)</f>
        <v>-2.5190822529329697</v>
      </c>
    </row>
    <row r="117" spans="1:26" ht="15.75" thickTop="1" x14ac:dyDescent="0.25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x14ac:dyDescent="0.25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.75" thickBot="1" x14ac:dyDescent="0.3">
      <c r="A119" s="10"/>
      <c r="B119" s="28" t="s">
        <v>5</v>
      </c>
      <c r="C119" s="28"/>
      <c r="D119" s="32">
        <f>SUM(D116:D118)</f>
        <v>-27456.690000000002</v>
      </c>
      <c r="E119" s="14"/>
      <c r="F119" s="35">
        <f>IF(D$12=0,0,D119/D$12)</f>
        <v>-0.24021208051976753</v>
      </c>
      <c r="G119" s="14"/>
      <c r="H119" s="32">
        <f>SUM(H116:H118)</f>
        <v>7802.8861018830612</v>
      </c>
      <c r="I119" s="14"/>
      <c r="J119" s="35">
        <f>IF(H$12=0,0,H119/H$12)</f>
        <v>4.7569871986118763E-2</v>
      </c>
      <c r="K119" s="16"/>
      <c r="L119" s="32">
        <f>+D119-H119</f>
        <v>-35259.576101883067</v>
      </c>
      <c r="M119" s="16"/>
      <c r="N119" s="35">
        <f>IF(H119=0,0,L119/H119)</f>
        <v>-4.5187864645844202</v>
      </c>
      <c r="O119" s="29"/>
      <c r="P119" s="32">
        <f>SUM(P116:P118)</f>
        <v>-118175.07999999965</v>
      </c>
      <c r="Q119" s="14"/>
      <c r="R119" s="35">
        <f>IF(P$12=0,0,P119/P$12)</f>
        <v>-5.7976295303255869E-2</v>
      </c>
      <c r="S119" s="14"/>
      <c r="T119" s="32">
        <f>SUM(T116:T118)</f>
        <v>77793.733533410035</v>
      </c>
      <c r="U119" s="14"/>
      <c r="V119" s="35">
        <f>IF(T$12=0,0,T119/T$12)</f>
        <v>3.7789979375798199E-2</v>
      </c>
      <c r="W119" s="16"/>
      <c r="X119" s="32">
        <f>+P119-T119</f>
        <v>-195968.81353340967</v>
      </c>
      <c r="Y119" s="16"/>
      <c r="Z119" s="35">
        <f>IF(T119=0,0,X119/T119)</f>
        <v>-2.5190822529329697</v>
      </c>
    </row>
    <row r="120" spans="1:26" ht="15.75" thickTop="1" x14ac:dyDescent="0.25">
      <c r="A120" s="9"/>
      <c r="C120" s="9"/>
      <c r="D120" s="18"/>
      <c r="E120" s="18"/>
      <c r="G120" s="18"/>
      <c r="H120" s="18"/>
      <c r="I120" s="18"/>
      <c r="J120" s="42"/>
      <c r="K120" s="18"/>
      <c r="L120" s="18"/>
      <c r="M120" s="18"/>
      <c r="P120" s="18"/>
      <c r="Q120" s="18"/>
      <c r="R120" s="42"/>
      <c r="S120" s="18"/>
      <c r="T120" s="18"/>
      <c r="U120" s="18"/>
      <c r="V120" s="42"/>
      <c r="W120" s="18"/>
      <c r="X120" s="18"/>
    </row>
    <row r="121" spans="1:26" x14ac:dyDescent="0.25">
      <c r="A121" s="9"/>
      <c r="B121" s="57">
        <v>43934.466506446763</v>
      </c>
      <c r="D121" s="18"/>
      <c r="E121" s="18"/>
      <c r="G121" s="18"/>
      <c r="H121" s="18"/>
      <c r="I121" s="18"/>
      <c r="J121" s="42"/>
      <c r="K121" s="18"/>
      <c r="L121" s="18"/>
      <c r="M121" s="18"/>
      <c r="P121" s="18"/>
      <c r="Q121" s="18"/>
      <c r="R121" s="42"/>
      <c r="S121" s="18"/>
      <c r="T121" s="18"/>
      <c r="U121" s="18"/>
      <c r="V121" s="42"/>
      <c r="W121" s="18"/>
      <c r="X121" s="18"/>
    </row>
    <row r="122" spans="1:26" x14ac:dyDescent="0.25">
      <c r="A122" s="9"/>
      <c r="B122" s="62" t="s">
        <v>314</v>
      </c>
      <c r="D122" s="18"/>
      <c r="E122" s="18"/>
      <c r="G122" s="18"/>
      <c r="H122" s="18"/>
      <c r="I122" s="18"/>
      <c r="J122" s="42"/>
      <c r="K122" s="18"/>
      <c r="L122" s="18"/>
      <c r="M122" s="18"/>
      <c r="P122" s="18"/>
      <c r="Q122" s="18"/>
      <c r="R122" s="42"/>
      <c r="S122" s="18"/>
      <c r="T122" s="18"/>
      <c r="U122" s="18"/>
      <c r="V122" s="42"/>
      <c r="W122" s="18"/>
      <c r="X122" s="18"/>
    </row>
    <row r="123" spans="1:26" x14ac:dyDescent="0.25">
      <c r="A123" s="9"/>
      <c r="B123" s="60"/>
      <c r="D123" s="18"/>
      <c r="E123" s="18"/>
      <c r="G123" s="18"/>
      <c r="H123" s="18"/>
      <c r="I123" s="18"/>
      <c r="J123" s="42"/>
      <c r="K123" s="18"/>
      <c r="L123" s="18"/>
      <c r="M123" s="18"/>
      <c r="P123" s="18"/>
      <c r="Q123" s="18"/>
      <c r="R123" s="42"/>
      <c r="S123" s="18"/>
      <c r="T123" s="18"/>
      <c r="U123" s="18"/>
      <c r="V123" s="42"/>
      <c r="W123" s="18"/>
      <c r="X123" s="18"/>
    </row>
    <row r="124" spans="1:26" x14ac:dyDescent="0.25">
      <c r="D124" s="18"/>
      <c r="E124" s="18"/>
      <c r="G124" s="18"/>
      <c r="H124" s="18"/>
      <c r="I124" s="18"/>
      <c r="J124" s="42"/>
      <c r="K124" s="18"/>
      <c r="L124" s="18"/>
      <c r="M124" s="18"/>
      <c r="P124" s="18"/>
      <c r="Q124" s="18"/>
      <c r="R124" s="42"/>
      <c r="S124" s="18"/>
      <c r="T124" s="18"/>
      <c r="U124" s="18"/>
      <c r="V124" s="42"/>
      <c r="W124" s="18"/>
      <c r="X124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0"/>
  <sheetViews>
    <sheetView zoomScale="80" workbookViewId="0">
      <pane xSplit="3" ySplit="10" topLeftCell="D29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307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162475.56999999998</v>
      </c>
      <c r="E12" s="4"/>
      <c r="F12" s="12"/>
      <c r="G12" s="4"/>
      <c r="H12" s="4">
        <f>SUM(OSRRefH13x_0)</f>
        <v>363547</v>
      </c>
      <c r="I12" s="4"/>
      <c r="J12" s="12"/>
      <c r="K12" s="4"/>
      <c r="L12" s="4">
        <f t="shared" ref="L12:L23" si="0">+D12-H12</f>
        <v>-201071.43000000002</v>
      </c>
      <c r="M12" s="4"/>
      <c r="N12" s="12">
        <f t="shared" ref="N12:N23" si="1">IF(H12=0,0,L12/H12)</f>
        <v>-0.55308235248812398</v>
      </c>
      <c r="O12" s="10"/>
      <c r="P12" s="4">
        <f>SUM(OSRRefP13x_0)</f>
        <v>2364535.58</v>
      </c>
      <c r="Q12" s="4"/>
      <c r="R12" s="12"/>
      <c r="S12" s="4"/>
      <c r="T12" s="4">
        <f>SUM(OSRRefT13x_0)</f>
        <v>2540965.2000000002</v>
      </c>
      <c r="U12" s="4"/>
      <c r="V12" s="12"/>
      <c r="W12" s="4"/>
      <c r="X12" s="4">
        <f t="shared" ref="X12:X23" si="2">+P12-T12</f>
        <v>-176429.62000000011</v>
      </c>
      <c r="Y12" s="4"/>
      <c r="Z12" s="12">
        <f t="shared" ref="Z12:Z23" si="3">IF(T12=0,0,X12/T12)</f>
        <v>-6.9434095358724357E-2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92104</v>
      </c>
      <c r="I13" s="2"/>
      <c r="J13" s="19"/>
      <c r="K13" s="2"/>
      <c r="L13" s="2">
        <f t="shared" si="0"/>
        <v>-92104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607976.19999999995</v>
      </c>
      <c r="U13" s="2"/>
      <c r="V13" s="19"/>
      <c r="W13" s="2"/>
      <c r="X13" s="2">
        <f t="shared" si="2"/>
        <v>-607976.19999999995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>--18941.74</f>
        <v>18941.740000000002</v>
      </c>
      <c r="E14" s="2"/>
      <c r="F14" s="19"/>
      <c r="G14" s="2"/>
      <c r="H14" s="2"/>
      <c r="I14" s="2"/>
      <c r="J14" s="19"/>
      <c r="K14" s="2"/>
      <c r="L14" s="2">
        <f t="shared" si="0"/>
        <v>18941.740000000002</v>
      </c>
      <c r="M14" s="2"/>
      <c r="N14" s="19">
        <f t="shared" si="1"/>
        <v>0</v>
      </c>
      <c r="O14" s="11"/>
      <c r="P14" s="2">
        <f>--275748.11</f>
        <v>275748.11</v>
      </c>
      <c r="Q14" s="2"/>
      <c r="R14" s="19"/>
      <c r="S14" s="2"/>
      <c r="T14" s="2"/>
      <c r="U14" s="2"/>
      <c r="V14" s="19"/>
      <c r="W14" s="2"/>
      <c r="X14" s="2">
        <f t="shared" si="2"/>
        <v>275748.11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--158.53</f>
        <v>158.53</v>
      </c>
      <c r="E15" s="2"/>
      <c r="F15" s="19"/>
      <c r="G15" s="2"/>
      <c r="H15" s="2"/>
      <c r="I15" s="2"/>
      <c r="J15" s="19"/>
      <c r="K15" s="2"/>
      <c r="L15" s="2">
        <f t="shared" si="0"/>
        <v>158.53</v>
      </c>
      <c r="M15" s="2"/>
      <c r="N15" s="19">
        <f t="shared" si="1"/>
        <v>0</v>
      </c>
      <c r="O15" s="11"/>
      <c r="P15" s="2">
        <f>--3118.55</f>
        <v>3118.55</v>
      </c>
      <c r="Q15" s="2"/>
      <c r="R15" s="19"/>
      <c r="S15" s="2"/>
      <c r="T15" s="2"/>
      <c r="U15" s="2"/>
      <c r="V15" s="19"/>
      <c r="W15" s="2"/>
      <c r="X15" s="2">
        <f t="shared" si="2"/>
        <v>3118.55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--8490.18</f>
        <v>8490.18</v>
      </c>
      <c r="E16" s="2"/>
      <c r="F16" s="19"/>
      <c r="G16" s="2"/>
      <c r="H16" s="2"/>
      <c r="I16" s="2"/>
      <c r="J16" s="19"/>
      <c r="K16" s="2"/>
      <c r="L16" s="2">
        <f t="shared" si="0"/>
        <v>8490.18</v>
      </c>
      <c r="M16" s="2"/>
      <c r="N16" s="19">
        <f t="shared" si="1"/>
        <v>0</v>
      </c>
      <c r="O16" s="11"/>
      <c r="P16" s="2">
        <f>--149404.53</f>
        <v>149404.53</v>
      </c>
      <c r="Q16" s="2"/>
      <c r="R16" s="19"/>
      <c r="S16" s="2"/>
      <c r="T16" s="2"/>
      <c r="U16" s="2"/>
      <c r="V16" s="19"/>
      <c r="W16" s="2"/>
      <c r="X16" s="2">
        <f t="shared" si="2"/>
        <v>149404.53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"4100", " - ", "NON-TAXABLE SALES")</f>
        <v xml:space="preserve">          4100 - NON-TAXABLE SALES</v>
      </c>
      <c r="C17" s="11"/>
      <c r="D17" s="2">
        <f>0</f>
        <v>0</v>
      </c>
      <c r="E17" s="2"/>
      <c r="F17" s="19"/>
      <c r="G17" s="2"/>
      <c r="H17" s="2">
        <v>271443</v>
      </c>
      <c r="I17" s="2"/>
      <c r="J17" s="19"/>
      <c r="K17" s="2"/>
      <c r="L17" s="2">
        <f t="shared" si="0"/>
        <v>-271443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v>1932989</v>
      </c>
      <c r="U17" s="2"/>
      <c r="V17" s="19"/>
      <c r="W17" s="2"/>
      <c r="X17" s="2">
        <f t="shared" si="2"/>
        <v>-1932989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"4132", " - ", "NON-TAXABLE SALES-JUICE")</f>
        <v xml:space="preserve">          4132 - NON-TAXABLE SALES-JUICE</v>
      </c>
      <c r="C18" s="11"/>
      <c r="D18" s="2">
        <f>--78169.44</f>
        <v>78169.440000000002</v>
      </c>
      <c r="E18" s="2"/>
      <c r="F18" s="19"/>
      <c r="G18" s="2"/>
      <c r="H18" s="2"/>
      <c r="I18" s="2"/>
      <c r="J18" s="19"/>
      <c r="K18" s="2"/>
      <c r="L18" s="2">
        <f t="shared" si="0"/>
        <v>78169.440000000002</v>
      </c>
      <c r="M18" s="2"/>
      <c r="N18" s="19">
        <f t="shared" si="1"/>
        <v>0</v>
      </c>
      <c r="O18" s="11"/>
      <c r="P18" s="2">
        <f>--1093778.1</f>
        <v>1093778.1000000001</v>
      </c>
      <c r="Q18" s="2"/>
      <c r="R18" s="19"/>
      <c r="S18" s="2"/>
      <c r="T18" s="2"/>
      <c r="U18" s="2"/>
      <c r="V18" s="19"/>
      <c r="W18" s="2"/>
      <c r="X18" s="2">
        <f t="shared" si="2"/>
        <v>1093778.1000000001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"4133", " - ", "NON-TAXABLE SALES-CANDY")</f>
        <v xml:space="preserve">          4133 - NON-TAXABLE SALES-CANDY</v>
      </c>
      <c r="C19" s="11"/>
      <c r="D19" s="2">
        <f>0</f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--1.59</f>
        <v>1.59</v>
      </c>
      <c r="Q19" s="2"/>
      <c r="R19" s="19"/>
      <c r="S19" s="2"/>
      <c r="T19" s="2"/>
      <c r="U19" s="2"/>
      <c r="V19" s="19"/>
      <c r="W19" s="2"/>
      <c r="X19" s="2">
        <f t="shared" si="2"/>
        <v>1.59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"4134", " - ", "NON-TAXABLE SALES-SODA")</f>
        <v xml:space="preserve">          4134 - NON-TAXABLE SALES-SODA</v>
      </c>
      <c r="C20" s="11"/>
      <c r="D20" s="2">
        <f>--26.93</f>
        <v>26.93</v>
      </c>
      <c r="E20" s="2"/>
      <c r="F20" s="19"/>
      <c r="G20" s="2"/>
      <c r="H20" s="2"/>
      <c r="I20" s="2"/>
      <c r="J20" s="19"/>
      <c r="K20" s="2"/>
      <c r="L20" s="2">
        <f t="shared" si="0"/>
        <v>26.93</v>
      </c>
      <c r="M20" s="2"/>
      <c r="N20" s="19">
        <f t="shared" si="1"/>
        <v>0</v>
      </c>
      <c r="O20" s="11"/>
      <c r="P20" s="2">
        <f>--35.34</f>
        <v>35.340000000000003</v>
      </c>
      <c r="Q20" s="2"/>
      <c r="R20" s="19"/>
      <c r="S20" s="2"/>
      <c r="T20" s="2"/>
      <c r="U20" s="2"/>
      <c r="V20" s="19"/>
      <c r="W20" s="2"/>
      <c r="X20" s="2">
        <f t="shared" si="2"/>
        <v>35.340000000000003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"4137", " - ", "NON-TAXABLE SALES-WATER")</f>
        <v xml:space="preserve">          4137 - NON-TAXABLE SALES-WATER</v>
      </c>
      <c r="C21" s="11"/>
      <c r="D21" s="2">
        <f>--96.9</f>
        <v>96.9</v>
      </c>
      <c r="E21" s="2"/>
      <c r="F21" s="19"/>
      <c r="G21" s="2"/>
      <c r="H21" s="2"/>
      <c r="I21" s="2"/>
      <c r="J21" s="19"/>
      <c r="K21" s="2"/>
      <c r="L21" s="2">
        <f t="shared" si="0"/>
        <v>96.9</v>
      </c>
      <c r="M21" s="2"/>
      <c r="N21" s="19">
        <f t="shared" si="1"/>
        <v>0</v>
      </c>
      <c r="O21" s="11"/>
      <c r="P21" s="2">
        <f>--1568.79</f>
        <v>1568.79</v>
      </c>
      <c r="Q21" s="2"/>
      <c r="R21" s="19"/>
      <c r="S21" s="2"/>
      <c r="T21" s="2"/>
      <c r="U21" s="2"/>
      <c r="V21" s="19"/>
      <c r="W21" s="2"/>
      <c r="X21" s="2">
        <f t="shared" si="2"/>
        <v>1568.79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"4151", " - ", "NON-TAXABLE SALES-FOOD")</f>
        <v xml:space="preserve">          4151 - NON-TAXABLE SALES-FOOD</v>
      </c>
      <c r="C22" s="11"/>
      <c r="D22" s="2">
        <f>--56591.85</f>
        <v>56591.85</v>
      </c>
      <c r="E22" s="2"/>
      <c r="F22" s="19"/>
      <c r="G22" s="2"/>
      <c r="H22" s="2"/>
      <c r="I22" s="2"/>
      <c r="J22" s="19"/>
      <c r="K22" s="2"/>
      <c r="L22" s="2">
        <f t="shared" si="0"/>
        <v>56591.85</v>
      </c>
      <c r="M22" s="2"/>
      <c r="N22" s="19">
        <f t="shared" si="1"/>
        <v>0</v>
      </c>
      <c r="O22" s="11"/>
      <c r="P22" s="2">
        <f>--828068.07</f>
        <v>828068.07</v>
      </c>
      <c r="Q22" s="2"/>
      <c r="R22" s="19"/>
      <c r="S22" s="2"/>
      <c r="T22" s="2"/>
      <c r="U22" s="2"/>
      <c r="V22" s="19"/>
      <c r="W22" s="2"/>
      <c r="X22" s="2">
        <f t="shared" si="2"/>
        <v>828068.07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"4153", " - ", "NON-TAXABLE SALES-FOOD")</f>
        <v xml:space="preserve">          4153 - NON-TAXABLE SALES-FOOD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--12812.5</f>
        <v>12812.5</v>
      </c>
      <c r="Q23" s="2"/>
      <c r="R23" s="19"/>
      <c r="S23" s="2"/>
      <c r="T23" s="2"/>
      <c r="U23" s="2"/>
      <c r="V23" s="19"/>
      <c r="W23" s="2"/>
      <c r="X23" s="2">
        <f t="shared" si="2"/>
        <v>12812.5</v>
      </c>
      <c r="Y23" s="2"/>
      <c r="Z23" s="19">
        <f t="shared" si="3"/>
        <v>0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9" t="s">
        <v>8</v>
      </c>
      <c r="C25" s="10"/>
      <c r="D25" s="4">
        <f>SUM(OSRRefD16x_0)</f>
        <v>78189.600000000006</v>
      </c>
      <c r="E25" s="4"/>
      <c r="F25" s="12">
        <f t="shared" ref="F25:F28" si="4">IF(D$12=0,0,D25/D$12)</f>
        <v>0.4812391179793985</v>
      </c>
      <c r="G25" s="4"/>
      <c r="H25" s="4">
        <f>SUM(OSRRefH16x_0)</f>
        <v>175094</v>
      </c>
      <c r="I25" s="4"/>
      <c r="J25" s="12">
        <f t="shared" ref="J25:J28" si="5">IF(H$12=0,0,H25/H$12)</f>
        <v>0.48162685980079606</v>
      </c>
      <c r="K25" s="4"/>
      <c r="L25" s="4">
        <f t="shared" ref="L25:L28" si="6">+D25-H25</f>
        <v>-96904.4</v>
      </c>
      <c r="M25" s="4"/>
      <c r="N25" s="12">
        <f t="shared" ref="N25:N28" si="7">IF(H25=0,0,L25/H25)</f>
        <v>-0.55344215107313788</v>
      </c>
      <c r="O25" s="10"/>
      <c r="P25" s="4">
        <f>SUM(OSRRefP16x_0)</f>
        <v>1130261.6399999999</v>
      </c>
      <c r="Q25" s="4"/>
      <c r="R25" s="12">
        <f t="shared" ref="R25:R28" si="8">IF(P$12=0,0,P25/P$12)</f>
        <v>0.47800576551273544</v>
      </c>
      <c r="S25" s="4"/>
      <c r="T25" s="4">
        <f>SUM(OSRRefT16x_0)</f>
        <v>1224151</v>
      </c>
      <c r="U25" s="4"/>
      <c r="V25" s="12">
        <f t="shared" ref="V25:V28" si="9">IF(T$12=0,0,T25/T$12)</f>
        <v>0.48176614146466856</v>
      </c>
      <c r="W25" s="4"/>
      <c r="X25" s="4">
        <f t="shared" ref="X25:X28" si="10">+P25-T25</f>
        <v>-93889.360000000102</v>
      </c>
      <c r="Y25" s="4"/>
      <c r="Z25" s="12">
        <f t="shared" ref="Z25:Z28" si="11">IF(T25=0,0,X25/T25)</f>
        <v>-7.6697531595366991E-2</v>
      </c>
    </row>
    <row r="26" spans="1:26" s="24" customFormat="1" hidden="1" outlineLevel="1" x14ac:dyDescent="0.25">
      <c r="A26" s="44"/>
      <c r="B26" s="11" t="str">
        <f>CONCATENATE("          ", "5000", " - ", "PURCHASES @ COST")</f>
        <v xml:space="preserve">          5000 - PURCHASES @ COST</v>
      </c>
      <c r="C26" s="11"/>
      <c r="D26" s="2"/>
      <c r="E26" s="2"/>
      <c r="F26" s="19">
        <f t="shared" si="4"/>
        <v>0</v>
      </c>
      <c r="G26" s="2"/>
      <c r="H26" s="2">
        <v>175094</v>
      </c>
      <c r="I26" s="2"/>
      <c r="J26" s="19">
        <f t="shared" si="5"/>
        <v>0.48162685980079606</v>
      </c>
      <c r="K26" s="2"/>
      <c r="L26" s="2">
        <f t="shared" si="6"/>
        <v>-175094</v>
      </c>
      <c r="M26" s="2"/>
      <c r="N26" s="19">
        <f t="shared" si="7"/>
        <v>-1</v>
      </c>
      <c r="O26" s="11"/>
      <c r="P26" s="2"/>
      <c r="Q26" s="2"/>
      <c r="R26" s="19">
        <f t="shared" si="8"/>
        <v>0</v>
      </c>
      <c r="S26" s="2"/>
      <c r="T26" s="2">
        <v>1224151</v>
      </c>
      <c r="U26" s="2"/>
      <c r="V26" s="19">
        <f t="shared" si="9"/>
        <v>0.48176614146466856</v>
      </c>
      <c r="W26" s="2"/>
      <c r="X26" s="2">
        <f t="shared" si="10"/>
        <v>-1224151</v>
      </c>
      <c r="Y26" s="2"/>
      <c r="Z26" s="19">
        <f t="shared" si="11"/>
        <v>-1</v>
      </c>
    </row>
    <row r="27" spans="1:26" s="24" customFormat="1" hidden="1" outlineLevel="1" x14ac:dyDescent="0.25">
      <c r="A27" s="44"/>
      <c r="B27" s="11" t="str">
        <f>CONCATENATE("          ", "5053", " - ", "PURCHASES @ COST-FOOD")</f>
        <v xml:space="preserve">          5053 - PURCHASES @ COST-FOOD</v>
      </c>
      <c r="C27" s="11"/>
      <c r="D27" s="2">
        <v>76475.820000000007</v>
      </c>
      <c r="E27" s="2"/>
      <c r="F27" s="19">
        <f t="shared" si="4"/>
        <v>0.47069119375916035</v>
      </c>
      <c r="G27" s="2"/>
      <c r="H27" s="2"/>
      <c r="I27" s="2"/>
      <c r="J27" s="19">
        <f t="shared" si="5"/>
        <v>0</v>
      </c>
      <c r="K27" s="2"/>
      <c r="L27" s="2">
        <f t="shared" si="6"/>
        <v>76475.820000000007</v>
      </c>
      <c r="M27" s="2"/>
      <c r="N27" s="19">
        <f t="shared" si="7"/>
        <v>0</v>
      </c>
      <c r="O27" s="11"/>
      <c r="P27" s="2">
        <v>1162005.7899999998</v>
      </c>
      <c r="Q27" s="2"/>
      <c r="R27" s="19">
        <f t="shared" si="8"/>
        <v>0.49143087540260222</v>
      </c>
      <c r="S27" s="2"/>
      <c r="T27" s="2"/>
      <c r="U27" s="2"/>
      <c r="V27" s="19">
        <f t="shared" si="9"/>
        <v>0</v>
      </c>
      <c r="W27" s="2"/>
      <c r="X27" s="2">
        <f t="shared" si="10"/>
        <v>1162005.7899999998</v>
      </c>
      <c r="Y27" s="2"/>
      <c r="Z27" s="19">
        <f t="shared" si="11"/>
        <v>0</v>
      </c>
    </row>
    <row r="28" spans="1:26" s="24" customFormat="1" hidden="1" outlineLevel="1" x14ac:dyDescent="0.25">
      <c r="A28" s="44"/>
      <c r="B28" s="11" t="str">
        <f>CONCATENATE("          ", "5059", " - ", "PURCHASES @ COST-FOOD")</f>
        <v xml:space="preserve">          5059 - PURCHASES @ COST-FOOD</v>
      </c>
      <c r="C28" s="11"/>
      <c r="D28" s="2">
        <v>1713.78</v>
      </c>
      <c r="E28" s="2"/>
      <c r="F28" s="19">
        <f t="shared" si="4"/>
        <v>1.0547924220238158E-2</v>
      </c>
      <c r="G28" s="2"/>
      <c r="H28" s="2"/>
      <c r="I28" s="2"/>
      <c r="J28" s="19">
        <f t="shared" si="5"/>
        <v>0</v>
      </c>
      <c r="K28" s="2"/>
      <c r="L28" s="2">
        <f t="shared" si="6"/>
        <v>1713.78</v>
      </c>
      <c r="M28" s="2"/>
      <c r="N28" s="19">
        <f t="shared" si="7"/>
        <v>0</v>
      </c>
      <c r="O28" s="11"/>
      <c r="P28" s="2">
        <v>-31744.15</v>
      </c>
      <c r="Q28" s="2"/>
      <c r="R28" s="19">
        <f t="shared" si="8"/>
        <v>-1.3425109889866831E-2</v>
      </c>
      <c r="S28" s="2"/>
      <c r="T28" s="2"/>
      <c r="U28" s="2"/>
      <c r="V28" s="19">
        <f t="shared" si="9"/>
        <v>0</v>
      </c>
      <c r="W28" s="2"/>
      <c r="X28" s="2">
        <f t="shared" si="10"/>
        <v>-31744.15</v>
      </c>
      <c r="Y28" s="2"/>
      <c r="Z28" s="19">
        <f t="shared" si="11"/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8" t="s">
        <v>6</v>
      </c>
      <c r="C30" s="28"/>
      <c r="D30" s="20">
        <f>D12-D25</f>
        <v>84285.969999999972</v>
      </c>
      <c r="E30" s="14"/>
      <c r="F30" s="22">
        <f>IF(D$12=0,0,D30/D$12)</f>
        <v>0.51876088202060155</v>
      </c>
      <c r="G30" s="14"/>
      <c r="H30" s="20">
        <f>H12-H25</f>
        <v>188453</v>
      </c>
      <c r="I30" s="14"/>
      <c r="J30" s="22">
        <f>IF(H$12=0,0,H30/H$12)</f>
        <v>0.518373140199204</v>
      </c>
      <c r="K30" s="16"/>
      <c r="L30" s="20">
        <f>+D30-H30</f>
        <v>-104167.03000000003</v>
      </c>
      <c r="M30" s="16"/>
      <c r="N30" s="22">
        <f>IF(H30=0,0,L30/H30)</f>
        <v>-0.55274805919778425</v>
      </c>
      <c r="O30" s="29"/>
      <c r="P30" s="20">
        <f>P12-P25</f>
        <v>1234273.9400000002</v>
      </c>
      <c r="Q30" s="14"/>
      <c r="R30" s="22">
        <f>IF(P$12=0,0,P30/P$12)</f>
        <v>0.52199423448726456</v>
      </c>
      <c r="S30" s="14"/>
      <c r="T30" s="20">
        <f>T12-T25</f>
        <v>1316814.2000000002</v>
      </c>
      <c r="U30" s="14"/>
      <c r="V30" s="22">
        <f>IF(T$12=0,0,T30/T$12)</f>
        <v>0.51823385853533144</v>
      </c>
      <c r="W30" s="16"/>
      <c r="X30" s="20">
        <f>+P30-T30</f>
        <v>-82540.260000000009</v>
      </c>
      <c r="Y30" s="16"/>
      <c r="Z30" s="22">
        <f>IF(T30=0,0,X30/T30)</f>
        <v>-6.268178152999869E-2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9" t="s">
        <v>9</v>
      </c>
      <c r="C32" s="10"/>
      <c r="D32" s="21">
        <f>SUM(OSRRefD22x_0)</f>
        <v>113798.47000000002</v>
      </c>
      <c r="E32" s="21"/>
      <c r="F32" s="30">
        <f t="shared" ref="F32:F42" si="12">IF(D$12=0,0,D32/D$12)</f>
        <v>0.70040357451892632</v>
      </c>
      <c r="G32" s="21"/>
      <c r="H32" s="21">
        <f>SUM(OSRRefH22x_0)</f>
        <v>121343.74319524769</v>
      </c>
      <c r="I32" s="21"/>
      <c r="J32" s="30">
        <f t="shared" ref="J32:J42" si="13">IF(H$12=0,0,H32/H$12)</f>
        <v>0.33377731956321383</v>
      </c>
      <c r="K32" s="4"/>
      <c r="L32" s="21">
        <f t="shared" ref="L32:L42" si="14">+D32-H32</f>
        <v>-7545.2731952476752</v>
      </c>
      <c r="M32" s="4"/>
      <c r="N32" s="30">
        <f t="shared" ref="N32:N42" si="15">IF(H32=0,0,L32/H32)</f>
        <v>-6.2180982690693679E-2</v>
      </c>
      <c r="O32" s="10"/>
      <c r="P32" s="21">
        <f>SUM(OSRRefP22x_0)</f>
        <v>961647.66999999981</v>
      </c>
      <c r="Q32" s="21"/>
      <c r="R32" s="30">
        <f t="shared" ref="R32:R42" si="16">IF(P$12=0,0,P32/P$12)</f>
        <v>0.40669621473828693</v>
      </c>
      <c r="S32" s="21"/>
      <c r="T32" s="21">
        <f>SUM(OSRRefT22x_0)</f>
        <v>955518.73786420503</v>
      </c>
      <c r="U32" s="21"/>
      <c r="V32" s="30">
        <f t="shared" ref="V32:V42" si="17">IF(T$12=0,0,T32/T$12)</f>
        <v>0.37604558215287837</v>
      </c>
      <c r="W32" s="4"/>
      <c r="X32" s="21">
        <f t="shared" ref="X32:X42" si="18">+P32-T32</f>
        <v>6128.9321357947774</v>
      </c>
      <c r="Y32" s="4"/>
      <c r="Z32" s="30">
        <f t="shared" ref="Z32:Z42" si="19">IF(T32=0,0,X32/T32)</f>
        <v>6.4142458885675978E-3</v>
      </c>
    </row>
    <row r="33" spans="1:26" s="27" customFormat="1" outlineLevel="1" collapsed="1" x14ac:dyDescent="0.25">
      <c r="A33" s="26"/>
      <c r="B33" s="13" t="str">
        <f>CONCATENATE("     ","*Benefits                                         ")</f>
        <v xml:space="preserve">     *Benefits                                         </v>
      </c>
      <c r="C33" s="13"/>
      <c r="D33" s="1">
        <f>SUM(OSRRefD22_0x_0)</f>
        <v>11732.269999999999</v>
      </c>
      <c r="E33" s="1"/>
      <c r="F33" s="5">
        <f t="shared" si="12"/>
        <v>7.2209440471573669E-2</v>
      </c>
      <c r="G33" s="1"/>
      <c r="H33" s="1">
        <f>SUM(OSRRefH22_0x_0)</f>
        <v>13202.990842939998</v>
      </c>
      <c r="I33" s="1"/>
      <c r="J33" s="5">
        <f t="shared" si="13"/>
        <v>3.6317149757637938E-2</v>
      </c>
      <c r="K33" s="1"/>
      <c r="L33" s="1">
        <f t="shared" si="14"/>
        <v>-1470.7208429399998</v>
      </c>
      <c r="M33" s="1"/>
      <c r="N33" s="5">
        <f t="shared" si="15"/>
        <v>-0.11139300636010321</v>
      </c>
      <c r="O33" s="13"/>
      <c r="P33" s="1">
        <f>SUM(OSRRefP22_0x_0)</f>
        <v>118335.94</v>
      </c>
      <c r="Q33" s="1"/>
      <c r="R33" s="5">
        <f t="shared" si="16"/>
        <v>5.0046165936737566E-2</v>
      </c>
      <c r="S33" s="1"/>
      <c r="T33" s="1">
        <f>SUM(OSRRefT22_0x_0)</f>
        <v>117114.163469205</v>
      </c>
      <c r="U33" s="1"/>
      <c r="V33" s="5">
        <f t="shared" si="17"/>
        <v>4.6090424012577971E-2</v>
      </c>
      <c r="W33" s="1"/>
      <c r="X33" s="1">
        <f t="shared" si="18"/>
        <v>1221.7765307950031</v>
      </c>
      <c r="Y33" s="1"/>
      <c r="Z33" s="5">
        <f t="shared" si="19"/>
        <v>1.0432355016703573E-2</v>
      </c>
    </row>
    <row r="34" spans="1:26" s="24" customFormat="1" hidden="1" outlineLevel="2" x14ac:dyDescent="0.25">
      <c r="A34" s="25"/>
      <c r="B34" s="11" t="str">
        <f>CONCATENATE("          ", "6111", " - ", "F.I.C.A.")</f>
        <v xml:space="preserve">          6111 - F.I.C.A.</v>
      </c>
      <c r="C34" s="11"/>
      <c r="D34" s="6">
        <v>2387.5100000000002</v>
      </c>
      <c r="E34" s="2"/>
      <c r="F34" s="7">
        <f t="shared" si="12"/>
        <v>1.4694578391077505E-2</v>
      </c>
      <c r="G34" s="2"/>
      <c r="H34" s="6">
        <v>1502.388769647692</v>
      </c>
      <c r="I34" s="2"/>
      <c r="J34" s="7">
        <f t="shared" si="13"/>
        <v>4.1325846992209866E-3</v>
      </c>
      <c r="K34" s="2"/>
      <c r="L34" s="6">
        <f t="shared" si="14"/>
        <v>885.1212303523082</v>
      </c>
      <c r="M34" s="2"/>
      <c r="N34" s="7">
        <f t="shared" si="15"/>
        <v>0.58914260292285592</v>
      </c>
      <c r="O34" s="11"/>
      <c r="P34" s="6">
        <v>20565.48</v>
      </c>
      <c r="Q34" s="2"/>
      <c r="R34" s="7">
        <f t="shared" si="16"/>
        <v>8.6974711541452036E-3</v>
      </c>
      <c r="S34" s="2"/>
      <c r="T34" s="6">
        <v>15465.378202005</v>
      </c>
      <c r="U34" s="2"/>
      <c r="V34" s="7">
        <f t="shared" si="17"/>
        <v>6.0864187364726595E-3</v>
      </c>
      <c r="W34" s="2"/>
      <c r="X34" s="6">
        <f t="shared" si="18"/>
        <v>5100.1017979949993</v>
      </c>
      <c r="Y34" s="2"/>
      <c r="Z34" s="7">
        <f t="shared" si="19"/>
        <v>0.32977543331813247</v>
      </c>
    </row>
    <row r="35" spans="1:26" s="24" customFormat="1" hidden="1" outlineLevel="2" x14ac:dyDescent="0.25">
      <c r="A35" s="25"/>
      <c r="B35" s="11" t="str">
        <f>CONCATENATE("          ", "6112", " - ", "COMPENSATION INSURANCE")</f>
        <v xml:space="preserve">          6112 - COMPENSATION INSURANCE</v>
      </c>
      <c r="C35" s="11"/>
      <c r="D35" s="6">
        <v>1406.5</v>
      </c>
      <c r="E35" s="2"/>
      <c r="F35" s="7">
        <f t="shared" si="12"/>
        <v>8.6566860482471322E-3</v>
      </c>
      <c r="G35" s="2"/>
      <c r="H35" s="6">
        <v>1330.695937846154</v>
      </c>
      <c r="I35" s="2"/>
      <c r="J35" s="7">
        <f t="shared" si="13"/>
        <v>3.6603133510829523E-3</v>
      </c>
      <c r="K35" s="2"/>
      <c r="L35" s="6">
        <f t="shared" si="14"/>
        <v>75.804062153845962</v>
      </c>
      <c r="M35" s="2"/>
      <c r="N35" s="7">
        <f t="shared" si="15"/>
        <v>5.6965727479818838E-2</v>
      </c>
      <c r="O35" s="11"/>
      <c r="P35" s="6">
        <v>8652</v>
      </c>
      <c r="Q35" s="2"/>
      <c r="R35" s="7">
        <f t="shared" si="16"/>
        <v>3.6590694905085756E-3</v>
      </c>
      <c r="S35" s="2"/>
      <c r="T35" s="6">
        <v>10110.332145499999</v>
      </c>
      <c r="U35" s="2"/>
      <c r="V35" s="7">
        <f t="shared" si="17"/>
        <v>3.9789337317567347E-3</v>
      </c>
      <c r="W35" s="2"/>
      <c r="X35" s="6">
        <f t="shared" si="18"/>
        <v>-1458.3321454999987</v>
      </c>
      <c r="Y35" s="2"/>
      <c r="Z35" s="7">
        <f t="shared" si="19"/>
        <v>-0.14424176421830878</v>
      </c>
    </row>
    <row r="36" spans="1:26" s="24" customFormat="1" hidden="1" outlineLevel="2" x14ac:dyDescent="0.25">
      <c r="A36" s="25"/>
      <c r="B36" s="11" t="str">
        <f>CONCATENATE("          ", "6113", " - ", "GROUP INSURANCE")</f>
        <v xml:space="preserve">          6113 - GROUP INSURANCE</v>
      </c>
      <c r="C36" s="11"/>
      <c r="D36" s="6">
        <v>4620.57</v>
      </c>
      <c r="E36" s="2"/>
      <c r="F36" s="7">
        <f t="shared" si="12"/>
        <v>2.8438552331282792E-2</v>
      </c>
      <c r="G36" s="2"/>
      <c r="H36" s="6">
        <v>5998</v>
      </c>
      <c r="I36" s="2"/>
      <c r="J36" s="7">
        <f t="shared" si="13"/>
        <v>1.6498554519773233E-2</v>
      </c>
      <c r="K36" s="2"/>
      <c r="L36" s="6">
        <f t="shared" si="14"/>
        <v>-1377.4300000000003</v>
      </c>
      <c r="M36" s="2"/>
      <c r="N36" s="7">
        <f t="shared" si="15"/>
        <v>-0.22964821607202407</v>
      </c>
      <c r="O36" s="11"/>
      <c r="P36" s="6">
        <v>50697.14</v>
      </c>
      <c r="Q36" s="2"/>
      <c r="R36" s="7">
        <f t="shared" si="16"/>
        <v>2.1440633174993288E-2</v>
      </c>
      <c r="S36" s="2"/>
      <c r="T36" s="6">
        <v>53982</v>
      </c>
      <c r="U36" s="2"/>
      <c r="V36" s="7">
        <f t="shared" si="17"/>
        <v>2.124468292599993E-2</v>
      </c>
      <c r="W36" s="2"/>
      <c r="X36" s="6">
        <f t="shared" si="18"/>
        <v>-3284.8600000000006</v>
      </c>
      <c r="Y36" s="2"/>
      <c r="Z36" s="7">
        <f t="shared" si="19"/>
        <v>-6.0851024415545935E-2</v>
      </c>
    </row>
    <row r="37" spans="1:26" s="24" customFormat="1" hidden="1" outlineLevel="2" x14ac:dyDescent="0.25">
      <c r="A37" s="25"/>
      <c r="B37" s="11" t="str">
        <f>CONCATENATE("          ", "6114", " - ", "STATE UNEMPLOYMENT INSURANCE")</f>
        <v xml:space="preserve">          6114 - STATE UNEMPLOYMENT INSURANCE</v>
      </c>
      <c r="C37" s="11"/>
      <c r="D37" s="6">
        <v>192.47</v>
      </c>
      <c r="E37" s="2"/>
      <c r="F37" s="7">
        <f t="shared" si="12"/>
        <v>1.1846088615045328E-3</v>
      </c>
      <c r="G37" s="2"/>
      <c r="H37" s="6">
        <v>182.0952336</v>
      </c>
      <c r="I37" s="2"/>
      <c r="J37" s="7">
        <f t="shared" si="13"/>
        <v>5.0088498488503545E-4</v>
      </c>
      <c r="K37" s="2"/>
      <c r="L37" s="6">
        <f t="shared" si="14"/>
        <v>10.374766399999999</v>
      </c>
      <c r="M37" s="2"/>
      <c r="N37" s="7">
        <f t="shared" si="15"/>
        <v>5.6974398477610669E-2</v>
      </c>
      <c r="O37" s="11"/>
      <c r="P37" s="6">
        <v>1317.21</v>
      </c>
      <c r="Q37" s="2"/>
      <c r="R37" s="7">
        <f t="shared" si="16"/>
        <v>5.5706922371622761E-4</v>
      </c>
      <c r="S37" s="2"/>
      <c r="T37" s="6">
        <v>1383.5191356999999</v>
      </c>
      <c r="U37" s="2"/>
      <c r="V37" s="7">
        <f t="shared" si="17"/>
        <v>5.4448566855618474E-4</v>
      </c>
      <c r="W37" s="2"/>
      <c r="X37" s="6">
        <f t="shared" si="18"/>
        <v>-66.309135699999842</v>
      </c>
      <c r="Y37" s="2"/>
      <c r="Z37" s="7">
        <f t="shared" si="19"/>
        <v>-4.7927877532716837E-2</v>
      </c>
    </row>
    <row r="38" spans="1:26" s="24" customFormat="1" hidden="1" outlineLevel="2" x14ac:dyDescent="0.25">
      <c r="A38" s="25"/>
      <c r="B38" s="11" t="str">
        <f>CONCATENATE("          ", "6115", " - ", "P.E.R.S.")</f>
        <v xml:space="preserve">          6115 - P.E.R.S.</v>
      </c>
      <c r="C38" s="11"/>
      <c r="D38" s="6">
        <v>1284.74</v>
      </c>
      <c r="E38" s="2"/>
      <c r="F38" s="7">
        <f t="shared" si="12"/>
        <v>7.9072810761642524E-3</v>
      </c>
      <c r="G38" s="2"/>
      <c r="H38" s="6">
        <v>1534.1686464615379</v>
      </c>
      <c r="I38" s="2"/>
      <c r="J38" s="7">
        <f t="shared" si="13"/>
        <v>4.2200008429763907E-3</v>
      </c>
      <c r="K38" s="2"/>
      <c r="L38" s="6">
        <f t="shared" si="14"/>
        <v>-249.42864646153794</v>
      </c>
      <c r="M38" s="2"/>
      <c r="N38" s="7">
        <f t="shared" si="15"/>
        <v>-0.16258228652816573</v>
      </c>
      <c r="O38" s="11"/>
      <c r="P38" s="6">
        <v>14120.73</v>
      </c>
      <c r="Q38" s="2"/>
      <c r="R38" s="7">
        <f t="shared" si="16"/>
        <v>5.9718830705858946E-3</v>
      </c>
      <c r="S38" s="2"/>
      <c r="T38" s="6">
        <v>14730.413981</v>
      </c>
      <c r="U38" s="2"/>
      <c r="V38" s="7">
        <f t="shared" si="17"/>
        <v>5.7971726574610307E-3</v>
      </c>
      <c r="W38" s="2"/>
      <c r="X38" s="6">
        <f t="shared" si="18"/>
        <v>-609.68398100000013</v>
      </c>
      <c r="Y38" s="2"/>
      <c r="Z38" s="7">
        <f t="shared" si="19"/>
        <v>-4.1389466839587809E-2</v>
      </c>
    </row>
    <row r="39" spans="1:26" s="24" customFormat="1" hidden="1" outlineLevel="2" x14ac:dyDescent="0.25">
      <c r="A39" s="25"/>
      <c r="B39" s="11" t="str">
        <f>CONCATENATE("          ", "6116", " - ", "EDUCATIONAL BENEFITS")</f>
        <v xml:space="preserve">          6116 - EDUCATIONAL BENEFITS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25">
      <c r="A40" s="25"/>
      <c r="B40" s="11" t="str">
        <f>CONCATENATE("          ", "6118", " - ", "VACATION")</f>
        <v xml:space="preserve">          6118 - VACATION</v>
      </c>
      <c r="C40" s="11"/>
      <c r="D40" s="6">
        <v>950.98</v>
      </c>
      <c r="E40" s="2"/>
      <c r="F40" s="7">
        <f t="shared" si="12"/>
        <v>5.8530645561052667E-3</v>
      </c>
      <c r="G40" s="2"/>
      <c r="H40" s="6">
        <v>647.28014769230754</v>
      </c>
      <c r="I40" s="2"/>
      <c r="J40" s="7">
        <f t="shared" si="13"/>
        <v>1.7804579536959664E-3</v>
      </c>
      <c r="K40" s="2"/>
      <c r="L40" s="6">
        <f t="shared" si="14"/>
        <v>303.69985230769248</v>
      </c>
      <c r="M40" s="2"/>
      <c r="N40" s="7">
        <f t="shared" si="15"/>
        <v>0.46919383112620949</v>
      </c>
      <c r="O40" s="11"/>
      <c r="P40" s="6">
        <v>10650.52</v>
      </c>
      <c r="Q40" s="2"/>
      <c r="R40" s="7">
        <f t="shared" si="16"/>
        <v>4.5042756345413078E-3</v>
      </c>
      <c r="S40" s="2"/>
      <c r="T40" s="6">
        <v>6202.2783799999997</v>
      </c>
      <c r="U40" s="2"/>
      <c r="V40" s="7">
        <f t="shared" si="17"/>
        <v>2.4409143344426751E-3</v>
      </c>
      <c r="W40" s="2"/>
      <c r="X40" s="6">
        <f t="shared" si="18"/>
        <v>4448.2416200000007</v>
      </c>
      <c r="Y40" s="2"/>
      <c r="Z40" s="7">
        <f t="shared" si="19"/>
        <v>0.71719477060944192</v>
      </c>
    </row>
    <row r="41" spans="1:26" s="24" customFormat="1" hidden="1" outlineLevel="2" x14ac:dyDescent="0.25">
      <c r="A41" s="25"/>
      <c r="B41" s="11" t="str">
        <f>CONCATENATE("          ", "6119", " - ", "SICK LEAVE")</f>
        <v xml:space="preserve">          6119 - SICK LEAVE</v>
      </c>
      <c r="C41" s="11"/>
      <c r="D41" s="6">
        <v>640.52</v>
      </c>
      <c r="E41" s="2"/>
      <c r="F41" s="7">
        <f t="shared" si="12"/>
        <v>3.9422542108945987E-3</v>
      </c>
      <c r="G41" s="2"/>
      <c r="H41" s="6">
        <v>2008.362107692308</v>
      </c>
      <c r="I41" s="2"/>
      <c r="J41" s="7">
        <f t="shared" si="13"/>
        <v>5.5243534060033725E-3</v>
      </c>
      <c r="K41" s="2"/>
      <c r="L41" s="6">
        <f t="shared" si="14"/>
        <v>-1367.842107692308</v>
      </c>
      <c r="M41" s="2"/>
      <c r="N41" s="7">
        <f t="shared" si="15"/>
        <v>-0.6810734490823549</v>
      </c>
      <c r="O41" s="11"/>
      <c r="P41" s="6">
        <v>7271.64</v>
      </c>
      <c r="Q41" s="2"/>
      <c r="R41" s="7">
        <f t="shared" si="16"/>
        <v>3.0752931195055224E-3</v>
      </c>
      <c r="S41" s="2"/>
      <c r="T41" s="6">
        <v>15115.241625000002</v>
      </c>
      <c r="U41" s="2"/>
      <c r="V41" s="7">
        <f t="shared" si="17"/>
        <v>5.9486220531473639E-3</v>
      </c>
      <c r="W41" s="2"/>
      <c r="X41" s="6">
        <f t="shared" si="18"/>
        <v>-7843.6016250000021</v>
      </c>
      <c r="Y41" s="2"/>
      <c r="Z41" s="7">
        <f t="shared" si="19"/>
        <v>-0.5189200291728715</v>
      </c>
    </row>
    <row r="42" spans="1:26" s="24" customFormat="1" hidden="1" outlineLevel="2" x14ac:dyDescent="0.25">
      <c r="A42" s="25"/>
      <c r="B42" s="11" t="str">
        <f>CONCATENATE("          ", "6156", " - ", "EMPLOYEE MEALS")</f>
        <v xml:space="preserve">          6156 - EMPLOYEE MEALS</v>
      </c>
      <c r="C42" s="11"/>
      <c r="D42" s="6">
        <v>248.98</v>
      </c>
      <c r="E42" s="2"/>
      <c r="F42" s="7">
        <f t="shared" si="12"/>
        <v>1.5324149962975973E-3</v>
      </c>
      <c r="G42" s="2"/>
      <c r="H42" s="6"/>
      <c r="I42" s="2"/>
      <c r="J42" s="7">
        <f t="shared" si="13"/>
        <v>0</v>
      </c>
      <c r="K42" s="2"/>
      <c r="L42" s="6">
        <f t="shared" si="14"/>
        <v>248.98</v>
      </c>
      <c r="M42" s="2"/>
      <c r="N42" s="7">
        <f t="shared" si="15"/>
        <v>0</v>
      </c>
      <c r="O42" s="11"/>
      <c r="P42" s="6">
        <v>5061.22</v>
      </c>
      <c r="Q42" s="2"/>
      <c r="R42" s="7">
        <f t="shared" si="16"/>
        <v>2.1404710687415412E-3</v>
      </c>
      <c r="S42" s="2"/>
      <c r="T42" s="6">
        <v>125</v>
      </c>
      <c r="U42" s="2"/>
      <c r="V42" s="7">
        <f t="shared" si="17"/>
        <v>4.9193904741395119E-5</v>
      </c>
      <c r="W42" s="2"/>
      <c r="X42" s="6">
        <f t="shared" si="18"/>
        <v>4936.22</v>
      </c>
      <c r="Y42" s="2"/>
      <c r="Z42" s="7">
        <f t="shared" si="19"/>
        <v>39.489760000000004</v>
      </c>
    </row>
    <row r="43" spans="1:26" s="27" customFormat="1" outlineLevel="1" collapsed="1" x14ac:dyDescent="0.25">
      <c r="A43" s="26"/>
      <c r="B43" s="13" t="str">
        <f>CONCATENATE("     ","*Payroll                                          ")</f>
        <v xml:space="preserve">     *Payroll                                          </v>
      </c>
      <c r="C43" s="13"/>
      <c r="D43" s="1">
        <f>SUM(OSRRefD22_1x_0)</f>
        <v>64482.329999999994</v>
      </c>
      <c r="E43" s="1"/>
      <c r="F43" s="5">
        <f t="shared" ref="F43:F53" si="20">IF(D$12=0,0,D43/D$12)</f>
        <v>0.39687400388870769</v>
      </c>
      <c r="G43" s="1"/>
      <c r="H43" s="1">
        <f>SUM(OSRRefH22_1x_0)</f>
        <v>68646.752352307696</v>
      </c>
      <c r="I43" s="1"/>
      <c r="J43" s="5">
        <f t="shared" ref="J43:J53" si="21">IF(H$12=0,0,H43/H$12)</f>
        <v>0.18882497270588863</v>
      </c>
      <c r="K43" s="1"/>
      <c r="L43" s="1">
        <f t="shared" ref="L43:L53" si="22">+D43-H43</f>
        <v>-4164.4223523077017</v>
      </c>
      <c r="M43" s="1"/>
      <c r="N43" s="5">
        <f t="shared" ref="N43:N53" si="23">IF(H43=0,0,L43/H43)</f>
        <v>-6.0664521038593697E-2</v>
      </c>
      <c r="O43" s="13"/>
      <c r="P43" s="1">
        <f>SUM(OSRRefP22_1x_0)</f>
        <v>491155.52</v>
      </c>
      <c r="Q43" s="1"/>
      <c r="R43" s="5">
        <f t="shared" ref="R43:R53" si="24">IF(P$12=0,0,P43/P$12)</f>
        <v>0.20771754257129851</v>
      </c>
      <c r="S43" s="1"/>
      <c r="T43" s="1">
        <f>SUM(OSRRefT22_1x_0)</f>
        <v>519690.574395</v>
      </c>
      <c r="U43" s="1"/>
      <c r="V43" s="5">
        <f t="shared" ref="V43:V53" si="25">IF(T$12=0,0,T43/T$12)</f>
        <v>0.20452486889430835</v>
      </c>
      <c r="W43" s="1"/>
      <c r="X43" s="1">
        <f t="shared" ref="X43:X53" si="26">+P43-T43</f>
        <v>-28535.054394999985</v>
      </c>
      <c r="Y43" s="1"/>
      <c r="Z43" s="5">
        <f t="shared" ref="Z43:Z53" si="27">IF(T43=0,0,X43/T43)</f>
        <v>-5.490777743702431E-2</v>
      </c>
    </row>
    <row r="44" spans="1:26" s="24" customFormat="1" hidden="1" outlineLevel="2" x14ac:dyDescent="0.25">
      <c r="A44" s="25"/>
      <c r="B44" s="11" t="str">
        <f>CONCATENATE("          ", "6001", " - ", "ADMINISTRATIVE SALARIES")</f>
        <v xml:space="preserve">          6001 - ADMINISTRATIVE SALARIES</v>
      </c>
      <c r="C44" s="11"/>
      <c r="D44" s="6"/>
      <c r="E44" s="2"/>
      <c r="F44" s="7">
        <f t="shared" si="20"/>
        <v>0</v>
      </c>
      <c r="G44" s="2"/>
      <c r="H44" s="6">
        <v>13189.7717923077</v>
      </c>
      <c r="I44" s="2"/>
      <c r="J44" s="7">
        <f t="shared" si="21"/>
        <v>3.6280788432603489E-2</v>
      </c>
      <c r="K44" s="2"/>
      <c r="L44" s="6">
        <f t="shared" si="22"/>
        <v>-13189.7717923077</v>
      </c>
      <c r="M44" s="2"/>
      <c r="N44" s="7">
        <f t="shared" si="23"/>
        <v>-1</v>
      </c>
      <c r="O44" s="11"/>
      <c r="P44" s="6"/>
      <c r="Q44" s="2"/>
      <c r="R44" s="7">
        <f t="shared" si="24"/>
        <v>0</v>
      </c>
      <c r="S44" s="2"/>
      <c r="T44" s="6">
        <v>126084.64932500005</v>
      </c>
      <c r="U44" s="2"/>
      <c r="V44" s="7">
        <f t="shared" si="25"/>
        <v>4.9620769825970086E-2</v>
      </c>
      <c r="W44" s="2"/>
      <c r="X44" s="6">
        <f t="shared" si="26"/>
        <v>-126084.64932500005</v>
      </c>
      <c r="Y44" s="2"/>
      <c r="Z44" s="7">
        <f t="shared" si="27"/>
        <v>-1</v>
      </c>
    </row>
    <row r="45" spans="1:26" s="24" customFormat="1" hidden="1" outlineLevel="2" x14ac:dyDescent="0.25">
      <c r="A45" s="25"/>
      <c r="B45" s="11" t="str">
        <f>CONCATENATE("          ", "6002", " - ", "STAFF SALARIES")</f>
        <v xml:space="preserve">          6002 - STAFF SALARIES</v>
      </c>
      <c r="C45" s="11"/>
      <c r="D45" s="6">
        <v>13470.66</v>
      </c>
      <c r="E45" s="2"/>
      <c r="F45" s="7">
        <f t="shared" si="20"/>
        <v>8.2908833617263214E-2</v>
      </c>
      <c r="G45" s="2"/>
      <c r="H45" s="6">
        <v>3559.68</v>
      </c>
      <c r="I45" s="2"/>
      <c r="J45" s="7">
        <f t="shared" si="21"/>
        <v>9.7915262675802566E-3</v>
      </c>
      <c r="K45" s="2"/>
      <c r="L45" s="6">
        <f t="shared" si="22"/>
        <v>9910.98</v>
      </c>
      <c r="M45" s="2"/>
      <c r="N45" s="7">
        <f t="shared" si="23"/>
        <v>2.7842334142394822</v>
      </c>
      <c r="O45" s="11"/>
      <c r="P45" s="6">
        <v>140941.10999999999</v>
      </c>
      <c r="Q45" s="2"/>
      <c r="R45" s="7">
        <f t="shared" si="24"/>
        <v>5.9606254687865588E-2</v>
      </c>
      <c r="S45" s="2"/>
      <c r="T45" s="6">
        <v>34706.879999999997</v>
      </c>
      <c r="U45" s="2"/>
      <c r="V45" s="7">
        <f t="shared" si="25"/>
        <v>1.3658935588728249E-2</v>
      </c>
      <c r="W45" s="2"/>
      <c r="X45" s="6">
        <f t="shared" si="26"/>
        <v>106234.22999999998</v>
      </c>
      <c r="Y45" s="2"/>
      <c r="Z45" s="7">
        <f t="shared" si="27"/>
        <v>3.0608983002793679</v>
      </c>
    </row>
    <row r="46" spans="1:26" s="24" customFormat="1" hidden="1" outlineLevel="2" x14ac:dyDescent="0.25">
      <c r="A46" s="25"/>
      <c r="B46" s="11" t="str">
        <f>CONCATENATE("          ", "6003", " - ", "STAFF HOURLY-9 MONTH")</f>
        <v xml:space="preserve">          6003 - STAFF HOURLY-9 MONTH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25">
      <c r="A47" s="25"/>
      <c r="B47" s="11" t="str">
        <f>CONCATENATE("          ", "6004", " - ", "STAFF HOURLY")</f>
        <v xml:space="preserve">          6004 - STAFF HOURLY</v>
      </c>
      <c r="C47" s="11"/>
      <c r="D47" s="6"/>
      <c r="E47" s="2"/>
      <c r="F47" s="7">
        <f t="shared" si="20"/>
        <v>0</v>
      </c>
      <c r="G47" s="2"/>
      <c r="H47" s="6">
        <v>1792.2</v>
      </c>
      <c r="I47" s="2"/>
      <c r="J47" s="7">
        <f t="shared" si="21"/>
        <v>4.929761488885894E-3</v>
      </c>
      <c r="K47" s="2"/>
      <c r="L47" s="6">
        <f t="shared" si="22"/>
        <v>-1792.2</v>
      </c>
      <c r="M47" s="2"/>
      <c r="N47" s="7">
        <f t="shared" si="23"/>
        <v>-1</v>
      </c>
      <c r="O47" s="11"/>
      <c r="P47" s="6">
        <v>254.64</v>
      </c>
      <c r="Q47" s="2"/>
      <c r="R47" s="7">
        <f t="shared" si="24"/>
        <v>1.0769133784825516E-4</v>
      </c>
      <c r="S47" s="2"/>
      <c r="T47" s="6">
        <v>16284.3</v>
      </c>
      <c r="U47" s="2"/>
      <c r="V47" s="7">
        <f t="shared" si="25"/>
        <v>6.408706423842404E-3</v>
      </c>
      <c r="W47" s="2"/>
      <c r="X47" s="6">
        <f t="shared" si="26"/>
        <v>-16029.66</v>
      </c>
      <c r="Y47" s="2"/>
      <c r="Z47" s="7">
        <f t="shared" si="27"/>
        <v>-0.98436285256351208</v>
      </c>
    </row>
    <row r="48" spans="1:26" s="24" customFormat="1" hidden="1" outlineLevel="2" x14ac:dyDescent="0.25">
      <c r="A48" s="25"/>
      <c r="B48" s="11" t="str">
        <f>CONCATENATE("          ", "6005", " - ", "TEMPORARY WAGES-HOURLY")</f>
        <v xml:space="preserve">          6005 - TEMPORARY WAGES-HOURLY</v>
      </c>
      <c r="C48" s="11"/>
      <c r="D48" s="6">
        <v>10468.76</v>
      </c>
      <c r="E48" s="2"/>
      <c r="F48" s="7">
        <f t="shared" si="20"/>
        <v>6.4432825193350612E-2</v>
      </c>
      <c r="G48" s="2"/>
      <c r="H48" s="6">
        <v>1638.2911999999999</v>
      </c>
      <c r="I48" s="2"/>
      <c r="J48" s="7">
        <f t="shared" si="21"/>
        <v>4.5064082498273948E-3</v>
      </c>
      <c r="K48" s="2"/>
      <c r="L48" s="6">
        <f t="shared" si="22"/>
        <v>8830.4688000000006</v>
      </c>
      <c r="M48" s="2"/>
      <c r="N48" s="7">
        <f t="shared" si="23"/>
        <v>5.3900483625865787</v>
      </c>
      <c r="O48" s="11"/>
      <c r="P48" s="6">
        <v>67287.22</v>
      </c>
      <c r="Q48" s="2"/>
      <c r="R48" s="7">
        <f t="shared" si="24"/>
        <v>2.84568439439596E-2</v>
      </c>
      <c r="S48" s="2"/>
      <c r="T48" s="6">
        <v>11623.393599999999</v>
      </c>
      <c r="U48" s="2"/>
      <c r="V48" s="7">
        <f t="shared" si="25"/>
        <v>4.5744009402411334E-3</v>
      </c>
      <c r="W48" s="2"/>
      <c r="X48" s="6">
        <f t="shared" si="26"/>
        <v>55663.826400000005</v>
      </c>
      <c r="Y48" s="2"/>
      <c r="Z48" s="7">
        <f t="shared" si="27"/>
        <v>4.7889479024439137</v>
      </c>
    </row>
    <row r="49" spans="1:26" s="24" customFormat="1" hidden="1" outlineLevel="2" x14ac:dyDescent="0.25">
      <c r="A49" s="25"/>
      <c r="B49" s="11" t="str">
        <f>CONCATENATE("          ", "6006", " - ", "TEMPORARY PART TIME")</f>
        <v xml:space="preserve">          6006 - TEMPORARY PART TIME</v>
      </c>
      <c r="C49" s="11"/>
      <c r="D49" s="6">
        <v>7744.91</v>
      </c>
      <c r="E49" s="2"/>
      <c r="F49" s="7">
        <f t="shared" si="20"/>
        <v>4.7668150971866115E-2</v>
      </c>
      <c r="G49" s="2"/>
      <c r="H49" s="6">
        <v>0</v>
      </c>
      <c r="I49" s="2"/>
      <c r="J49" s="7">
        <f t="shared" si="21"/>
        <v>0</v>
      </c>
      <c r="K49" s="2"/>
      <c r="L49" s="6">
        <f t="shared" si="22"/>
        <v>7744.91</v>
      </c>
      <c r="M49" s="2"/>
      <c r="N49" s="7">
        <f t="shared" si="23"/>
        <v>0</v>
      </c>
      <c r="O49" s="11"/>
      <c r="P49" s="6">
        <v>21785.59</v>
      </c>
      <c r="Q49" s="2"/>
      <c r="R49" s="7">
        <f t="shared" si="24"/>
        <v>9.2134752313602318E-3</v>
      </c>
      <c r="S49" s="2"/>
      <c r="T49" s="6">
        <v>0</v>
      </c>
      <c r="U49" s="2"/>
      <c r="V49" s="7">
        <f t="shared" si="25"/>
        <v>0</v>
      </c>
      <c r="W49" s="2"/>
      <c r="X49" s="6">
        <f t="shared" si="26"/>
        <v>21785.59</v>
      </c>
      <c r="Y49" s="2"/>
      <c r="Z49" s="7">
        <f t="shared" si="27"/>
        <v>0</v>
      </c>
    </row>
    <row r="50" spans="1:26" s="24" customFormat="1" hidden="1" outlineLevel="2" x14ac:dyDescent="0.25">
      <c r="A50" s="25"/>
      <c r="B50" s="11" t="str">
        <f>CONCATENATE("          ", "6007", " - ", "STUDENT HOURLY")</f>
        <v xml:space="preserve">          6007 - STUDENT HOURLY</v>
      </c>
      <c r="C50" s="11"/>
      <c r="D50" s="6">
        <v>31790.04</v>
      </c>
      <c r="E50" s="2"/>
      <c r="F50" s="7">
        <f t="shared" si="20"/>
        <v>0.19566043067274672</v>
      </c>
      <c r="G50" s="2"/>
      <c r="H50" s="6">
        <v>0</v>
      </c>
      <c r="I50" s="2"/>
      <c r="J50" s="7">
        <f t="shared" si="21"/>
        <v>0</v>
      </c>
      <c r="K50" s="2"/>
      <c r="L50" s="6">
        <f t="shared" si="22"/>
        <v>31790.04</v>
      </c>
      <c r="M50" s="2"/>
      <c r="N50" s="7">
        <f t="shared" si="23"/>
        <v>0</v>
      </c>
      <c r="O50" s="11"/>
      <c r="P50" s="6">
        <v>250050.06999999998</v>
      </c>
      <c r="Q50" s="2"/>
      <c r="R50" s="7">
        <f t="shared" si="24"/>
        <v>0.10575018287523505</v>
      </c>
      <c r="S50" s="2"/>
      <c r="T50" s="6">
        <v>14410.143749999999</v>
      </c>
      <c r="U50" s="2"/>
      <c r="V50" s="7">
        <f t="shared" si="25"/>
        <v>5.6711299115784815E-3</v>
      </c>
      <c r="W50" s="2"/>
      <c r="X50" s="6">
        <f t="shared" si="26"/>
        <v>235639.92624999999</v>
      </c>
      <c r="Y50" s="2"/>
      <c r="Z50" s="7">
        <f t="shared" si="27"/>
        <v>16.352364718776659</v>
      </c>
    </row>
    <row r="51" spans="1:26" s="24" customFormat="1" hidden="1" outlineLevel="2" x14ac:dyDescent="0.25">
      <c r="A51" s="25"/>
      <c r="B51" s="11" t="str">
        <f>CONCATENATE("          ", "6008", " - ", "STUDENT HOURLY-FICA EXEMPT")</f>
        <v xml:space="preserve">          6008 - STUDENT HOURLY-FICA EXEMPT</v>
      </c>
      <c r="C51" s="11"/>
      <c r="D51" s="6">
        <v>1007.96</v>
      </c>
      <c r="E51" s="2"/>
      <c r="F51" s="7">
        <f t="shared" si="20"/>
        <v>6.2037634334811088E-3</v>
      </c>
      <c r="G51" s="2"/>
      <c r="H51" s="6">
        <v>48466.809359999999</v>
      </c>
      <c r="I51" s="2"/>
      <c r="J51" s="7">
        <f t="shared" si="21"/>
        <v>0.13331648826699161</v>
      </c>
      <c r="K51" s="2"/>
      <c r="L51" s="6">
        <f t="shared" si="22"/>
        <v>-47458.84936</v>
      </c>
      <c r="M51" s="2"/>
      <c r="N51" s="7">
        <f t="shared" si="23"/>
        <v>-0.97920308736411532</v>
      </c>
      <c r="O51" s="11"/>
      <c r="P51" s="6">
        <v>10836.89</v>
      </c>
      <c r="Q51" s="2"/>
      <c r="R51" s="7">
        <f t="shared" si="24"/>
        <v>4.5830944950297596E-3</v>
      </c>
      <c r="S51" s="2"/>
      <c r="T51" s="6">
        <v>316581.20772000001</v>
      </c>
      <c r="U51" s="2"/>
      <c r="V51" s="7">
        <f t="shared" si="25"/>
        <v>0.124590926203948</v>
      </c>
      <c r="W51" s="2"/>
      <c r="X51" s="6">
        <f t="shared" si="26"/>
        <v>-305744.31771999999</v>
      </c>
      <c r="Y51" s="2"/>
      <c r="Z51" s="7">
        <f t="shared" si="27"/>
        <v>-0.96576900417416855</v>
      </c>
    </row>
    <row r="52" spans="1:26" s="24" customFormat="1" hidden="1" outlineLevel="2" x14ac:dyDescent="0.25">
      <c r="A52" s="25"/>
      <c r="B52" s="11" t="str">
        <f>CONCATENATE("          ", "6009", " - ", "TEMPORARY-SEASONAL")</f>
        <v xml:space="preserve">          6009 - TEMPORARY-SEASONAL</v>
      </c>
      <c r="C52" s="11"/>
      <c r="D52" s="6"/>
      <c r="E52" s="2"/>
      <c r="F52" s="7">
        <f t="shared" si="20"/>
        <v>0</v>
      </c>
      <c r="G52" s="2"/>
      <c r="H52" s="6">
        <v>0</v>
      </c>
      <c r="I52" s="2"/>
      <c r="J52" s="7">
        <f t="shared" si="21"/>
        <v>0</v>
      </c>
      <c r="K52" s="2"/>
      <c r="L52" s="6">
        <f t="shared" si="22"/>
        <v>0</v>
      </c>
      <c r="M52" s="2"/>
      <c r="N52" s="7">
        <f t="shared" si="23"/>
        <v>0</v>
      </c>
      <c r="O52" s="11"/>
      <c r="P52" s="6"/>
      <c r="Q52" s="2"/>
      <c r="R52" s="7">
        <f t="shared" si="24"/>
        <v>0</v>
      </c>
      <c r="S52" s="2"/>
      <c r="T52" s="6">
        <v>0</v>
      </c>
      <c r="U52" s="2"/>
      <c r="V52" s="7">
        <f t="shared" si="25"/>
        <v>0</v>
      </c>
      <c r="W52" s="2"/>
      <c r="X52" s="6">
        <f t="shared" si="26"/>
        <v>0</v>
      </c>
      <c r="Y52" s="2"/>
      <c r="Z52" s="7">
        <f t="shared" si="27"/>
        <v>0</v>
      </c>
    </row>
    <row r="53" spans="1:26" s="24" customFormat="1" hidden="1" outlineLevel="2" x14ac:dyDescent="0.25">
      <c r="A53" s="25"/>
      <c r="B53" s="11" t="str">
        <f>CONCATENATE("          ", "6010", " - ", "GRATUITY")</f>
        <v xml:space="preserve">          6010 - GRATUITY</v>
      </c>
      <c r="C53" s="11"/>
      <c r="D53" s="6"/>
      <c r="E53" s="2"/>
      <c r="F53" s="7">
        <f t="shared" si="20"/>
        <v>0</v>
      </c>
      <c r="G53" s="2"/>
      <c r="H53" s="6">
        <v>0</v>
      </c>
      <c r="I53" s="2"/>
      <c r="J53" s="7">
        <f t="shared" si="21"/>
        <v>0</v>
      </c>
      <c r="K53" s="2"/>
      <c r="L53" s="6">
        <f t="shared" si="22"/>
        <v>0</v>
      </c>
      <c r="M53" s="2"/>
      <c r="N53" s="7">
        <f t="shared" si="23"/>
        <v>0</v>
      </c>
      <c r="O53" s="11"/>
      <c r="P53" s="6"/>
      <c r="Q53" s="2"/>
      <c r="R53" s="7">
        <f t="shared" si="24"/>
        <v>0</v>
      </c>
      <c r="S53" s="2"/>
      <c r="T53" s="6">
        <v>0</v>
      </c>
      <c r="U53" s="2"/>
      <c r="V53" s="7">
        <f t="shared" si="25"/>
        <v>0</v>
      </c>
      <c r="W53" s="2"/>
      <c r="X53" s="6">
        <f t="shared" si="26"/>
        <v>0</v>
      </c>
      <c r="Y53" s="2"/>
      <c r="Z53" s="7">
        <f t="shared" si="27"/>
        <v>0</v>
      </c>
    </row>
    <row r="54" spans="1:26" s="27" customFormat="1" outlineLevel="1" collapsed="1" x14ac:dyDescent="0.25">
      <c r="A54" s="26"/>
      <c r="B54" s="13" t="str">
        <f>CONCATENATE("     ","Advertising/Promo                                 ")</f>
        <v xml:space="preserve">     Advertising/Promo                                 </v>
      </c>
      <c r="C54" s="13"/>
      <c r="D54" s="1">
        <f>SUM(OSRRefD22_2x_0)</f>
        <v>80.89</v>
      </c>
      <c r="E54" s="1"/>
      <c r="F54" s="5">
        <f t="shared" ref="F54:F63" si="28">IF(D$12=0,0,D54/D$12)</f>
        <v>4.9785946281031667E-4</v>
      </c>
      <c r="G54" s="1"/>
      <c r="H54" s="1">
        <f>SUM(OSRRefH22_2x_0)</f>
        <v>75</v>
      </c>
      <c r="I54" s="1"/>
      <c r="J54" s="5">
        <f t="shared" ref="J54:J63" si="29">IF(H$12=0,0,H54/H$12)</f>
        <v>2.0630069839663097E-4</v>
      </c>
      <c r="K54" s="1"/>
      <c r="L54" s="1">
        <f t="shared" ref="L54:L63" si="30">+D54-H54</f>
        <v>5.8900000000000006</v>
      </c>
      <c r="M54" s="1"/>
      <c r="N54" s="5">
        <f t="shared" ref="N54:N63" si="31">IF(H54=0,0,L54/H54)</f>
        <v>7.8533333333333344E-2</v>
      </c>
      <c r="O54" s="13"/>
      <c r="P54" s="1">
        <f>SUM(OSRRefP22_2x_0)</f>
        <v>3607.19</v>
      </c>
      <c r="Q54" s="1"/>
      <c r="R54" s="5">
        <f t="shared" ref="R54:R63" si="32">IF(P$12=0,0,P54/P$12)</f>
        <v>1.5255384738173405E-3</v>
      </c>
      <c r="S54" s="1"/>
      <c r="T54" s="1">
        <f>SUM(OSRRefT22_2x_0)</f>
        <v>1050</v>
      </c>
      <c r="U54" s="1"/>
      <c r="V54" s="5">
        <f t="shared" ref="V54:V63" si="33">IF(T$12=0,0,T54/T$12)</f>
        <v>4.13228799827719E-4</v>
      </c>
      <c r="W54" s="1"/>
      <c r="X54" s="1">
        <f t="shared" ref="X54:X63" si="34">+P54-T54</f>
        <v>2557.19</v>
      </c>
      <c r="Y54" s="1"/>
      <c r="Z54" s="5">
        <f t="shared" ref="Z54:Z63" si="35">IF(T54=0,0,X54/T54)</f>
        <v>2.4354190476190478</v>
      </c>
    </row>
    <row r="55" spans="1:26" s="24" customFormat="1" hidden="1" outlineLevel="2" x14ac:dyDescent="0.25">
      <c r="A55" s="25"/>
      <c r="B55" s="11" t="str">
        <f>CONCATENATE("          ", "6362", " - ", "ADVERTISING EXPENSE")</f>
        <v xml:space="preserve">          6362 - ADVERTISING EXPENSE</v>
      </c>
      <c r="C55" s="11"/>
      <c r="D55" s="6">
        <v>80.89</v>
      </c>
      <c r="E55" s="2"/>
      <c r="F55" s="7">
        <f t="shared" si="28"/>
        <v>4.9785946281031667E-4</v>
      </c>
      <c r="G55" s="2"/>
      <c r="H55" s="6">
        <v>75</v>
      </c>
      <c r="I55" s="2"/>
      <c r="J55" s="7">
        <f t="shared" si="29"/>
        <v>2.0630069839663097E-4</v>
      </c>
      <c r="K55" s="2"/>
      <c r="L55" s="6">
        <f t="shared" si="30"/>
        <v>5.8900000000000006</v>
      </c>
      <c r="M55" s="2"/>
      <c r="N55" s="7">
        <f t="shared" si="31"/>
        <v>7.8533333333333344E-2</v>
      </c>
      <c r="O55" s="11"/>
      <c r="P55" s="6">
        <v>3607.19</v>
      </c>
      <c r="Q55" s="2"/>
      <c r="R55" s="7">
        <f t="shared" si="32"/>
        <v>1.5255384738173405E-3</v>
      </c>
      <c r="S55" s="2"/>
      <c r="T55" s="6">
        <v>1050</v>
      </c>
      <c r="U55" s="2"/>
      <c r="V55" s="7">
        <f t="shared" si="33"/>
        <v>4.13228799827719E-4</v>
      </c>
      <c r="W55" s="2"/>
      <c r="X55" s="6">
        <f t="shared" si="34"/>
        <v>2557.19</v>
      </c>
      <c r="Y55" s="2"/>
      <c r="Z55" s="7">
        <f t="shared" si="35"/>
        <v>2.4354190476190478</v>
      </c>
    </row>
    <row r="56" spans="1:26" s="27" customFormat="1" outlineLevel="1" collapsed="1" x14ac:dyDescent="0.25">
      <c r="A56" s="26"/>
      <c r="B56" s="13" t="str">
        <f>CONCATENATE("     ","Bad Debts/Over/Short                              ")</f>
        <v xml:space="preserve">     Bad Debts/Over/Short                              </v>
      </c>
      <c r="C56" s="13"/>
      <c r="D56" s="1">
        <f>SUM(OSRRefD22_3x_0)</f>
        <v>-41.85</v>
      </c>
      <c r="E56" s="1"/>
      <c r="F56" s="5">
        <f t="shared" si="28"/>
        <v>-2.5757718529622643E-4</v>
      </c>
      <c r="G56" s="1"/>
      <c r="H56" s="1">
        <f>SUM(OSRRefH22_3x_0)</f>
        <v>10</v>
      </c>
      <c r="I56" s="1"/>
      <c r="J56" s="5">
        <f t="shared" si="29"/>
        <v>2.7506759786217462E-5</v>
      </c>
      <c r="K56" s="1"/>
      <c r="L56" s="1">
        <f t="shared" si="30"/>
        <v>-51.85</v>
      </c>
      <c r="M56" s="1"/>
      <c r="N56" s="5">
        <f t="shared" si="31"/>
        <v>-5.1850000000000005</v>
      </c>
      <c r="O56" s="13"/>
      <c r="P56" s="1">
        <f>SUM(OSRRefP22_3x_0)</f>
        <v>-428.92</v>
      </c>
      <c r="Q56" s="1"/>
      <c r="R56" s="5">
        <f t="shared" si="32"/>
        <v>-1.8139714353547601E-4</v>
      </c>
      <c r="S56" s="1"/>
      <c r="T56" s="1">
        <f>SUM(OSRRefT22_3x_0)</f>
        <v>90</v>
      </c>
      <c r="U56" s="1"/>
      <c r="V56" s="5">
        <f t="shared" si="33"/>
        <v>3.5419611413804481E-5</v>
      </c>
      <c r="W56" s="1"/>
      <c r="X56" s="1">
        <f t="shared" si="34"/>
        <v>-518.92000000000007</v>
      </c>
      <c r="Y56" s="1"/>
      <c r="Z56" s="5">
        <f t="shared" si="35"/>
        <v>-5.765777777777779</v>
      </c>
    </row>
    <row r="57" spans="1:26" s="24" customFormat="1" hidden="1" outlineLevel="2" x14ac:dyDescent="0.25">
      <c r="A57" s="25"/>
      <c r="B57" s="11" t="str">
        <f>CONCATENATE("          ", "6272", " - ", "CASH (OVER/SHORT)")</f>
        <v xml:space="preserve">          6272 - CASH (OVER/SHORT)</v>
      </c>
      <c r="C57" s="11"/>
      <c r="D57" s="6">
        <v>-41.85</v>
      </c>
      <c r="E57" s="2"/>
      <c r="F57" s="7">
        <f t="shared" si="28"/>
        <v>-2.5757718529622643E-4</v>
      </c>
      <c r="G57" s="2"/>
      <c r="H57" s="6">
        <v>10</v>
      </c>
      <c r="I57" s="2"/>
      <c r="J57" s="7">
        <f t="shared" si="29"/>
        <v>2.7506759786217462E-5</v>
      </c>
      <c r="K57" s="2"/>
      <c r="L57" s="6">
        <f t="shared" si="30"/>
        <v>-51.85</v>
      </c>
      <c r="M57" s="2"/>
      <c r="N57" s="7">
        <f t="shared" si="31"/>
        <v>-5.1850000000000005</v>
      </c>
      <c r="O57" s="11"/>
      <c r="P57" s="6">
        <v>-428.92</v>
      </c>
      <c r="Q57" s="2"/>
      <c r="R57" s="7">
        <f t="shared" si="32"/>
        <v>-1.8139714353547601E-4</v>
      </c>
      <c r="S57" s="2"/>
      <c r="T57" s="6">
        <v>90</v>
      </c>
      <c r="U57" s="2"/>
      <c r="V57" s="7">
        <f t="shared" si="33"/>
        <v>3.5419611413804481E-5</v>
      </c>
      <c r="W57" s="2"/>
      <c r="X57" s="6">
        <f t="shared" si="34"/>
        <v>-518.92000000000007</v>
      </c>
      <c r="Y57" s="2"/>
      <c r="Z57" s="7">
        <f t="shared" si="35"/>
        <v>-5.765777777777779</v>
      </c>
    </row>
    <row r="58" spans="1:26" s="27" customFormat="1" outlineLevel="1" collapsed="1" x14ac:dyDescent="0.25">
      <c r="A58" s="26"/>
      <c r="B58" s="13" t="str">
        <f>CONCATENATE("     ","Bank/card Fees                                    ")</f>
        <v xml:space="preserve">     Bank/card Fees                                    </v>
      </c>
      <c r="C58" s="13"/>
      <c r="D58" s="1">
        <f>SUM(OSRRefD22_4x_0)</f>
        <v>8581.09</v>
      </c>
      <c r="E58" s="1"/>
      <c r="F58" s="5">
        <f t="shared" si="28"/>
        <v>5.2814647765199417E-2</v>
      </c>
      <c r="G58" s="1"/>
      <c r="H58" s="1">
        <f>SUM(OSRRefH22_4x_0)</f>
        <v>12022</v>
      </c>
      <c r="I58" s="1"/>
      <c r="J58" s="5">
        <f t="shared" si="29"/>
        <v>3.3068626614990632E-2</v>
      </c>
      <c r="K58" s="1"/>
      <c r="L58" s="1">
        <f t="shared" si="30"/>
        <v>-3440.91</v>
      </c>
      <c r="M58" s="1"/>
      <c r="N58" s="5">
        <f t="shared" si="31"/>
        <v>-0.28621776742638494</v>
      </c>
      <c r="O58" s="13"/>
      <c r="P58" s="1">
        <f>SUM(OSRRefP22_4x_0)</f>
        <v>89100.63</v>
      </c>
      <c r="Q58" s="1"/>
      <c r="R58" s="5">
        <f t="shared" si="32"/>
        <v>3.7682084699271048E-2</v>
      </c>
      <c r="S58" s="1"/>
      <c r="T58" s="1">
        <f>SUM(OSRRefT22_4x_0)</f>
        <v>81590</v>
      </c>
      <c r="U58" s="1"/>
      <c r="V58" s="5">
        <f t="shared" si="33"/>
        <v>3.2109845502803422E-2</v>
      </c>
      <c r="W58" s="1"/>
      <c r="X58" s="1">
        <f t="shared" si="34"/>
        <v>7510.6300000000047</v>
      </c>
      <c r="Y58" s="1"/>
      <c r="Z58" s="5">
        <f t="shared" si="35"/>
        <v>9.2053315357274235E-2</v>
      </c>
    </row>
    <row r="59" spans="1:26" s="24" customFormat="1" hidden="1" outlineLevel="2" x14ac:dyDescent="0.25">
      <c r="A59" s="25"/>
      <c r="B59" s="11" t="str">
        <f>CONCATENATE("          ", "6381", " - ", "BANK/CREDIT CARD FEES")</f>
        <v xml:space="preserve">          6381 - BANK/CREDIT CARD FEES</v>
      </c>
      <c r="C59" s="11"/>
      <c r="D59" s="6">
        <v>8581.09</v>
      </c>
      <c r="E59" s="2"/>
      <c r="F59" s="7">
        <f t="shared" si="28"/>
        <v>5.2814647765199417E-2</v>
      </c>
      <c r="G59" s="2"/>
      <c r="H59" s="6">
        <v>12022</v>
      </c>
      <c r="I59" s="2"/>
      <c r="J59" s="7">
        <f t="shared" si="29"/>
        <v>3.3068626614990632E-2</v>
      </c>
      <c r="K59" s="2"/>
      <c r="L59" s="6">
        <f t="shared" si="30"/>
        <v>-3440.91</v>
      </c>
      <c r="M59" s="2"/>
      <c r="N59" s="7">
        <f t="shared" si="31"/>
        <v>-0.28621776742638494</v>
      </c>
      <c r="O59" s="11"/>
      <c r="P59" s="6">
        <v>89100.63</v>
      </c>
      <c r="Q59" s="2"/>
      <c r="R59" s="7">
        <f t="shared" si="32"/>
        <v>3.7682084699271048E-2</v>
      </c>
      <c r="S59" s="2"/>
      <c r="T59" s="6">
        <v>81590</v>
      </c>
      <c r="U59" s="2"/>
      <c r="V59" s="7">
        <f t="shared" si="33"/>
        <v>3.2109845502803422E-2</v>
      </c>
      <c r="W59" s="2"/>
      <c r="X59" s="6">
        <f t="shared" si="34"/>
        <v>7510.6300000000047</v>
      </c>
      <c r="Y59" s="2"/>
      <c r="Z59" s="7">
        <f t="shared" si="35"/>
        <v>9.2053315357274235E-2</v>
      </c>
    </row>
    <row r="60" spans="1:26" s="27" customFormat="1" outlineLevel="1" collapsed="1" x14ac:dyDescent="0.25">
      <c r="A60" s="26"/>
      <c r="B60" s="13" t="str">
        <f>CONCATENATE("     ","Depreciation                                      ")</f>
        <v xml:space="preserve">     Depreciation                                      </v>
      </c>
      <c r="C60" s="13"/>
      <c r="D60" s="1">
        <f>SUM(OSRRefD22_5x_0)</f>
        <v>9079.4</v>
      </c>
      <c r="E60" s="1"/>
      <c r="F60" s="5">
        <f t="shared" si="28"/>
        <v>5.5881631927803058E-2</v>
      </c>
      <c r="G60" s="1"/>
      <c r="H60" s="1">
        <f>SUM(OSRRefH22_5x_0)</f>
        <v>9234</v>
      </c>
      <c r="I60" s="1"/>
      <c r="J60" s="5">
        <f t="shared" si="29"/>
        <v>2.5399741986593206E-2</v>
      </c>
      <c r="K60" s="1"/>
      <c r="L60" s="1">
        <f t="shared" si="30"/>
        <v>-154.60000000000036</v>
      </c>
      <c r="M60" s="1"/>
      <c r="N60" s="5">
        <f t="shared" si="31"/>
        <v>-1.6742473467619704E-2</v>
      </c>
      <c r="O60" s="13"/>
      <c r="P60" s="1">
        <f>SUM(OSRRefP22_5x_0)</f>
        <v>76737.5</v>
      </c>
      <c r="Q60" s="1"/>
      <c r="R60" s="5">
        <f t="shared" si="32"/>
        <v>3.2453518842799567E-2</v>
      </c>
      <c r="S60" s="1"/>
      <c r="T60" s="1">
        <f>SUM(OSRRefT22_5x_0)</f>
        <v>80352</v>
      </c>
      <c r="U60" s="1"/>
      <c r="V60" s="5">
        <f t="shared" si="33"/>
        <v>3.1622629070244643E-2</v>
      </c>
      <c r="W60" s="1"/>
      <c r="X60" s="1">
        <f t="shared" si="34"/>
        <v>-3614.5</v>
      </c>
      <c r="Y60" s="1"/>
      <c r="Z60" s="5">
        <f t="shared" si="35"/>
        <v>-4.4983323377140581E-2</v>
      </c>
    </row>
    <row r="61" spans="1:26" s="24" customFormat="1" hidden="1" outlineLevel="2" x14ac:dyDescent="0.25">
      <c r="A61" s="25"/>
      <c r="B61" s="11" t="str">
        <f>CONCATENATE("          ", "6321", " - ", "BUILDING DEPRECIATION")</f>
        <v xml:space="preserve">          6321 - BUILDING DEPRECIATION</v>
      </c>
      <c r="C61" s="11"/>
      <c r="D61" s="6">
        <v>5080.51</v>
      </c>
      <c r="E61" s="2"/>
      <c r="F61" s="7">
        <f t="shared" si="28"/>
        <v>3.1269377913245668E-2</v>
      </c>
      <c r="G61" s="2"/>
      <c r="H61" s="6">
        <v>5081</v>
      </c>
      <c r="I61" s="2"/>
      <c r="J61" s="7">
        <f t="shared" si="29"/>
        <v>1.3976184647377094E-2</v>
      </c>
      <c r="K61" s="2"/>
      <c r="L61" s="6">
        <f t="shared" si="30"/>
        <v>-0.48999999999978172</v>
      </c>
      <c r="M61" s="2"/>
      <c r="N61" s="7">
        <f t="shared" si="31"/>
        <v>-9.6437709112336489E-5</v>
      </c>
      <c r="O61" s="11"/>
      <c r="P61" s="6">
        <v>45724.590000000004</v>
      </c>
      <c r="Q61" s="2"/>
      <c r="R61" s="7">
        <f t="shared" si="32"/>
        <v>1.9337662070621073E-2</v>
      </c>
      <c r="S61" s="2"/>
      <c r="T61" s="6">
        <v>45729</v>
      </c>
      <c r="U61" s="2"/>
      <c r="V61" s="7">
        <f t="shared" si="33"/>
        <v>1.7996704559354058E-2</v>
      </c>
      <c r="W61" s="2"/>
      <c r="X61" s="6">
        <f t="shared" si="34"/>
        <v>-4.4099999999962165</v>
      </c>
      <c r="Y61" s="2"/>
      <c r="Z61" s="7">
        <f t="shared" si="35"/>
        <v>-9.6437709112296712E-5</v>
      </c>
    </row>
    <row r="62" spans="1:26" s="24" customFormat="1" hidden="1" outlineLevel="2" x14ac:dyDescent="0.25">
      <c r="A62" s="25"/>
      <c r="B62" s="11" t="str">
        <f>CONCATENATE("          ", "6322", " - ", "EQUIPMENT DEPRECIATION EXPENSE")</f>
        <v xml:space="preserve">          6322 - EQUIPMENT DEPRECIATION EXPENSE</v>
      </c>
      <c r="C62" s="11"/>
      <c r="D62" s="6">
        <v>3998.89</v>
      </c>
      <c r="E62" s="2"/>
      <c r="F62" s="7">
        <f t="shared" si="28"/>
        <v>2.461225401455739E-2</v>
      </c>
      <c r="G62" s="2"/>
      <c r="H62" s="6">
        <v>3175</v>
      </c>
      <c r="I62" s="2"/>
      <c r="J62" s="7">
        <f t="shared" si="29"/>
        <v>8.7333962321240449E-3</v>
      </c>
      <c r="K62" s="2"/>
      <c r="L62" s="6">
        <f t="shared" si="30"/>
        <v>823.88999999999987</v>
      </c>
      <c r="M62" s="2"/>
      <c r="N62" s="7">
        <f t="shared" si="31"/>
        <v>0.25949291338582675</v>
      </c>
      <c r="O62" s="11"/>
      <c r="P62" s="6">
        <v>31012.91</v>
      </c>
      <c r="Q62" s="2"/>
      <c r="R62" s="7">
        <f t="shared" si="32"/>
        <v>1.3115856772178492E-2</v>
      </c>
      <c r="S62" s="2"/>
      <c r="T62" s="6">
        <v>28575</v>
      </c>
      <c r="U62" s="2"/>
      <c r="V62" s="7">
        <f t="shared" si="33"/>
        <v>1.1245726623882924E-2</v>
      </c>
      <c r="W62" s="2"/>
      <c r="X62" s="6">
        <f t="shared" si="34"/>
        <v>2437.91</v>
      </c>
      <c r="Y62" s="2"/>
      <c r="Z62" s="7">
        <f t="shared" si="35"/>
        <v>8.5316185476815395E-2</v>
      </c>
    </row>
    <row r="63" spans="1:26" s="24" customFormat="1" hidden="1" outlineLevel="2" x14ac:dyDescent="0.25">
      <c r="A63" s="25"/>
      <c r="B63" s="11" t="str">
        <f>CONCATENATE("          ", "6324", " - ", "FURNITURE + FIXT DEPRECIATION")</f>
        <v xml:space="preserve">          6324 - FURNITURE + FIXT DEPRECIATION</v>
      </c>
      <c r="C63" s="11"/>
      <c r="D63" s="6"/>
      <c r="E63" s="2"/>
      <c r="F63" s="7">
        <f t="shared" si="28"/>
        <v>0</v>
      </c>
      <c r="G63" s="2"/>
      <c r="H63" s="6">
        <v>978</v>
      </c>
      <c r="I63" s="2"/>
      <c r="J63" s="7">
        <f t="shared" si="29"/>
        <v>2.6901611070920678E-3</v>
      </c>
      <c r="K63" s="2"/>
      <c r="L63" s="6">
        <f t="shared" si="30"/>
        <v>-978</v>
      </c>
      <c r="M63" s="2"/>
      <c r="N63" s="7">
        <f t="shared" si="31"/>
        <v>-1</v>
      </c>
      <c r="O63" s="11"/>
      <c r="P63" s="6"/>
      <c r="Q63" s="2"/>
      <c r="R63" s="7">
        <f t="shared" si="32"/>
        <v>0</v>
      </c>
      <c r="S63" s="2"/>
      <c r="T63" s="6">
        <v>6048</v>
      </c>
      <c r="U63" s="2"/>
      <c r="V63" s="7">
        <f t="shared" si="33"/>
        <v>2.3801978870076615E-3</v>
      </c>
      <c r="W63" s="2"/>
      <c r="X63" s="6">
        <f t="shared" si="34"/>
        <v>-6048</v>
      </c>
      <c r="Y63" s="2"/>
      <c r="Z63" s="7">
        <f t="shared" si="35"/>
        <v>-1</v>
      </c>
    </row>
    <row r="64" spans="1:26" s="27" customFormat="1" outlineLevel="1" collapsed="1" x14ac:dyDescent="0.25">
      <c r="A64" s="26"/>
      <c r="B64" s="13" t="str">
        <f>CONCATENATE("     ","Discounts and Markdowns                           ")</f>
        <v xml:space="preserve">     Discounts and Markdowns                           </v>
      </c>
      <c r="C64" s="13"/>
      <c r="D64" s="1">
        <f>SUM(OSRRefD22_6x_0)</f>
        <v>5.91</v>
      </c>
      <c r="E64" s="1"/>
      <c r="F64" s="5">
        <f t="shared" ref="F64:F85" si="36">IF(D$12=0,0,D64/D$12)</f>
        <v>3.6374699285560292E-5</v>
      </c>
      <c r="G64" s="1"/>
      <c r="H64" s="1">
        <f>SUM(OSRRefH22_6x_0)</f>
        <v>0</v>
      </c>
      <c r="I64" s="1"/>
      <c r="J64" s="5">
        <f t="shared" ref="J64:J85" si="37">IF(H$12=0,0,H64/H$12)</f>
        <v>0</v>
      </c>
      <c r="K64" s="1"/>
      <c r="L64" s="1">
        <f t="shared" ref="L64:L85" si="38">+D64-H64</f>
        <v>5.91</v>
      </c>
      <c r="M64" s="1"/>
      <c r="N64" s="5">
        <f t="shared" ref="N64:N85" si="39">IF(H64=0,0,L64/H64)</f>
        <v>0</v>
      </c>
      <c r="O64" s="13"/>
      <c r="P64" s="1">
        <f>SUM(OSRRefP22_6x_0)</f>
        <v>125.87</v>
      </c>
      <c r="Q64" s="1"/>
      <c r="R64" s="5">
        <f t="shared" ref="R64:R85" si="40">IF(P$12=0,0,P64/P$12)</f>
        <v>5.32324406808038E-5</v>
      </c>
      <c r="S64" s="1"/>
      <c r="T64" s="1">
        <f>SUM(OSRRefT22_6x_0)</f>
        <v>0</v>
      </c>
      <c r="U64" s="1"/>
      <c r="V64" s="5">
        <f t="shared" ref="V64:V85" si="41">IF(T$12=0,0,T64/T$12)</f>
        <v>0</v>
      </c>
      <c r="W64" s="1"/>
      <c r="X64" s="1">
        <f t="shared" ref="X64:X85" si="42">+P64-T64</f>
        <v>125.87</v>
      </c>
      <c r="Y64" s="1"/>
      <c r="Z64" s="5">
        <f t="shared" ref="Z64:Z85" si="43">IF(T64=0,0,X64/T64)</f>
        <v>0</v>
      </c>
    </row>
    <row r="65" spans="1:26" s="24" customFormat="1" hidden="1" outlineLevel="2" x14ac:dyDescent="0.25">
      <c r="A65" s="25"/>
      <c r="B65" s="11" t="str">
        <f>CONCATENATE("          ", "6382", " - ", "DISCOUNTS/MARK DOWNS")</f>
        <v xml:space="preserve">          6382 - DISCOUNTS/MARK DOWNS</v>
      </c>
      <c r="C65" s="11"/>
      <c r="D65" s="6">
        <v>5.91</v>
      </c>
      <c r="E65" s="2"/>
      <c r="F65" s="7">
        <f t="shared" si="36"/>
        <v>3.6374699285560292E-5</v>
      </c>
      <c r="G65" s="2"/>
      <c r="H65" s="6"/>
      <c r="I65" s="2"/>
      <c r="J65" s="7">
        <f t="shared" si="37"/>
        <v>0</v>
      </c>
      <c r="K65" s="2"/>
      <c r="L65" s="6">
        <f t="shared" si="38"/>
        <v>5.91</v>
      </c>
      <c r="M65" s="2"/>
      <c r="N65" s="7">
        <f t="shared" si="39"/>
        <v>0</v>
      </c>
      <c r="O65" s="11"/>
      <c r="P65" s="6">
        <v>125.87</v>
      </c>
      <c r="Q65" s="2"/>
      <c r="R65" s="7">
        <f t="shared" si="40"/>
        <v>5.32324406808038E-5</v>
      </c>
      <c r="S65" s="2"/>
      <c r="T65" s="6"/>
      <c r="U65" s="2"/>
      <c r="V65" s="7">
        <f t="shared" si="41"/>
        <v>0</v>
      </c>
      <c r="W65" s="2"/>
      <c r="X65" s="6">
        <f t="shared" si="42"/>
        <v>125.87</v>
      </c>
      <c r="Y65" s="2"/>
      <c r="Z65" s="7">
        <f t="shared" si="43"/>
        <v>0</v>
      </c>
    </row>
    <row r="66" spans="1:26" s="27" customFormat="1" outlineLevel="1" collapsed="1" x14ac:dyDescent="0.25">
      <c r="A66" s="26"/>
      <c r="B66" s="13" t="str">
        <f>CONCATENATE("     ","Employees' Appreciation                           ")</f>
        <v xml:space="preserve">     Employees' Appreciation                           </v>
      </c>
      <c r="C66" s="13"/>
      <c r="D66" s="1">
        <f>SUM(OSRRefD22_7x_0)</f>
        <v>27.01</v>
      </c>
      <c r="E66" s="1"/>
      <c r="F66" s="5">
        <f t="shared" si="36"/>
        <v>1.6624037693789906E-4</v>
      </c>
      <c r="G66" s="1"/>
      <c r="H66" s="1">
        <f>SUM(OSRRefH22_7x_0)</f>
        <v>25</v>
      </c>
      <c r="I66" s="1"/>
      <c r="J66" s="5">
        <f t="shared" si="37"/>
        <v>6.8766899465543658E-5</v>
      </c>
      <c r="K66" s="1"/>
      <c r="L66" s="1">
        <f t="shared" si="38"/>
        <v>2.0100000000000016</v>
      </c>
      <c r="M66" s="1"/>
      <c r="N66" s="5">
        <f t="shared" si="39"/>
        <v>8.0400000000000069E-2</v>
      </c>
      <c r="O66" s="13"/>
      <c r="P66" s="1">
        <f>SUM(OSRRefP22_7x_0)</f>
        <v>163.84</v>
      </c>
      <c r="Q66" s="1"/>
      <c r="R66" s="5">
        <f t="shared" si="40"/>
        <v>6.9290562335289535E-5</v>
      </c>
      <c r="S66" s="1"/>
      <c r="T66" s="1">
        <f>SUM(OSRRefT22_7x_0)</f>
        <v>225</v>
      </c>
      <c r="U66" s="1"/>
      <c r="V66" s="5">
        <f t="shared" si="41"/>
        <v>8.8549028534511216E-5</v>
      </c>
      <c r="W66" s="1"/>
      <c r="X66" s="1">
        <f t="shared" si="42"/>
        <v>-61.16</v>
      </c>
      <c r="Y66" s="1"/>
      <c r="Z66" s="5">
        <f t="shared" si="43"/>
        <v>-0.27182222222222219</v>
      </c>
    </row>
    <row r="67" spans="1:26" s="24" customFormat="1" hidden="1" outlineLevel="2" x14ac:dyDescent="0.25">
      <c r="A67" s="25"/>
      <c r="B67" s="11" t="str">
        <f>CONCATENATE("          ", "6277", " - ", "EMPLOYEE APPRECIATION")</f>
        <v xml:space="preserve">          6277 - EMPLOYEE APPRECIATION</v>
      </c>
      <c r="C67" s="11"/>
      <c r="D67" s="6">
        <v>27.01</v>
      </c>
      <c r="E67" s="2"/>
      <c r="F67" s="7">
        <f t="shared" si="36"/>
        <v>1.6624037693789906E-4</v>
      </c>
      <c r="G67" s="2"/>
      <c r="H67" s="6">
        <v>25</v>
      </c>
      <c r="I67" s="2"/>
      <c r="J67" s="7">
        <f t="shared" si="37"/>
        <v>6.8766899465543658E-5</v>
      </c>
      <c r="K67" s="2"/>
      <c r="L67" s="6">
        <f t="shared" si="38"/>
        <v>2.0100000000000016</v>
      </c>
      <c r="M67" s="2"/>
      <c r="N67" s="7">
        <f t="shared" si="39"/>
        <v>8.0400000000000069E-2</v>
      </c>
      <c r="O67" s="11"/>
      <c r="P67" s="6">
        <v>163.84</v>
      </c>
      <c r="Q67" s="2"/>
      <c r="R67" s="7">
        <f t="shared" si="40"/>
        <v>6.9290562335289535E-5</v>
      </c>
      <c r="S67" s="2"/>
      <c r="T67" s="6">
        <v>225</v>
      </c>
      <c r="U67" s="2"/>
      <c r="V67" s="7">
        <f t="shared" si="41"/>
        <v>8.8549028534511216E-5</v>
      </c>
      <c r="W67" s="2"/>
      <c r="X67" s="6">
        <f t="shared" si="42"/>
        <v>-61.16</v>
      </c>
      <c r="Y67" s="2"/>
      <c r="Z67" s="7">
        <f t="shared" si="43"/>
        <v>-0.27182222222222219</v>
      </c>
    </row>
    <row r="68" spans="1:26" s="27" customFormat="1" outlineLevel="1" collapsed="1" x14ac:dyDescent="0.25">
      <c r="A68" s="26"/>
      <c r="B68" s="13" t="str">
        <f>CONCATENATE("     ","Equipment Rental                                  ")</f>
        <v xml:space="preserve">     Equipment Rental                                  </v>
      </c>
      <c r="C68" s="13"/>
      <c r="D68" s="1">
        <f>SUM(OSRRefD22_8x_0)</f>
        <v>36.270000000000003</v>
      </c>
      <c r="E68" s="1"/>
      <c r="F68" s="5">
        <f t="shared" si="36"/>
        <v>2.232335605900629E-4</v>
      </c>
      <c r="G68" s="1"/>
      <c r="H68" s="1">
        <f>SUM(OSRRefH22_8x_0)</f>
        <v>80</v>
      </c>
      <c r="I68" s="1"/>
      <c r="J68" s="5">
        <f t="shared" si="37"/>
        <v>2.200540782897397E-4</v>
      </c>
      <c r="K68" s="1"/>
      <c r="L68" s="1">
        <f t="shared" si="38"/>
        <v>-43.73</v>
      </c>
      <c r="M68" s="1"/>
      <c r="N68" s="5">
        <f t="shared" si="39"/>
        <v>-0.54662499999999992</v>
      </c>
      <c r="O68" s="13"/>
      <c r="P68" s="1">
        <f>SUM(OSRRefP22_8x_0)</f>
        <v>913.58</v>
      </c>
      <c r="Q68" s="1"/>
      <c r="R68" s="5">
        <f t="shared" si="40"/>
        <v>3.8636762657637828E-4</v>
      </c>
      <c r="S68" s="1"/>
      <c r="T68" s="1">
        <f>SUM(OSRRefT22_8x_0)</f>
        <v>720</v>
      </c>
      <c r="U68" s="1"/>
      <c r="V68" s="5">
        <f t="shared" si="41"/>
        <v>2.8335689131043585E-4</v>
      </c>
      <c r="W68" s="1"/>
      <c r="X68" s="1">
        <f t="shared" si="42"/>
        <v>193.58000000000004</v>
      </c>
      <c r="Y68" s="1"/>
      <c r="Z68" s="5">
        <f t="shared" si="43"/>
        <v>0.26886111111111116</v>
      </c>
    </row>
    <row r="69" spans="1:26" s="24" customFormat="1" hidden="1" outlineLevel="2" x14ac:dyDescent="0.25">
      <c r="A69" s="25"/>
      <c r="B69" s="11" t="str">
        <f>CONCATENATE("          ", "6351", " - ", "EQUIPMENT RENTAL")</f>
        <v xml:space="preserve">          6351 - EQUIPMENT RENTAL</v>
      </c>
      <c r="C69" s="11"/>
      <c r="D69" s="6">
        <v>36.270000000000003</v>
      </c>
      <c r="E69" s="2"/>
      <c r="F69" s="7">
        <f t="shared" si="36"/>
        <v>2.232335605900629E-4</v>
      </c>
      <c r="G69" s="2"/>
      <c r="H69" s="6">
        <v>80</v>
      </c>
      <c r="I69" s="2"/>
      <c r="J69" s="7">
        <f t="shared" si="37"/>
        <v>2.200540782897397E-4</v>
      </c>
      <c r="K69" s="2"/>
      <c r="L69" s="6">
        <f t="shared" si="38"/>
        <v>-43.73</v>
      </c>
      <c r="M69" s="2"/>
      <c r="N69" s="7">
        <f t="shared" si="39"/>
        <v>-0.54662499999999992</v>
      </c>
      <c r="O69" s="11"/>
      <c r="P69" s="6">
        <v>913.58</v>
      </c>
      <c r="Q69" s="2"/>
      <c r="R69" s="7">
        <f t="shared" si="40"/>
        <v>3.8636762657637828E-4</v>
      </c>
      <c r="S69" s="2"/>
      <c r="T69" s="6">
        <v>720</v>
      </c>
      <c r="U69" s="2"/>
      <c r="V69" s="7">
        <f t="shared" si="41"/>
        <v>2.8335689131043585E-4</v>
      </c>
      <c r="W69" s="2"/>
      <c r="X69" s="6">
        <f t="shared" si="42"/>
        <v>193.58000000000004</v>
      </c>
      <c r="Y69" s="2"/>
      <c r="Z69" s="7">
        <f t="shared" si="43"/>
        <v>0.26886111111111116</v>
      </c>
    </row>
    <row r="70" spans="1:26" s="27" customFormat="1" outlineLevel="1" collapsed="1" x14ac:dyDescent="0.25">
      <c r="A70" s="26"/>
      <c r="B70" s="13" t="str">
        <f>CONCATENATE("     ","Freight out/Postage                               ")</f>
        <v xml:space="preserve">     Freight out/Postage                               </v>
      </c>
      <c r="C70" s="13"/>
      <c r="D70" s="1">
        <f>SUM(OSRRefD22_9x_0)</f>
        <v>56.71</v>
      </c>
      <c r="E70" s="1"/>
      <c r="F70" s="5">
        <f t="shared" si="36"/>
        <v>3.4903708908360812E-4</v>
      </c>
      <c r="G70" s="1"/>
      <c r="H70" s="1">
        <f>SUM(OSRRefH22_9x_0)</f>
        <v>0</v>
      </c>
      <c r="I70" s="1"/>
      <c r="J70" s="5">
        <f t="shared" si="37"/>
        <v>0</v>
      </c>
      <c r="K70" s="1"/>
      <c r="L70" s="1">
        <f t="shared" si="38"/>
        <v>56.71</v>
      </c>
      <c r="M70" s="1"/>
      <c r="N70" s="5">
        <f t="shared" si="39"/>
        <v>0</v>
      </c>
      <c r="O70" s="13"/>
      <c r="P70" s="1">
        <f>SUM(OSRRefP22_9x_0)</f>
        <v>311.17</v>
      </c>
      <c r="Q70" s="1"/>
      <c r="R70" s="5">
        <f t="shared" si="40"/>
        <v>1.3159878101728543E-4</v>
      </c>
      <c r="S70" s="1"/>
      <c r="T70" s="1">
        <f>SUM(OSRRefT22_9x_0)</f>
        <v>0</v>
      </c>
      <c r="U70" s="1"/>
      <c r="V70" s="5">
        <f t="shared" si="41"/>
        <v>0</v>
      </c>
      <c r="W70" s="1"/>
      <c r="X70" s="1">
        <f t="shared" si="42"/>
        <v>311.17</v>
      </c>
      <c r="Y70" s="1"/>
      <c r="Z70" s="5">
        <f t="shared" si="43"/>
        <v>0</v>
      </c>
    </row>
    <row r="71" spans="1:26" s="24" customFormat="1" hidden="1" outlineLevel="2" x14ac:dyDescent="0.25">
      <c r="A71" s="25"/>
      <c r="B71" s="11" t="str">
        <f>CONCATENATE("          ", "6305", " - ", "FREIGHT OUT")</f>
        <v xml:space="preserve">          6305 - FREIGHT OUT</v>
      </c>
      <c r="C71" s="11"/>
      <c r="D71" s="6">
        <v>56.71</v>
      </c>
      <c r="E71" s="2"/>
      <c r="F71" s="7">
        <f t="shared" si="36"/>
        <v>3.4903708908360812E-4</v>
      </c>
      <c r="G71" s="2"/>
      <c r="H71" s="6"/>
      <c r="I71" s="2"/>
      <c r="J71" s="7">
        <f t="shared" si="37"/>
        <v>0</v>
      </c>
      <c r="K71" s="2"/>
      <c r="L71" s="6">
        <f t="shared" si="38"/>
        <v>56.71</v>
      </c>
      <c r="M71" s="2"/>
      <c r="N71" s="7">
        <f t="shared" si="39"/>
        <v>0</v>
      </c>
      <c r="O71" s="11"/>
      <c r="P71" s="6">
        <v>311.17</v>
      </c>
      <c r="Q71" s="2"/>
      <c r="R71" s="7">
        <f t="shared" si="40"/>
        <v>1.3159878101728543E-4</v>
      </c>
      <c r="S71" s="2"/>
      <c r="T71" s="6"/>
      <c r="U71" s="2"/>
      <c r="V71" s="7">
        <f t="shared" si="41"/>
        <v>0</v>
      </c>
      <c r="W71" s="2"/>
      <c r="X71" s="6">
        <f t="shared" si="42"/>
        <v>311.17</v>
      </c>
      <c r="Y71" s="2"/>
      <c r="Z71" s="7">
        <f t="shared" si="43"/>
        <v>0</v>
      </c>
    </row>
    <row r="72" spans="1:26" s="27" customFormat="1" outlineLevel="1" collapsed="1" x14ac:dyDescent="0.25">
      <c r="A72" s="26"/>
      <c r="B72" s="13" t="str">
        <f>CONCATENATE("     ","General                                           ")</f>
        <v xml:space="preserve">     General                                           </v>
      </c>
      <c r="C72" s="13"/>
      <c r="D72" s="1">
        <f>SUM(OSRRefD22_10x_0)</f>
        <v>50.5</v>
      </c>
      <c r="E72" s="1"/>
      <c r="F72" s="5">
        <f t="shared" si="36"/>
        <v>3.108159583622326E-4</v>
      </c>
      <c r="G72" s="1"/>
      <c r="H72" s="1">
        <f>SUM(OSRRefH22_10x_0)</f>
        <v>1275</v>
      </c>
      <c r="I72" s="1"/>
      <c r="J72" s="5">
        <f t="shared" si="37"/>
        <v>3.5071118727427264E-3</v>
      </c>
      <c r="K72" s="1"/>
      <c r="L72" s="1">
        <f t="shared" si="38"/>
        <v>-1224.5</v>
      </c>
      <c r="M72" s="1"/>
      <c r="N72" s="5">
        <f t="shared" si="39"/>
        <v>-0.96039215686274515</v>
      </c>
      <c r="O72" s="13"/>
      <c r="P72" s="1">
        <f>SUM(OSRRefP22_10x_0)</f>
        <v>10781.14</v>
      </c>
      <c r="Q72" s="1"/>
      <c r="R72" s="5">
        <f t="shared" si="40"/>
        <v>4.5595169263640345E-3</v>
      </c>
      <c r="S72" s="1"/>
      <c r="T72" s="1">
        <f>SUM(OSRRefT22_10x_0)</f>
        <v>9937</v>
      </c>
      <c r="U72" s="1"/>
      <c r="V72" s="5">
        <f t="shared" si="41"/>
        <v>3.9107186513219466E-3</v>
      </c>
      <c r="W72" s="1"/>
      <c r="X72" s="1">
        <f t="shared" si="42"/>
        <v>844.13999999999942</v>
      </c>
      <c r="Y72" s="1"/>
      <c r="Z72" s="5">
        <f t="shared" si="43"/>
        <v>8.4949179832947516E-2</v>
      </c>
    </row>
    <row r="73" spans="1:26" s="24" customFormat="1" hidden="1" outlineLevel="2" x14ac:dyDescent="0.25">
      <c r="A73" s="25"/>
      <c r="B73" s="11" t="str">
        <f>CONCATENATE("          ", "6279", " - ", "GENERAL EXPENSE")</f>
        <v xml:space="preserve">          6279 - GENERAL EXPENSE</v>
      </c>
      <c r="C73" s="11"/>
      <c r="D73" s="6">
        <v>50.5</v>
      </c>
      <c r="E73" s="2"/>
      <c r="F73" s="7">
        <f t="shared" si="36"/>
        <v>3.108159583622326E-4</v>
      </c>
      <c r="G73" s="2"/>
      <c r="H73" s="6">
        <v>1275</v>
      </c>
      <c r="I73" s="2"/>
      <c r="J73" s="7">
        <f t="shared" si="37"/>
        <v>3.5071118727427264E-3</v>
      </c>
      <c r="K73" s="2"/>
      <c r="L73" s="6">
        <f t="shared" si="38"/>
        <v>-1224.5</v>
      </c>
      <c r="M73" s="2"/>
      <c r="N73" s="7">
        <f t="shared" si="39"/>
        <v>-0.96039215686274515</v>
      </c>
      <c r="O73" s="11"/>
      <c r="P73" s="6">
        <v>10781.14</v>
      </c>
      <c r="Q73" s="2"/>
      <c r="R73" s="7">
        <f t="shared" si="40"/>
        <v>4.5595169263640345E-3</v>
      </c>
      <c r="S73" s="2"/>
      <c r="T73" s="6">
        <v>9937</v>
      </c>
      <c r="U73" s="2"/>
      <c r="V73" s="7">
        <f t="shared" si="41"/>
        <v>3.9107186513219466E-3</v>
      </c>
      <c r="W73" s="2"/>
      <c r="X73" s="6">
        <f t="shared" si="42"/>
        <v>844.13999999999942</v>
      </c>
      <c r="Y73" s="2"/>
      <c r="Z73" s="7">
        <f t="shared" si="43"/>
        <v>8.4949179832947516E-2</v>
      </c>
    </row>
    <row r="74" spans="1:26" s="27" customFormat="1" outlineLevel="1" collapsed="1" x14ac:dyDescent="0.25">
      <c r="A74" s="26"/>
      <c r="B74" s="13" t="str">
        <f>CONCATENATE("     ","Insurance                                         ")</f>
        <v xml:space="preserve">     Insurance                                         </v>
      </c>
      <c r="C74" s="13"/>
      <c r="D74" s="1">
        <f>SUM(OSRRefD22_11x_0)</f>
        <v>243.54</v>
      </c>
      <c r="E74" s="1"/>
      <c r="F74" s="5">
        <f t="shared" si="36"/>
        <v>1.4989330395948142E-3</v>
      </c>
      <c r="G74" s="1"/>
      <c r="H74" s="1">
        <f>SUM(OSRRefH22_11x_0)</f>
        <v>230</v>
      </c>
      <c r="I74" s="1"/>
      <c r="J74" s="5">
        <f t="shared" si="37"/>
        <v>6.3265547508300167E-4</v>
      </c>
      <c r="K74" s="1"/>
      <c r="L74" s="1">
        <f t="shared" si="38"/>
        <v>13.539999999999992</v>
      </c>
      <c r="M74" s="1"/>
      <c r="N74" s="5">
        <f t="shared" si="39"/>
        <v>5.886956521739127E-2</v>
      </c>
      <c r="O74" s="13"/>
      <c r="P74" s="1">
        <f>SUM(OSRRefP22_11x_0)</f>
        <v>2191.86</v>
      </c>
      <c r="Q74" s="1"/>
      <c r="R74" s="5">
        <f t="shared" si="40"/>
        <v>9.2697272924943685E-4</v>
      </c>
      <c r="S74" s="1"/>
      <c r="T74" s="1">
        <f>SUM(OSRRefT22_11x_0)</f>
        <v>2070</v>
      </c>
      <c r="U74" s="1"/>
      <c r="V74" s="5">
        <f t="shared" si="41"/>
        <v>8.1465106251750311E-4</v>
      </c>
      <c r="W74" s="1"/>
      <c r="X74" s="1">
        <f t="shared" si="42"/>
        <v>121.86000000000013</v>
      </c>
      <c r="Y74" s="1"/>
      <c r="Z74" s="5">
        <f t="shared" si="43"/>
        <v>5.8869565217391367E-2</v>
      </c>
    </row>
    <row r="75" spans="1:26" s="24" customFormat="1" hidden="1" outlineLevel="2" x14ac:dyDescent="0.25">
      <c r="A75" s="25"/>
      <c r="B75" s="11" t="str">
        <f>CONCATENATE("          ", "6314", " - ", "LIABILITY INSURANCE")</f>
        <v xml:space="preserve">          6314 - LIABILITY INSURANCE</v>
      </c>
      <c r="C75" s="11"/>
      <c r="D75" s="6">
        <v>243.54</v>
      </c>
      <c r="E75" s="2"/>
      <c r="F75" s="7">
        <f t="shared" si="36"/>
        <v>1.4989330395948142E-3</v>
      </c>
      <c r="G75" s="2"/>
      <c r="H75" s="6">
        <v>230</v>
      </c>
      <c r="I75" s="2"/>
      <c r="J75" s="7">
        <f t="shared" si="37"/>
        <v>6.3265547508300167E-4</v>
      </c>
      <c r="K75" s="2"/>
      <c r="L75" s="6">
        <f t="shared" si="38"/>
        <v>13.539999999999992</v>
      </c>
      <c r="M75" s="2"/>
      <c r="N75" s="7">
        <f t="shared" si="39"/>
        <v>5.886956521739127E-2</v>
      </c>
      <c r="O75" s="11"/>
      <c r="P75" s="6">
        <v>2191.86</v>
      </c>
      <c r="Q75" s="2"/>
      <c r="R75" s="7">
        <f t="shared" si="40"/>
        <v>9.2697272924943685E-4</v>
      </c>
      <c r="S75" s="2"/>
      <c r="T75" s="6">
        <v>2070</v>
      </c>
      <c r="U75" s="2"/>
      <c r="V75" s="7">
        <f t="shared" si="41"/>
        <v>8.1465106251750311E-4</v>
      </c>
      <c r="W75" s="2"/>
      <c r="X75" s="6">
        <f t="shared" si="42"/>
        <v>121.86000000000013</v>
      </c>
      <c r="Y75" s="2"/>
      <c r="Z75" s="7">
        <f t="shared" si="43"/>
        <v>5.8869565217391367E-2</v>
      </c>
    </row>
    <row r="76" spans="1:26" s="27" customFormat="1" outlineLevel="1" collapsed="1" x14ac:dyDescent="0.25">
      <c r="A76" s="26"/>
      <c r="B76" s="13" t="str">
        <f>CONCATENATE("     ","Interest                                          ")</f>
        <v xml:space="preserve">     Interest                                          </v>
      </c>
      <c r="C76" s="13"/>
      <c r="D76" s="1">
        <f>SUM(OSRRefD22_12x_0)</f>
        <v>4175</v>
      </c>
      <c r="E76" s="1"/>
      <c r="F76" s="5">
        <f t="shared" si="36"/>
        <v>2.5696170815095468E-2</v>
      </c>
      <c r="G76" s="1"/>
      <c r="H76" s="1">
        <f>SUM(OSRRefH22_12x_0)</f>
        <v>4175</v>
      </c>
      <c r="I76" s="1"/>
      <c r="J76" s="5">
        <f t="shared" si="37"/>
        <v>1.148407221074579E-2</v>
      </c>
      <c r="K76" s="1"/>
      <c r="L76" s="1">
        <f t="shared" si="38"/>
        <v>0</v>
      </c>
      <c r="M76" s="1"/>
      <c r="N76" s="5">
        <f t="shared" si="39"/>
        <v>0</v>
      </c>
      <c r="O76" s="13"/>
      <c r="P76" s="1">
        <f>SUM(OSRRefP22_12x_0)</f>
        <v>37368.950000000004</v>
      </c>
      <c r="Q76" s="1"/>
      <c r="R76" s="5">
        <f t="shared" si="40"/>
        <v>1.5803927974727284E-2</v>
      </c>
      <c r="S76" s="1"/>
      <c r="T76" s="1">
        <f>SUM(OSRRefT22_12x_0)</f>
        <v>37575</v>
      </c>
      <c r="U76" s="1"/>
      <c r="V76" s="5">
        <f t="shared" si="41"/>
        <v>1.4787687765263373E-2</v>
      </c>
      <c r="W76" s="1"/>
      <c r="X76" s="1">
        <f t="shared" si="42"/>
        <v>-206.04999999999563</v>
      </c>
      <c r="Y76" s="1"/>
      <c r="Z76" s="5">
        <f t="shared" si="43"/>
        <v>-5.4836992681302895E-3</v>
      </c>
    </row>
    <row r="77" spans="1:26" s="24" customFormat="1" hidden="1" outlineLevel="2" x14ac:dyDescent="0.25">
      <c r="A77" s="25"/>
      <c r="B77" s="11" t="str">
        <f>CONCATENATE("          ", "6401", " - ", "INTEREST EXPENSE")</f>
        <v xml:space="preserve">          6401 - INTEREST EXPENSE</v>
      </c>
      <c r="C77" s="11"/>
      <c r="D77" s="6">
        <v>4175</v>
      </c>
      <c r="E77" s="2"/>
      <c r="F77" s="7">
        <f t="shared" si="36"/>
        <v>2.5696170815095468E-2</v>
      </c>
      <c r="G77" s="2"/>
      <c r="H77" s="6">
        <v>4175</v>
      </c>
      <c r="I77" s="2"/>
      <c r="J77" s="7">
        <f t="shared" si="37"/>
        <v>1.148407221074579E-2</v>
      </c>
      <c r="K77" s="2"/>
      <c r="L77" s="6">
        <f t="shared" si="38"/>
        <v>0</v>
      </c>
      <c r="M77" s="2"/>
      <c r="N77" s="7">
        <f t="shared" si="39"/>
        <v>0</v>
      </c>
      <c r="O77" s="11"/>
      <c r="P77" s="6">
        <v>37368.950000000004</v>
      </c>
      <c r="Q77" s="2"/>
      <c r="R77" s="7">
        <f t="shared" si="40"/>
        <v>1.5803927974727284E-2</v>
      </c>
      <c r="S77" s="2"/>
      <c r="T77" s="6">
        <v>37575</v>
      </c>
      <c r="U77" s="2"/>
      <c r="V77" s="7">
        <f t="shared" si="41"/>
        <v>1.4787687765263373E-2</v>
      </c>
      <c r="W77" s="2"/>
      <c r="X77" s="6">
        <f t="shared" si="42"/>
        <v>-206.04999999999563</v>
      </c>
      <c r="Y77" s="2"/>
      <c r="Z77" s="7">
        <f t="shared" si="43"/>
        <v>-5.4836992681302895E-3</v>
      </c>
    </row>
    <row r="78" spans="1:26" s="27" customFormat="1" outlineLevel="1" collapsed="1" x14ac:dyDescent="0.25">
      <c r="A78" s="26"/>
      <c r="B78" s="13" t="str">
        <f>CONCATENATE("     ","R/H Commissions                                   ")</f>
        <v xml:space="preserve">     R/H Commissions                                   </v>
      </c>
      <c r="C78" s="13"/>
      <c r="D78" s="1">
        <f>SUM(OSRRefD22_13x_0)</f>
        <v>0</v>
      </c>
      <c r="E78" s="1"/>
      <c r="F78" s="5">
        <f t="shared" si="36"/>
        <v>0</v>
      </c>
      <c r="G78" s="1"/>
      <c r="H78" s="1">
        <f>SUM(OSRRefH22_13x_0)</f>
        <v>0</v>
      </c>
      <c r="I78" s="1"/>
      <c r="J78" s="5">
        <f t="shared" si="37"/>
        <v>0</v>
      </c>
      <c r="K78" s="1"/>
      <c r="L78" s="1">
        <f t="shared" si="38"/>
        <v>0</v>
      </c>
      <c r="M78" s="1"/>
      <c r="N78" s="5">
        <f t="shared" si="39"/>
        <v>0</v>
      </c>
      <c r="O78" s="13"/>
      <c r="P78" s="1">
        <f>SUM(OSRRefP22_13x_0)</f>
        <v>0</v>
      </c>
      <c r="Q78" s="1"/>
      <c r="R78" s="5">
        <f t="shared" si="40"/>
        <v>0</v>
      </c>
      <c r="S78" s="1"/>
      <c r="T78" s="1">
        <f>SUM(OSRRefT22_13x_0)</f>
        <v>0</v>
      </c>
      <c r="U78" s="1"/>
      <c r="V78" s="5">
        <f t="shared" si="41"/>
        <v>0</v>
      </c>
      <c r="W78" s="1"/>
      <c r="X78" s="1">
        <f t="shared" si="42"/>
        <v>0</v>
      </c>
      <c r="Y78" s="1"/>
      <c r="Z78" s="5">
        <f t="shared" si="43"/>
        <v>0</v>
      </c>
    </row>
    <row r="79" spans="1:26" s="24" customFormat="1" hidden="1" outlineLevel="2" x14ac:dyDescent="0.25">
      <c r="A79" s="25"/>
      <c r="B79" s="11" t="str">
        <f>CONCATENATE("          ", "6387", " - ", "COMMISSION DUE HOUSING")</f>
        <v xml:space="preserve">          6387 - COMMISSION DUE HOUSING</v>
      </c>
      <c r="C79" s="11"/>
      <c r="D79" s="6"/>
      <c r="E79" s="2"/>
      <c r="F79" s="7">
        <f t="shared" si="36"/>
        <v>0</v>
      </c>
      <c r="G79" s="2"/>
      <c r="H79" s="6"/>
      <c r="I79" s="2"/>
      <c r="J79" s="7">
        <f t="shared" si="37"/>
        <v>0</v>
      </c>
      <c r="K79" s="2"/>
      <c r="L79" s="6">
        <f t="shared" si="38"/>
        <v>0</v>
      </c>
      <c r="M79" s="2"/>
      <c r="N79" s="7">
        <f t="shared" si="39"/>
        <v>0</v>
      </c>
      <c r="O79" s="11"/>
      <c r="P79" s="6"/>
      <c r="Q79" s="2"/>
      <c r="R79" s="7">
        <f t="shared" si="40"/>
        <v>0</v>
      </c>
      <c r="S79" s="2"/>
      <c r="T79" s="6">
        <v>0</v>
      </c>
      <c r="U79" s="2"/>
      <c r="V79" s="7">
        <f t="shared" si="41"/>
        <v>0</v>
      </c>
      <c r="W79" s="2"/>
      <c r="X79" s="6">
        <f t="shared" si="42"/>
        <v>0</v>
      </c>
      <c r="Y79" s="2"/>
      <c r="Z79" s="7">
        <f t="shared" si="43"/>
        <v>0</v>
      </c>
    </row>
    <row r="80" spans="1:26" s="27" customFormat="1" outlineLevel="1" collapsed="1" x14ac:dyDescent="0.25">
      <c r="A80" s="26"/>
      <c r="B80" s="13" t="str">
        <f>CONCATENATE("     ","Rent                                              ")</f>
        <v xml:space="preserve">     Rent                                              </v>
      </c>
      <c r="C80" s="13"/>
      <c r="D80" s="1">
        <f>SUM(OSRRefD22_14x_0)</f>
        <v>1150</v>
      </c>
      <c r="E80" s="1"/>
      <c r="F80" s="5">
        <f t="shared" si="36"/>
        <v>7.0779871706250982E-3</v>
      </c>
      <c r="G80" s="1"/>
      <c r="H80" s="1">
        <f>SUM(OSRRefH22_14x_0)</f>
        <v>1150</v>
      </c>
      <c r="I80" s="1"/>
      <c r="J80" s="5">
        <f t="shared" si="37"/>
        <v>3.163277375415008E-3</v>
      </c>
      <c r="K80" s="1"/>
      <c r="L80" s="1">
        <f t="shared" si="38"/>
        <v>0</v>
      </c>
      <c r="M80" s="1"/>
      <c r="N80" s="5">
        <f t="shared" si="39"/>
        <v>0</v>
      </c>
      <c r="O80" s="13"/>
      <c r="P80" s="1">
        <f>SUM(OSRRefP22_14x_0)</f>
        <v>10350</v>
      </c>
      <c r="Q80" s="1"/>
      <c r="R80" s="5">
        <f t="shared" si="40"/>
        <v>4.377180909242228E-3</v>
      </c>
      <c r="S80" s="1"/>
      <c r="T80" s="1">
        <f>SUM(OSRRefT22_14x_0)</f>
        <v>10350</v>
      </c>
      <c r="U80" s="1"/>
      <c r="V80" s="5">
        <f t="shared" si="41"/>
        <v>4.0732553125875154E-3</v>
      </c>
      <c r="W80" s="1"/>
      <c r="X80" s="1">
        <f t="shared" si="42"/>
        <v>0</v>
      </c>
      <c r="Y80" s="1"/>
      <c r="Z80" s="5">
        <f t="shared" si="43"/>
        <v>0</v>
      </c>
    </row>
    <row r="81" spans="1:26" s="24" customFormat="1" hidden="1" outlineLevel="2" x14ac:dyDescent="0.25">
      <c r="A81" s="25"/>
      <c r="B81" s="11" t="str">
        <f>CONCATENATE("          ", "6273", " - ", "RENT")</f>
        <v xml:space="preserve">          6273 - RENT</v>
      </c>
      <c r="C81" s="11"/>
      <c r="D81" s="6">
        <v>1150</v>
      </c>
      <c r="E81" s="2"/>
      <c r="F81" s="7">
        <f t="shared" si="36"/>
        <v>7.0779871706250982E-3</v>
      </c>
      <c r="G81" s="2"/>
      <c r="H81" s="6">
        <v>1150</v>
      </c>
      <c r="I81" s="2"/>
      <c r="J81" s="7">
        <f t="shared" si="37"/>
        <v>3.163277375415008E-3</v>
      </c>
      <c r="K81" s="2"/>
      <c r="L81" s="6">
        <f t="shared" si="38"/>
        <v>0</v>
      </c>
      <c r="M81" s="2"/>
      <c r="N81" s="7">
        <f t="shared" si="39"/>
        <v>0</v>
      </c>
      <c r="O81" s="11"/>
      <c r="P81" s="6">
        <v>10350</v>
      </c>
      <c r="Q81" s="2"/>
      <c r="R81" s="7">
        <f t="shared" si="40"/>
        <v>4.377180909242228E-3</v>
      </c>
      <c r="S81" s="2"/>
      <c r="T81" s="6">
        <v>10350</v>
      </c>
      <c r="U81" s="2"/>
      <c r="V81" s="7">
        <f t="shared" si="41"/>
        <v>4.0732553125875154E-3</v>
      </c>
      <c r="W81" s="2"/>
      <c r="X81" s="6">
        <f t="shared" si="42"/>
        <v>0</v>
      </c>
      <c r="Y81" s="2"/>
      <c r="Z81" s="7">
        <f t="shared" si="43"/>
        <v>0</v>
      </c>
    </row>
    <row r="82" spans="1:26" s="27" customFormat="1" outlineLevel="1" collapsed="1" x14ac:dyDescent="0.25">
      <c r="A82" s="26"/>
      <c r="B82" s="13" t="str">
        <f>CONCATENATE("     ","Repair and Maintenance                            ")</f>
        <v xml:space="preserve">     Repair and Maintenance                            </v>
      </c>
      <c r="C82" s="13"/>
      <c r="D82" s="1">
        <f>SUM(OSRRefD22_15x_0)</f>
        <v>1594.97</v>
      </c>
      <c r="E82" s="1"/>
      <c r="F82" s="5">
        <f t="shared" si="36"/>
        <v>9.8166758239407945E-3</v>
      </c>
      <c r="G82" s="1"/>
      <c r="H82" s="1">
        <f>SUM(OSRRefH22_15x_0)</f>
        <v>1314</v>
      </c>
      <c r="I82" s="1"/>
      <c r="J82" s="5">
        <f t="shared" si="37"/>
        <v>3.6143882359089747E-3</v>
      </c>
      <c r="K82" s="1"/>
      <c r="L82" s="1">
        <f t="shared" si="38"/>
        <v>280.97000000000003</v>
      </c>
      <c r="M82" s="1"/>
      <c r="N82" s="5">
        <f t="shared" si="39"/>
        <v>0.21382800608828009</v>
      </c>
      <c r="O82" s="13"/>
      <c r="P82" s="1">
        <f>SUM(OSRRefP22_15x_0)</f>
        <v>17332.910000000003</v>
      </c>
      <c r="Q82" s="1"/>
      <c r="R82" s="5">
        <f t="shared" si="40"/>
        <v>7.3303654834409402E-3</v>
      </c>
      <c r="S82" s="1"/>
      <c r="T82" s="1">
        <f>SUM(OSRRefT22_15x_0)</f>
        <v>12363</v>
      </c>
      <c r="U82" s="1"/>
      <c r="V82" s="5">
        <f t="shared" si="41"/>
        <v>4.8654739545429425E-3</v>
      </c>
      <c r="W82" s="1"/>
      <c r="X82" s="1">
        <f t="shared" si="42"/>
        <v>4969.9100000000035</v>
      </c>
      <c r="Y82" s="1"/>
      <c r="Z82" s="5">
        <f t="shared" si="43"/>
        <v>0.40199870581574082</v>
      </c>
    </row>
    <row r="83" spans="1:26" s="24" customFormat="1" hidden="1" outlineLevel="2" x14ac:dyDescent="0.25">
      <c r="A83" s="25"/>
      <c r="B83" s="11" t="str">
        <f>CONCATENATE("          ", "6371", " - ", "COMPUTER SOFTWARE MAINTENANCE")</f>
        <v xml:space="preserve">          6371 - COMPUTER SOFTWARE MAINTENANCE</v>
      </c>
      <c r="C83" s="11"/>
      <c r="D83" s="6"/>
      <c r="E83" s="2"/>
      <c r="F83" s="7">
        <f t="shared" si="36"/>
        <v>0</v>
      </c>
      <c r="G83" s="2"/>
      <c r="H83" s="6"/>
      <c r="I83" s="2"/>
      <c r="J83" s="7">
        <f t="shared" si="37"/>
        <v>0</v>
      </c>
      <c r="K83" s="2"/>
      <c r="L83" s="6">
        <f t="shared" si="38"/>
        <v>0</v>
      </c>
      <c r="M83" s="2"/>
      <c r="N83" s="7">
        <f t="shared" si="39"/>
        <v>0</v>
      </c>
      <c r="O83" s="11"/>
      <c r="P83" s="6">
        <v>1311.93</v>
      </c>
      <c r="Q83" s="2"/>
      <c r="R83" s="7">
        <f t="shared" si="40"/>
        <v>5.5483622707846927E-4</v>
      </c>
      <c r="S83" s="2"/>
      <c r="T83" s="6">
        <v>0</v>
      </c>
      <c r="U83" s="2"/>
      <c r="V83" s="7">
        <f t="shared" si="41"/>
        <v>0</v>
      </c>
      <c r="W83" s="2"/>
      <c r="X83" s="6">
        <f t="shared" si="42"/>
        <v>1311.93</v>
      </c>
      <c r="Y83" s="2"/>
      <c r="Z83" s="7">
        <f t="shared" si="43"/>
        <v>0</v>
      </c>
    </row>
    <row r="84" spans="1:26" s="24" customFormat="1" hidden="1" outlineLevel="2" x14ac:dyDescent="0.25">
      <c r="A84" s="25"/>
      <c r="B84" s="11" t="str">
        <f>CONCATENATE("          ", "6373", " - ", "MAINTENANCE CONTRACTS")</f>
        <v xml:space="preserve">          6373 - MAINTENANCE CONTRACTS</v>
      </c>
      <c r="C84" s="11"/>
      <c r="D84" s="6">
        <v>301.45</v>
      </c>
      <c r="E84" s="2"/>
      <c r="F84" s="7">
        <f t="shared" si="36"/>
        <v>1.8553558544216833E-3</v>
      </c>
      <c r="G84" s="2"/>
      <c r="H84" s="6"/>
      <c r="I84" s="2"/>
      <c r="J84" s="7">
        <f t="shared" si="37"/>
        <v>0</v>
      </c>
      <c r="K84" s="2"/>
      <c r="L84" s="6">
        <f t="shared" si="38"/>
        <v>301.45</v>
      </c>
      <c r="M84" s="2"/>
      <c r="N84" s="7">
        <f t="shared" si="39"/>
        <v>0</v>
      </c>
      <c r="O84" s="11"/>
      <c r="P84" s="6">
        <v>884.07</v>
      </c>
      <c r="Q84" s="2"/>
      <c r="R84" s="7">
        <f t="shared" si="40"/>
        <v>3.7388737453466445E-4</v>
      </c>
      <c r="S84" s="2"/>
      <c r="T84" s="6"/>
      <c r="U84" s="2"/>
      <c r="V84" s="7">
        <f t="shared" si="41"/>
        <v>0</v>
      </c>
      <c r="W84" s="2"/>
      <c r="X84" s="6">
        <f t="shared" si="42"/>
        <v>884.07</v>
      </c>
      <c r="Y84" s="2"/>
      <c r="Z84" s="7">
        <f t="shared" si="43"/>
        <v>0</v>
      </c>
    </row>
    <row r="85" spans="1:26" s="24" customFormat="1" hidden="1" outlineLevel="2" x14ac:dyDescent="0.25">
      <c r="A85" s="25"/>
      <c r="B85" s="11" t="str">
        <f>CONCATENATE("          ", "6375", " - ", "OUTSIDE REPAIRS &amp; MAINTENANCE")</f>
        <v xml:space="preserve">          6375 - OUTSIDE REPAIRS &amp; MAINTENANCE</v>
      </c>
      <c r="C85" s="11"/>
      <c r="D85" s="6">
        <v>1293.52</v>
      </c>
      <c r="E85" s="2"/>
      <c r="F85" s="7">
        <f t="shared" si="36"/>
        <v>7.9613199695191105E-3</v>
      </c>
      <c r="G85" s="2"/>
      <c r="H85" s="6">
        <v>1314</v>
      </c>
      <c r="I85" s="2"/>
      <c r="J85" s="7">
        <f t="shared" si="37"/>
        <v>3.6143882359089747E-3</v>
      </c>
      <c r="K85" s="2"/>
      <c r="L85" s="6">
        <f t="shared" si="38"/>
        <v>-20.480000000000018</v>
      </c>
      <c r="M85" s="2"/>
      <c r="N85" s="7">
        <f t="shared" si="39"/>
        <v>-1.5585996955859983E-2</v>
      </c>
      <c r="O85" s="11"/>
      <c r="P85" s="6">
        <v>15136.910000000002</v>
      </c>
      <c r="Q85" s="2"/>
      <c r="R85" s="7">
        <f t="shared" si="40"/>
        <v>6.4016418818278057E-3</v>
      </c>
      <c r="S85" s="2"/>
      <c r="T85" s="6">
        <v>12363</v>
      </c>
      <c r="U85" s="2"/>
      <c r="V85" s="7">
        <f t="shared" si="41"/>
        <v>4.8654739545429425E-3</v>
      </c>
      <c r="W85" s="2"/>
      <c r="X85" s="6">
        <f t="shared" si="42"/>
        <v>2773.9100000000017</v>
      </c>
      <c r="Y85" s="2"/>
      <c r="Z85" s="7">
        <f t="shared" si="43"/>
        <v>0.22437191620156932</v>
      </c>
    </row>
    <row r="86" spans="1:26" s="27" customFormat="1" outlineLevel="1" collapsed="1" x14ac:dyDescent="0.25">
      <c r="A86" s="26"/>
      <c r="B86" s="13" t="str">
        <f>CONCATENATE("     ","Royalty &amp; Commissions                             ")</f>
        <v xml:space="preserve">     Royalty &amp; Commissions                             </v>
      </c>
      <c r="C86" s="13"/>
      <c r="D86" s="1">
        <f>SUM(OSRRefD22_16x_0)</f>
        <v>9221.35</v>
      </c>
      <c r="E86" s="1"/>
      <c r="F86" s="5">
        <f t="shared" ref="F86:F88" si="44">IF(D$12=0,0,D86/D$12)</f>
        <v>5.6755301735516309E-2</v>
      </c>
      <c r="G86" s="1"/>
      <c r="H86" s="1">
        <f>SUM(OSRRefH22_16x_0)</f>
        <v>3216</v>
      </c>
      <c r="I86" s="1"/>
      <c r="J86" s="5">
        <f t="shared" ref="J86:J88" si="45">IF(H$12=0,0,H86/H$12)</f>
        <v>8.8461739472475362E-3</v>
      </c>
      <c r="K86" s="1"/>
      <c r="L86" s="1">
        <f t="shared" ref="L86:L88" si="46">+D86-H86</f>
        <v>6005.35</v>
      </c>
      <c r="M86" s="1"/>
      <c r="N86" s="5">
        <f t="shared" ref="N86:N88" si="47">IF(H86=0,0,L86/H86)</f>
        <v>1.8673351990049751</v>
      </c>
      <c r="O86" s="13"/>
      <c r="P86" s="1">
        <f>SUM(OSRRefP22_16x_0)</f>
        <v>24556.14</v>
      </c>
      <c r="Q86" s="1"/>
      <c r="R86" s="5">
        <f t="shared" ref="R86:R88" si="48">IF(P$12=0,0,P86/P$12)</f>
        <v>1.0385185237940044E-2</v>
      </c>
      <c r="S86" s="1"/>
      <c r="T86" s="1">
        <f>SUM(OSRRefT22_16x_0)</f>
        <v>23699</v>
      </c>
      <c r="U86" s="1"/>
      <c r="V86" s="5">
        <f t="shared" ref="V86:V88" si="49">IF(T$12=0,0,T86/T$12)</f>
        <v>9.3267707877305837E-3</v>
      </c>
      <c r="W86" s="1"/>
      <c r="X86" s="1">
        <f t="shared" ref="X86:X88" si="50">+P86-T86</f>
        <v>857.13999999999942</v>
      </c>
      <c r="Y86" s="1"/>
      <c r="Z86" s="5">
        <f t="shared" ref="Z86:Z88" si="51">IF(T86=0,0,X86/T86)</f>
        <v>3.6167770792016517E-2</v>
      </c>
    </row>
    <row r="87" spans="1:26" s="24" customFormat="1" hidden="1" outlineLevel="2" x14ac:dyDescent="0.25">
      <c r="A87" s="25"/>
      <c r="B87" s="11" t="str">
        <f>CONCATENATE("          ", "6254", " - ", "ROYALTY &amp; COMMISSIONS")</f>
        <v xml:space="preserve">          6254 - ROYALTY &amp; COMMISSIONS</v>
      </c>
      <c r="C87" s="11"/>
      <c r="D87" s="6">
        <v>9221.35</v>
      </c>
      <c r="E87" s="2"/>
      <c r="F87" s="7">
        <f t="shared" si="44"/>
        <v>5.6755301735516309E-2</v>
      </c>
      <c r="G87" s="2"/>
      <c r="H87" s="6"/>
      <c r="I87" s="2"/>
      <c r="J87" s="7">
        <f t="shared" si="45"/>
        <v>0</v>
      </c>
      <c r="K87" s="2"/>
      <c r="L87" s="6">
        <f t="shared" si="46"/>
        <v>9221.35</v>
      </c>
      <c r="M87" s="2"/>
      <c r="N87" s="7">
        <f t="shared" si="47"/>
        <v>0</v>
      </c>
      <c r="O87" s="11"/>
      <c r="P87" s="6">
        <v>24556.14</v>
      </c>
      <c r="Q87" s="2"/>
      <c r="R87" s="7">
        <f t="shared" si="48"/>
        <v>1.0385185237940044E-2</v>
      </c>
      <c r="S87" s="2"/>
      <c r="T87" s="6"/>
      <c r="U87" s="2"/>
      <c r="V87" s="7">
        <f t="shared" si="49"/>
        <v>0</v>
      </c>
      <c r="W87" s="2"/>
      <c r="X87" s="6">
        <f t="shared" si="50"/>
        <v>24556.14</v>
      </c>
      <c r="Y87" s="2"/>
      <c r="Z87" s="7">
        <f t="shared" si="51"/>
        <v>0</v>
      </c>
    </row>
    <row r="88" spans="1:26" s="24" customFormat="1" hidden="1" outlineLevel="2" x14ac:dyDescent="0.25">
      <c r="A88" s="25"/>
      <c r="B88" s="11" t="str">
        <f>CONCATENATE("          ", "6259", " - ", "ROYALTY &amp; COMMISSIONS")</f>
        <v xml:space="preserve">          6259 - ROYALTY &amp; COMMISSIONS</v>
      </c>
      <c r="C88" s="11"/>
      <c r="D88" s="6"/>
      <c r="E88" s="2"/>
      <c r="F88" s="7">
        <f t="shared" si="44"/>
        <v>0</v>
      </c>
      <c r="G88" s="2"/>
      <c r="H88" s="6">
        <v>3216</v>
      </c>
      <c r="I88" s="2"/>
      <c r="J88" s="7">
        <f t="shared" si="45"/>
        <v>8.8461739472475362E-3</v>
      </c>
      <c r="K88" s="2"/>
      <c r="L88" s="6">
        <f t="shared" si="46"/>
        <v>-3216</v>
      </c>
      <c r="M88" s="2"/>
      <c r="N88" s="7">
        <f t="shared" si="47"/>
        <v>-1</v>
      </c>
      <c r="O88" s="11"/>
      <c r="P88" s="6"/>
      <c r="Q88" s="2"/>
      <c r="R88" s="7">
        <f t="shared" si="48"/>
        <v>0</v>
      </c>
      <c r="S88" s="2"/>
      <c r="T88" s="6">
        <v>23699</v>
      </c>
      <c r="U88" s="2"/>
      <c r="V88" s="7">
        <f t="shared" si="49"/>
        <v>9.3267707877305837E-3</v>
      </c>
      <c r="W88" s="2"/>
      <c r="X88" s="6">
        <f t="shared" si="50"/>
        <v>-23699</v>
      </c>
      <c r="Y88" s="2"/>
      <c r="Z88" s="7">
        <f t="shared" si="51"/>
        <v>-1</v>
      </c>
    </row>
    <row r="89" spans="1:26" s="27" customFormat="1" outlineLevel="1" collapsed="1" x14ac:dyDescent="0.25">
      <c r="A89" s="26"/>
      <c r="B89" s="13" t="str">
        <f>CONCATENATE("     ","Services                                          ")</f>
        <v xml:space="preserve">     Services                                          </v>
      </c>
      <c r="C89" s="13"/>
      <c r="D89" s="1">
        <f>SUM(OSRRefD22_17x_0)</f>
        <v>1177.94</v>
      </c>
      <c r="E89" s="1"/>
      <c r="F89" s="5">
        <f t="shared" ref="F89:F94" si="52">IF(D$12=0,0,D89/D$12)</f>
        <v>7.2499514850140256E-3</v>
      </c>
      <c r="G89" s="1"/>
      <c r="H89" s="1">
        <f>SUM(OSRRefH22_17x_0)</f>
        <v>1018</v>
      </c>
      <c r="I89" s="1"/>
      <c r="J89" s="5">
        <f t="shared" ref="J89:J94" si="53">IF(H$12=0,0,H89/H$12)</f>
        <v>2.8001881462369378E-3</v>
      </c>
      <c r="K89" s="1"/>
      <c r="L89" s="1">
        <f t="shared" ref="L89:L94" si="54">+D89-H89</f>
        <v>159.94000000000005</v>
      </c>
      <c r="M89" s="1"/>
      <c r="N89" s="5">
        <f t="shared" ref="N89:N94" si="55">IF(H89=0,0,L89/H89)</f>
        <v>0.15711198428290771</v>
      </c>
      <c r="O89" s="13"/>
      <c r="P89" s="1">
        <f>SUM(OSRRefP22_17x_0)</f>
        <v>15716.41</v>
      </c>
      <c r="Q89" s="1"/>
      <c r="R89" s="5">
        <f t="shared" ref="R89:R94" si="56">IF(P$12=0,0,P89/P$12)</f>
        <v>6.6467217211423815E-3</v>
      </c>
      <c r="S89" s="1"/>
      <c r="T89" s="1">
        <f>SUM(OSRRefT22_17x_0)</f>
        <v>7915</v>
      </c>
      <c r="U89" s="1"/>
      <c r="V89" s="5">
        <f t="shared" ref="V89:V94" si="57">IF(T$12=0,0,T89/T$12)</f>
        <v>3.1149580482251389E-3</v>
      </c>
      <c r="W89" s="1"/>
      <c r="X89" s="1">
        <f t="shared" ref="X89:X94" si="58">+P89-T89</f>
        <v>7801.41</v>
      </c>
      <c r="Y89" s="1"/>
      <c r="Z89" s="5">
        <f t="shared" ref="Z89:Z94" si="59">IF(T89=0,0,X89/T89)</f>
        <v>0.9856487681617182</v>
      </c>
    </row>
    <row r="90" spans="1:26" s="24" customFormat="1" hidden="1" outlineLevel="2" x14ac:dyDescent="0.25">
      <c r="A90" s="25"/>
      <c r="B90" s="11" t="str">
        <f>CONCATENATE("          ", "6281", " - ", "STORAGE FEE")</f>
        <v xml:space="preserve">          6281 - STORAGE FEE</v>
      </c>
      <c r="C90" s="11"/>
      <c r="D90" s="6"/>
      <c r="E90" s="2"/>
      <c r="F90" s="7">
        <f t="shared" si="52"/>
        <v>0</v>
      </c>
      <c r="G90" s="2"/>
      <c r="H90" s="6"/>
      <c r="I90" s="2"/>
      <c r="J90" s="7">
        <f t="shared" si="53"/>
        <v>0</v>
      </c>
      <c r="K90" s="2"/>
      <c r="L90" s="6">
        <f t="shared" si="54"/>
        <v>0</v>
      </c>
      <c r="M90" s="2"/>
      <c r="N90" s="7">
        <f t="shared" si="55"/>
        <v>0</v>
      </c>
      <c r="O90" s="11"/>
      <c r="P90" s="6"/>
      <c r="Q90" s="2"/>
      <c r="R90" s="7">
        <f t="shared" si="56"/>
        <v>0</v>
      </c>
      <c r="S90" s="2"/>
      <c r="T90" s="6">
        <v>0</v>
      </c>
      <c r="U90" s="2"/>
      <c r="V90" s="7">
        <f t="shared" si="57"/>
        <v>0</v>
      </c>
      <c r="W90" s="2"/>
      <c r="X90" s="6">
        <f t="shared" si="58"/>
        <v>0</v>
      </c>
      <c r="Y90" s="2"/>
      <c r="Z90" s="7">
        <f t="shared" si="59"/>
        <v>0</v>
      </c>
    </row>
    <row r="91" spans="1:26" s="24" customFormat="1" hidden="1" outlineLevel="2" x14ac:dyDescent="0.25">
      <c r="A91" s="25"/>
      <c r="B91" s="11" t="str">
        <f>CONCATENATE("          ", "6282", " - ", "JANITORIAL/EXTERMINATOR EXPENS")</f>
        <v xml:space="preserve">          6282 - JANITORIAL/EXTERMINATOR EXPENS</v>
      </c>
      <c r="C91" s="11"/>
      <c r="D91" s="6">
        <v>567.28</v>
      </c>
      <c r="E91" s="2"/>
      <c r="F91" s="7">
        <f t="shared" si="52"/>
        <v>3.4914787496975702E-3</v>
      </c>
      <c r="G91" s="2"/>
      <c r="H91" s="6">
        <v>564</v>
      </c>
      <c r="I91" s="2"/>
      <c r="J91" s="7">
        <f t="shared" si="53"/>
        <v>1.551381251942665E-3</v>
      </c>
      <c r="K91" s="2"/>
      <c r="L91" s="6">
        <f t="shared" si="54"/>
        <v>3.2799999999999727</v>
      </c>
      <c r="M91" s="2"/>
      <c r="N91" s="7">
        <f t="shared" si="55"/>
        <v>5.8156028368793839E-3</v>
      </c>
      <c r="O91" s="11"/>
      <c r="P91" s="6">
        <v>6005.09</v>
      </c>
      <c r="Q91" s="2"/>
      <c r="R91" s="7">
        <f t="shared" si="56"/>
        <v>2.5396488218629386E-3</v>
      </c>
      <c r="S91" s="2"/>
      <c r="T91" s="6">
        <v>4310</v>
      </c>
      <c r="U91" s="2"/>
      <c r="V91" s="7">
        <f t="shared" si="57"/>
        <v>1.6962058354833035E-3</v>
      </c>
      <c r="W91" s="2"/>
      <c r="X91" s="6">
        <f t="shared" si="58"/>
        <v>1695.0900000000001</v>
      </c>
      <c r="Y91" s="2"/>
      <c r="Z91" s="7">
        <f t="shared" si="59"/>
        <v>0.39329234338747104</v>
      </c>
    </row>
    <row r="92" spans="1:26" s="24" customFormat="1" hidden="1" outlineLevel="2" x14ac:dyDescent="0.25">
      <c r="A92" s="25"/>
      <c r="B92" s="11" t="str">
        <f>CONCATENATE("          ", "6284", " - ", "TRASH REMOVAL EXPENSE")</f>
        <v xml:space="preserve">          6284 - TRASH REMOVAL EXPENSE</v>
      </c>
      <c r="C92" s="11"/>
      <c r="D92" s="6">
        <v>289</v>
      </c>
      <c r="E92" s="2"/>
      <c r="F92" s="7">
        <f t="shared" si="52"/>
        <v>1.7787289498353508E-3</v>
      </c>
      <c r="G92" s="2"/>
      <c r="H92" s="6">
        <v>150</v>
      </c>
      <c r="I92" s="2"/>
      <c r="J92" s="7">
        <f t="shared" si="53"/>
        <v>4.1260139679326195E-4</v>
      </c>
      <c r="K92" s="2"/>
      <c r="L92" s="6">
        <f t="shared" si="54"/>
        <v>139</v>
      </c>
      <c r="M92" s="2"/>
      <c r="N92" s="7">
        <f t="shared" si="55"/>
        <v>0.92666666666666664</v>
      </c>
      <c r="O92" s="11"/>
      <c r="P92" s="6">
        <v>2600</v>
      </c>
      <c r="Q92" s="2"/>
      <c r="R92" s="7">
        <f t="shared" si="56"/>
        <v>1.0995816776840381E-3</v>
      </c>
      <c r="S92" s="2"/>
      <c r="T92" s="6">
        <v>1350</v>
      </c>
      <c r="U92" s="2"/>
      <c r="V92" s="7">
        <f t="shared" si="57"/>
        <v>5.3129417120706727E-4</v>
      </c>
      <c r="W92" s="2"/>
      <c r="X92" s="6">
        <f t="shared" si="58"/>
        <v>1250</v>
      </c>
      <c r="Y92" s="2"/>
      <c r="Z92" s="7">
        <f t="shared" si="59"/>
        <v>0.92592592592592593</v>
      </c>
    </row>
    <row r="93" spans="1:26" s="24" customFormat="1" hidden="1" outlineLevel="2" x14ac:dyDescent="0.25">
      <c r="A93" s="25"/>
      <c r="B93" s="11" t="str">
        <f>CONCATENATE("          ", "6285", " - ", "JANITORIAL SERVICES")</f>
        <v xml:space="preserve">          6285 - JANITORIAL SERVICES</v>
      </c>
      <c r="C93" s="11"/>
      <c r="D93" s="6">
        <v>134.1</v>
      </c>
      <c r="E93" s="2"/>
      <c r="F93" s="7">
        <f t="shared" si="52"/>
        <v>8.2535485180941363E-4</v>
      </c>
      <c r="G93" s="2"/>
      <c r="H93" s="6">
        <v>214</v>
      </c>
      <c r="I93" s="2"/>
      <c r="J93" s="7">
        <f t="shared" si="53"/>
        <v>5.8864465942505366E-4</v>
      </c>
      <c r="K93" s="2"/>
      <c r="L93" s="6">
        <f t="shared" si="54"/>
        <v>-79.900000000000006</v>
      </c>
      <c r="M93" s="2"/>
      <c r="N93" s="7">
        <f t="shared" si="55"/>
        <v>-0.37336448598130845</v>
      </c>
      <c r="O93" s="11"/>
      <c r="P93" s="6">
        <v>1053.68</v>
      </c>
      <c r="Q93" s="2"/>
      <c r="R93" s="7">
        <f t="shared" si="56"/>
        <v>4.4561816236235278E-4</v>
      </c>
      <c r="S93" s="2"/>
      <c r="T93" s="6">
        <v>1580</v>
      </c>
      <c r="U93" s="2"/>
      <c r="V93" s="7">
        <f t="shared" si="57"/>
        <v>6.2181095593123433E-4</v>
      </c>
      <c r="W93" s="2"/>
      <c r="X93" s="6">
        <f t="shared" si="58"/>
        <v>-526.31999999999994</v>
      </c>
      <c r="Y93" s="2"/>
      <c r="Z93" s="7">
        <f t="shared" si="59"/>
        <v>-0.33311392405063289</v>
      </c>
    </row>
    <row r="94" spans="1:26" s="24" customFormat="1" hidden="1" outlineLevel="2" x14ac:dyDescent="0.25">
      <c r="A94" s="25"/>
      <c r="B94" s="11" t="str">
        <f>CONCATENATE("          ", "6286", " - ", "LAUNDRY EXPENSE")</f>
        <v xml:space="preserve">          6286 - LAUNDRY EXPENSE</v>
      </c>
      <c r="C94" s="11"/>
      <c r="D94" s="6">
        <v>187.56</v>
      </c>
      <c r="E94" s="2"/>
      <c r="F94" s="7">
        <f t="shared" si="52"/>
        <v>1.15438893367169E-3</v>
      </c>
      <c r="G94" s="2"/>
      <c r="H94" s="6">
        <v>90</v>
      </c>
      <c r="I94" s="2"/>
      <c r="J94" s="7">
        <f t="shared" si="53"/>
        <v>2.4756083807595718E-4</v>
      </c>
      <c r="K94" s="2"/>
      <c r="L94" s="6">
        <f t="shared" si="54"/>
        <v>97.56</v>
      </c>
      <c r="M94" s="2"/>
      <c r="N94" s="7">
        <f t="shared" si="55"/>
        <v>1.0840000000000001</v>
      </c>
      <c r="O94" s="11"/>
      <c r="P94" s="6">
        <v>6057.64</v>
      </c>
      <c r="Q94" s="2"/>
      <c r="R94" s="7">
        <f t="shared" si="56"/>
        <v>2.5618730592330526E-3</v>
      </c>
      <c r="S94" s="2"/>
      <c r="T94" s="6">
        <v>675</v>
      </c>
      <c r="U94" s="2"/>
      <c r="V94" s="7">
        <f t="shared" si="57"/>
        <v>2.6564708560353363E-4</v>
      </c>
      <c r="W94" s="2"/>
      <c r="X94" s="6">
        <f t="shared" si="58"/>
        <v>5382.64</v>
      </c>
      <c r="Y94" s="2"/>
      <c r="Z94" s="7">
        <f t="shared" si="59"/>
        <v>7.9742814814814817</v>
      </c>
    </row>
    <row r="95" spans="1:26" s="27" customFormat="1" outlineLevel="1" collapsed="1" x14ac:dyDescent="0.25">
      <c r="A95" s="26"/>
      <c r="B95" s="13" t="str">
        <f>CONCATENATE("     ","Subscriptions &amp; Dues                              ")</f>
        <v xml:space="preserve">     Subscriptions &amp; Dues                              </v>
      </c>
      <c r="C95" s="13"/>
      <c r="D95" s="1">
        <f>SUM(OSRRefD22_18x_0)</f>
        <v>0</v>
      </c>
      <c r="E95" s="1"/>
      <c r="F95" s="5">
        <f t="shared" ref="F95:F106" si="60">IF(D$12=0,0,D95/D$12)</f>
        <v>0</v>
      </c>
      <c r="G95" s="1"/>
      <c r="H95" s="1">
        <f>SUM(OSRRefH22_18x_0)</f>
        <v>180</v>
      </c>
      <c r="I95" s="1"/>
      <c r="J95" s="5">
        <f t="shared" ref="J95:J106" si="61">IF(H$12=0,0,H95/H$12)</f>
        <v>4.9512167615191436E-4</v>
      </c>
      <c r="K95" s="1"/>
      <c r="L95" s="1">
        <f t="shared" ref="L95:L106" si="62">+D95-H95</f>
        <v>-180</v>
      </c>
      <c r="M95" s="1"/>
      <c r="N95" s="5">
        <f t="shared" ref="N95:N106" si="63">IF(H95=0,0,L95/H95)</f>
        <v>-1</v>
      </c>
      <c r="O95" s="13"/>
      <c r="P95" s="1">
        <f>SUM(OSRRefP22_18x_0)</f>
        <v>1411.2</v>
      </c>
      <c r="Q95" s="1"/>
      <c r="R95" s="5">
        <f t="shared" ref="R95:R106" si="64">IF(P$12=0,0,P95/P$12)</f>
        <v>5.9681910136450561E-4</v>
      </c>
      <c r="S95" s="1"/>
      <c r="T95" s="1">
        <f>SUM(OSRRefT22_18x_0)</f>
        <v>1620</v>
      </c>
      <c r="U95" s="1"/>
      <c r="V95" s="5">
        <f t="shared" ref="V95:V106" si="65">IF(T$12=0,0,T95/T$12)</f>
        <v>6.3755300544848076E-4</v>
      </c>
      <c r="W95" s="1"/>
      <c r="X95" s="1">
        <f t="shared" ref="X95:X106" si="66">+P95-T95</f>
        <v>-208.79999999999995</v>
      </c>
      <c r="Y95" s="1"/>
      <c r="Z95" s="5">
        <f t="shared" ref="Z95:Z106" si="67">IF(T95=0,0,X95/T95)</f>
        <v>-0.12888888888888886</v>
      </c>
    </row>
    <row r="96" spans="1:26" s="24" customFormat="1" hidden="1" outlineLevel="2" x14ac:dyDescent="0.25">
      <c r="A96" s="25"/>
      <c r="B96" s="11" t="str">
        <f>CONCATENATE("          ", "6275", " - ", "SUBSCRIPTIONS")</f>
        <v xml:space="preserve">          6275 - SUBSCRIPTIONS</v>
      </c>
      <c r="C96" s="11"/>
      <c r="D96" s="6"/>
      <c r="E96" s="2"/>
      <c r="F96" s="7">
        <f t="shared" si="60"/>
        <v>0</v>
      </c>
      <c r="G96" s="2"/>
      <c r="H96" s="6">
        <v>180</v>
      </c>
      <c r="I96" s="2"/>
      <c r="J96" s="7">
        <f t="shared" si="61"/>
        <v>4.9512167615191436E-4</v>
      </c>
      <c r="K96" s="2"/>
      <c r="L96" s="6">
        <f t="shared" si="62"/>
        <v>-180</v>
      </c>
      <c r="M96" s="2"/>
      <c r="N96" s="7">
        <f t="shared" si="63"/>
        <v>-1</v>
      </c>
      <c r="O96" s="11"/>
      <c r="P96" s="6">
        <v>1411.2</v>
      </c>
      <c r="Q96" s="2"/>
      <c r="R96" s="7">
        <f t="shared" si="64"/>
        <v>5.9681910136450561E-4</v>
      </c>
      <c r="S96" s="2"/>
      <c r="T96" s="6">
        <v>1620</v>
      </c>
      <c r="U96" s="2"/>
      <c r="V96" s="7">
        <f t="shared" si="65"/>
        <v>6.3755300544848076E-4</v>
      </c>
      <c r="W96" s="2"/>
      <c r="X96" s="6">
        <f t="shared" si="66"/>
        <v>-208.79999999999995</v>
      </c>
      <c r="Y96" s="2"/>
      <c r="Z96" s="7">
        <f t="shared" si="67"/>
        <v>-0.12888888888888886</v>
      </c>
    </row>
    <row r="97" spans="1:26" s="27" customFormat="1" outlineLevel="1" collapsed="1" x14ac:dyDescent="0.25">
      <c r="A97" s="26"/>
      <c r="B97" s="13" t="str">
        <f>CONCATENATE("     ","Supplies                                          ")</f>
        <v xml:space="preserve">     Supplies                                          </v>
      </c>
      <c r="C97" s="13"/>
      <c r="D97" s="1">
        <f>SUM(OSRRefD22_19x_0)</f>
        <v>459.77</v>
      </c>
      <c r="E97" s="1"/>
      <c r="F97" s="5">
        <f t="shared" si="60"/>
        <v>2.8297792708159141E-3</v>
      </c>
      <c r="G97" s="1"/>
      <c r="H97" s="1">
        <f>SUM(OSRRefH22_19x_0)</f>
        <v>4014</v>
      </c>
      <c r="I97" s="1"/>
      <c r="J97" s="5">
        <f t="shared" si="61"/>
        <v>1.1041213378187689E-2</v>
      </c>
      <c r="K97" s="1"/>
      <c r="L97" s="1">
        <f t="shared" si="62"/>
        <v>-3554.23</v>
      </c>
      <c r="M97" s="1"/>
      <c r="N97" s="5">
        <f t="shared" si="63"/>
        <v>-0.88545839561534634</v>
      </c>
      <c r="O97" s="13"/>
      <c r="P97" s="1">
        <f>SUM(OSRRefP22_19x_0)</f>
        <v>49507.32</v>
      </c>
      <c r="Q97" s="1"/>
      <c r="R97" s="5">
        <f t="shared" si="64"/>
        <v>2.0937439224323281E-2</v>
      </c>
      <c r="S97" s="1"/>
      <c r="T97" s="1">
        <f>SUM(OSRRefT22_19x_0)</f>
        <v>32734</v>
      </c>
      <c r="U97" s="1"/>
      <c r="V97" s="5">
        <f t="shared" si="65"/>
        <v>1.2882506222438622E-2</v>
      </c>
      <c r="W97" s="1"/>
      <c r="X97" s="1">
        <f t="shared" si="66"/>
        <v>16773.32</v>
      </c>
      <c r="Y97" s="1"/>
      <c r="Z97" s="5">
        <f t="shared" si="67"/>
        <v>0.51241278181707095</v>
      </c>
    </row>
    <row r="98" spans="1:26" s="24" customFormat="1" hidden="1" outlineLevel="2" x14ac:dyDescent="0.25">
      <c r="A98" s="25"/>
      <c r="B98" s="11" t="str">
        <f>CONCATENATE("          ", "6234", " - ", "EXPENDABLE SUPPLIES &amp; EQUIPMEN")</f>
        <v xml:space="preserve">          6234 - EXPENDABLE SUPPLIES &amp; EQUIPMEN</v>
      </c>
      <c r="C98" s="11"/>
      <c r="D98" s="6"/>
      <c r="E98" s="2"/>
      <c r="F98" s="7">
        <f t="shared" si="60"/>
        <v>0</v>
      </c>
      <c r="G98" s="2"/>
      <c r="H98" s="6"/>
      <c r="I98" s="2"/>
      <c r="J98" s="7">
        <f t="shared" si="61"/>
        <v>0</v>
      </c>
      <c r="K98" s="2"/>
      <c r="L98" s="6">
        <f t="shared" si="62"/>
        <v>0</v>
      </c>
      <c r="M98" s="2"/>
      <c r="N98" s="7">
        <f t="shared" si="63"/>
        <v>0</v>
      </c>
      <c r="O98" s="11"/>
      <c r="P98" s="6">
        <v>1092.46</v>
      </c>
      <c r="Q98" s="2"/>
      <c r="R98" s="7">
        <f t="shared" si="64"/>
        <v>4.6201884600104008E-4</v>
      </c>
      <c r="S98" s="2"/>
      <c r="T98" s="6">
        <v>3000</v>
      </c>
      <c r="U98" s="2"/>
      <c r="V98" s="7">
        <f t="shared" si="65"/>
        <v>1.1806537137934827E-3</v>
      </c>
      <c r="W98" s="2"/>
      <c r="X98" s="6">
        <f t="shared" si="66"/>
        <v>-1907.54</v>
      </c>
      <c r="Y98" s="2"/>
      <c r="Z98" s="7">
        <f t="shared" si="67"/>
        <v>-0.63584666666666667</v>
      </c>
    </row>
    <row r="99" spans="1:26" s="24" customFormat="1" hidden="1" outlineLevel="2" x14ac:dyDescent="0.25">
      <c r="A99" s="25"/>
      <c r="B99" s="11" t="str">
        <f>CONCATENATE("          ", "6237", " - ", "JANITORIAL SUPPLIES")</f>
        <v xml:space="preserve">          6237 - JANITORIAL SUPPLIES</v>
      </c>
      <c r="C99" s="11"/>
      <c r="D99" s="6"/>
      <c r="E99" s="2"/>
      <c r="F99" s="7">
        <f t="shared" si="60"/>
        <v>0</v>
      </c>
      <c r="G99" s="2"/>
      <c r="H99" s="6">
        <v>100</v>
      </c>
      <c r="I99" s="2"/>
      <c r="J99" s="7">
        <f t="shared" si="61"/>
        <v>2.7506759786217463E-4</v>
      </c>
      <c r="K99" s="2"/>
      <c r="L99" s="6">
        <f t="shared" si="62"/>
        <v>-100</v>
      </c>
      <c r="M99" s="2"/>
      <c r="N99" s="7">
        <f t="shared" si="63"/>
        <v>-1</v>
      </c>
      <c r="O99" s="11"/>
      <c r="P99" s="6">
        <v>4418.97</v>
      </c>
      <c r="Q99" s="2"/>
      <c r="R99" s="7">
        <f t="shared" si="64"/>
        <v>1.8688532485520899E-3</v>
      </c>
      <c r="S99" s="2"/>
      <c r="T99" s="6">
        <v>1300</v>
      </c>
      <c r="U99" s="2"/>
      <c r="V99" s="7">
        <f t="shared" si="65"/>
        <v>5.1161660931050917E-4</v>
      </c>
      <c r="W99" s="2"/>
      <c r="X99" s="6">
        <f t="shared" si="66"/>
        <v>3118.9700000000003</v>
      </c>
      <c r="Y99" s="2"/>
      <c r="Z99" s="7">
        <f t="shared" si="67"/>
        <v>2.3992076923076926</v>
      </c>
    </row>
    <row r="100" spans="1:26" s="24" customFormat="1" hidden="1" outlineLevel="2" x14ac:dyDescent="0.25">
      <c r="A100" s="25"/>
      <c r="B100" s="11" t="str">
        <f>CONCATENATE("          ", "6239", " - ", "KITCHEN SUPPLIES")</f>
        <v xml:space="preserve">          6239 - KITCHEN SUPPLIES</v>
      </c>
      <c r="C100" s="11"/>
      <c r="D100" s="6"/>
      <c r="E100" s="2"/>
      <c r="F100" s="7">
        <f t="shared" si="60"/>
        <v>0</v>
      </c>
      <c r="G100" s="2"/>
      <c r="H100" s="6"/>
      <c r="I100" s="2"/>
      <c r="J100" s="7">
        <f t="shared" si="61"/>
        <v>0</v>
      </c>
      <c r="K100" s="2"/>
      <c r="L100" s="6">
        <f t="shared" si="62"/>
        <v>0</v>
      </c>
      <c r="M100" s="2"/>
      <c r="N100" s="7">
        <f t="shared" si="63"/>
        <v>0</v>
      </c>
      <c r="O100" s="11"/>
      <c r="P100" s="6">
        <v>441.2</v>
      </c>
      <c r="Q100" s="2"/>
      <c r="R100" s="7">
        <f t="shared" si="64"/>
        <v>1.8659055238238369E-4</v>
      </c>
      <c r="S100" s="2"/>
      <c r="T100" s="6"/>
      <c r="U100" s="2"/>
      <c r="V100" s="7">
        <f t="shared" si="65"/>
        <v>0</v>
      </c>
      <c r="W100" s="2"/>
      <c r="X100" s="6">
        <f t="shared" si="66"/>
        <v>441.2</v>
      </c>
      <c r="Y100" s="2"/>
      <c r="Z100" s="7">
        <f t="shared" si="67"/>
        <v>0</v>
      </c>
    </row>
    <row r="101" spans="1:26" s="24" customFormat="1" hidden="1" outlineLevel="2" x14ac:dyDescent="0.25">
      <c r="A101" s="25"/>
      <c r="B101" s="11" t="str">
        <f>CONCATENATE("          ", "6241", " - ", "OFFICE EXPENSE")</f>
        <v xml:space="preserve">          6241 - OFFICE EXPENSE</v>
      </c>
      <c r="C101" s="11"/>
      <c r="D101" s="6">
        <v>33.74</v>
      </c>
      <c r="E101" s="2"/>
      <c r="F101" s="7">
        <f t="shared" si="60"/>
        <v>2.076619888146877E-4</v>
      </c>
      <c r="G101" s="2"/>
      <c r="H101" s="6"/>
      <c r="I101" s="2"/>
      <c r="J101" s="7">
        <f t="shared" si="61"/>
        <v>0</v>
      </c>
      <c r="K101" s="2"/>
      <c r="L101" s="6">
        <f t="shared" si="62"/>
        <v>33.74</v>
      </c>
      <c r="M101" s="2"/>
      <c r="N101" s="7">
        <f t="shared" si="63"/>
        <v>0</v>
      </c>
      <c r="O101" s="11"/>
      <c r="P101" s="6">
        <v>2377.21</v>
      </c>
      <c r="Q101" s="2"/>
      <c r="R101" s="7">
        <f t="shared" si="64"/>
        <v>1.0053602153874124E-3</v>
      </c>
      <c r="S101" s="2"/>
      <c r="T101" s="6">
        <v>480</v>
      </c>
      <c r="U101" s="2"/>
      <c r="V101" s="7">
        <f t="shared" si="65"/>
        <v>1.8890459420695726E-4</v>
      </c>
      <c r="W101" s="2"/>
      <c r="X101" s="6">
        <f t="shared" si="66"/>
        <v>1897.21</v>
      </c>
      <c r="Y101" s="2"/>
      <c r="Z101" s="7">
        <f t="shared" si="67"/>
        <v>3.9525208333333333</v>
      </c>
    </row>
    <row r="102" spans="1:26" s="24" customFormat="1" hidden="1" outlineLevel="2" x14ac:dyDescent="0.25">
      <c r="A102" s="25"/>
      <c r="B102" s="11" t="str">
        <f>CONCATENATE("          ", "6243", " - ", "PAPER SUPPLIES")</f>
        <v xml:space="preserve">          6243 - PAPER SUPPLIES</v>
      </c>
      <c r="C102" s="11"/>
      <c r="D102" s="6">
        <v>127.44</v>
      </c>
      <c r="E102" s="2"/>
      <c r="F102" s="7">
        <f t="shared" si="60"/>
        <v>7.8436407393431523E-4</v>
      </c>
      <c r="G102" s="2"/>
      <c r="H102" s="6"/>
      <c r="I102" s="2"/>
      <c r="J102" s="7">
        <f t="shared" si="61"/>
        <v>0</v>
      </c>
      <c r="K102" s="2"/>
      <c r="L102" s="6">
        <f t="shared" si="62"/>
        <v>127.44</v>
      </c>
      <c r="M102" s="2"/>
      <c r="N102" s="7">
        <f t="shared" si="63"/>
        <v>0</v>
      </c>
      <c r="O102" s="11"/>
      <c r="P102" s="6">
        <v>4964.92</v>
      </c>
      <c r="Q102" s="2"/>
      <c r="R102" s="7">
        <f t="shared" si="64"/>
        <v>2.0997442550642438E-3</v>
      </c>
      <c r="S102" s="2"/>
      <c r="T102" s="6"/>
      <c r="U102" s="2"/>
      <c r="V102" s="7">
        <f t="shared" si="65"/>
        <v>0</v>
      </c>
      <c r="W102" s="2"/>
      <c r="X102" s="6">
        <f t="shared" si="66"/>
        <v>4964.92</v>
      </c>
      <c r="Y102" s="2"/>
      <c r="Z102" s="7">
        <f t="shared" si="67"/>
        <v>0</v>
      </c>
    </row>
    <row r="103" spans="1:26" s="24" customFormat="1" hidden="1" outlineLevel="2" x14ac:dyDescent="0.25">
      <c r="A103" s="25"/>
      <c r="B103" s="11" t="str">
        <f>CONCATENATE("          ", "6244", " - ", "SAFETY SUPPLY EXPENSE")</f>
        <v xml:space="preserve">          6244 - SAFETY SUPPLY EXPENSE</v>
      </c>
      <c r="C103" s="11"/>
      <c r="D103" s="6"/>
      <c r="E103" s="2"/>
      <c r="F103" s="7">
        <f t="shared" si="60"/>
        <v>0</v>
      </c>
      <c r="G103" s="2"/>
      <c r="H103" s="6"/>
      <c r="I103" s="2"/>
      <c r="J103" s="7">
        <f t="shared" si="61"/>
        <v>0</v>
      </c>
      <c r="K103" s="2"/>
      <c r="L103" s="6">
        <f t="shared" si="62"/>
        <v>0</v>
      </c>
      <c r="M103" s="2"/>
      <c r="N103" s="7">
        <f t="shared" si="63"/>
        <v>0</v>
      </c>
      <c r="O103" s="11"/>
      <c r="P103" s="6"/>
      <c r="Q103" s="2"/>
      <c r="R103" s="7">
        <f t="shared" si="64"/>
        <v>0</v>
      </c>
      <c r="S103" s="2"/>
      <c r="T103" s="6">
        <v>30</v>
      </c>
      <c r="U103" s="2"/>
      <c r="V103" s="7">
        <f t="shared" si="65"/>
        <v>1.1806537137934829E-5</v>
      </c>
      <c r="W103" s="2"/>
      <c r="X103" s="6">
        <f t="shared" si="66"/>
        <v>-30</v>
      </c>
      <c r="Y103" s="2"/>
      <c r="Z103" s="7">
        <f t="shared" si="67"/>
        <v>-1</v>
      </c>
    </row>
    <row r="104" spans="1:26" s="24" customFormat="1" hidden="1" outlineLevel="2" x14ac:dyDescent="0.25">
      <c r="A104" s="25"/>
      <c r="B104" s="11" t="str">
        <f>CONCATENATE("          ", "6245", " - ", "PRINTING")</f>
        <v xml:space="preserve">          6245 - PRINTING</v>
      </c>
      <c r="C104" s="11"/>
      <c r="D104" s="6"/>
      <c r="E104" s="2"/>
      <c r="F104" s="7">
        <f t="shared" si="60"/>
        <v>0</v>
      </c>
      <c r="G104" s="2"/>
      <c r="H104" s="6"/>
      <c r="I104" s="2"/>
      <c r="J104" s="7">
        <f t="shared" si="61"/>
        <v>0</v>
      </c>
      <c r="K104" s="2"/>
      <c r="L104" s="6">
        <f t="shared" si="62"/>
        <v>0</v>
      </c>
      <c r="M104" s="2"/>
      <c r="N104" s="7">
        <f t="shared" si="63"/>
        <v>0</v>
      </c>
      <c r="O104" s="11"/>
      <c r="P104" s="6">
        <v>81.739999999999995</v>
      </c>
      <c r="Q104" s="2"/>
      <c r="R104" s="7">
        <f t="shared" si="64"/>
        <v>3.4569156282266642E-5</v>
      </c>
      <c r="S104" s="2"/>
      <c r="T104" s="6"/>
      <c r="U104" s="2"/>
      <c r="V104" s="7">
        <f t="shared" si="65"/>
        <v>0</v>
      </c>
      <c r="W104" s="2"/>
      <c r="X104" s="6">
        <f t="shared" si="66"/>
        <v>81.739999999999995</v>
      </c>
      <c r="Y104" s="2"/>
      <c r="Z104" s="7">
        <f t="shared" si="67"/>
        <v>0</v>
      </c>
    </row>
    <row r="105" spans="1:26" s="24" customFormat="1" hidden="1" outlineLevel="2" x14ac:dyDescent="0.25">
      <c r="A105" s="25"/>
      <c r="B105" s="11" t="str">
        <f>CONCATENATE("          ", "6247", " - ", "STORE SUPPLIES")</f>
        <v xml:space="preserve">          6247 - STORE SUPPLIES</v>
      </c>
      <c r="C105" s="11"/>
      <c r="D105" s="6">
        <v>145.47999999999999</v>
      </c>
      <c r="E105" s="2"/>
      <c r="F105" s="7">
        <f t="shared" si="60"/>
        <v>8.9539615094133855E-4</v>
      </c>
      <c r="G105" s="2"/>
      <c r="H105" s="6">
        <v>3914</v>
      </c>
      <c r="I105" s="2"/>
      <c r="J105" s="7">
        <f t="shared" si="61"/>
        <v>1.0766145780325516E-2</v>
      </c>
      <c r="K105" s="2"/>
      <c r="L105" s="6">
        <f t="shared" si="62"/>
        <v>-3768.52</v>
      </c>
      <c r="M105" s="2"/>
      <c r="N105" s="7">
        <f t="shared" si="63"/>
        <v>-0.96283086356668368</v>
      </c>
      <c r="O105" s="11"/>
      <c r="P105" s="6">
        <v>35977.71</v>
      </c>
      <c r="Q105" s="2"/>
      <c r="R105" s="7">
        <f t="shared" si="64"/>
        <v>1.521555027731915E-2</v>
      </c>
      <c r="S105" s="2"/>
      <c r="T105" s="6">
        <v>27324</v>
      </c>
      <c r="U105" s="2"/>
      <c r="V105" s="7">
        <f t="shared" si="65"/>
        <v>1.0753394025231041E-2</v>
      </c>
      <c r="W105" s="2"/>
      <c r="X105" s="6">
        <f t="shared" si="66"/>
        <v>8653.7099999999991</v>
      </c>
      <c r="Y105" s="2"/>
      <c r="Z105" s="7">
        <f t="shared" si="67"/>
        <v>0.31670729029424677</v>
      </c>
    </row>
    <row r="106" spans="1:26" s="24" customFormat="1" hidden="1" outlineLevel="2" x14ac:dyDescent="0.25">
      <c r="A106" s="25"/>
      <c r="B106" s="11" t="str">
        <f>CONCATENATE("          ", "6248", " - ", "UNIFORMS")</f>
        <v xml:space="preserve">          6248 - UNIFORMS</v>
      </c>
      <c r="C106" s="11"/>
      <c r="D106" s="6">
        <v>153.11000000000001</v>
      </c>
      <c r="E106" s="2"/>
      <c r="F106" s="7">
        <f t="shared" si="60"/>
        <v>9.4235705712557305E-4</v>
      </c>
      <c r="G106" s="2"/>
      <c r="H106" s="6"/>
      <c r="I106" s="2"/>
      <c r="J106" s="7">
        <f t="shared" si="61"/>
        <v>0</v>
      </c>
      <c r="K106" s="2"/>
      <c r="L106" s="6">
        <f t="shared" si="62"/>
        <v>153.11000000000001</v>
      </c>
      <c r="M106" s="2"/>
      <c r="N106" s="7">
        <f t="shared" si="63"/>
        <v>0</v>
      </c>
      <c r="O106" s="11"/>
      <c r="P106" s="6">
        <v>153.11000000000001</v>
      </c>
      <c r="Q106" s="2"/>
      <c r="R106" s="7">
        <f t="shared" si="64"/>
        <v>6.4752673334693496E-5</v>
      </c>
      <c r="S106" s="2"/>
      <c r="T106" s="6">
        <v>600</v>
      </c>
      <c r="U106" s="2"/>
      <c r="V106" s="7">
        <f t="shared" si="65"/>
        <v>2.3613074275869657E-4</v>
      </c>
      <c r="W106" s="2"/>
      <c r="X106" s="6">
        <f t="shared" si="66"/>
        <v>-446.89</v>
      </c>
      <c r="Y106" s="2"/>
      <c r="Z106" s="7">
        <f t="shared" si="67"/>
        <v>-0.74481666666666668</v>
      </c>
    </row>
    <row r="107" spans="1:26" s="27" customFormat="1" outlineLevel="1" collapsed="1" x14ac:dyDescent="0.25">
      <c r="A107" s="26"/>
      <c r="B107" s="13" t="str">
        <f>CONCATENATE("     ","Telephone/Data Lines                              ")</f>
        <v xml:space="preserve">     Telephone/Data Lines                              </v>
      </c>
      <c r="C107" s="13"/>
      <c r="D107" s="1">
        <f>SUM(OSRRefD22_20x_0)</f>
        <v>563.37</v>
      </c>
      <c r="E107" s="1"/>
      <c r="F107" s="5">
        <f t="shared" ref="F107:F114" si="68">IF(D$12=0,0,D107/D$12)</f>
        <v>3.467413593317445E-3</v>
      </c>
      <c r="G107" s="1"/>
      <c r="H107" s="1">
        <f>SUM(OSRRefH22_20x_0)</f>
        <v>340</v>
      </c>
      <c r="I107" s="1"/>
      <c r="J107" s="5">
        <f t="shared" ref="J107:J114" si="69">IF(H$12=0,0,H107/H$12)</f>
        <v>9.352298327313937E-4</v>
      </c>
      <c r="K107" s="1"/>
      <c r="L107" s="1">
        <f t="shared" ref="L107:L114" si="70">+D107-H107</f>
        <v>223.37</v>
      </c>
      <c r="M107" s="1"/>
      <c r="N107" s="5">
        <f t="shared" ref="N107:N114" si="71">IF(H107=0,0,L107/H107)</f>
        <v>0.65697058823529408</v>
      </c>
      <c r="O107" s="13"/>
      <c r="P107" s="1">
        <f>SUM(OSRRefP22_20x_0)</f>
        <v>3496.3</v>
      </c>
      <c r="Q107" s="1"/>
      <c r="R107" s="5">
        <f t="shared" ref="R107:R114" si="72">IF(P$12=0,0,P107/P$12)</f>
        <v>1.4786413152641162E-3</v>
      </c>
      <c r="S107" s="1"/>
      <c r="T107" s="1">
        <f>SUM(OSRRefT22_20x_0)</f>
        <v>3060</v>
      </c>
      <c r="U107" s="1"/>
      <c r="V107" s="5">
        <f t="shared" ref="V107:V114" si="73">IF(T$12=0,0,T107/T$12)</f>
        <v>1.2042667880693525E-3</v>
      </c>
      <c r="W107" s="1"/>
      <c r="X107" s="1">
        <f t="shared" ref="X107:X114" si="74">+P107-T107</f>
        <v>436.30000000000018</v>
      </c>
      <c r="Y107" s="1"/>
      <c r="Z107" s="5">
        <f t="shared" ref="Z107:Z114" si="75">IF(T107=0,0,X107/T107)</f>
        <v>0.1425816993464053</v>
      </c>
    </row>
    <row r="108" spans="1:26" s="24" customFormat="1" hidden="1" outlineLevel="2" x14ac:dyDescent="0.25">
      <c r="A108" s="25"/>
      <c r="B108" s="11" t="str">
        <f>CONCATENATE("          ", "6309", " - ", "TELEPHONE")</f>
        <v xml:space="preserve">          6309 - TELEPHONE</v>
      </c>
      <c r="C108" s="11"/>
      <c r="D108" s="6">
        <v>563.37</v>
      </c>
      <c r="E108" s="2"/>
      <c r="F108" s="7">
        <f t="shared" si="68"/>
        <v>3.467413593317445E-3</v>
      </c>
      <c r="G108" s="2"/>
      <c r="H108" s="6">
        <v>340</v>
      </c>
      <c r="I108" s="2"/>
      <c r="J108" s="7">
        <f t="shared" si="69"/>
        <v>9.352298327313937E-4</v>
      </c>
      <c r="K108" s="2"/>
      <c r="L108" s="6">
        <f t="shared" si="70"/>
        <v>223.37</v>
      </c>
      <c r="M108" s="2"/>
      <c r="N108" s="7">
        <f t="shared" si="71"/>
        <v>0.65697058823529408</v>
      </c>
      <c r="O108" s="11"/>
      <c r="P108" s="6">
        <v>3496.3</v>
      </c>
      <c r="Q108" s="2"/>
      <c r="R108" s="7">
        <f t="shared" si="72"/>
        <v>1.4786413152641162E-3</v>
      </c>
      <c r="S108" s="2"/>
      <c r="T108" s="6">
        <v>3060</v>
      </c>
      <c r="U108" s="2"/>
      <c r="V108" s="7">
        <f t="shared" si="73"/>
        <v>1.2042667880693525E-3</v>
      </c>
      <c r="W108" s="2"/>
      <c r="X108" s="6">
        <f t="shared" si="74"/>
        <v>436.30000000000018</v>
      </c>
      <c r="Y108" s="2"/>
      <c r="Z108" s="7">
        <f t="shared" si="75"/>
        <v>0.1425816993464053</v>
      </c>
    </row>
    <row r="109" spans="1:26" s="27" customFormat="1" outlineLevel="1" collapsed="1" x14ac:dyDescent="0.25">
      <c r="A109" s="26"/>
      <c r="B109" s="13" t="str">
        <f>CONCATENATE("     ","Training                                          ")</f>
        <v xml:space="preserve">     Training                                          </v>
      </c>
      <c r="C109" s="13"/>
      <c r="D109" s="1">
        <f>SUM(OSRRefD22_21x_0)</f>
        <v>0</v>
      </c>
      <c r="E109" s="1"/>
      <c r="F109" s="5">
        <f t="shared" si="68"/>
        <v>0</v>
      </c>
      <c r="G109" s="1"/>
      <c r="H109" s="1">
        <f>SUM(OSRRefH22_21x_0)</f>
        <v>0</v>
      </c>
      <c r="I109" s="1"/>
      <c r="J109" s="5">
        <f t="shared" si="69"/>
        <v>0</v>
      </c>
      <c r="K109" s="1"/>
      <c r="L109" s="1">
        <f t="shared" si="70"/>
        <v>0</v>
      </c>
      <c r="M109" s="1"/>
      <c r="N109" s="5">
        <f t="shared" si="71"/>
        <v>0</v>
      </c>
      <c r="O109" s="13"/>
      <c r="P109" s="1">
        <f>SUM(OSRRefP22_21x_0)</f>
        <v>110</v>
      </c>
      <c r="Q109" s="1"/>
      <c r="R109" s="5">
        <f t="shared" si="72"/>
        <v>4.6520763286632381E-5</v>
      </c>
      <c r="S109" s="1"/>
      <c r="T109" s="1">
        <f>SUM(OSRRefT22_21x_0)</f>
        <v>2200</v>
      </c>
      <c r="U109" s="1"/>
      <c r="V109" s="5">
        <f t="shared" si="73"/>
        <v>8.6581272344855408E-4</v>
      </c>
      <c r="W109" s="1"/>
      <c r="X109" s="1">
        <f t="shared" si="74"/>
        <v>-2090</v>
      </c>
      <c r="Y109" s="1"/>
      <c r="Z109" s="5">
        <f t="shared" si="75"/>
        <v>-0.95</v>
      </c>
    </row>
    <row r="110" spans="1:26" s="24" customFormat="1" hidden="1" outlineLevel="2" x14ac:dyDescent="0.25">
      <c r="A110" s="25"/>
      <c r="B110" s="11" t="str">
        <f>CONCATENATE("          ", "6376", " - ", "TRAINING")</f>
        <v xml:space="preserve">          6376 - TRAINING</v>
      </c>
      <c r="C110" s="11"/>
      <c r="D110" s="6"/>
      <c r="E110" s="2"/>
      <c r="F110" s="7">
        <f t="shared" si="68"/>
        <v>0</v>
      </c>
      <c r="G110" s="2"/>
      <c r="H110" s="6"/>
      <c r="I110" s="2"/>
      <c r="J110" s="7">
        <f t="shared" si="69"/>
        <v>0</v>
      </c>
      <c r="K110" s="2"/>
      <c r="L110" s="6">
        <f t="shared" si="70"/>
        <v>0</v>
      </c>
      <c r="M110" s="2"/>
      <c r="N110" s="7">
        <f t="shared" si="71"/>
        <v>0</v>
      </c>
      <c r="O110" s="11"/>
      <c r="P110" s="6">
        <v>110</v>
      </c>
      <c r="Q110" s="2"/>
      <c r="R110" s="7">
        <f t="shared" si="72"/>
        <v>4.6520763286632381E-5</v>
      </c>
      <c r="S110" s="2"/>
      <c r="T110" s="6">
        <v>2200</v>
      </c>
      <c r="U110" s="2"/>
      <c r="V110" s="7">
        <f t="shared" si="73"/>
        <v>8.6581272344855408E-4</v>
      </c>
      <c r="W110" s="2"/>
      <c r="X110" s="6">
        <f t="shared" si="74"/>
        <v>-2090</v>
      </c>
      <c r="Y110" s="2"/>
      <c r="Z110" s="7">
        <f t="shared" si="75"/>
        <v>-0.95</v>
      </c>
    </row>
    <row r="111" spans="1:26" s="27" customFormat="1" outlineLevel="1" collapsed="1" x14ac:dyDescent="0.25">
      <c r="A111" s="26"/>
      <c r="B111" s="13" t="str">
        <f>CONCATENATE("     ","Travel                                            ")</f>
        <v xml:space="preserve">     Travel                                            </v>
      </c>
      <c r="C111" s="13"/>
      <c r="D111" s="1">
        <f>SUM(OSRRefD22_22x_0)</f>
        <v>0</v>
      </c>
      <c r="E111" s="1"/>
      <c r="F111" s="5">
        <f t="shared" si="68"/>
        <v>0</v>
      </c>
      <c r="G111" s="1"/>
      <c r="H111" s="1">
        <f>SUM(OSRRefH22_22x_0)</f>
        <v>0</v>
      </c>
      <c r="I111" s="1"/>
      <c r="J111" s="5">
        <f t="shared" si="69"/>
        <v>0</v>
      </c>
      <c r="K111" s="1"/>
      <c r="L111" s="1">
        <f t="shared" si="70"/>
        <v>0</v>
      </c>
      <c r="M111" s="1"/>
      <c r="N111" s="5">
        <f t="shared" si="71"/>
        <v>0</v>
      </c>
      <c r="O111" s="13"/>
      <c r="P111" s="1">
        <f>SUM(OSRRefP22_22x_0)</f>
        <v>0</v>
      </c>
      <c r="Q111" s="1"/>
      <c r="R111" s="5">
        <f t="shared" si="72"/>
        <v>0</v>
      </c>
      <c r="S111" s="1"/>
      <c r="T111" s="1">
        <f>SUM(OSRRefT22_22x_0)</f>
        <v>1000</v>
      </c>
      <c r="U111" s="1"/>
      <c r="V111" s="5">
        <f t="shared" si="73"/>
        <v>3.9355123793116095E-4</v>
      </c>
      <c r="W111" s="1"/>
      <c r="X111" s="1">
        <f t="shared" si="74"/>
        <v>-1000</v>
      </c>
      <c r="Y111" s="1"/>
      <c r="Z111" s="5">
        <f t="shared" si="75"/>
        <v>-1</v>
      </c>
    </row>
    <row r="112" spans="1:26" s="24" customFormat="1" hidden="1" outlineLevel="2" x14ac:dyDescent="0.25">
      <c r="A112" s="25"/>
      <c r="B112" s="11" t="str">
        <f>CONCATENATE("          ", "6292", " - ", "TRAVEL/CONFERENCE")</f>
        <v xml:space="preserve">          6292 - TRAVEL/CONFERENCE</v>
      </c>
      <c r="C112" s="11"/>
      <c r="D112" s="6"/>
      <c r="E112" s="2"/>
      <c r="F112" s="7">
        <f t="shared" si="68"/>
        <v>0</v>
      </c>
      <c r="G112" s="2"/>
      <c r="H112" s="6"/>
      <c r="I112" s="2"/>
      <c r="J112" s="7">
        <f t="shared" si="69"/>
        <v>0</v>
      </c>
      <c r="K112" s="2"/>
      <c r="L112" s="6">
        <f t="shared" si="70"/>
        <v>0</v>
      </c>
      <c r="M112" s="2"/>
      <c r="N112" s="7">
        <f t="shared" si="71"/>
        <v>0</v>
      </c>
      <c r="O112" s="11"/>
      <c r="P112" s="6"/>
      <c r="Q112" s="2"/>
      <c r="R112" s="7">
        <f t="shared" si="72"/>
        <v>0</v>
      </c>
      <c r="S112" s="2"/>
      <c r="T112" s="6">
        <v>1000</v>
      </c>
      <c r="U112" s="2"/>
      <c r="V112" s="7">
        <f t="shared" si="73"/>
        <v>3.9355123793116095E-4</v>
      </c>
      <c r="W112" s="2"/>
      <c r="X112" s="6">
        <f t="shared" si="74"/>
        <v>-1000</v>
      </c>
      <c r="Y112" s="2"/>
      <c r="Z112" s="7">
        <f t="shared" si="75"/>
        <v>-1</v>
      </c>
    </row>
    <row r="113" spans="1:26" s="27" customFormat="1" outlineLevel="1" collapsed="1" x14ac:dyDescent="0.25">
      <c r="A113" s="26"/>
      <c r="B113" s="13" t="str">
        <f>CONCATENATE("     ","Utilities                                         ")</f>
        <v xml:space="preserve">     Utilities                                         </v>
      </c>
      <c r="C113" s="13"/>
      <c r="D113" s="1">
        <f>SUM(OSRRefD22_23x_0)</f>
        <v>1122</v>
      </c>
      <c r="E113" s="1"/>
      <c r="F113" s="5">
        <f t="shared" si="68"/>
        <v>6.9056535699490093E-3</v>
      </c>
      <c r="G113" s="1"/>
      <c r="H113" s="1">
        <f>SUM(OSRRefH22_23x_0)</f>
        <v>1136</v>
      </c>
      <c r="I113" s="1"/>
      <c r="J113" s="5">
        <f t="shared" si="69"/>
        <v>3.124767911714304E-3</v>
      </c>
      <c r="K113" s="1"/>
      <c r="L113" s="1">
        <f t="shared" si="70"/>
        <v>-14</v>
      </c>
      <c r="M113" s="1"/>
      <c r="N113" s="5">
        <f t="shared" si="71"/>
        <v>-1.232394366197183E-2</v>
      </c>
      <c r="O113" s="13"/>
      <c r="P113" s="1">
        <f>SUM(OSRRefP22_23x_0)</f>
        <v>8803.1200000000008</v>
      </c>
      <c r="Q113" s="1"/>
      <c r="R113" s="5">
        <f t="shared" si="72"/>
        <v>3.7229805609438112E-3</v>
      </c>
      <c r="S113" s="1"/>
      <c r="T113" s="1">
        <f>SUM(OSRRefT22_23x_0)</f>
        <v>10164</v>
      </c>
      <c r="U113" s="1"/>
      <c r="V113" s="5">
        <f t="shared" si="73"/>
        <v>4.0000547823323199E-3</v>
      </c>
      <c r="W113" s="1"/>
      <c r="X113" s="1">
        <f t="shared" si="74"/>
        <v>-1360.8799999999992</v>
      </c>
      <c r="Y113" s="1"/>
      <c r="Z113" s="5">
        <f t="shared" si="75"/>
        <v>-0.13389216843762292</v>
      </c>
    </row>
    <row r="114" spans="1:26" s="24" customFormat="1" hidden="1" outlineLevel="2" x14ac:dyDescent="0.25">
      <c r="A114" s="25"/>
      <c r="B114" s="11" t="str">
        <f>CONCATENATE("          ", "6274", " - ", "UTILITIES")</f>
        <v xml:space="preserve">          6274 - UTILITIES</v>
      </c>
      <c r="C114" s="11"/>
      <c r="D114" s="6">
        <v>1122</v>
      </c>
      <c r="E114" s="2"/>
      <c r="F114" s="7">
        <f t="shared" si="68"/>
        <v>6.9056535699490093E-3</v>
      </c>
      <c r="G114" s="2"/>
      <c r="H114" s="6">
        <v>1136</v>
      </c>
      <c r="I114" s="2"/>
      <c r="J114" s="7">
        <f t="shared" si="69"/>
        <v>3.124767911714304E-3</v>
      </c>
      <c r="K114" s="2"/>
      <c r="L114" s="6">
        <f t="shared" si="70"/>
        <v>-14</v>
      </c>
      <c r="M114" s="2"/>
      <c r="N114" s="7">
        <f t="shared" si="71"/>
        <v>-1.232394366197183E-2</v>
      </c>
      <c r="O114" s="11"/>
      <c r="P114" s="6">
        <v>8803.1200000000008</v>
      </c>
      <c r="Q114" s="2"/>
      <c r="R114" s="7">
        <f t="shared" si="72"/>
        <v>3.7229805609438112E-3</v>
      </c>
      <c r="S114" s="2"/>
      <c r="T114" s="6">
        <v>10164</v>
      </c>
      <c r="U114" s="2"/>
      <c r="V114" s="7">
        <f t="shared" si="73"/>
        <v>4.0000547823323199E-3</v>
      </c>
      <c r="W114" s="2"/>
      <c r="X114" s="6">
        <f t="shared" si="74"/>
        <v>-1360.8799999999992</v>
      </c>
      <c r="Y114" s="2"/>
      <c r="Z114" s="7">
        <f t="shared" si="75"/>
        <v>-0.13389216843762292</v>
      </c>
    </row>
    <row r="115" spans="1:26" s="56" customFormat="1" x14ac:dyDescent="0.25">
      <c r="A115" s="36"/>
      <c r="B115" s="36"/>
      <c r="C115" s="36"/>
      <c r="D115" s="1"/>
      <c r="E115" s="1"/>
      <c r="F115" s="5"/>
      <c r="G115" s="1"/>
      <c r="H115" s="1"/>
      <c r="I115" s="1"/>
      <c r="J115" s="5"/>
      <c r="K115" s="1"/>
      <c r="L115" s="1"/>
      <c r="M115" s="1"/>
      <c r="N115" s="5"/>
      <c r="O115" s="36"/>
      <c r="P115" s="1"/>
      <c r="Q115" s="1"/>
      <c r="R115" s="5"/>
      <c r="S115" s="1"/>
      <c r="T115" s="1"/>
      <c r="U115" s="1"/>
      <c r="V115" s="5"/>
      <c r="W115" s="1"/>
      <c r="X115" s="1"/>
      <c r="Y115" s="1"/>
      <c r="Z115" s="5"/>
    </row>
    <row r="116" spans="1:26" s="23" customFormat="1" x14ac:dyDescent="0.25">
      <c r="A116" s="10"/>
      <c r="B116" s="29" t="s">
        <v>0</v>
      </c>
      <c r="C116" s="10"/>
      <c r="D116" s="4">
        <f>SUM(0)</f>
        <v>0</v>
      </c>
      <c r="E116" s="4"/>
      <c r="F116" s="12">
        <f>IF(D$12=0,0,D116/D$12)</f>
        <v>0</v>
      </c>
      <c r="G116" s="4"/>
      <c r="H116" s="4">
        <f>SUM(0)</f>
        <v>0</v>
      </c>
      <c r="I116" s="4"/>
      <c r="J116" s="12">
        <f>IF(H$12=0,0,H116/H$12)</f>
        <v>0</v>
      </c>
      <c r="K116" s="4"/>
      <c r="L116" s="4">
        <f>+D116-H116</f>
        <v>0</v>
      </c>
      <c r="M116" s="4"/>
      <c r="N116" s="12">
        <f>IF(H116=0,0,L116/H116)</f>
        <v>0</v>
      </c>
      <c r="O116" s="10"/>
      <c r="P116" s="4">
        <f>SUM(0)</f>
        <v>0</v>
      </c>
      <c r="Q116" s="4"/>
      <c r="R116" s="12">
        <f>IF(P$12=0,0,P116/P$12)</f>
        <v>0</v>
      </c>
      <c r="S116" s="4"/>
      <c r="T116" s="4">
        <f>SUM(0)</f>
        <v>0</v>
      </c>
      <c r="U116" s="4"/>
      <c r="V116" s="12">
        <f>IF(T$12=0,0,T116/T$12)</f>
        <v>0</v>
      </c>
      <c r="W116" s="4"/>
      <c r="X116" s="4">
        <f>+P116-T116</f>
        <v>0</v>
      </c>
      <c r="Y116" s="4"/>
      <c r="Z116" s="12">
        <f>IF(T116=0,0,X116/T116)</f>
        <v>0</v>
      </c>
    </row>
    <row r="117" spans="1:26" x14ac:dyDescent="0.25">
      <c r="A117" s="9"/>
      <c r="B117" s="10"/>
      <c r="C117" s="10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0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x14ac:dyDescent="0.25">
      <c r="A118" s="10"/>
      <c r="B118" s="28" t="s">
        <v>3</v>
      </c>
      <c r="C118" s="28"/>
      <c r="D118" s="20">
        <f>+D30-D32+D116</f>
        <v>-29512.500000000044</v>
      </c>
      <c r="E118" s="14"/>
      <c r="F118" s="22">
        <f>IF(D$12=0,0,D118/D$12)</f>
        <v>-0.18164269249832482</v>
      </c>
      <c r="G118" s="14"/>
      <c r="H118" s="20">
        <f>+H30-H32+H116</f>
        <v>67109.256804752309</v>
      </c>
      <c r="I118" s="14"/>
      <c r="J118" s="22">
        <f>IF(H$12=0,0,H118/H$12)</f>
        <v>0.18459582063599014</v>
      </c>
      <c r="K118" s="16"/>
      <c r="L118" s="20">
        <f>+D118-H118</f>
        <v>-96621.756804752353</v>
      </c>
      <c r="M118" s="16"/>
      <c r="N118" s="22">
        <f>IF(H118=0,0,L118/H118)</f>
        <v>-1.439767945663051</v>
      </c>
      <c r="O118" s="29"/>
      <c r="P118" s="20">
        <f>+P30-P32+P116</f>
        <v>272626.27000000037</v>
      </c>
      <c r="Q118" s="14"/>
      <c r="R118" s="22">
        <f>IF(P$12=0,0,P118/P$12)</f>
        <v>0.11529801974897766</v>
      </c>
      <c r="S118" s="14"/>
      <c r="T118" s="20">
        <f>+T30-T32+T116</f>
        <v>361295.46213579515</v>
      </c>
      <c r="U118" s="14"/>
      <c r="V118" s="22">
        <f>IF(T$12=0,0,T118/T$12)</f>
        <v>0.14218827638245307</v>
      </c>
      <c r="W118" s="16"/>
      <c r="X118" s="20">
        <f>+P118-T118</f>
        <v>-88669.192135794787</v>
      </c>
      <c r="Y118" s="16"/>
      <c r="Z118" s="22">
        <f>IF(T118=0,0,X118/T118)</f>
        <v>-0.24542016556650778</v>
      </c>
    </row>
    <row r="119" spans="1:26" x14ac:dyDescent="0.25">
      <c r="A119" s="9"/>
      <c r="B119" s="10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52"/>
      <c r="B120" s="10" t="s">
        <v>14</v>
      </c>
      <c r="C120" s="10"/>
      <c r="D120" s="4">
        <v>28932.26</v>
      </c>
      <c r="E120" s="4"/>
      <c r="F120" s="12">
        <f>IF(D$12=0,0,D120/D$12)</f>
        <v>0.17807144791059976</v>
      </c>
      <c r="G120" s="4"/>
      <c r="H120" s="4">
        <v>35179</v>
      </c>
      <c r="I120" s="4"/>
      <c r="J120" s="12">
        <f>IF(H$12=0,0,H120/H$12)</f>
        <v>9.6766030251934407E-2</v>
      </c>
      <c r="K120" s="4"/>
      <c r="L120" s="4">
        <f>+D120-H120</f>
        <v>-6246.7400000000016</v>
      </c>
      <c r="M120" s="4"/>
      <c r="N120" s="12">
        <f>IF(H120=0,0,L120/H120)</f>
        <v>-0.1775701412774667</v>
      </c>
      <c r="O120" s="10"/>
      <c r="P120" s="4">
        <v>253365.72</v>
      </c>
      <c r="Q120" s="4"/>
      <c r="R120" s="12">
        <f>IF(P$12=0,0,P120/P$12)</f>
        <v>0.10715242440970163</v>
      </c>
      <c r="S120" s="4"/>
      <c r="T120" s="4">
        <v>297014</v>
      </c>
      <c r="U120" s="4"/>
      <c r="V120" s="12">
        <f>IF(T$12=0,0,T120/T$12)</f>
        <v>0.11689022738288583</v>
      </c>
      <c r="W120" s="4"/>
      <c r="X120" s="4">
        <f>+P120-T120</f>
        <v>-43648.28</v>
      </c>
      <c r="Y120" s="4"/>
      <c r="Z120" s="12">
        <f>IF(T120=0,0,X120/T120)</f>
        <v>-0.14695697845892786</v>
      </c>
    </row>
    <row r="121" spans="1:26" x14ac:dyDescent="0.25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.75" thickBot="1" x14ac:dyDescent="0.3">
      <c r="A122" s="10"/>
      <c r="B122" s="28" t="s">
        <v>4</v>
      </c>
      <c r="C122" s="28"/>
      <c r="D122" s="31">
        <f>+D118-D120</f>
        <v>-58444.760000000038</v>
      </c>
      <c r="E122" s="14"/>
      <c r="F122" s="34">
        <f>IF(D$12=0,0,D122/D$12)</f>
        <v>-0.35971414040892452</v>
      </c>
      <c r="G122" s="14"/>
      <c r="H122" s="31">
        <f>+H118-H120</f>
        <v>31930.256804752309</v>
      </c>
      <c r="I122" s="14"/>
      <c r="J122" s="34">
        <f>IF(H$12=0,0,H122/H$12)</f>
        <v>8.7829790384055736E-2</v>
      </c>
      <c r="K122" s="16"/>
      <c r="L122" s="31">
        <f>D122-H122</f>
        <v>-90375.016804752348</v>
      </c>
      <c r="M122" s="16"/>
      <c r="N122" s="34">
        <f>IF(H122=0,0,L122/H122)</f>
        <v>-2.8303880346900772</v>
      </c>
      <c r="O122" s="29"/>
      <c r="P122" s="31">
        <f>+P118-P120</f>
        <v>19260.550000000367</v>
      </c>
      <c r="Q122" s="14"/>
      <c r="R122" s="34">
        <f>IF(P$12=0,0,P122/P$12)</f>
        <v>8.1455953392760398E-3</v>
      </c>
      <c r="S122" s="14"/>
      <c r="T122" s="31">
        <f>+T118-T120</f>
        <v>64281.462135795155</v>
      </c>
      <c r="U122" s="14"/>
      <c r="V122" s="34">
        <f>IF(T$12=0,0,T122/T$12)</f>
        <v>2.5298048999567231E-2</v>
      </c>
      <c r="W122" s="16"/>
      <c r="X122" s="31">
        <f>P122-T122</f>
        <v>-45020.912135794788</v>
      </c>
      <c r="Y122" s="16"/>
      <c r="Z122" s="34">
        <f>IF(T122=0,0,X122/T122)</f>
        <v>-0.700371625659163</v>
      </c>
    </row>
    <row r="123" spans="1:26" ht="15.75" thickTop="1" x14ac:dyDescent="0.25">
      <c r="A123" s="9"/>
      <c r="B123" s="9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x14ac:dyDescent="0.2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.75" thickBot="1" x14ac:dyDescent="0.3">
      <c r="A125" s="10"/>
      <c r="B125" s="28" t="s">
        <v>5</v>
      </c>
      <c r="C125" s="28"/>
      <c r="D125" s="32">
        <f>SUM(D122:D124)</f>
        <v>-58444.760000000038</v>
      </c>
      <c r="E125" s="14"/>
      <c r="F125" s="35">
        <f>IF(D$12=0,0,D125/D$12)</f>
        <v>-0.35971414040892452</v>
      </c>
      <c r="G125" s="14"/>
      <c r="H125" s="32">
        <f>SUM(H122:H124)</f>
        <v>31930.256804752309</v>
      </c>
      <c r="I125" s="14"/>
      <c r="J125" s="35">
        <f>IF(H$12=0,0,H125/H$12)</f>
        <v>8.7829790384055736E-2</v>
      </c>
      <c r="K125" s="16"/>
      <c r="L125" s="32">
        <f>+D125-H125</f>
        <v>-90375.016804752348</v>
      </c>
      <c r="M125" s="16"/>
      <c r="N125" s="35">
        <f>IF(H125=0,0,L125/H125)</f>
        <v>-2.8303880346900772</v>
      </c>
      <c r="O125" s="29"/>
      <c r="P125" s="32">
        <f>SUM(P122:P124)</f>
        <v>19260.550000000367</v>
      </c>
      <c r="Q125" s="14"/>
      <c r="R125" s="35">
        <f>IF(P$12=0,0,P125/P$12)</f>
        <v>8.1455953392760398E-3</v>
      </c>
      <c r="S125" s="14"/>
      <c r="T125" s="32">
        <f>SUM(T122:T124)</f>
        <v>64281.462135795155</v>
      </c>
      <c r="U125" s="14"/>
      <c r="V125" s="35">
        <f>IF(T$12=0,0,T125/T$12)</f>
        <v>2.5298048999567231E-2</v>
      </c>
      <c r="W125" s="16"/>
      <c r="X125" s="32">
        <f>+P125-T125</f>
        <v>-45020.912135794788</v>
      </c>
      <c r="Y125" s="16"/>
      <c r="Z125" s="35">
        <f>IF(T125=0,0,X125/T125)</f>
        <v>-0.700371625659163</v>
      </c>
    </row>
    <row r="126" spans="1:26" ht="15.75" thickTop="1" x14ac:dyDescent="0.25">
      <c r="A126" s="9"/>
      <c r="C126" s="9"/>
      <c r="D126" s="18"/>
      <c r="E126" s="18"/>
      <c r="G126" s="18"/>
      <c r="H126" s="18"/>
      <c r="I126" s="18"/>
      <c r="J126" s="42"/>
      <c r="K126" s="18"/>
      <c r="L126" s="18"/>
      <c r="M126" s="18"/>
      <c r="P126" s="18"/>
      <c r="Q126" s="18"/>
      <c r="R126" s="42"/>
      <c r="S126" s="18"/>
      <c r="T126" s="18"/>
      <c r="U126" s="18"/>
      <c r="V126" s="42"/>
      <c r="W126" s="18"/>
      <c r="X126" s="18"/>
    </row>
    <row r="127" spans="1:26" x14ac:dyDescent="0.25">
      <c r="A127" s="9"/>
      <c r="B127" s="57">
        <v>43934.465939351852</v>
      </c>
      <c r="D127" s="18"/>
      <c r="E127" s="18"/>
      <c r="G127" s="18"/>
      <c r="H127" s="18"/>
      <c r="I127" s="18"/>
      <c r="J127" s="42"/>
      <c r="K127" s="18"/>
      <c r="L127" s="18"/>
      <c r="M127" s="18"/>
      <c r="P127" s="18"/>
      <c r="Q127" s="18"/>
      <c r="R127" s="42"/>
      <c r="S127" s="18"/>
      <c r="T127" s="18"/>
      <c r="U127" s="18"/>
      <c r="V127" s="42"/>
      <c r="W127" s="18"/>
      <c r="X127" s="18"/>
    </row>
    <row r="128" spans="1:26" x14ac:dyDescent="0.25">
      <c r="A128" s="9"/>
      <c r="B128" s="62" t="s">
        <v>314</v>
      </c>
      <c r="D128" s="18"/>
      <c r="E128" s="18"/>
      <c r="G128" s="18"/>
      <c r="H128" s="18"/>
      <c r="I128" s="18"/>
      <c r="J128" s="42"/>
      <c r="K128" s="18"/>
      <c r="L128" s="18"/>
      <c r="M128" s="18"/>
      <c r="P128" s="18"/>
      <c r="Q128" s="18"/>
      <c r="R128" s="42"/>
      <c r="S128" s="18"/>
      <c r="T128" s="18"/>
      <c r="U128" s="18"/>
      <c r="V128" s="42"/>
      <c r="W128" s="18"/>
      <c r="X128" s="18"/>
    </row>
    <row r="129" spans="1:24" x14ac:dyDescent="0.25">
      <c r="A129" s="9"/>
      <c r="B129" s="60"/>
      <c r="D129" s="18"/>
      <c r="E129" s="18"/>
      <c r="G129" s="18"/>
      <c r="H129" s="18"/>
      <c r="I129" s="18"/>
      <c r="J129" s="42"/>
      <c r="K129" s="18"/>
      <c r="L129" s="18"/>
      <c r="M129" s="18"/>
      <c r="P129" s="18"/>
      <c r="Q129" s="18"/>
      <c r="R129" s="42"/>
      <c r="S129" s="18"/>
      <c r="T129" s="18"/>
      <c r="U129" s="18"/>
      <c r="V129" s="42"/>
      <c r="W129" s="18"/>
      <c r="X129" s="18"/>
    </row>
    <row r="130" spans="1:24" x14ac:dyDescent="0.25">
      <c r="D130" s="18"/>
      <c r="E130" s="18"/>
      <c r="G130" s="18"/>
      <c r="H130" s="18"/>
      <c r="I130" s="18"/>
      <c r="J130" s="42"/>
      <c r="K130" s="18"/>
      <c r="L130" s="18"/>
      <c r="M130" s="18"/>
      <c r="P130" s="18"/>
      <c r="Q130" s="18"/>
      <c r="R130" s="42"/>
      <c r="S130" s="18"/>
      <c r="T130" s="18"/>
      <c r="U130" s="18"/>
      <c r="V130" s="42"/>
      <c r="W130" s="18"/>
      <c r="X130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","309", " - ", "Carts")</f>
        <v>Department 309 - Carts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18986.29</v>
      </c>
      <c r="E12" s="4"/>
      <c r="F12" s="12"/>
      <c r="G12" s="4"/>
      <c r="H12" s="4">
        <f>SUM(OSRRefH13x_0)</f>
        <v>45281</v>
      </c>
      <c r="I12" s="4"/>
      <c r="J12" s="12"/>
      <c r="K12" s="4"/>
      <c r="L12" s="4">
        <f t="shared" ref="L12:L15" si="0">+D12-H12</f>
        <v>-26294.71</v>
      </c>
      <c r="M12" s="4"/>
      <c r="N12" s="12">
        <f t="shared" ref="N12:N15" si="1">IF(H12=0,0,L12/H12)</f>
        <v>-0.58070073540778688</v>
      </c>
      <c r="O12" s="10"/>
      <c r="P12" s="4">
        <f>SUM(OSRRefP13x_0)</f>
        <v>287556.77999999997</v>
      </c>
      <c r="Q12" s="4"/>
      <c r="R12" s="12"/>
      <c r="S12" s="4"/>
      <c r="T12" s="4">
        <f>SUM(OSRRefT13x_0)</f>
        <v>322102</v>
      </c>
      <c r="U12" s="4"/>
      <c r="V12" s="12"/>
      <c r="W12" s="4"/>
      <c r="X12" s="4">
        <f t="shared" ref="X12:X15" si="2">+P12-T12</f>
        <v>-34545.22000000003</v>
      </c>
      <c r="Y12" s="4"/>
      <c r="Z12" s="12">
        <f t="shared" ref="Z12:Z15" si="3">IF(T12=0,0,X12/T12)</f>
        <v>-0.10724931853884803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--3495.52</f>
        <v>3495.52</v>
      </c>
      <c r="E13" s="2"/>
      <c r="F13" s="19"/>
      <c r="G13" s="2"/>
      <c r="H13" s="2"/>
      <c r="I13" s="2"/>
      <c r="J13" s="19"/>
      <c r="K13" s="2"/>
      <c r="L13" s="2">
        <f t="shared" si="0"/>
        <v>3495.52</v>
      </c>
      <c r="M13" s="2"/>
      <c r="N13" s="19">
        <f t="shared" si="1"/>
        <v>0</v>
      </c>
      <c r="O13" s="11"/>
      <c r="P13" s="2">
        <f>--64154.32</f>
        <v>64154.32</v>
      </c>
      <c r="Q13" s="2"/>
      <c r="R13" s="19"/>
      <c r="S13" s="2"/>
      <c r="T13" s="2"/>
      <c r="U13" s="2"/>
      <c r="V13" s="19"/>
      <c r="W13" s="2"/>
      <c r="X13" s="2">
        <f t="shared" si="2"/>
        <v>64154.32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45281</v>
      </c>
      <c r="I14" s="2"/>
      <c r="J14" s="19"/>
      <c r="K14" s="2"/>
      <c r="L14" s="2">
        <f t="shared" si="0"/>
        <v>-45281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322102</v>
      </c>
      <c r="U14" s="2"/>
      <c r="V14" s="19"/>
      <c r="W14" s="2"/>
      <c r="X14" s="2">
        <f t="shared" si="2"/>
        <v>-322102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--15490.77</f>
        <v>15490.77</v>
      </c>
      <c r="E15" s="2"/>
      <c r="F15" s="19"/>
      <c r="G15" s="2"/>
      <c r="H15" s="2"/>
      <c r="I15" s="2"/>
      <c r="J15" s="19"/>
      <c r="K15" s="2"/>
      <c r="L15" s="2">
        <f t="shared" si="0"/>
        <v>15490.77</v>
      </c>
      <c r="M15" s="2"/>
      <c r="N15" s="19">
        <f t="shared" si="1"/>
        <v>0</v>
      </c>
      <c r="O15" s="11"/>
      <c r="P15" s="2">
        <f>--223402.46</f>
        <v>223402.46</v>
      </c>
      <c r="Q15" s="2"/>
      <c r="R15" s="19"/>
      <c r="S15" s="2"/>
      <c r="T15" s="2"/>
      <c r="U15" s="2"/>
      <c r="V15" s="19"/>
      <c r="W15" s="2"/>
      <c r="X15" s="2">
        <f t="shared" si="2"/>
        <v>223402.46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9398.4599999999991</v>
      </c>
      <c r="E17" s="4"/>
      <c r="F17" s="12">
        <f t="shared" ref="F17:F20" si="4">IF(D$12=0,0,D17/D$12)</f>
        <v>0.49501298041902864</v>
      </c>
      <c r="G17" s="4"/>
      <c r="H17" s="4">
        <f>SUM(OSRRefH16x_0)</f>
        <v>22414</v>
      </c>
      <c r="I17" s="4"/>
      <c r="J17" s="12">
        <f t="shared" ref="J17:J20" si="5">IF(H$12=0,0,H17/H$12)</f>
        <v>0.49499790198979704</v>
      </c>
      <c r="K17" s="4"/>
      <c r="L17" s="4">
        <f t="shared" ref="L17:L20" si="6">+D17-H17</f>
        <v>-13015.54</v>
      </c>
      <c r="M17" s="4"/>
      <c r="N17" s="12">
        <f t="shared" ref="N17:N20" si="7">IF(H17=0,0,L17/H17)</f>
        <v>-0.58068796288034263</v>
      </c>
      <c r="O17" s="10"/>
      <c r="P17" s="4">
        <f>SUM(OSRRefP16x_0)</f>
        <v>135226.29999999999</v>
      </c>
      <c r="Q17" s="4"/>
      <c r="R17" s="12">
        <f t="shared" ref="R17:R20" si="8">IF(P$12=0,0,P17/P$12)</f>
        <v>0.47025947362465248</v>
      </c>
      <c r="S17" s="4"/>
      <c r="T17" s="4">
        <f>SUM(OSRRefT16x_0)</f>
        <v>159439</v>
      </c>
      <c r="U17" s="4"/>
      <c r="V17" s="12">
        <f t="shared" ref="V17:V20" si="9">IF(T$12=0,0,T17/T$12)</f>
        <v>0.4949953741361432</v>
      </c>
      <c r="W17" s="4"/>
      <c r="X17" s="4">
        <f t="shared" ref="X17:X20" si="10">+P17-T17</f>
        <v>-24212.700000000012</v>
      </c>
      <c r="Y17" s="4"/>
      <c r="Z17" s="12">
        <f t="shared" ref="Z17:Z20" si="11">IF(T17=0,0,X17/T17)</f>
        <v>-0.15186184057852853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22414</v>
      </c>
      <c r="I18" s="2"/>
      <c r="J18" s="19">
        <f t="shared" si="5"/>
        <v>0.49499790198979704</v>
      </c>
      <c r="K18" s="2"/>
      <c r="L18" s="2">
        <f t="shared" si="6"/>
        <v>-22414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159439</v>
      </c>
      <c r="U18" s="2"/>
      <c r="V18" s="19">
        <f t="shared" si="9"/>
        <v>0.4949953741361432</v>
      </c>
      <c r="W18" s="2"/>
      <c r="X18" s="2">
        <f t="shared" si="10"/>
        <v>-159439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4816.46</v>
      </c>
      <c r="E19" s="2"/>
      <c r="F19" s="19">
        <f t="shared" si="4"/>
        <v>0.25368094556651138</v>
      </c>
      <c r="G19" s="2"/>
      <c r="H19" s="2"/>
      <c r="I19" s="2"/>
      <c r="J19" s="19">
        <f t="shared" si="5"/>
        <v>0</v>
      </c>
      <c r="K19" s="2"/>
      <c r="L19" s="2">
        <f t="shared" si="6"/>
        <v>4816.46</v>
      </c>
      <c r="M19" s="2"/>
      <c r="N19" s="19">
        <f t="shared" si="7"/>
        <v>0</v>
      </c>
      <c r="O19" s="11"/>
      <c r="P19" s="2">
        <v>139300.97</v>
      </c>
      <c r="Q19" s="2"/>
      <c r="R19" s="19">
        <f t="shared" si="8"/>
        <v>0.48442944033522706</v>
      </c>
      <c r="S19" s="2"/>
      <c r="T19" s="2"/>
      <c r="U19" s="2"/>
      <c r="V19" s="19">
        <f t="shared" si="9"/>
        <v>0</v>
      </c>
      <c r="W19" s="2"/>
      <c r="X19" s="2">
        <f t="shared" si="10"/>
        <v>139300.97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4582</v>
      </c>
      <c r="E20" s="2"/>
      <c r="F20" s="19">
        <f t="shared" si="4"/>
        <v>0.24133203485251725</v>
      </c>
      <c r="G20" s="2"/>
      <c r="H20" s="2"/>
      <c r="I20" s="2"/>
      <c r="J20" s="19">
        <f t="shared" si="5"/>
        <v>0</v>
      </c>
      <c r="K20" s="2"/>
      <c r="L20" s="2">
        <f t="shared" si="6"/>
        <v>4582</v>
      </c>
      <c r="M20" s="2"/>
      <c r="N20" s="19">
        <f t="shared" si="7"/>
        <v>0</v>
      </c>
      <c r="O20" s="11"/>
      <c r="P20" s="2">
        <v>-4074.67</v>
      </c>
      <c r="Q20" s="2"/>
      <c r="R20" s="19">
        <f t="shared" si="8"/>
        <v>-1.4169966710574518E-2</v>
      </c>
      <c r="S20" s="2"/>
      <c r="T20" s="2"/>
      <c r="U20" s="2"/>
      <c r="V20" s="19">
        <f t="shared" si="9"/>
        <v>0</v>
      </c>
      <c r="W20" s="2"/>
      <c r="X20" s="2">
        <f t="shared" si="10"/>
        <v>-4074.67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0">
        <f>D12-D17</f>
        <v>9587.8300000000017</v>
      </c>
      <c r="E22" s="14"/>
      <c r="F22" s="22">
        <f>IF(D$12=0,0,D22/D$12)</f>
        <v>0.50498701958097136</v>
      </c>
      <c r="G22" s="14"/>
      <c r="H22" s="20">
        <f>H12-H17</f>
        <v>22867</v>
      </c>
      <c r="I22" s="14"/>
      <c r="J22" s="22">
        <f>IF(H$12=0,0,H22/H$12)</f>
        <v>0.5050020980102029</v>
      </c>
      <c r="K22" s="16"/>
      <c r="L22" s="20">
        <f>+D22-H22</f>
        <v>-13279.169999999998</v>
      </c>
      <c r="M22" s="16"/>
      <c r="N22" s="22">
        <f>IF(H22=0,0,L22/H22)</f>
        <v>-0.58071325490882053</v>
      </c>
      <c r="O22" s="29"/>
      <c r="P22" s="20">
        <f>P12-P17</f>
        <v>152330.47999999998</v>
      </c>
      <c r="Q22" s="14"/>
      <c r="R22" s="22">
        <f>IF(P$12=0,0,P22/P$12)</f>
        <v>0.52974052637534752</v>
      </c>
      <c r="S22" s="14"/>
      <c r="T22" s="20">
        <f>T12-T17</f>
        <v>162663</v>
      </c>
      <c r="U22" s="14"/>
      <c r="V22" s="22">
        <f>IF(T$12=0,0,T22/T$12)</f>
        <v>0.50500462586385675</v>
      </c>
      <c r="W22" s="16"/>
      <c r="X22" s="20">
        <f>+P22-T22</f>
        <v>-10332.520000000019</v>
      </c>
      <c r="Y22" s="16"/>
      <c r="Z22" s="22">
        <f>IF(T22=0,0,X22/T22)</f>
        <v>-6.3521021990249893E-2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1">
        <f>SUM(OSRRefD22x_0)</f>
        <v>12513.34</v>
      </c>
      <c r="E24" s="21"/>
      <c r="F24" s="30">
        <f t="shared" ref="F24:F34" si="12">IF(D$12=0,0,D24/D$12)</f>
        <v>0.65907241488463519</v>
      </c>
      <c r="G24" s="21"/>
      <c r="H24" s="21">
        <f>SUM(OSRRefH22x_0)</f>
        <v>16216.529458064619</v>
      </c>
      <c r="I24" s="21"/>
      <c r="J24" s="30">
        <f t="shared" ref="J24:J34" si="13">IF(H$12=0,0,H24/H$12)</f>
        <v>0.35813099220566286</v>
      </c>
      <c r="K24" s="4"/>
      <c r="L24" s="21">
        <f t="shared" ref="L24:L34" si="14">+D24-H24</f>
        <v>-3703.1894580646185</v>
      </c>
      <c r="M24" s="4"/>
      <c r="N24" s="30">
        <f t="shared" ref="N24:N34" si="15">IF(H24=0,0,L24/H24)</f>
        <v>-0.22835893880012598</v>
      </c>
      <c r="O24" s="10"/>
      <c r="P24" s="21">
        <f>SUM(OSRRefP22x_0)</f>
        <v>128433.82000000002</v>
      </c>
      <c r="Q24" s="21"/>
      <c r="R24" s="30">
        <f t="shared" ref="R24:R34" si="16">IF(P$12=0,0,P24/P$12)</f>
        <v>0.44663812134772141</v>
      </c>
      <c r="S24" s="21"/>
      <c r="T24" s="21">
        <f>SUM(OSRRefT22x_0)</f>
        <v>119376.04478571002</v>
      </c>
      <c r="U24" s="21"/>
      <c r="V24" s="30">
        <f t="shared" ref="V24:V34" si="17">IF(T$12=0,0,T24/T$12)</f>
        <v>0.37061565834956017</v>
      </c>
      <c r="W24" s="4"/>
      <c r="X24" s="21">
        <f t="shared" ref="X24:X34" si="18">+P24-T24</f>
        <v>9057.775214289999</v>
      </c>
      <c r="Y24" s="4"/>
      <c r="Z24" s="30">
        <f t="shared" ref="Z24:Z34" si="19">IF(T24=0,0,X24/T24)</f>
        <v>7.5875986933136061E-2</v>
      </c>
    </row>
    <row r="25" spans="1:26" s="27" customFormat="1" outlineLevel="1" collapsed="1" x14ac:dyDescent="0.25">
      <c r="A25" s="26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813.13999999999987</v>
      </c>
      <c r="E25" s="1"/>
      <c r="F25" s="5">
        <f t="shared" si="12"/>
        <v>4.2827745704927075E-2</v>
      </c>
      <c r="G25" s="1"/>
      <c r="H25" s="1">
        <f>SUM(OSRRefH22_0x_0)</f>
        <v>1631.5006426799996</v>
      </c>
      <c r="I25" s="1"/>
      <c r="J25" s="5">
        <f t="shared" si="13"/>
        <v>3.6030578889158803E-2</v>
      </c>
      <c r="K25" s="1"/>
      <c r="L25" s="1">
        <f t="shared" si="14"/>
        <v>-818.36064267999973</v>
      </c>
      <c r="M25" s="1"/>
      <c r="N25" s="5">
        <f t="shared" si="15"/>
        <v>-0.50159995115644707</v>
      </c>
      <c r="O25" s="13"/>
      <c r="P25" s="1">
        <f>SUM(OSRRefP22_0x_0)</f>
        <v>12949.68</v>
      </c>
      <c r="Q25" s="1"/>
      <c r="R25" s="5">
        <f t="shared" si="16"/>
        <v>4.5033471302606744E-2</v>
      </c>
      <c r="S25" s="1"/>
      <c r="T25" s="1">
        <f>SUM(OSRRefT22_0x_0)</f>
        <v>13976.106135709997</v>
      </c>
      <c r="U25" s="1"/>
      <c r="V25" s="5">
        <f t="shared" si="17"/>
        <v>4.3390311565001137E-2</v>
      </c>
      <c r="W25" s="1"/>
      <c r="X25" s="1">
        <f t="shared" si="18"/>
        <v>-1026.4261357099967</v>
      </c>
      <c r="Y25" s="1"/>
      <c r="Z25" s="5">
        <f t="shared" si="19"/>
        <v>-7.3441495488317826E-2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6">
        <v>590.80999999999995</v>
      </c>
      <c r="E26" s="2"/>
      <c r="F26" s="7">
        <f t="shared" si="12"/>
        <v>3.1117717047406308E-2</v>
      </c>
      <c r="G26" s="2"/>
      <c r="H26" s="6">
        <v>159.21694446461498</v>
      </c>
      <c r="I26" s="2"/>
      <c r="J26" s="7">
        <f t="shared" si="13"/>
        <v>3.5161976207375052E-3</v>
      </c>
      <c r="K26" s="2"/>
      <c r="L26" s="6">
        <f t="shared" si="14"/>
        <v>431.59305553538496</v>
      </c>
      <c r="M26" s="2"/>
      <c r="N26" s="7">
        <f t="shared" si="15"/>
        <v>2.7107231393408879</v>
      </c>
      <c r="O26" s="11"/>
      <c r="P26" s="6">
        <v>3698.79</v>
      </c>
      <c r="Q26" s="2"/>
      <c r="R26" s="7">
        <f t="shared" si="16"/>
        <v>1.2862816171470554E-2</v>
      </c>
      <c r="S26" s="2"/>
      <c r="T26" s="6">
        <v>1637.8160045099971</v>
      </c>
      <c r="U26" s="2"/>
      <c r="V26" s="7">
        <f t="shared" si="17"/>
        <v>5.0847744022390331E-3</v>
      </c>
      <c r="W26" s="2"/>
      <c r="X26" s="6">
        <f t="shared" si="18"/>
        <v>2060.9739954900028</v>
      </c>
      <c r="Y26" s="2"/>
      <c r="Z26" s="7">
        <f t="shared" si="19"/>
        <v>1.2583672340572873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6">
        <v>195.57</v>
      </c>
      <c r="E27" s="2"/>
      <c r="F27" s="7">
        <f t="shared" si="12"/>
        <v>1.0300590584047751E-2</v>
      </c>
      <c r="G27" s="2"/>
      <c r="H27" s="6">
        <v>206.663976307692</v>
      </c>
      <c r="I27" s="2"/>
      <c r="J27" s="7">
        <f t="shared" si="13"/>
        <v>4.564032956597513E-3</v>
      </c>
      <c r="K27" s="2"/>
      <c r="L27" s="6">
        <f t="shared" si="14"/>
        <v>-11.093976307692003</v>
      </c>
      <c r="M27" s="2"/>
      <c r="N27" s="7">
        <f t="shared" si="15"/>
        <v>-5.3681229336140897E-2</v>
      </c>
      <c r="O27" s="11"/>
      <c r="P27" s="6">
        <v>1342.55</v>
      </c>
      <c r="Q27" s="2"/>
      <c r="R27" s="7">
        <f t="shared" si="16"/>
        <v>4.6688170593647627E-3</v>
      </c>
      <c r="S27" s="2"/>
      <c r="T27" s="6">
        <v>1489.2530029999975</v>
      </c>
      <c r="U27" s="2"/>
      <c r="V27" s="7">
        <f t="shared" si="17"/>
        <v>4.6235447249628921E-3</v>
      </c>
      <c r="W27" s="2"/>
      <c r="X27" s="6">
        <f t="shared" si="18"/>
        <v>-146.70300299999758</v>
      </c>
      <c r="Y27" s="2"/>
      <c r="Z27" s="7">
        <f t="shared" si="19"/>
        <v>-9.8507777190628115E-2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6"/>
      <c r="E28" s="2"/>
      <c r="F28" s="7">
        <f t="shared" si="12"/>
        <v>0</v>
      </c>
      <c r="G28" s="2"/>
      <c r="H28" s="6">
        <v>690.5</v>
      </c>
      <c r="I28" s="2"/>
      <c r="J28" s="7">
        <f t="shared" si="13"/>
        <v>1.5249221527793113E-2</v>
      </c>
      <c r="K28" s="2"/>
      <c r="L28" s="6">
        <f t="shared" si="14"/>
        <v>-690.5</v>
      </c>
      <c r="M28" s="2"/>
      <c r="N28" s="7">
        <f t="shared" si="15"/>
        <v>-1</v>
      </c>
      <c r="O28" s="11"/>
      <c r="P28" s="6">
        <v>4829.7</v>
      </c>
      <c r="Q28" s="2"/>
      <c r="R28" s="7">
        <f t="shared" si="16"/>
        <v>1.6795639455971095E-2</v>
      </c>
      <c r="S28" s="2"/>
      <c r="T28" s="6">
        <v>6214.5</v>
      </c>
      <c r="U28" s="2"/>
      <c r="V28" s="7">
        <f t="shared" si="17"/>
        <v>1.9293577810755601E-2</v>
      </c>
      <c r="W28" s="2"/>
      <c r="X28" s="6">
        <f t="shared" si="18"/>
        <v>-1384.8000000000002</v>
      </c>
      <c r="Y28" s="2"/>
      <c r="Z28" s="7">
        <f t="shared" si="19"/>
        <v>-0.22283369538981418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6">
        <v>26.76</v>
      </c>
      <c r="E29" s="2"/>
      <c r="F29" s="7">
        <f t="shared" si="12"/>
        <v>1.4094380734730166E-3</v>
      </c>
      <c r="G29" s="2"/>
      <c r="H29" s="6">
        <v>28.280333599999999</v>
      </c>
      <c r="I29" s="2"/>
      <c r="J29" s="7">
        <f t="shared" si="13"/>
        <v>6.2455187827123958E-4</v>
      </c>
      <c r="K29" s="2"/>
      <c r="L29" s="6">
        <f t="shared" si="14"/>
        <v>-1.5203335999999972</v>
      </c>
      <c r="M29" s="2"/>
      <c r="N29" s="7">
        <f t="shared" si="15"/>
        <v>-5.3759394125393108E-2</v>
      </c>
      <c r="O29" s="11"/>
      <c r="P29" s="6">
        <v>196.77</v>
      </c>
      <c r="Q29" s="2"/>
      <c r="R29" s="7">
        <f t="shared" si="16"/>
        <v>6.8428224853540236E-4</v>
      </c>
      <c r="S29" s="2"/>
      <c r="T29" s="6">
        <v>203.79251619999999</v>
      </c>
      <c r="U29" s="2"/>
      <c r="V29" s="7">
        <f t="shared" si="17"/>
        <v>6.3269559394229158E-4</v>
      </c>
      <c r="W29" s="2"/>
      <c r="X29" s="6">
        <f t="shared" si="18"/>
        <v>-7.0225161999999841</v>
      </c>
      <c r="Y29" s="2"/>
      <c r="Z29" s="7">
        <f t="shared" si="19"/>
        <v>-3.4459146640635985E-2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6"/>
      <c r="E30" s="2"/>
      <c r="F30" s="7">
        <f t="shared" si="12"/>
        <v>0</v>
      </c>
      <c r="G30" s="2"/>
      <c r="H30" s="6">
        <v>178.918819076923</v>
      </c>
      <c r="I30" s="2"/>
      <c r="J30" s="7">
        <f t="shared" si="13"/>
        <v>3.9513000834107683E-3</v>
      </c>
      <c r="K30" s="2"/>
      <c r="L30" s="6">
        <f t="shared" si="14"/>
        <v>-178.918819076923</v>
      </c>
      <c r="M30" s="2"/>
      <c r="N30" s="7">
        <f t="shared" si="15"/>
        <v>-1</v>
      </c>
      <c r="O30" s="11"/>
      <c r="P30" s="6">
        <v>938.77</v>
      </c>
      <c r="Q30" s="2"/>
      <c r="R30" s="7">
        <f t="shared" si="16"/>
        <v>3.2646422038805694E-3</v>
      </c>
      <c r="S30" s="2"/>
      <c r="T30" s="6">
        <v>1686.973162</v>
      </c>
      <c r="U30" s="2"/>
      <c r="V30" s="7">
        <f t="shared" si="17"/>
        <v>5.2373880385716328E-3</v>
      </c>
      <c r="W30" s="2"/>
      <c r="X30" s="6">
        <f t="shared" si="18"/>
        <v>-748.20316200000002</v>
      </c>
      <c r="Y30" s="2"/>
      <c r="Z30" s="7">
        <f t="shared" si="19"/>
        <v>-0.44351811804342151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6"/>
      <c r="E32" s="2"/>
      <c r="F32" s="7">
        <f t="shared" si="12"/>
        <v>0</v>
      </c>
      <c r="G32" s="2"/>
      <c r="H32" s="6">
        <v>62.413541538461502</v>
      </c>
      <c r="I32" s="2"/>
      <c r="J32" s="7">
        <f t="shared" si="13"/>
        <v>1.3783604942130584E-3</v>
      </c>
      <c r="K32" s="2"/>
      <c r="L32" s="6">
        <f t="shared" si="14"/>
        <v>-62.413541538461502</v>
      </c>
      <c r="M32" s="2"/>
      <c r="N32" s="7">
        <f t="shared" si="15"/>
        <v>-1</v>
      </c>
      <c r="O32" s="11"/>
      <c r="P32" s="6">
        <v>480.48</v>
      </c>
      <c r="Q32" s="2"/>
      <c r="R32" s="7">
        <f t="shared" si="16"/>
        <v>1.670904786178229E-3</v>
      </c>
      <c r="S32" s="2"/>
      <c r="T32" s="6">
        <v>588.47900999999968</v>
      </c>
      <c r="U32" s="2"/>
      <c r="V32" s="7">
        <f t="shared" si="17"/>
        <v>1.826995827408708E-3</v>
      </c>
      <c r="W32" s="2"/>
      <c r="X32" s="6">
        <f t="shared" si="18"/>
        <v>-107.99900999999966</v>
      </c>
      <c r="Y32" s="2"/>
      <c r="Z32" s="7">
        <f t="shared" si="19"/>
        <v>-0.18352228059926848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6"/>
      <c r="E33" s="2"/>
      <c r="F33" s="7">
        <f t="shared" si="12"/>
        <v>0</v>
      </c>
      <c r="G33" s="2"/>
      <c r="H33" s="6">
        <v>305.50702769230804</v>
      </c>
      <c r="I33" s="2"/>
      <c r="J33" s="7">
        <f t="shared" si="13"/>
        <v>6.7469143281355982E-3</v>
      </c>
      <c r="K33" s="2"/>
      <c r="L33" s="6">
        <f t="shared" si="14"/>
        <v>-305.50702769230804</v>
      </c>
      <c r="M33" s="2"/>
      <c r="N33" s="7">
        <f t="shared" si="15"/>
        <v>-1</v>
      </c>
      <c r="O33" s="11"/>
      <c r="P33" s="6">
        <v>575.64</v>
      </c>
      <c r="Q33" s="2"/>
      <c r="R33" s="7">
        <f t="shared" si="16"/>
        <v>2.0018307340901511E-3</v>
      </c>
      <c r="S33" s="2"/>
      <c r="T33" s="6">
        <v>2155.2924400000029</v>
      </c>
      <c r="U33" s="2"/>
      <c r="V33" s="7">
        <f t="shared" si="17"/>
        <v>6.6913351671209834E-3</v>
      </c>
      <c r="W33" s="2"/>
      <c r="X33" s="6">
        <f t="shared" si="18"/>
        <v>-1579.652440000003</v>
      </c>
      <c r="Y33" s="2"/>
      <c r="Z33" s="7">
        <f t="shared" si="19"/>
        <v>-0.73291791437824605</v>
      </c>
    </row>
    <row r="34" spans="1:26" s="24" customFormat="1" hidden="1" outlineLevel="2" x14ac:dyDescent="0.25">
      <c r="A34" s="25"/>
      <c r="B34" s="11" t="str">
        <f>CONCATENATE("          ", "6156", " - ", "EMPLOYEE MEALS")</f>
        <v xml:space="preserve">          6156 - EMPLOYEE MEALS</v>
      </c>
      <c r="C34" s="11"/>
      <c r="D34" s="6"/>
      <c r="E34" s="2"/>
      <c r="F34" s="7">
        <f t="shared" si="12"/>
        <v>0</v>
      </c>
      <c r="G34" s="2"/>
      <c r="H34" s="6"/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>
        <v>886.98</v>
      </c>
      <c r="Q34" s="2"/>
      <c r="R34" s="7">
        <f t="shared" si="16"/>
        <v>3.0845386431159793E-3</v>
      </c>
      <c r="S34" s="2"/>
      <c r="T34" s="6"/>
      <c r="U34" s="2"/>
      <c r="V34" s="7">
        <f t="shared" si="17"/>
        <v>0</v>
      </c>
      <c r="W34" s="2"/>
      <c r="X34" s="6">
        <f t="shared" si="18"/>
        <v>886.98</v>
      </c>
      <c r="Y34" s="2"/>
      <c r="Z34" s="7">
        <f t="shared" si="19"/>
        <v>0</v>
      </c>
    </row>
    <row r="35" spans="1:26" s="27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8783.0499999999993</v>
      </c>
      <c r="E35" s="1"/>
      <c r="F35" s="5">
        <f t="shared" ref="F35:F45" si="20">IF(D$12=0,0,D35/D$12)</f>
        <v>0.46259959160004399</v>
      </c>
      <c r="G35" s="1"/>
      <c r="H35" s="1">
        <f>SUM(OSRRefH22_1x_0)</f>
        <v>10773.02881538462</v>
      </c>
      <c r="I35" s="1"/>
      <c r="J35" s="5">
        <f t="shared" ref="J35:J45" si="21">IF(H$12=0,0,H35/H$12)</f>
        <v>0.23791499338319869</v>
      </c>
      <c r="K35" s="1"/>
      <c r="L35" s="1">
        <f t="shared" ref="L35:L45" si="22">+D35-H35</f>
        <v>-1989.9788153846202</v>
      </c>
      <c r="M35" s="1"/>
      <c r="N35" s="5">
        <f t="shared" ref="N35:N45" si="23">IF(H35=0,0,L35/H35)</f>
        <v>-0.18471860137817461</v>
      </c>
      <c r="O35" s="13"/>
      <c r="P35" s="1">
        <f>SUM(OSRRefP22_1x_0)</f>
        <v>74718.25</v>
      </c>
      <c r="Q35" s="1"/>
      <c r="R35" s="5">
        <f t="shared" ref="R35:R45" si="24">IF(P$12=0,0,P35/P$12)</f>
        <v>0.25983824829308494</v>
      </c>
      <c r="S35" s="1"/>
      <c r="T35" s="1">
        <f>SUM(OSRRefT22_1x_0)</f>
        <v>77400.938650000026</v>
      </c>
      <c r="U35" s="1"/>
      <c r="V35" s="5">
        <f t="shared" ref="V35:V45" si="25">IF(T$12=0,0,T35/T$12)</f>
        <v>0.24029946616289258</v>
      </c>
      <c r="W35" s="1"/>
      <c r="X35" s="1">
        <f t="shared" ref="X35:X45" si="26">+P35-T35</f>
        <v>-2682.6886500000255</v>
      </c>
      <c r="Y35" s="1"/>
      <c r="Z35" s="5">
        <f t="shared" ref="Z35:Z45" si="27">IF(T35=0,0,X35/T35)</f>
        <v>-3.4659639751022896E-2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1976.4288153846198</v>
      </c>
      <c r="I36" s="2"/>
      <c r="J36" s="7">
        <f t="shared" si="21"/>
        <v>4.3648082316746974E-2</v>
      </c>
      <c r="K36" s="2"/>
      <c r="L36" s="6">
        <f t="shared" si="22"/>
        <v>-1976.4288153846198</v>
      </c>
      <c r="M36" s="2"/>
      <c r="N36" s="7">
        <f t="shared" si="23"/>
        <v>-1</v>
      </c>
      <c r="O36" s="11"/>
      <c r="P36" s="6"/>
      <c r="Q36" s="2"/>
      <c r="R36" s="7">
        <f t="shared" si="24"/>
        <v>0</v>
      </c>
      <c r="S36" s="2"/>
      <c r="T36" s="6">
        <v>18635.168650000029</v>
      </c>
      <c r="U36" s="2"/>
      <c r="V36" s="7">
        <f t="shared" si="25"/>
        <v>5.7854867867942542E-2</v>
      </c>
      <c r="W36" s="2"/>
      <c r="X36" s="6">
        <f t="shared" si="26"/>
        <v>-18635.168650000029</v>
      </c>
      <c r="Y36" s="2"/>
      <c r="Z36" s="7">
        <f t="shared" si="27"/>
        <v>-1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>
        <v>9840</v>
      </c>
      <c r="Q37" s="2"/>
      <c r="R37" s="7">
        <f t="shared" si="24"/>
        <v>3.4219328787865828E-2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9840</v>
      </c>
      <c r="Y37" s="2"/>
      <c r="Z37" s="7">
        <f t="shared" si="27"/>
        <v>0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6">
        <v>5895.36</v>
      </c>
      <c r="E40" s="2"/>
      <c r="F40" s="7">
        <f t="shared" si="20"/>
        <v>0.31050615997122133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5895.36</v>
      </c>
      <c r="M40" s="2"/>
      <c r="N40" s="7">
        <f t="shared" si="23"/>
        <v>0</v>
      </c>
      <c r="O40" s="11"/>
      <c r="P40" s="6">
        <v>29326.09</v>
      </c>
      <c r="Q40" s="2"/>
      <c r="R40" s="7">
        <f t="shared" si="24"/>
        <v>0.10198364997688458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29326.09</v>
      </c>
      <c r="Y40" s="2"/>
      <c r="Z40" s="7">
        <f t="shared" si="27"/>
        <v>0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6">
        <v>1827.67</v>
      </c>
      <c r="E41" s="2"/>
      <c r="F41" s="7">
        <f t="shared" si="20"/>
        <v>9.6262618974007036E-2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1827.67</v>
      </c>
      <c r="M41" s="2"/>
      <c r="N41" s="7">
        <f t="shared" si="23"/>
        <v>0</v>
      </c>
      <c r="O41" s="11"/>
      <c r="P41" s="6">
        <v>2587.42</v>
      </c>
      <c r="Q41" s="2"/>
      <c r="R41" s="7">
        <f t="shared" si="24"/>
        <v>8.9979446841768097E-3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2587.42</v>
      </c>
      <c r="Y41" s="2"/>
      <c r="Z41" s="7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6">
        <v>1060.02</v>
      </c>
      <c r="E42" s="2"/>
      <c r="F42" s="7">
        <f t="shared" si="20"/>
        <v>5.5830812654815654E-2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1060.02</v>
      </c>
      <c r="M42" s="2"/>
      <c r="N42" s="7">
        <f t="shared" si="23"/>
        <v>0</v>
      </c>
      <c r="O42" s="11"/>
      <c r="P42" s="6">
        <v>32907.740000000005</v>
      </c>
      <c r="Q42" s="2"/>
      <c r="R42" s="7">
        <f t="shared" si="24"/>
        <v>0.11443910312252074</v>
      </c>
      <c r="S42" s="2"/>
      <c r="T42" s="6">
        <v>1785</v>
      </c>
      <c r="U42" s="2"/>
      <c r="V42" s="7">
        <f t="shared" si="25"/>
        <v>5.5417228083029599E-3</v>
      </c>
      <c r="W42" s="2"/>
      <c r="X42" s="6">
        <f t="shared" si="26"/>
        <v>31122.740000000005</v>
      </c>
      <c r="Y42" s="2"/>
      <c r="Z42" s="7">
        <f t="shared" si="27"/>
        <v>17.435708683473393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0"/>
        <v>0</v>
      </c>
      <c r="G43" s="2"/>
      <c r="H43" s="6">
        <v>8796.6</v>
      </c>
      <c r="I43" s="2"/>
      <c r="J43" s="7">
        <f t="shared" si="21"/>
        <v>0.19426691106645172</v>
      </c>
      <c r="K43" s="2"/>
      <c r="L43" s="6">
        <f t="shared" si="22"/>
        <v>-8796.6</v>
      </c>
      <c r="M43" s="2"/>
      <c r="N43" s="7">
        <f t="shared" si="23"/>
        <v>-1</v>
      </c>
      <c r="O43" s="11"/>
      <c r="P43" s="6">
        <v>57</v>
      </c>
      <c r="Q43" s="2"/>
      <c r="R43" s="7">
        <f t="shared" si="24"/>
        <v>1.9822172163702767E-4</v>
      </c>
      <c r="S43" s="2"/>
      <c r="T43" s="6">
        <v>56980.77</v>
      </c>
      <c r="U43" s="2"/>
      <c r="V43" s="7">
        <f t="shared" si="25"/>
        <v>0.17690287548664707</v>
      </c>
      <c r="W43" s="2"/>
      <c r="X43" s="6">
        <f t="shared" si="26"/>
        <v>-56923.77</v>
      </c>
      <c r="Y43" s="2"/>
      <c r="Z43" s="7">
        <f t="shared" si="27"/>
        <v>-0.9989996625177231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7" customFormat="1" outlineLevel="1" collapsed="1" x14ac:dyDescent="0.25">
      <c r="A46" s="26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20.18</v>
      </c>
      <c r="E46" s="1"/>
      <c r="F46" s="5">
        <f t="shared" ref="F46:F54" si="28">IF(D$12=0,0,D46/D$12)</f>
        <v>1.0628722093679176E-3</v>
      </c>
      <c r="G46" s="1"/>
      <c r="H46" s="1">
        <f>SUM(OSRRefH22_2x_0)</f>
        <v>0</v>
      </c>
      <c r="I46" s="1"/>
      <c r="J46" s="5">
        <f t="shared" ref="J46:J54" si="29">IF(H$12=0,0,H46/H$12)</f>
        <v>0</v>
      </c>
      <c r="K46" s="1"/>
      <c r="L46" s="1">
        <f t="shared" ref="L46:L54" si="30">+D46-H46</f>
        <v>20.18</v>
      </c>
      <c r="M46" s="1"/>
      <c r="N46" s="5">
        <f t="shared" ref="N46:N54" si="31">IF(H46=0,0,L46/H46)</f>
        <v>0</v>
      </c>
      <c r="O46" s="13"/>
      <c r="P46" s="1">
        <f>SUM(OSRRefP22_2x_0)</f>
        <v>910.02</v>
      </c>
      <c r="Q46" s="1"/>
      <c r="R46" s="5">
        <f t="shared" ref="R46:R54" si="32">IF(P$12=0,0,P46/P$12)</f>
        <v>3.1646619495461037E-3</v>
      </c>
      <c r="S46" s="1"/>
      <c r="T46" s="1">
        <f>SUM(OSRRefT22_2x_0)</f>
        <v>0</v>
      </c>
      <c r="U46" s="1"/>
      <c r="V46" s="5">
        <f t="shared" ref="V46:V54" si="33">IF(T$12=0,0,T46/T$12)</f>
        <v>0</v>
      </c>
      <c r="W46" s="1"/>
      <c r="X46" s="1">
        <f t="shared" ref="X46:X54" si="34">+P46-T46</f>
        <v>910.02</v>
      </c>
      <c r="Y46" s="1"/>
      <c r="Z46" s="5">
        <f t="shared" ref="Z46:Z54" si="35">IF(T46=0,0,X46/T46)</f>
        <v>0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6">
        <v>20.18</v>
      </c>
      <c r="E47" s="2"/>
      <c r="F47" s="7">
        <f t="shared" si="28"/>
        <v>1.0628722093679176E-3</v>
      </c>
      <c r="G47" s="2"/>
      <c r="H47" s="6">
        <v>0</v>
      </c>
      <c r="I47" s="2"/>
      <c r="J47" s="7">
        <f t="shared" si="29"/>
        <v>0</v>
      </c>
      <c r="K47" s="2"/>
      <c r="L47" s="6">
        <f t="shared" si="30"/>
        <v>20.18</v>
      </c>
      <c r="M47" s="2"/>
      <c r="N47" s="7">
        <f t="shared" si="31"/>
        <v>0</v>
      </c>
      <c r="O47" s="11"/>
      <c r="P47" s="6">
        <v>910.02</v>
      </c>
      <c r="Q47" s="2"/>
      <c r="R47" s="7">
        <f t="shared" si="32"/>
        <v>3.1646619495461037E-3</v>
      </c>
      <c r="S47" s="2"/>
      <c r="T47" s="6">
        <v>0</v>
      </c>
      <c r="U47" s="2"/>
      <c r="V47" s="7">
        <f t="shared" si="33"/>
        <v>0</v>
      </c>
      <c r="W47" s="2"/>
      <c r="X47" s="6">
        <f t="shared" si="34"/>
        <v>910.02</v>
      </c>
      <c r="Y47" s="2"/>
      <c r="Z47" s="7">
        <f t="shared" si="35"/>
        <v>0</v>
      </c>
    </row>
    <row r="48" spans="1:26" s="27" customFormat="1" outlineLevel="1" collapsed="1" x14ac:dyDescent="0.25">
      <c r="A48" s="26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0.76</v>
      </c>
      <c r="E48" s="1"/>
      <c r="F48" s="5">
        <f t="shared" si="28"/>
        <v>4.0028883999981035E-5</v>
      </c>
      <c r="G48" s="1"/>
      <c r="H48" s="1">
        <f>SUM(OSRRefH22_3x_0)</f>
        <v>0</v>
      </c>
      <c r="I48" s="1"/>
      <c r="J48" s="5">
        <f t="shared" si="29"/>
        <v>0</v>
      </c>
      <c r="K48" s="1"/>
      <c r="L48" s="1">
        <f t="shared" si="30"/>
        <v>0.76</v>
      </c>
      <c r="M48" s="1"/>
      <c r="N48" s="5">
        <f t="shared" si="31"/>
        <v>0</v>
      </c>
      <c r="O48" s="13"/>
      <c r="P48" s="1">
        <f>SUM(OSRRefP22_3x_0)</f>
        <v>-18.989999999999998</v>
      </c>
      <c r="Q48" s="1"/>
      <c r="R48" s="5">
        <f t="shared" si="32"/>
        <v>-6.6039131471704477E-5</v>
      </c>
      <c r="S48" s="1"/>
      <c r="T48" s="1">
        <f>SUM(OSRRefT22_3x_0)</f>
        <v>0</v>
      </c>
      <c r="U48" s="1"/>
      <c r="V48" s="5">
        <f t="shared" si="33"/>
        <v>0</v>
      </c>
      <c r="W48" s="1"/>
      <c r="X48" s="1">
        <f t="shared" si="34"/>
        <v>-18.989999999999998</v>
      </c>
      <c r="Y48" s="1"/>
      <c r="Z48" s="5">
        <f t="shared" si="35"/>
        <v>0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6">
        <v>0.76</v>
      </c>
      <c r="E49" s="2"/>
      <c r="F49" s="7">
        <f t="shared" si="28"/>
        <v>4.0028883999981035E-5</v>
      </c>
      <c r="G49" s="2"/>
      <c r="H49" s="6">
        <v>0</v>
      </c>
      <c r="I49" s="2"/>
      <c r="J49" s="7">
        <f t="shared" si="29"/>
        <v>0</v>
      </c>
      <c r="K49" s="2"/>
      <c r="L49" s="6">
        <f t="shared" si="30"/>
        <v>0.76</v>
      </c>
      <c r="M49" s="2"/>
      <c r="N49" s="7">
        <f t="shared" si="31"/>
        <v>0</v>
      </c>
      <c r="O49" s="11"/>
      <c r="P49" s="6">
        <v>-18.989999999999998</v>
      </c>
      <c r="Q49" s="2"/>
      <c r="R49" s="7">
        <f t="shared" si="32"/>
        <v>-6.6039131471704477E-5</v>
      </c>
      <c r="S49" s="2"/>
      <c r="T49" s="6">
        <v>0</v>
      </c>
      <c r="U49" s="2"/>
      <c r="V49" s="7">
        <f t="shared" si="33"/>
        <v>0</v>
      </c>
      <c r="W49" s="2"/>
      <c r="X49" s="6">
        <f t="shared" si="34"/>
        <v>-18.989999999999998</v>
      </c>
      <c r="Y49" s="2"/>
      <c r="Z49" s="7">
        <f t="shared" si="35"/>
        <v>0</v>
      </c>
    </row>
    <row r="50" spans="1:26" s="27" customFormat="1" outlineLevel="1" collapsed="1" x14ac:dyDescent="0.25">
      <c r="A50" s="26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942.71</v>
      </c>
      <c r="E50" s="1"/>
      <c r="F50" s="5">
        <f t="shared" si="28"/>
        <v>4.9652143731081747E-2</v>
      </c>
      <c r="G50" s="1"/>
      <c r="H50" s="1">
        <f>SUM(OSRRefH22_4x_0)</f>
        <v>1435</v>
      </c>
      <c r="I50" s="1"/>
      <c r="J50" s="5">
        <f t="shared" si="29"/>
        <v>3.1690996223581631E-2</v>
      </c>
      <c r="K50" s="1"/>
      <c r="L50" s="1">
        <f t="shared" si="30"/>
        <v>-492.28999999999996</v>
      </c>
      <c r="M50" s="1"/>
      <c r="N50" s="5">
        <f t="shared" si="31"/>
        <v>-0.34305923344947731</v>
      </c>
      <c r="O50" s="13"/>
      <c r="P50" s="1">
        <f>SUM(OSRRefP22_4x_0)</f>
        <v>10541.38</v>
      </c>
      <c r="Q50" s="1"/>
      <c r="R50" s="5">
        <f t="shared" si="32"/>
        <v>3.6658429684739133E-2</v>
      </c>
      <c r="S50" s="1"/>
      <c r="T50" s="1">
        <f>SUM(OSRRefT22_4x_0)</f>
        <v>10207</v>
      </c>
      <c r="U50" s="1"/>
      <c r="V50" s="5">
        <f t="shared" si="33"/>
        <v>3.1688719722323982E-2</v>
      </c>
      <c r="W50" s="1"/>
      <c r="X50" s="1">
        <f t="shared" si="34"/>
        <v>334.3799999999992</v>
      </c>
      <c r="Y50" s="1"/>
      <c r="Z50" s="5">
        <f t="shared" si="35"/>
        <v>3.2759870676986304E-2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6">
        <v>942.71</v>
      </c>
      <c r="E51" s="2"/>
      <c r="F51" s="7">
        <f t="shared" si="28"/>
        <v>4.9652143731081747E-2</v>
      </c>
      <c r="G51" s="2"/>
      <c r="H51" s="6">
        <v>1435</v>
      </c>
      <c r="I51" s="2"/>
      <c r="J51" s="7">
        <f t="shared" si="29"/>
        <v>3.1690996223581631E-2</v>
      </c>
      <c r="K51" s="2"/>
      <c r="L51" s="6">
        <f t="shared" si="30"/>
        <v>-492.28999999999996</v>
      </c>
      <c r="M51" s="2"/>
      <c r="N51" s="7">
        <f t="shared" si="31"/>
        <v>-0.34305923344947731</v>
      </c>
      <c r="O51" s="11"/>
      <c r="P51" s="6">
        <v>10541.38</v>
      </c>
      <c r="Q51" s="2"/>
      <c r="R51" s="7">
        <f t="shared" si="32"/>
        <v>3.6658429684739133E-2</v>
      </c>
      <c r="S51" s="2"/>
      <c r="T51" s="6">
        <v>10207</v>
      </c>
      <c r="U51" s="2"/>
      <c r="V51" s="7">
        <f t="shared" si="33"/>
        <v>3.1688719722323982E-2</v>
      </c>
      <c r="W51" s="2"/>
      <c r="X51" s="6">
        <f t="shared" si="34"/>
        <v>334.3799999999992</v>
      </c>
      <c r="Y51" s="2"/>
      <c r="Z51" s="7">
        <f t="shared" si="35"/>
        <v>3.2759870676986304E-2</v>
      </c>
    </row>
    <row r="52" spans="1:26" s="27" customFormat="1" outlineLevel="1" collapsed="1" x14ac:dyDescent="0.25">
      <c r="A52" s="26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315.43</v>
      </c>
      <c r="E52" s="1"/>
      <c r="F52" s="5">
        <f t="shared" si="28"/>
        <v>1.6613566947518445E-2</v>
      </c>
      <c r="G52" s="1"/>
      <c r="H52" s="1">
        <f>SUM(OSRRefH22_5x_0)</f>
        <v>233</v>
      </c>
      <c r="I52" s="1"/>
      <c r="J52" s="5">
        <f t="shared" si="29"/>
        <v>5.1456460767209207E-3</v>
      </c>
      <c r="K52" s="1"/>
      <c r="L52" s="1">
        <f t="shared" si="30"/>
        <v>82.43</v>
      </c>
      <c r="M52" s="1"/>
      <c r="N52" s="5">
        <f t="shared" si="31"/>
        <v>0.3537768240343348</v>
      </c>
      <c r="O52" s="13"/>
      <c r="P52" s="1">
        <f>SUM(OSRRefP22_5x_0)</f>
        <v>1560.79</v>
      </c>
      <c r="Q52" s="1"/>
      <c r="R52" s="5">
        <f t="shared" si="32"/>
        <v>5.4277628230501125E-3</v>
      </c>
      <c r="S52" s="1"/>
      <c r="T52" s="1">
        <f>SUM(OSRRefT22_5x_0)</f>
        <v>1398</v>
      </c>
      <c r="U52" s="1"/>
      <c r="V52" s="5">
        <f t="shared" si="33"/>
        <v>4.3402400481834949E-3</v>
      </c>
      <c r="W52" s="1"/>
      <c r="X52" s="1">
        <f t="shared" si="34"/>
        <v>162.78999999999996</v>
      </c>
      <c r="Y52" s="1"/>
      <c r="Z52" s="5">
        <f t="shared" si="35"/>
        <v>0.11644492131616592</v>
      </c>
    </row>
    <row r="53" spans="1:26" s="24" customFormat="1" hidden="1" outlineLevel="2" x14ac:dyDescent="0.25">
      <c r="A53" s="25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315.43</v>
      </c>
      <c r="E53" s="2"/>
      <c r="F53" s="7">
        <f t="shared" si="28"/>
        <v>1.6613566947518445E-2</v>
      </c>
      <c r="G53" s="2"/>
      <c r="H53" s="6"/>
      <c r="I53" s="2"/>
      <c r="J53" s="7">
        <f t="shared" si="29"/>
        <v>0</v>
      </c>
      <c r="K53" s="2"/>
      <c r="L53" s="6">
        <f t="shared" si="30"/>
        <v>315.43</v>
      </c>
      <c r="M53" s="2"/>
      <c r="N53" s="7">
        <f t="shared" si="31"/>
        <v>0</v>
      </c>
      <c r="O53" s="11"/>
      <c r="P53" s="6">
        <v>1560.79</v>
      </c>
      <c r="Q53" s="2"/>
      <c r="R53" s="7">
        <f t="shared" si="32"/>
        <v>5.4277628230501125E-3</v>
      </c>
      <c r="S53" s="2"/>
      <c r="T53" s="6"/>
      <c r="U53" s="2"/>
      <c r="V53" s="7">
        <f t="shared" si="33"/>
        <v>0</v>
      </c>
      <c r="W53" s="2"/>
      <c r="X53" s="6">
        <f t="shared" si="34"/>
        <v>1560.79</v>
      </c>
      <c r="Y53" s="2"/>
      <c r="Z53" s="7">
        <f t="shared" si="35"/>
        <v>0</v>
      </c>
    </row>
    <row r="54" spans="1:26" s="24" customFormat="1" hidden="1" outlineLevel="2" x14ac:dyDescent="0.25">
      <c r="A54" s="25"/>
      <c r="B54" s="11" t="str">
        <f>CONCATENATE("          ", "6324", " - ", "FURNITURE + FIXT DEPRECIATION")</f>
        <v xml:space="preserve">          6324 - FURNITURE + FIXT DEPRECIATION</v>
      </c>
      <c r="C54" s="11"/>
      <c r="D54" s="6"/>
      <c r="E54" s="2"/>
      <c r="F54" s="7">
        <f t="shared" si="28"/>
        <v>0</v>
      </c>
      <c r="G54" s="2"/>
      <c r="H54" s="6">
        <v>233</v>
      </c>
      <c r="I54" s="2"/>
      <c r="J54" s="7">
        <f t="shared" si="29"/>
        <v>5.1456460767209207E-3</v>
      </c>
      <c r="K54" s="2"/>
      <c r="L54" s="6">
        <f t="shared" si="30"/>
        <v>-233</v>
      </c>
      <c r="M54" s="2"/>
      <c r="N54" s="7">
        <f t="shared" si="31"/>
        <v>-1</v>
      </c>
      <c r="O54" s="11"/>
      <c r="P54" s="6"/>
      <c r="Q54" s="2"/>
      <c r="R54" s="7">
        <f t="shared" si="32"/>
        <v>0</v>
      </c>
      <c r="S54" s="2"/>
      <c r="T54" s="6">
        <v>1398</v>
      </c>
      <c r="U54" s="2"/>
      <c r="V54" s="7">
        <f t="shared" si="33"/>
        <v>4.3402400481834949E-3</v>
      </c>
      <c r="W54" s="2"/>
      <c r="X54" s="6">
        <f t="shared" si="34"/>
        <v>-1398</v>
      </c>
      <c r="Y54" s="2"/>
      <c r="Z54" s="7">
        <f t="shared" si="35"/>
        <v>-1</v>
      </c>
    </row>
    <row r="55" spans="1:26" s="27" customFormat="1" outlineLevel="1" collapsed="1" x14ac:dyDescent="0.25">
      <c r="A55" s="26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SUM(OSRRefD22_6x_0)</f>
        <v>0</v>
      </c>
      <c r="E55" s="1"/>
      <c r="F55" s="5">
        <f t="shared" ref="F55:F63" si="36">IF(D$12=0,0,D55/D$12)</f>
        <v>0</v>
      </c>
      <c r="G55" s="1"/>
      <c r="H55" s="1">
        <f>SUM(OSRRefH22_6x_0)</f>
        <v>0</v>
      </c>
      <c r="I55" s="1"/>
      <c r="J55" s="5">
        <f t="shared" ref="J55:J63" si="37">IF(H$12=0,0,H55/H$12)</f>
        <v>0</v>
      </c>
      <c r="K55" s="1"/>
      <c r="L55" s="1">
        <f t="shared" ref="L55:L63" si="38">+D55-H55</f>
        <v>0</v>
      </c>
      <c r="M55" s="1"/>
      <c r="N55" s="5">
        <f t="shared" ref="N55:N63" si="39">IF(H55=0,0,L55/H55)</f>
        <v>0</v>
      </c>
      <c r="O55" s="13"/>
      <c r="P55" s="1">
        <f>SUM(OSRRefP22_6x_0)</f>
        <v>62.26</v>
      </c>
      <c r="Q55" s="1"/>
      <c r="R55" s="5">
        <f t="shared" ref="R55:R63" si="40">IF(P$12=0,0,P55/P$12)</f>
        <v>2.1651376121265513E-4</v>
      </c>
      <c r="S55" s="1"/>
      <c r="T55" s="1">
        <f>SUM(OSRRefT22_6x_0)</f>
        <v>0</v>
      </c>
      <c r="U55" s="1"/>
      <c r="V55" s="5">
        <f t="shared" ref="V55:V63" si="41">IF(T$12=0,0,T55/T$12)</f>
        <v>0</v>
      </c>
      <c r="W55" s="1"/>
      <c r="X55" s="1">
        <f t="shared" ref="X55:X63" si="42">+P55-T55</f>
        <v>62.26</v>
      </c>
      <c r="Y55" s="1"/>
      <c r="Z55" s="5">
        <f t="shared" ref="Z55:Z63" si="43">IF(T55=0,0,X55/T55)</f>
        <v>0</v>
      </c>
    </row>
    <row r="56" spans="1:26" s="24" customFormat="1" hidden="1" outlineLevel="2" x14ac:dyDescent="0.25">
      <c r="A56" s="25"/>
      <c r="B56" s="11" t="str">
        <f>CONCATENATE("          ", "6277", " - ", "EMPLOYEE APPRECIATION")</f>
        <v xml:space="preserve">          6277 - EMPLOYEE APPRECIATION</v>
      </c>
      <c r="C56" s="11"/>
      <c r="D56" s="6"/>
      <c r="E56" s="2"/>
      <c r="F56" s="7">
        <f t="shared" si="36"/>
        <v>0</v>
      </c>
      <c r="G56" s="2"/>
      <c r="H56" s="6">
        <v>0</v>
      </c>
      <c r="I56" s="2"/>
      <c r="J56" s="7">
        <f t="shared" si="37"/>
        <v>0</v>
      </c>
      <c r="K56" s="2"/>
      <c r="L56" s="6">
        <f t="shared" si="38"/>
        <v>0</v>
      </c>
      <c r="M56" s="2"/>
      <c r="N56" s="7">
        <f t="shared" si="39"/>
        <v>0</v>
      </c>
      <c r="O56" s="11"/>
      <c r="P56" s="6">
        <v>62.26</v>
      </c>
      <c r="Q56" s="2"/>
      <c r="R56" s="7">
        <f t="shared" si="40"/>
        <v>2.1651376121265513E-4</v>
      </c>
      <c r="S56" s="2"/>
      <c r="T56" s="6">
        <v>0</v>
      </c>
      <c r="U56" s="2"/>
      <c r="V56" s="7">
        <f t="shared" si="41"/>
        <v>0</v>
      </c>
      <c r="W56" s="2"/>
      <c r="X56" s="6">
        <f t="shared" si="42"/>
        <v>62.26</v>
      </c>
      <c r="Y56" s="2"/>
      <c r="Z56" s="7">
        <f t="shared" si="43"/>
        <v>0</v>
      </c>
    </row>
    <row r="57" spans="1:26" s="27" customFormat="1" outlineLevel="1" collapsed="1" x14ac:dyDescent="0.25">
      <c r="A57" s="26"/>
      <c r="B57" s="13" t="str">
        <f>CONCATENATE("     ","Equipment Rental                                  ")</f>
        <v xml:space="preserve">     Equipment Rental                                  </v>
      </c>
      <c r="C57" s="13"/>
      <c r="D57" s="1">
        <f>SUM(OSRRefD22_7x_0)</f>
        <v>0</v>
      </c>
      <c r="E57" s="1"/>
      <c r="F57" s="5">
        <f t="shared" si="36"/>
        <v>0</v>
      </c>
      <c r="G57" s="1"/>
      <c r="H57" s="1">
        <f>SUM(OSRRefH22_7x_0)</f>
        <v>0</v>
      </c>
      <c r="I57" s="1"/>
      <c r="J57" s="5">
        <f t="shared" si="37"/>
        <v>0</v>
      </c>
      <c r="K57" s="1"/>
      <c r="L57" s="1">
        <f t="shared" si="38"/>
        <v>0</v>
      </c>
      <c r="M57" s="1"/>
      <c r="N57" s="5">
        <f t="shared" si="39"/>
        <v>0</v>
      </c>
      <c r="O57" s="13"/>
      <c r="P57" s="1">
        <f>SUM(OSRRefP22_7x_0)</f>
        <v>12</v>
      </c>
      <c r="Q57" s="1"/>
      <c r="R57" s="5">
        <f t="shared" si="40"/>
        <v>4.1730888765690033E-5</v>
      </c>
      <c r="S57" s="1"/>
      <c r="T57" s="1">
        <f>SUM(OSRRefT22_7x_0)</f>
        <v>0</v>
      </c>
      <c r="U57" s="1"/>
      <c r="V57" s="5">
        <f t="shared" si="41"/>
        <v>0</v>
      </c>
      <c r="W57" s="1"/>
      <c r="X57" s="1">
        <f t="shared" si="42"/>
        <v>12</v>
      </c>
      <c r="Y57" s="1"/>
      <c r="Z57" s="5">
        <f t="shared" si="43"/>
        <v>0</v>
      </c>
    </row>
    <row r="58" spans="1:26" s="24" customFormat="1" hidden="1" outlineLevel="2" x14ac:dyDescent="0.25">
      <c r="A58" s="25"/>
      <c r="B58" s="11" t="str">
        <f>CONCATENATE("          ", "6351", " - ", "EQUIPMENT RENTAL")</f>
        <v xml:space="preserve">          6351 - EQUIPMENT RENTAL</v>
      </c>
      <c r="C58" s="11"/>
      <c r="D58" s="6"/>
      <c r="E58" s="2"/>
      <c r="F58" s="7">
        <f t="shared" si="36"/>
        <v>0</v>
      </c>
      <c r="G58" s="2"/>
      <c r="H58" s="6"/>
      <c r="I58" s="2"/>
      <c r="J58" s="7">
        <f t="shared" si="37"/>
        <v>0</v>
      </c>
      <c r="K58" s="2"/>
      <c r="L58" s="6">
        <f t="shared" si="38"/>
        <v>0</v>
      </c>
      <c r="M58" s="2"/>
      <c r="N58" s="7">
        <f t="shared" si="39"/>
        <v>0</v>
      </c>
      <c r="O58" s="11"/>
      <c r="P58" s="6">
        <v>12</v>
      </c>
      <c r="Q58" s="2"/>
      <c r="R58" s="7">
        <f t="shared" si="40"/>
        <v>4.1730888765690033E-5</v>
      </c>
      <c r="S58" s="2"/>
      <c r="T58" s="6"/>
      <c r="U58" s="2"/>
      <c r="V58" s="7">
        <f t="shared" si="41"/>
        <v>0</v>
      </c>
      <c r="W58" s="2"/>
      <c r="X58" s="6">
        <f t="shared" si="42"/>
        <v>12</v>
      </c>
      <c r="Y58" s="2"/>
      <c r="Z58" s="7">
        <f t="shared" si="43"/>
        <v>0</v>
      </c>
    </row>
    <row r="59" spans="1:26" s="27" customFormat="1" outlineLevel="1" collapsed="1" x14ac:dyDescent="0.25">
      <c r="A59" s="26"/>
      <c r="B59" s="13" t="str">
        <f>CONCATENATE("     ","General                                           ")</f>
        <v xml:space="preserve">     General                                           </v>
      </c>
      <c r="C59" s="13"/>
      <c r="D59" s="1">
        <f>SUM(OSRRefD22_8x_0)</f>
        <v>13.5</v>
      </c>
      <c r="E59" s="1"/>
      <c r="F59" s="5">
        <f t="shared" si="36"/>
        <v>7.1103938684176837E-4</v>
      </c>
      <c r="G59" s="1"/>
      <c r="H59" s="1">
        <f>SUM(OSRRefH22_8x_0)</f>
        <v>493</v>
      </c>
      <c r="I59" s="1"/>
      <c r="J59" s="5">
        <f t="shared" si="37"/>
        <v>1.0887568737439544E-2</v>
      </c>
      <c r="K59" s="1"/>
      <c r="L59" s="1">
        <f t="shared" si="38"/>
        <v>-479.5</v>
      </c>
      <c r="M59" s="1"/>
      <c r="N59" s="5">
        <f t="shared" si="39"/>
        <v>-0.97261663286004052</v>
      </c>
      <c r="O59" s="13"/>
      <c r="P59" s="1">
        <f>SUM(OSRRefP22_8x_0)</f>
        <v>5632.39</v>
      </c>
      <c r="Q59" s="1"/>
      <c r="R59" s="5">
        <f t="shared" si="40"/>
        <v>1.9587053381248744E-2</v>
      </c>
      <c r="S59" s="1"/>
      <c r="T59" s="1">
        <f>SUM(OSRRefT22_8x_0)</f>
        <v>3509</v>
      </c>
      <c r="U59" s="1"/>
      <c r="V59" s="5">
        <f t="shared" si="41"/>
        <v>1.0894064613072877E-2</v>
      </c>
      <c r="W59" s="1"/>
      <c r="X59" s="1">
        <f t="shared" si="42"/>
        <v>2123.3900000000003</v>
      </c>
      <c r="Y59" s="1"/>
      <c r="Z59" s="5">
        <f t="shared" si="43"/>
        <v>0.60512681675691093</v>
      </c>
    </row>
    <row r="60" spans="1:26" s="24" customFormat="1" hidden="1" outlineLevel="2" x14ac:dyDescent="0.25">
      <c r="A60" s="25"/>
      <c r="B60" s="11" t="str">
        <f>CONCATENATE("          ", "6279", " - ", "GENERAL EXPENSE")</f>
        <v xml:space="preserve">          6279 - GENERAL EXPENSE</v>
      </c>
      <c r="C60" s="11"/>
      <c r="D60" s="6">
        <v>13.5</v>
      </c>
      <c r="E60" s="2"/>
      <c r="F60" s="7">
        <f t="shared" si="36"/>
        <v>7.1103938684176837E-4</v>
      </c>
      <c r="G60" s="2"/>
      <c r="H60" s="6">
        <v>493</v>
      </c>
      <c r="I60" s="2"/>
      <c r="J60" s="7">
        <f t="shared" si="37"/>
        <v>1.0887568737439544E-2</v>
      </c>
      <c r="K60" s="2"/>
      <c r="L60" s="6">
        <f t="shared" si="38"/>
        <v>-479.5</v>
      </c>
      <c r="M60" s="2"/>
      <c r="N60" s="7">
        <f t="shared" si="39"/>
        <v>-0.97261663286004052</v>
      </c>
      <c r="O60" s="11"/>
      <c r="P60" s="6">
        <v>5632.39</v>
      </c>
      <c r="Q60" s="2"/>
      <c r="R60" s="7">
        <f t="shared" si="40"/>
        <v>1.9587053381248744E-2</v>
      </c>
      <c r="S60" s="2"/>
      <c r="T60" s="6">
        <v>3509</v>
      </c>
      <c r="U60" s="2"/>
      <c r="V60" s="7">
        <f t="shared" si="41"/>
        <v>1.0894064613072877E-2</v>
      </c>
      <c r="W60" s="2"/>
      <c r="X60" s="6">
        <f t="shared" si="42"/>
        <v>2123.3900000000003</v>
      </c>
      <c r="Y60" s="2"/>
      <c r="Z60" s="7">
        <f t="shared" si="43"/>
        <v>0.60512681675691093</v>
      </c>
    </row>
    <row r="61" spans="1:26" s="27" customFormat="1" outlineLevel="1" collapsed="1" x14ac:dyDescent="0.25">
      <c r="A61" s="26"/>
      <c r="B61" s="13" t="str">
        <f>CONCATENATE("     ","Repair and Maintenance                            ")</f>
        <v xml:space="preserve">     Repair and Maintenance                            </v>
      </c>
      <c r="C61" s="13"/>
      <c r="D61" s="1">
        <f>SUM(OSRRefD22_9x_0)</f>
        <v>1073.7</v>
      </c>
      <c r="E61" s="1"/>
      <c r="F61" s="5">
        <f t="shared" si="36"/>
        <v>5.655133256681532E-2</v>
      </c>
      <c r="G61" s="1"/>
      <c r="H61" s="1">
        <f>SUM(OSRRefH22_9x_0)</f>
        <v>493</v>
      </c>
      <c r="I61" s="1"/>
      <c r="J61" s="5">
        <f t="shared" si="37"/>
        <v>1.0887568737439544E-2</v>
      </c>
      <c r="K61" s="1"/>
      <c r="L61" s="1">
        <f t="shared" si="38"/>
        <v>580.70000000000005</v>
      </c>
      <c r="M61" s="1"/>
      <c r="N61" s="5">
        <f t="shared" si="39"/>
        <v>1.1778904665314403</v>
      </c>
      <c r="O61" s="13"/>
      <c r="P61" s="1">
        <f>SUM(OSRRefP22_9x_0)</f>
        <v>7318.94</v>
      </c>
      <c r="Q61" s="1"/>
      <c r="R61" s="5">
        <f t="shared" si="40"/>
        <v>2.5452155918563285E-2</v>
      </c>
      <c r="S61" s="1"/>
      <c r="T61" s="1">
        <f>SUM(OSRRefT22_9x_0)</f>
        <v>3509</v>
      </c>
      <c r="U61" s="1"/>
      <c r="V61" s="5">
        <f t="shared" si="41"/>
        <v>1.0894064613072877E-2</v>
      </c>
      <c r="W61" s="1"/>
      <c r="X61" s="1">
        <f t="shared" si="42"/>
        <v>3809.9399999999996</v>
      </c>
      <c r="Y61" s="1"/>
      <c r="Z61" s="5">
        <f t="shared" si="43"/>
        <v>1.0857623254488458</v>
      </c>
    </row>
    <row r="62" spans="1:26" s="24" customFormat="1" hidden="1" outlineLevel="2" x14ac:dyDescent="0.25">
      <c r="A62" s="25"/>
      <c r="B62" s="11" t="str">
        <f>CONCATENATE("          ", "6373", " - ", "MAINTENANCE CONTRACTS")</f>
        <v xml:space="preserve">          6373 - MAINTENANCE CONTRACTS</v>
      </c>
      <c r="C62" s="11"/>
      <c r="D62" s="6">
        <v>48.23</v>
      </c>
      <c r="E62" s="2"/>
      <c r="F62" s="7">
        <f t="shared" si="36"/>
        <v>2.5402540464724808E-3</v>
      </c>
      <c r="G62" s="2"/>
      <c r="H62" s="6"/>
      <c r="I62" s="2"/>
      <c r="J62" s="7">
        <f t="shared" si="37"/>
        <v>0</v>
      </c>
      <c r="K62" s="2"/>
      <c r="L62" s="6">
        <f t="shared" si="38"/>
        <v>48.23</v>
      </c>
      <c r="M62" s="2"/>
      <c r="N62" s="7">
        <f t="shared" si="39"/>
        <v>0</v>
      </c>
      <c r="O62" s="11"/>
      <c r="P62" s="6">
        <v>141.44999999999999</v>
      </c>
      <c r="Q62" s="2"/>
      <c r="R62" s="7">
        <f t="shared" si="40"/>
        <v>4.9190285132557124E-4</v>
      </c>
      <c r="S62" s="2"/>
      <c r="T62" s="6"/>
      <c r="U62" s="2"/>
      <c r="V62" s="7">
        <f t="shared" si="41"/>
        <v>0</v>
      </c>
      <c r="W62" s="2"/>
      <c r="X62" s="6">
        <f t="shared" si="42"/>
        <v>141.44999999999999</v>
      </c>
      <c r="Y62" s="2"/>
      <c r="Z62" s="7">
        <f t="shared" si="43"/>
        <v>0</v>
      </c>
    </row>
    <row r="63" spans="1:26" s="24" customFormat="1" hidden="1" outlineLevel="2" x14ac:dyDescent="0.25">
      <c r="A63" s="25"/>
      <c r="B63" s="11" t="str">
        <f>CONCATENATE("          ", "6375", " - ", "OUTSIDE REPAIRS &amp; MAINTENANCE")</f>
        <v xml:space="preserve">          6375 - OUTSIDE REPAIRS &amp; MAINTENANCE</v>
      </c>
      <c r="C63" s="11"/>
      <c r="D63" s="6">
        <v>1025.47</v>
      </c>
      <c r="E63" s="2"/>
      <c r="F63" s="7">
        <f t="shared" si="36"/>
        <v>5.4011078520342835E-2</v>
      </c>
      <c r="G63" s="2"/>
      <c r="H63" s="6">
        <v>493</v>
      </c>
      <c r="I63" s="2"/>
      <c r="J63" s="7">
        <f t="shared" si="37"/>
        <v>1.0887568737439544E-2</v>
      </c>
      <c r="K63" s="2"/>
      <c r="L63" s="6">
        <f t="shared" si="38"/>
        <v>532.47</v>
      </c>
      <c r="M63" s="2"/>
      <c r="N63" s="7">
        <f t="shared" si="39"/>
        <v>1.0800608519269776</v>
      </c>
      <c r="O63" s="11"/>
      <c r="P63" s="6">
        <v>7177.49</v>
      </c>
      <c r="Q63" s="2"/>
      <c r="R63" s="7">
        <f t="shared" si="40"/>
        <v>2.4960253067237714E-2</v>
      </c>
      <c r="S63" s="2"/>
      <c r="T63" s="6">
        <v>3509</v>
      </c>
      <c r="U63" s="2"/>
      <c r="V63" s="7">
        <f t="shared" si="41"/>
        <v>1.0894064613072877E-2</v>
      </c>
      <c r="W63" s="2"/>
      <c r="X63" s="6">
        <f t="shared" si="42"/>
        <v>3668.49</v>
      </c>
      <c r="Y63" s="2"/>
      <c r="Z63" s="7">
        <f t="shared" si="43"/>
        <v>1.0454516956397835</v>
      </c>
    </row>
    <row r="64" spans="1:26" s="27" customFormat="1" outlineLevel="1" collapsed="1" x14ac:dyDescent="0.25">
      <c r="A64" s="26"/>
      <c r="B64" s="13" t="str">
        <f>CONCATENATE("     ","Services                                          ")</f>
        <v xml:space="preserve">     Services                                          </v>
      </c>
      <c r="C64" s="13"/>
      <c r="D64" s="1">
        <f>SUM(OSRRefD22_10x_0)</f>
        <v>356.77</v>
      </c>
      <c r="E64" s="1"/>
      <c r="F64" s="5">
        <f t="shared" ref="F64:F67" si="44">IF(D$12=0,0,D64/D$12)</f>
        <v>1.8790927558780569E-2</v>
      </c>
      <c r="G64" s="1"/>
      <c r="H64" s="1">
        <f>SUM(OSRRefH22_10x_0)</f>
        <v>404</v>
      </c>
      <c r="I64" s="1"/>
      <c r="J64" s="5">
        <f t="shared" ref="J64:J67" si="45">IF(H$12=0,0,H64/H$12)</f>
        <v>8.9220644420397073E-3</v>
      </c>
      <c r="K64" s="1"/>
      <c r="L64" s="1">
        <f t="shared" ref="L64:L67" si="46">+D64-H64</f>
        <v>-47.230000000000018</v>
      </c>
      <c r="M64" s="1"/>
      <c r="N64" s="5">
        <f t="shared" ref="N64:N67" si="47">IF(H64=0,0,L64/H64)</f>
        <v>-0.11690594059405945</v>
      </c>
      <c r="O64" s="13"/>
      <c r="P64" s="1">
        <f>SUM(OSRRefP22_10x_0)</f>
        <v>3527.4</v>
      </c>
      <c r="Q64" s="1"/>
      <c r="R64" s="5">
        <f t="shared" ref="R64:R67" si="48">IF(P$12=0,0,P64/P$12)</f>
        <v>1.2266794752674587E-2</v>
      </c>
      <c r="S64" s="1"/>
      <c r="T64" s="1">
        <f>SUM(OSRRefT22_10x_0)</f>
        <v>2870</v>
      </c>
      <c r="U64" s="1"/>
      <c r="V64" s="5">
        <f t="shared" ref="V64:V67" si="49">IF(T$12=0,0,T64/T$12)</f>
        <v>8.9102209858988764E-3</v>
      </c>
      <c r="W64" s="1"/>
      <c r="X64" s="1">
        <f t="shared" ref="X64:X67" si="50">+P64-T64</f>
        <v>657.40000000000009</v>
      </c>
      <c r="Y64" s="1"/>
      <c r="Z64" s="5">
        <f t="shared" ref="Z64:Z67" si="51">IF(T64=0,0,X64/T64)</f>
        <v>0.22905923344947737</v>
      </c>
    </row>
    <row r="65" spans="1:26" s="24" customFormat="1" hidden="1" outlineLevel="2" x14ac:dyDescent="0.25">
      <c r="A65" s="25"/>
      <c r="B65" s="11" t="str">
        <f>CONCATENATE("          ", "6282", " - ", "JANITORIAL/EXTERMINATOR EXPENS")</f>
        <v xml:space="preserve">          6282 - JANITORIAL/EXTERMINATOR EXPENS</v>
      </c>
      <c r="C65" s="11"/>
      <c r="D65" s="6">
        <v>327.93</v>
      </c>
      <c r="E65" s="2"/>
      <c r="F65" s="7">
        <f t="shared" si="44"/>
        <v>1.7271936750149711E-2</v>
      </c>
      <c r="G65" s="2"/>
      <c r="H65" s="6">
        <v>404</v>
      </c>
      <c r="I65" s="2"/>
      <c r="J65" s="7">
        <f t="shared" si="45"/>
        <v>8.9220644420397073E-3</v>
      </c>
      <c r="K65" s="2"/>
      <c r="L65" s="6">
        <f t="shared" si="46"/>
        <v>-76.069999999999993</v>
      </c>
      <c r="M65" s="2"/>
      <c r="N65" s="7">
        <f t="shared" si="47"/>
        <v>-0.18829207920792077</v>
      </c>
      <c r="O65" s="11"/>
      <c r="P65" s="6">
        <v>3093.3</v>
      </c>
      <c r="Q65" s="2"/>
      <c r="R65" s="7">
        <f t="shared" si="48"/>
        <v>1.075717985157575E-2</v>
      </c>
      <c r="S65" s="2"/>
      <c r="T65" s="6">
        <v>2870</v>
      </c>
      <c r="U65" s="2"/>
      <c r="V65" s="7">
        <f t="shared" si="49"/>
        <v>8.9102209858988764E-3</v>
      </c>
      <c r="W65" s="2"/>
      <c r="X65" s="6">
        <f t="shared" si="50"/>
        <v>223.30000000000018</v>
      </c>
      <c r="Y65" s="2"/>
      <c r="Z65" s="7">
        <f t="shared" si="51"/>
        <v>7.7804878048780557E-2</v>
      </c>
    </row>
    <row r="66" spans="1:26" s="24" customFormat="1" hidden="1" outlineLevel="2" x14ac:dyDescent="0.25">
      <c r="A66" s="25"/>
      <c r="B66" s="11" t="str">
        <f>CONCATENATE("          ", "6285", " - ", "JANITORIAL SERVICES")</f>
        <v xml:space="preserve">          6285 - JANITORIAL SERVICES</v>
      </c>
      <c r="C66" s="11"/>
      <c r="D66" s="6">
        <v>28.84</v>
      </c>
      <c r="E66" s="2"/>
      <c r="F66" s="7">
        <f t="shared" si="44"/>
        <v>1.5189908086308593E-3</v>
      </c>
      <c r="G66" s="2"/>
      <c r="H66" s="6"/>
      <c r="I66" s="2"/>
      <c r="J66" s="7">
        <f t="shared" si="45"/>
        <v>0</v>
      </c>
      <c r="K66" s="2"/>
      <c r="L66" s="6">
        <f t="shared" si="46"/>
        <v>28.84</v>
      </c>
      <c r="M66" s="2"/>
      <c r="N66" s="7">
        <f t="shared" si="47"/>
        <v>0</v>
      </c>
      <c r="O66" s="11"/>
      <c r="P66" s="6">
        <v>248.1</v>
      </c>
      <c r="Q66" s="2"/>
      <c r="R66" s="7">
        <f t="shared" si="48"/>
        <v>8.6278612523064144E-4</v>
      </c>
      <c r="S66" s="2"/>
      <c r="T66" s="6"/>
      <c r="U66" s="2"/>
      <c r="V66" s="7">
        <f t="shared" si="49"/>
        <v>0</v>
      </c>
      <c r="W66" s="2"/>
      <c r="X66" s="6">
        <f t="shared" si="50"/>
        <v>248.1</v>
      </c>
      <c r="Y66" s="2"/>
      <c r="Z66" s="7">
        <f t="shared" si="51"/>
        <v>0</v>
      </c>
    </row>
    <row r="67" spans="1:26" s="24" customFormat="1" hidden="1" outlineLevel="2" x14ac:dyDescent="0.25">
      <c r="A67" s="25"/>
      <c r="B67" s="11" t="str">
        <f>CONCATENATE("          ", "6286", " - ", "LAUNDRY EXPENSE")</f>
        <v xml:space="preserve">          6286 - LAUNDRY EXPENSE</v>
      </c>
      <c r="C67" s="11"/>
      <c r="D67" s="6"/>
      <c r="E67" s="2"/>
      <c r="F67" s="7">
        <f t="shared" si="44"/>
        <v>0</v>
      </c>
      <c r="G67" s="2"/>
      <c r="H67" s="6"/>
      <c r="I67" s="2"/>
      <c r="J67" s="7">
        <f t="shared" si="45"/>
        <v>0</v>
      </c>
      <c r="K67" s="2"/>
      <c r="L67" s="6">
        <f t="shared" si="46"/>
        <v>0</v>
      </c>
      <c r="M67" s="2"/>
      <c r="N67" s="7">
        <f t="shared" si="47"/>
        <v>0</v>
      </c>
      <c r="O67" s="11"/>
      <c r="P67" s="6">
        <v>186</v>
      </c>
      <c r="Q67" s="2"/>
      <c r="R67" s="7">
        <f t="shared" si="48"/>
        <v>6.4682877586819554E-4</v>
      </c>
      <c r="S67" s="2"/>
      <c r="T67" s="6"/>
      <c r="U67" s="2"/>
      <c r="V67" s="7">
        <f t="shared" si="49"/>
        <v>0</v>
      </c>
      <c r="W67" s="2"/>
      <c r="X67" s="6">
        <f t="shared" si="50"/>
        <v>186</v>
      </c>
      <c r="Y67" s="2"/>
      <c r="Z67" s="7">
        <f t="shared" si="51"/>
        <v>0</v>
      </c>
    </row>
    <row r="68" spans="1:26" s="27" customFormat="1" outlineLevel="1" collapsed="1" x14ac:dyDescent="0.25">
      <c r="A68" s="26"/>
      <c r="B68" s="13" t="str">
        <f>CONCATENATE("     ","Supplies                                          ")</f>
        <v xml:space="preserve">     Supplies                                          </v>
      </c>
      <c r="C68" s="13"/>
      <c r="D68" s="1">
        <f>SUM(OSRRefD22_11x_0)</f>
        <v>141.1</v>
      </c>
      <c r="E68" s="1"/>
      <c r="F68" s="5">
        <f t="shared" ref="F68:F71" si="52">IF(D$12=0,0,D68/D$12)</f>
        <v>7.4316783321017425E-3</v>
      </c>
      <c r="G68" s="1"/>
      <c r="H68" s="1">
        <f>SUM(OSRRefH22_11x_0)</f>
        <v>679</v>
      </c>
      <c r="I68" s="1"/>
      <c r="J68" s="5">
        <f t="shared" ref="J68:J71" si="53">IF(H$12=0,0,H68/H$12)</f>
        <v>1.4995251871645944E-2</v>
      </c>
      <c r="K68" s="1"/>
      <c r="L68" s="1">
        <f t="shared" ref="L68:L71" si="54">+D68-H68</f>
        <v>-537.9</v>
      </c>
      <c r="M68" s="1"/>
      <c r="N68" s="5">
        <f t="shared" ref="N68:N71" si="55">IF(H68=0,0,L68/H68)</f>
        <v>-0.79219440353460968</v>
      </c>
      <c r="O68" s="13"/>
      <c r="P68" s="1">
        <f>SUM(OSRRefP22_11x_0)</f>
        <v>10438.619999999999</v>
      </c>
      <c r="Q68" s="1"/>
      <c r="R68" s="5">
        <f t="shared" ref="R68:R71" si="56">IF(P$12=0,0,P68/P$12)</f>
        <v>3.6301074173942273E-2</v>
      </c>
      <c r="S68" s="1"/>
      <c r="T68" s="1">
        <f>SUM(OSRRefT22_11x_0)</f>
        <v>4831</v>
      </c>
      <c r="U68" s="1"/>
      <c r="V68" s="5">
        <f t="shared" ref="V68:V71" si="57">IF(T$12=0,0,T68/T$12)</f>
        <v>1.4998354558493894E-2</v>
      </c>
      <c r="W68" s="1"/>
      <c r="X68" s="1">
        <f t="shared" ref="X68:X71" si="58">+P68-T68</f>
        <v>5607.619999999999</v>
      </c>
      <c r="Y68" s="1"/>
      <c r="Z68" s="5">
        <f t="shared" ref="Z68:Z71" si="59">IF(T68=0,0,X68/T68)</f>
        <v>1.1607576071206787</v>
      </c>
    </row>
    <row r="69" spans="1:26" s="24" customFormat="1" hidden="1" outlineLevel="2" x14ac:dyDescent="0.25">
      <c r="A69" s="25"/>
      <c r="B69" s="11" t="str">
        <f>CONCATENATE("          ", "6237", " - ", "JANITORIAL SUPPLIES")</f>
        <v xml:space="preserve">          6237 - JANITORIAL SUPPLIES</v>
      </c>
      <c r="C69" s="11"/>
      <c r="D69" s="6"/>
      <c r="E69" s="2"/>
      <c r="F69" s="7">
        <f t="shared" si="52"/>
        <v>0</v>
      </c>
      <c r="G69" s="2"/>
      <c r="H69" s="6"/>
      <c r="I69" s="2"/>
      <c r="J69" s="7">
        <f t="shared" si="53"/>
        <v>0</v>
      </c>
      <c r="K69" s="2"/>
      <c r="L69" s="6">
        <f t="shared" si="54"/>
        <v>0</v>
      </c>
      <c r="M69" s="2"/>
      <c r="N69" s="7">
        <f t="shared" si="55"/>
        <v>0</v>
      </c>
      <c r="O69" s="11"/>
      <c r="P69" s="6">
        <v>1096.97</v>
      </c>
      <c r="Q69" s="2"/>
      <c r="R69" s="7">
        <f t="shared" si="56"/>
        <v>3.8147944207749165E-3</v>
      </c>
      <c r="S69" s="2"/>
      <c r="T69" s="6"/>
      <c r="U69" s="2"/>
      <c r="V69" s="7">
        <f t="shared" si="57"/>
        <v>0</v>
      </c>
      <c r="W69" s="2"/>
      <c r="X69" s="6">
        <f t="shared" si="58"/>
        <v>1096.97</v>
      </c>
      <c r="Y69" s="2"/>
      <c r="Z69" s="7">
        <f t="shared" si="59"/>
        <v>0</v>
      </c>
    </row>
    <row r="70" spans="1:26" s="24" customFormat="1" hidden="1" outlineLevel="2" x14ac:dyDescent="0.25">
      <c r="A70" s="25"/>
      <c r="B70" s="11" t="str">
        <f>CONCATENATE("          ", "6243", " - ", "PAPER SUPPLIES")</f>
        <v xml:space="preserve">          6243 - PAPER SUPPLIES</v>
      </c>
      <c r="C70" s="11"/>
      <c r="D70" s="6"/>
      <c r="E70" s="2"/>
      <c r="F70" s="7">
        <f t="shared" si="52"/>
        <v>0</v>
      </c>
      <c r="G70" s="2"/>
      <c r="H70" s="6"/>
      <c r="I70" s="2"/>
      <c r="J70" s="7">
        <f t="shared" si="53"/>
        <v>0</v>
      </c>
      <c r="K70" s="2"/>
      <c r="L70" s="6">
        <f t="shared" si="54"/>
        <v>0</v>
      </c>
      <c r="M70" s="2"/>
      <c r="N70" s="7">
        <f t="shared" si="55"/>
        <v>0</v>
      </c>
      <c r="O70" s="11"/>
      <c r="P70" s="6">
        <v>741.91</v>
      </c>
      <c r="Q70" s="2"/>
      <c r="R70" s="7">
        <f t="shared" si="56"/>
        <v>2.5800469736794243E-3</v>
      </c>
      <c r="S70" s="2"/>
      <c r="T70" s="6"/>
      <c r="U70" s="2"/>
      <c r="V70" s="7">
        <f t="shared" si="57"/>
        <v>0</v>
      </c>
      <c r="W70" s="2"/>
      <c r="X70" s="6">
        <f t="shared" si="58"/>
        <v>741.91</v>
      </c>
      <c r="Y70" s="2"/>
      <c r="Z70" s="7">
        <f t="shared" si="59"/>
        <v>0</v>
      </c>
    </row>
    <row r="71" spans="1:26" s="24" customFormat="1" hidden="1" outlineLevel="2" x14ac:dyDescent="0.25">
      <c r="A71" s="25"/>
      <c r="B71" s="11" t="str">
        <f>CONCATENATE("          ", "6247", " - ", "STORE SUPPLIES")</f>
        <v xml:space="preserve">          6247 - STORE SUPPLIES</v>
      </c>
      <c r="C71" s="11"/>
      <c r="D71" s="6">
        <v>141.1</v>
      </c>
      <c r="E71" s="2"/>
      <c r="F71" s="7">
        <f t="shared" si="52"/>
        <v>7.4316783321017425E-3</v>
      </c>
      <c r="G71" s="2"/>
      <c r="H71" s="6">
        <v>679</v>
      </c>
      <c r="I71" s="2"/>
      <c r="J71" s="7">
        <f t="shared" si="53"/>
        <v>1.4995251871645944E-2</v>
      </c>
      <c r="K71" s="2"/>
      <c r="L71" s="6">
        <f t="shared" si="54"/>
        <v>-537.9</v>
      </c>
      <c r="M71" s="2"/>
      <c r="N71" s="7">
        <f t="shared" si="55"/>
        <v>-0.79219440353460968</v>
      </c>
      <c r="O71" s="11"/>
      <c r="P71" s="6">
        <v>8599.74</v>
      </c>
      <c r="Q71" s="2"/>
      <c r="R71" s="7">
        <f t="shared" si="56"/>
        <v>2.9906232779487934E-2</v>
      </c>
      <c r="S71" s="2"/>
      <c r="T71" s="6">
        <v>4831</v>
      </c>
      <c r="U71" s="2"/>
      <c r="V71" s="7">
        <f t="shared" si="57"/>
        <v>1.4998354558493894E-2</v>
      </c>
      <c r="W71" s="2"/>
      <c r="X71" s="6">
        <f t="shared" si="58"/>
        <v>3768.74</v>
      </c>
      <c r="Y71" s="2"/>
      <c r="Z71" s="7">
        <f t="shared" si="59"/>
        <v>0.78011591802939351</v>
      </c>
    </row>
    <row r="72" spans="1:26" s="27" customFormat="1" outlineLevel="1" collapsed="1" x14ac:dyDescent="0.25">
      <c r="A72" s="26"/>
      <c r="B72" s="13" t="str">
        <f>CONCATENATE("     ","Telephone/Data Lines                              ")</f>
        <v xml:space="preserve">     Telephone/Data Lines                              </v>
      </c>
      <c r="C72" s="13"/>
      <c r="D72" s="1">
        <f>SUM(OSRRefD22_12x_0)</f>
        <v>53</v>
      </c>
      <c r="E72" s="1"/>
      <c r="F72" s="5">
        <f t="shared" ref="F72:F75" si="60">IF(D$12=0,0,D72/D$12)</f>
        <v>2.7914879631565723E-3</v>
      </c>
      <c r="G72" s="1"/>
      <c r="H72" s="1">
        <f>SUM(OSRRefH22_12x_0)</f>
        <v>75</v>
      </c>
      <c r="I72" s="1"/>
      <c r="J72" s="5">
        <f t="shared" ref="J72:J75" si="61">IF(H$12=0,0,H72/H$12)</f>
        <v>1.6563238444380645E-3</v>
      </c>
      <c r="K72" s="1"/>
      <c r="L72" s="1">
        <f t="shared" ref="L72:L75" si="62">+D72-H72</f>
        <v>-22</v>
      </c>
      <c r="M72" s="1"/>
      <c r="N72" s="5">
        <f t="shared" ref="N72:N75" si="63">IF(H72=0,0,L72/H72)</f>
        <v>-0.29333333333333333</v>
      </c>
      <c r="O72" s="13"/>
      <c r="P72" s="1">
        <f>SUM(OSRRefP22_12x_0)</f>
        <v>781.08</v>
      </c>
      <c r="Q72" s="1"/>
      <c r="R72" s="5">
        <f t="shared" ref="R72:R75" si="64">IF(P$12=0,0,P72/P$12)</f>
        <v>2.7162635497587646E-3</v>
      </c>
      <c r="S72" s="1"/>
      <c r="T72" s="1">
        <f>SUM(OSRRefT22_12x_0)</f>
        <v>675</v>
      </c>
      <c r="U72" s="1"/>
      <c r="V72" s="5">
        <f t="shared" ref="V72:V75" si="65">IF(T$12=0,0,T72/T$12)</f>
        <v>2.0956094653246486E-3</v>
      </c>
      <c r="W72" s="1"/>
      <c r="X72" s="1">
        <f t="shared" ref="X72:X75" si="66">+P72-T72</f>
        <v>106.08000000000004</v>
      </c>
      <c r="Y72" s="1"/>
      <c r="Z72" s="5">
        <f t="shared" ref="Z72:Z75" si="67">IF(T72=0,0,X72/T72)</f>
        <v>0.1571555555555556</v>
      </c>
    </row>
    <row r="73" spans="1:26" s="24" customFormat="1" hidden="1" outlineLevel="2" x14ac:dyDescent="0.25">
      <c r="A73" s="25"/>
      <c r="B73" s="11" t="str">
        <f>CONCATENATE("          ", "6309", " - ", "TELEPHONE")</f>
        <v xml:space="preserve">          6309 - TELEPHONE</v>
      </c>
      <c r="C73" s="11"/>
      <c r="D73" s="6">
        <v>53</v>
      </c>
      <c r="E73" s="2"/>
      <c r="F73" s="7">
        <f t="shared" si="60"/>
        <v>2.7914879631565723E-3</v>
      </c>
      <c r="G73" s="2"/>
      <c r="H73" s="6">
        <v>75</v>
      </c>
      <c r="I73" s="2"/>
      <c r="J73" s="7">
        <f t="shared" si="61"/>
        <v>1.6563238444380645E-3</v>
      </c>
      <c r="K73" s="2"/>
      <c r="L73" s="6">
        <f t="shared" si="62"/>
        <v>-22</v>
      </c>
      <c r="M73" s="2"/>
      <c r="N73" s="7">
        <f t="shared" si="63"/>
        <v>-0.29333333333333333</v>
      </c>
      <c r="O73" s="11"/>
      <c r="P73" s="6">
        <v>781.08</v>
      </c>
      <c r="Q73" s="2"/>
      <c r="R73" s="7">
        <f t="shared" si="64"/>
        <v>2.7162635497587646E-3</v>
      </c>
      <c r="S73" s="2"/>
      <c r="T73" s="6">
        <v>675</v>
      </c>
      <c r="U73" s="2"/>
      <c r="V73" s="7">
        <f t="shared" si="65"/>
        <v>2.0956094653246486E-3</v>
      </c>
      <c r="W73" s="2"/>
      <c r="X73" s="6">
        <f t="shared" si="66"/>
        <v>106.08000000000004</v>
      </c>
      <c r="Y73" s="2"/>
      <c r="Z73" s="7">
        <f t="shared" si="67"/>
        <v>0.1571555555555556</v>
      </c>
    </row>
    <row r="74" spans="1:26" s="27" customFormat="1" outlineLevel="1" collapsed="1" x14ac:dyDescent="0.25">
      <c r="A74" s="26"/>
      <c r="B74" s="13" t="str">
        <f>CONCATENATE("     ","Training                                          ")</f>
        <v xml:space="preserve">     Training                                          </v>
      </c>
      <c r="C74" s="13"/>
      <c r="D74" s="1">
        <f>SUM(OSRRefD22_13x_0)</f>
        <v>0</v>
      </c>
      <c r="E74" s="1"/>
      <c r="F74" s="5">
        <f t="shared" si="60"/>
        <v>0</v>
      </c>
      <c r="G74" s="1"/>
      <c r="H74" s="1">
        <f>SUM(OSRRefH22_13x_0)</f>
        <v>0</v>
      </c>
      <c r="I74" s="1"/>
      <c r="J74" s="5">
        <f t="shared" si="61"/>
        <v>0</v>
      </c>
      <c r="K74" s="1"/>
      <c r="L74" s="1">
        <f t="shared" si="62"/>
        <v>0</v>
      </c>
      <c r="M74" s="1"/>
      <c r="N74" s="5">
        <f t="shared" si="63"/>
        <v>0</v>
      </c>
      <c r="O74" s="13"/>
      <c r="P74" s="1">
        <f>SUM(OSRRefP22_13x_0)</f>
        <v>0</v>
      </c>
      <c r="Q74" s="1"/>
      <c r="R74" s="5">
        <f t="shared" si="64"/>
        <v>0</v>
      </c>
      <c r="S74" s="1"/>
      <c r="T74" s="1">
        <f>SUM(OSRRefT22_13x_0)</f>
        <v>1000</v>
      </c>
      <c r="U74" s="1"/>
      <c r="V74" s="5">
        <f t="shared" si="65"/>
        <v>3.1046066152957759E-3</v>
      </c>
      <c r="W74" s="1"/>
      <c r="X74" s="1">
        <f t="shared" si="66"/>
        <v>-1000</v>
      </c>
      <c r="Y74" s="1"/>
      <c r="Z74" s="5">
        <f t="shared" si="67"/>
        <v>-1</v>
      </c>
    </row>
    <row r="75" spans="1:26" s="24" customFormat="1" hidden="1" outlineLevel="2" x14ac:dyDescent="0.25">
      <c r="A75" s="25"/>
      <c r="B75" s="11" t="str">
        <f>CONCATENATE("          ", "6376", " - ", "TRAINING")</f>
        <v xml:space="preserve">          6376 - TRAINING</v>
      </c>
      <c r="C75" s="11"/>
      <c r="D75" s="6"/>
      <c r="E75" s="2"/>
      <c r="F75" s="7">
        <f t="shared" si="60"/>
        <v>0</v>
      </c>
      <c r="G75" s="2"/>
      <c r="H75" s="6"/>
      <c r="I75" s="2"/>
      <c r="J75" s="7">
        <f t="shared" si="61"/>
        <v>0</v>
      </c>
      <c r="K75" s="2"/>
      <c r="L75" s="6">
        <f t="shared" si="62"/>
        <v>0</v>
      </c>
      <c r="M75" s="2"/>
      <c r="N75" s="7">
        <f t="shared" si="63"/>
        <v>0</v>
      </c>
      <c r="O75" s="11"/>
      <c r="P75" s="6"/>
      <c r="Q75" s="2"/>
      <c r="R75" s="7">
        <f t="shared" si="64"/>
        <v>0</v>
      </c>
      <c r="S75" s="2"/>
      <c r="T75" s="6">
        <v>1000</v>
      </c>
      <c r="U75" s="2"/>
      <c r="V75" s="7">
        <f t="shared" si="65"/>
        <v>3.1046066152957759E-3</v>
      </c>
      <c r="W75" s="2"/>
      <c r="X75" s="6">
        <f t="shared" si="66"/>
        <v>-1000</v>
      </c>
      <c r="Y75" s="2"/>
      <c r="Z75" s="7">
        <f t="shared" si="67"/>
        <v>-1</v>
      </c>
    </row>
    <row r="76" spans="1:26" s="56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9" t="s">
        <v>0</v>
      </c>
      <c r="C77" s="10"/>
      <c r="D77" s="4">
        <f>SUM(0)</f>
        <v>0</v>
      </c>
      <c r="E77" s="4"/>
      <c r="F77" s="12">
        <f>IF(D$12=0,0,D77/D$12)</f>
        <v>0</v>
      </c>
      <c r="G77" s="4"/>
      <c r="H77" s="4">
        <f>SUM(0)</f>
        <v>0</v>
      </c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>
        <f>SUM(0)</f>
        <v>0</v>
      </c>
      <c r="Q77" s="4"/>
      <c r="R77" s="12">
        <f>IF(P$12=0,0,P77/P$12)</f>
        <v>0</v>
      </c>
      <c r="S77" s="4"/>
      <c r="T77" s="4">
        <f>SUM(0)</f>
        <v>0</v>
      </c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8" t="s">
        <v>3</v>
      </c>
      <c r="C79" s="28"/>
      <c r="D79" s="20">
        <f>+D22-D24+D77</f>
        <v>-2925.5099999999984</v>
      </c>
      <c r="E79" s="14"/>
      <c r="F79" s="22">
        <f>IF(D$12=0,0,D79/D$12)</f>
        <v>-0.15408539530366377</v>
      </c>
      <c r="G79" s="14"/>
      <c r="H79" s="20">
        <f>+H22-H24+H77</f>
        <v>6650.4705419353813</v>
      </c>
      <c r="I79" s="14"/>
      <c r="J79" s="22">
        <f>IF(H$12=0,0,H79/H$12)</f>
        <v>0.14687110580454013</v>
      </c>
      <c r="K79" s="16"/>
      <c r="L79" s="20">
        <f>+D79-H79</f>
        <v>-9575.9805419353797</v>
      </c>
      <c r="M79" s="16"/>
      <c r="N79" s="22">
        <f>IF(H79=0,0,L79/H79)</f>
        <v>-1.4398951896039274</v>
      </c>
      <c r="O79" s="29"/>
      <c r="P79" s="20">
        <f>+P22-P24+P77</f>
        <v>23896.65999999996</v>
      </c>
      <c r="Q79" s="14"/>
      <c r="R79" s="22">
        <f>IF(P$12=0,0,P79/P$12)</f>
        <v>8.3102405027626058E-2</v>
      </c>
      <c r="S79" s="14"/>
      <c r="T79" s="20">
        <f>+T22-T24+T77</f>
        <v>43286.955214289977</v>
      </c>
      <c r="U79" s="14"/>
      <c r="V79" s="22">
        <f>IF(T$12=0,0,T79/T$12)</f>
        <v>0.13438896751429663</v>
      </c>
      <c r="W79" s="16"/>
      <c r="X79" s="20">
        <f>+P79-T79</f>
        <v>-19390.295214290018</v>
      </c>
      <c r="Y79" s="16"/>
      <c r="Z79" s="22">
        <f>IF(T79=0,0,X79/T79)</f>
        <v>-0.44794777360290877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2"/>
      <c r="B81" s="10" t="s">
        <v>14</v>
      </c>
      <c r="C81" s="10"/>
      <c r="D81" s="4">
        <v>3439.77</v>
      </c>
      <c r="E81" s="4"/>
      <c r="F81" s="12">
        <f>IF(D$12=0,0,D81/D$12)</f>
        <v>0.18117125567975628</v>
      </c>
      <c r="G81" s="4"/>
      <c r="H81" s="4">
        <v>4363</v>
      </c>
      <c r="I81" s="4"/>
      <c r="J81" s="12">
        <f>IF(H$12=0,0,H81/H$12)</f>
        <v>9.6353879110443671E-2</v>
      </c>
      <c r="K81" s="4"/>
      <c r="L81" s="4">
        <f>+D81-H81</f>
        <v>-923.23</v>
      </c>
      <c r="M81" s="4"/>
      <c r="N81" s="12">
        <f>IF(H81=0,0,L81/H81)</f>
        <v>-0.21160440064176025</v>
      </c>
      <c r="O81" s="10"/>
      <c r="P81" s="4">
        <v>30812.41</v>
      </c>
      <c r="Q81" s="4"/>
      <c r="R81" s="12">
        <f>IF(P$12=0,0,P81/P$12)</f>
        <v>0.10715243785940294</v>
      </c>
      <c r="S81" s="4"/>
      <c r="T81" s="4">
        <v>37650</v>
      </c>
      <c r="U81" s="4"/>
      <c r="V81" s="12">
        <f>IF(T$12=0,0,T81/T$12)</f>
        <v>0.11688843906588596</v>
      </c>
      <c r="W81" s="4"/>
      <c r="X81" s="4">
        <f>+P81-T81</f>
        <v>-6837.59</v>
      </c>
      <c r="Y81" s="4"/>
      <c r="Z81" s="12">
        <f>IF(T81=0,0,X81/T81)</f>
        <v>-0.18160929614873839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8" t="s">
        <v>4</v>
      </c>
      <c r="C83" s="28"/>
      <c r="D83" s="31">
        <f>+D79-D81</f>
        <v>-6365.2799999999988</v>
      </c>
      <c r="E83" s="14"/>
      <c r="F83" s="34">
        <f>IF(D$12=0,0,D83/D$12)</f>
        <v>-0.33525665098342006</v>
      </c>
      <c r="G83" s="14"/>
      <c r="H83" s="31">
        <f>+H79-H81</f>
        <v>2287.4705419353813</v>
      </c>
      <c r="I83" s="14"/>
      <c r="J83" s="34">
        <f>IF(H$12=0,0,H83/H$12)</f>
        <v>5.0517226694096452E-2</v>
      </c>
      <c r="K83" s="16"/>
      <c r="L83" s="31">
        <f>D83-H83</f>
        <v>-8652.7505419353802</v>
      </c>
      <c r="M83" s="16"/>
      <c r="N83" s="34">
        <f>IF(H83=0,0,L83/H83)</f>
        <v>-3.7826719003841105</v>
      </c>
      <c r="O83" s="29"/>
      <c r="P83" s="31">
        <f>+P79-P81</f>
        <v>-6915.75000000004</v>
      </c>
      <c r="Q83" s="14"/>
      <c r="R83" s="34">
        <f>IF(P$12=0,0,P83/P$12)</f>
        <v>-2.4050032831776879E-2</v>
      </c>
      <c r="S83" s="14"/>
      <c r="T83" s="31">
        <f>+T79-T81</f>
        <v>5636.9552142899774</v>
      </c>
      <c r="U83" s="14"/>
      <c r="V83" s="34">
        <f>IF(T$12=0,0,T83/T$12)</f>
        <v>1.7500528448410681E-2</v>
      </c>
      <c r="W83" s="16"/>
      <c r="X83" s="31">
        <f>P83-T83</f>
        <v>-12552.705214290017</v>
      </c>
      <c r="Y83" s="16"/>
      <c r="Z83" s="34">
        <f>IF(T83=0,0,X83/T83)</f>
        <v>-2.2268591353126688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8" t="s">
        <v>5</v>
      </c>
      <c r="C86" s="28"/>
      <c r="D86" s="32">
        <f>SUM(D83:D85)</f>
        <v>-6365.2799999999988</v>
      </c>
      <c r="E86" s="14"/>
      <c r="F86" s="35">
        <f>IF(D$12=0,0,D86/D$12)</f>
        <v>-0.33525665098342006</v>
      </c>
      <c r="G86" s="14"/>
      <c r="H86" s="32">
        <f>SUM(H83:H85)</f>
        <v>2287.4705419353813</v>
      </c>
      <c r="I86" s="14"/>
      <c r="J86" s="35">
        <f>IF(H$12=0,0,H86/H$12)</f>
        <v>5.0517226694096452E-2</v>
      </c>
      <c r="K86" s="16"/>
      <c r="L86" s="32">
        <f>+D86-H86</f>
        <v>-8652.7505419353802</v>
      </c>
      <c r="M86" s="16"/>
      <c r="N86" s="35">
        <f>IF(H86=0,0,L86/H86)</f>
        <v>-3.7826719003841105</v>
      </c>
      <c r="O86" s="29"/>
      <c r="P86" s="32">
        <f>SUM(P83:P85)</f>
        <v>-6915.75000000004</v>
      </c>
      <c r="Q86" s="14"/>
      <c r="R86" s="35">
        <f>IF(P$12=0,0,P86/P$12)</f>
        <v>-2.4050032831776879E-2</v>
      </c>
      <c r="S86" s="14"/>
      <c r="T86" s="32">
        <f>SUM(T83:T85)</f>
        <v>5636.9552142899774</v>
      </c>
      <c r="U86" s="14"/>
      <c r="V86" s="35">
        <f>IF(T$12=0,0,T86/T$12)</f>
        <v>1.7500528448410681E-2</v>
      </c>
      <c r="W86" s="16"/>
      <c r="X86" s="32">
        <f>+P86-T86</f>
        <v>-12552.705214290017</v>
      </c>
      <c r="Y86" s="16"/>
      <c r="Z86" s="35">
        <f>IF(T86=0,0,X86/T86)</f>
        <v>-2.2268591353126688</v>
      </c>
    </row>
    <row r="87" spans="1:26" ht="15.75" thickTop="1" x14ac:dyDescent="0.25">
      <c r="A87" s="9"/>
      <c r="C87" s="9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A88" s="9"/>
      <c r="B88" s="57">
        <v>43934.466389930552</v>
      </c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62" t="s">
        <v>314</v>
      </c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60"/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","313", " - ", "Convenience Store")</f>
        <v>Department 313 - Convenience Store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33605.629999999997</v>
      </c>
      <c r="E12" s="4"/>
      <c r="F12" s="12"/>
      <c r="G12" s="4"/>
      <c r="H12" s="4">
        <f>SUM(OSRRefH13x_0)</f>
        <v>67059</v>
      </c>
      <c r="I12" s="4"/>
      <c r="J12" s="12"/>
      <c r="K12" s="4"/>
      <c r="L12" s="4">
        <f t="shared" ref="L12:L19" si="0">+D12-H12</f>
        <v>-33453.370000000003</v>
      </c>
      <c r="M12" s="4"/>
      <c r="N12" s="12">
        <f t="shared" ref="N12:N19" si="1">IF(H12=0,0,L12/H12)</f>
        <v>-0.49886473105772533</v>
      </c>
      <c r="O12" s="10"/>
      <c r="P12" s="4">
        <f>SUM(OSRRefP13x_0)</f>
        <v>495809.06</v>
      </c>
      <c r="Q12" s="4"/>
      <c r="R12" s="12"/>
      <c r="S12" s="4"/>
      <c r="T12" s="4">
        <f>SUM(OSRRefT13x_0)</f>
        <v>518169.00000000006</v>
      </c>
      <c r="U12" s="4"/>
      <c r="V12" s="12"/>
      <c r="W12" s="4"/>
      <c r="X12" s="4">
        <f t="shared" ref="X12:X19" si="2">+P12-T12</f>
        <v>-22359.940000000061</v>
      </c>
      <c r="Y12" s="4"/>
      <c r="Z12" s="12">
        <f t="shared" ref="Z12:Z19" si="3">IF(T12=0,0,X12/T12)</f>
        <v>-4.3151828843485542E-2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--6937.17</f>
        <v>6937.17</v>
      </c>
      <c r="E13" s="2"/>
      <c r="F13" s="19"/>
      <c r="G13" s="2"/>
      <c r="H13" s="2"/>
      <c r="I13" s="2"/>
      <c r="J13" s="19"/>
      <c r="K13" s="2"/>
      <c r="L13" s="2">
        <f t="shared" si="0"/>
        <v>6937.17</v>
      </c>
      <c r="M13" s="2"/>
      <c r="N13" s="19">
        <f t="shared" si="1"/>
        <v>0</v>
      </c>
      <c r="O13" s="11"/>
      <c r="P13" s="2">
        <f>--104991.04</f>
        <v>104991.03999999999</v>
      </c>
      <c r="Q13" s="2"/>
      <c r="R13" s="19"/>
      <c r="S13" s="2"/>
      <c r="T13" s="2"/>
      <c r="U13" s="2"/>
      <c r="V13" s="19"/>
      <c r="W13" s="2"/>
      <c r="X13" s="2">
        <f t="shared" si="2"/>
        <v>104991.03999999999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>--158.53</f>
        <v>158.53</v>
      </c>
      <c r="E14" s="2"/>
      <c r="F14" s="19"/>
      <c r="G14" s="2"/>
      <c r="H14" s="2"/>
      <c r="I14" s="2"/>
      <c r="J14" s="19"/>
      <c r="K14" s="2"/>
      <c r="L14" s="2">
        <f t="shared" si="0"/>
        <v>158.53</v>
      </c>
      <c r="M14" s="2"/>
      <c r="N14" s="19">
        <f t="shared" si="1"/>
        <v>0</v>
      </c>
      <c r="O14" s="11"/>
      <c r="P14" s="2">
        <f>--3118.55</f>
        <v>3118.55</v>
      </c>
      <c r="Q14" s="2"/>
      <c r="R14" s="19"/>
      <c r="S14" s="2"/>
      <c r="T14" s="2"/>
      <c r="U14" s="2"/>
      <c r="V14" s="19"/>
      <c r="W14" s="2"/>
      <c r="X14" s="2">
        <f t="shared" si="2"/>
        <v>3118.55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67059</v>
      </c>
      <c r="I15" s="2"/>
      <c r="J15" s="19"/>
      <c r="K15" s="2"/>
      <c r="L15" s="2">
        <f t="shared" si="0"/>
        <v>-67059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518169.00000000006</v>
      </c>
      <c r="U15" s="2"/>
      <c r="V15" s="19"/>
      <c r="W15" s="2"/>
      <c r="X15" s="2">
        <f t="shared" si="2"/>
        <v>-518169.00000000006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"4132", " - ", "NON-TAXABLE SALES-JUICE")</f>
        <v xml:space="preserve">          4132 - NON-TAXABLE SALES-JUICE</v>
      </c>
      <c r="C16" s="11"/>
      <c r="D16" s="2">
        <f>--26386.1</f>
        <v>26386.1</v>
      </c>
      <c r="E16" s="2"/>
      <c r="F16" s="19"/>
      <c r="G16" s="2"/>
      <c r="H16" s="2"/>
      <c r="I16" s="2"/>
      <c r="J16" s="19"/>
      <c r="K16" s="2"/>
      <c r="L16" s="2">
        <f t="shared" si="0"/>
        <v>26386.1</v>
      </c>
      <c r="M16" s="2"/>
      <c r="N16" s="19">
        <f t="shared" si="1"/>
        <v>0</v>
      </c>
      <c r="O16" s="11"/>
      <c r="P16" s="2">
        <f>--386093.75</f>
        <v>386093.75</v>
      </c>
      <c r="Q16" s="2"/>
      <c r="R16" s="19"/>
      <c r="S16" s="2"/>
      <c r="T16" s="2"/>
      <c r="U16" s="2"/>
      <c r="V16" s="19"/>
      <c r="W16" s="2"/>
      <c r="X16" s="2">
        <f t="shared" si="2"/>
        <v>386093.75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"4133", " - ", "NON-TAXABLE SALES-CANDY")</f>
        <v xml:space="preserve">          4133 - NON-TAXABLE SALES-CANDY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--1.59</f>
        <v>1.59</v>
      </c>
      <c r="Q17" s="2"/>
      <c r="R17" s="19"/>
      <c r="S17" s="2"/>
      <c r="T17" s="2"/>
      <c r="U17" s="2"/>
      <c r="V17" s="19"/>
      <c r="W17" s="2"/>
      <c r="X17" s="2">
        <f t="shared" si="2"/>
        <v>1.59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"4134", " - ", "NON-TAXABLE SALES-SODA")</f>
        <v xml:space="preserve">          4134 - NON-TAXABLE SALES-SODA</v>
      </c>
      <c r="C18" s="11"/>
      <c r="D18" s="2">
        <f>--26.93</f>
        <v>26.93</v>
      </c>
      <c r="E18" s="2"/>
      <c r="F18" s="19"/>
      <c r="G18" s="2"/>
      <c r="H18" s="2"/>
      <c r="I18" s="2"/>
      <c r="J18" s="19"/>
      <c r="K18" s="2"/>
      <c r="L18" s="2">
        <f t="shared" si="0"/>
        <v>26.93</v>
      </c>
      <c r="M18" s="2"/>
      <c r="N18" s="19">
        <f t="shared" si="1"/>
        <v>0</v>
      </c>
      <c r="O18" s="11"/>
      <c r="P18" s="2">
        <f>--35.34</f>
        <v>35.340000000000003</v>
      </c>
      <c r="Q18" s="2"/>
      <c r="R18" s="19"/>
      <c r="S18" s="2"/>
      <c r="T18" s="2"/>
      <c r="U18" s="2"/>
      <c r="V18" s="19"/>
      <c r="W18" s="2"/>
      <c r="X18" s="2">
        <f t="shared" si="2"/>
        <v>35.340000000000003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"4137", " - ", "NON-TAXABLE SALES-WATER")</f>
        <v xml:space="preserve">          4137 - NON-TAXABLE SALES-WATER</v>
      </c>
      <c r="C19" s="11"/>
      <c r="D19" s="2">
        <f>--96.9</f>
        <v>96.9</v>
      </c>
      <c r="E19" s="2"/>
      <c r="F19" s="19"/>
      <c r="G19" s="2"/>
      <c r="H19" s="2"/>
      <c r="I19" s="2"/>
      <c r="J19" s="19"/>
      <c r="K19" s="2"/>
      <c r="L19" s="2">
        <f t="shared" si="0"/>
        <v>96.9</v>
      </c>
      <c r="M19" s="2"/>
      <c r="N19" s="19">
        <f t="shared" si="1"/>
        <v>0</v>
      </c>
      <c r="O19" s="11"/>
      <c r="P19" s="2">
        <f>--1568.79</f>
        <v>1568.79</v>
      </c>
      <c r="Q19" s="2"/>
      <c r="R19" s="19"/>
      <c r="S19" s="2"/>
      <c r="T19" s="2"/>
      <c r="U19" s="2"/>
      <c r="V19" s="19"/>
      <c r="W19" s="2"/>
      <c r="X19" s="2">
        <f t="shared" si="2"/>
        <v>1568.79</v>
      </c>
      <c r="Y19" s="2"/>
      <c r="Z19" s="19">
        <f t="shared" si="3"/>
        <v>0</v>
      </c>
    </row>
    <row r="20" spans="1:26" x14ac:dyDescent="0.25">
      <c r="A20" s="9"/>
      <c r="B20" s="10"/>
      <c r="C20" s="9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collapsed="1" x14ac:dyDescent="0.25">
      <c r="A21" s="10"/>
      <c r="B21" s="29" t="s">
        <v>8</v>
      </c>
      <c r="C21" s="10"/>
      <c r="D21" s="4">
        <f>SUM(OSRRefD16x_0)</f>
        <v>16130.779999999999</v>
      </c>
      <c r="E21" s="4"/>
      <c r="F21" s="12">
        <f t="shared" ref="F21:F24" si="4">IF(D$12=0,0,D21/D$12)</f>
        <v>0.48000230913689163</v>
      </c>
      <c r="G21" s="4"/>
      <c r="H21" s="4">
        <f>SUM(OSRRefH16x_0)</f>
        <v>32188</v>
      </c>
      <c r="I21" s="4"/>
      <c r="J21" s="12">
        <f t="shared" ref="J21:J24" si="5">IF(H$12=0,0,H21/H$12)</f>
        <v>0.47999522808273309</v>
      </c>
      <c r="K21" s="4"/>
      <c r="L21" s="4">
        <f t="shared" ref="L21:L24" si="6">+D21-H21</f>
        <v>-16057.220000000001</v>
      </c>
      <c r="M21" s="4"/>
      <c r="N21" s="12">
        <f t="shared" ref="N21:N24" si="7">IF(H21=0,0,L21/H21)</f>
        <v>-0.49885733813843675</v>
      </c>
      <c r="O21" s="10"/>
      <c r="P21" s="4">
        <f>SUM(OSRRefP16x_0)</f>
        <v>235039.58</v>
      </c>
      <c r="Q21" s="4"/>
      <c r="R21" s="12">
        <f t="shared" ref="R21:R24" si="8">IF(P$12=0,0,P21/P$12)</f>
        <v>0.47405261210837896</v>
      </c>
      <c r="S21" s="4"/>
      <c r="T21" s="4">
        <f>SUM(OSRRefT16x_0)</f>
        <v>248722</v>
      </c>
      <c r="U21" s="4"/>
      <c r="V21" s="12">
        <f t="shared" ref="V21:V24" si="9">IF(T$12=0,0,T21/T$12)</f>
        <v>0.48000169828762423</v>
      </c>
      <c r="W21" s="4"/>
      <c r="X21" s="4">
        <f t="shared" ref="X21:X24" si="10">+P21-T21</f>
        <v>-13682.420000000013</v>
      </c>
      <c r="Y21" s="4"/>
      <c r="Z21" s="12">
        <f t="shared" ref="Z21:Z24" si="11">IF(T21=0,0,X21/T21)</f>
        <v>-5.501089569881238E-2</v>
      </c>
    </row>
    <row r="22" spans="1:26" s="24" customFormat="1" hidden="1" outlineLevel="1" x14ac:dyDescent="0.25">
      <c r="A22" s="44"/>
      <c r="B22" s="11" t="str">
        <f>CONCATENATE("          ", "5000", " - ", "PURCHASES @ COST")</f>
        <v xml:space="preserve">          5000 - PURCHASES @ COST</v>
      </c>
      <c r="C22" s="11"/>
      <c r="D22" s="2"/>
      <c r="E22" s="2"/>
      <c r="F22" s="19">
        <f t="shared" si="4"/>
        <v>0</v>
      </c>
      <c r="G22" s="2"/>
      <c r="H22" s="2">
        <v>32188</v>
      </c>
      <c r="I22" s="2"/>
      <c r="J22" s="19">
        <f t="shared" si="5"/>
        <v>0.47999522808273309</v>
      </c>
      <c r="K22" s="2"/>
      <c r="L22" s="2">
        <f t="shared" si="6"/>
        <v>-32188</v>
      </c>
      <c r="M22" s="2"/>
      <c r="N22" s="19">
        <f t="shared" si="7"/>
        <v>-1</v>
      </c>
      <c r="O22" s="11"/>
      <c r="P22" s="2"/>
      <c r="Q22" s="2"/>
      <c r="R22" s="19">
        <f t="shared" si="8"/>
        <v>0</v>
      </c>
      <c r="S22" s="2"/>
      <c r="T22" s="2">
        <v>248722</v>
      </c>
      <c r="U22" s="2"/>
      <c r="V22" s="19">
        <f t="shared" si="9"/>
        <v>0.48000169828762423</v>
      </c>
      <c r="W22" s="2"/>
      <c r="X22" s="2">
        <f t="shared" si="10"/>
        <v>-248722</v>
      </c>
      <c r="Y22" s="2"/>
      <c r="Z22" s="19">
        <f t="shared" si="11"/>
        <v>-1</v>
      </c>
    </row>
    <row r="23" spans="1:26" s="24" customFormat="1" hidden="1" outlineLevel="1" x14ac:dyDescent="0.25">
      <c r="A23" s="44"/>
      <c r="B23" s="11" t="str">
        <f>CONCATENATE("          ", "5053", " - ", "PURCHASES @ COST-FOOD")</f>
        <v xml:space="preserve">          5053 - PURCHASES @ COST-FOOD</v>
      </c>
      <c r="C23" s="11"/>
      <c r="D23" s="2">
        <v>15997.769999999999</v>
      </c>
      <c r="E23" s="2"/>
      <c r="F23" s="19">
        <f t="shared" si="4"/>
        <v>0.47604434137970336</v>
      </c>
      <c r="G23" s="2"/>
      <c r="H23" s="2"/>
      <c r="I23" s="2"/>
      <c r="J23" s="19">
        <f t="shared" si="5"/>
        <v>0</v>
      </c>
      <c r="K23" s="2"/>
      <c r="L23" s="2">
        <f t="shared" si="6"/>
        <v>15997.769999999999</v>
      </c>
      <c r="M23" s="2"/>
      <c r="N23" s="19">
        <f t="shared" si="7"/>
        <v>0</v>
      </c>
      <c r="O23" s="11"/>
      <c r="P23" s="2">
        <v>238355.59</v>
      </c>
      <c r="Q23" s="2"/>
      <c r="R23" s="19">
        <f t="shared" si="8"/>
        <v>0.48074069078124548</v>
      </c>
      <c r="S23" s="2"/>
      <c r="T23" s="2"/>
      <c r="U23" s="2"/>
      <c r="V23" s="19">
        <f t="shared" si="9"/>
        <v>0</v>
      </c>
      <c r="W23" s="2"/>
      <c r="X23" s="2">
        <f t="shared" si="10"/>
        <v>238355.59</v>
      </c>
      <c r="Y23" s="2"/>
      <c r="Z23" s="19">
        <f t="shared" si="11"/>
        <v>0</v>
      </c>
    </row>
    <row r="24" spans="1:26" s="24" customFormat="1" hidden="1" outlineLevel="1" x14ac:dyDescent="0.25">
      <c r="A24" s="44"/>
      <c r="B24" s="11" t="str">
        <f>CONCATENATE("          ", "5059", " - ", "PURCHASES @ COST-FOOD")</f>
        <v xml:space="preserve">          5059 - PURCHASES @ COST-FOOD</v>
      </c>
      <c r="C24" s="11"/>
      <c r="D24" s="2">
        <v>133.01</v>
      </c>
      <c r="E24" s="2"/>
      <c r="F24" s="19">
        <f t="shared" si="4"/>
        <v>3.9579677571883048E-3</v>
      </c>
      <c r="G24" s="2"/>
      <c r="H24" s="2"/>
      <c r="I24" s="2"/>
      <c r="J24" s="19">
        <f t="shared" si="5"/>
        <v>0</v>
      </c>
      <c r="K24" s="2"/>
      <c r="L24" s="2">
        <f t="shared" si="6"/>
        <v>133.01</v>
      </c>
      <c r="M24" s="2"/>
      <c r="N24" s="19">
        <f t="shared" si="7"/>
        <v>0</v>
      </c>
      <c r="O24" s="11"/>
      <c r="P24" s="2">
        <v>-3316.01</v>
      </c>
      <c r="Q24" s="2"/>
      <c r="R24" s="19">
        <f t="shared" si="8"/>
        <v>-6.6880786728665273E-3</v>
      </c>
      <c r="S24" s="2"/>
      <c r="T24" s="2"/>
      <c r="U24" s="2"/>
      <c r="V24" s="19">
        <f t="shared" si="9"/>
        <v>0</v>
      </c>
      <c r="W24" s="2"/>
      <c r="X24" s="2">
        <f t="shared" si="10"/>
        <v>-3316.01</v>
      </c>
      <c r="Y24" s="2"/>
      <c r="Z24" s="19">
        <f t="shared" si="11"/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8" t="s">
        <v>6</v>
      </c>
      <c r="C26" s="28"/>
      <c r="D26" s="20">
        <f>D12-D21</f>
        <v>17474.849999999999</v>
      </c>
      <c r="E26" s="14"/>
      <c r="F26" s="22">
        <f>IF(D$12=0,0,D26/D$12)</f>
        <v>0.51999769086310832</v>
      </c>
      <c r="G26" s="14"/>
      <c r="H26" s="20">
        <f>H12-H21</f>
        <v>34871</v>
      </c>
      <c r="I26" s="14"/>
      <c r="J26" s="22">
        <f>IF(H$12=0,0,H26/H$12)</f>
        <v>0.52000477191726691</v>
      </c>
      <c r="K26" s="16"/>
      <c r="L26" s="20">
        <f>+D26-H26</f>
        <v>-17396.150000000001</v>
      </c>
      <c r="M26" s="16"/>
      <c r="N26" s="22">
        <f>IF(H26=0,0,L26/H26)</f>
        <v>-0.49887155516044857</v>
      </c>
      <c r="O26" s="29"/>
      <c r="P26" s="20">
        <f>P12-P21</f>
        <v>260769.48</v>
      </c>
      <c r="Q26" s="14"/>
      <c r="R26" s="22">
        <f>IF(P$12=0,0,P26/P$12)</f>
        <v>0.5259473878916211</v>
      </c>
      <c r="S26" s="14"/>
      <c r="T26" s="20">
        <f>T12-T21</f>
        <v>269447.00000000006</v>
      </c>
      <c r="U26" s="14"/>
      <c r="V26" s="22">
        <f>IF(T$12=0,0,T26/T$12)</f>
        <v>0.51999830171237571</v>
      </c>
      <c r="W26" s="16"/>
      <c r="X26" s="20">
        <f>+P26-T26</f>
        <v>-8677.5200000000477</v>
      </c>
      <c r="Y26" s="16"/>
      <c r="Z26" s="22">
        <f>IF(T26=0,0,X26/T26)</f>
        <v>-3.2204923417221365E-2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9" t="s">
        <v>9</v>
      </c>
      <c r="C28" s="10"/>
      <c r="D28" s="21">
        <f>SUM(OSRRefD22x_0)</f>
        <v>19747.790000000005</v>
      </c>
      <c r="E28" s="21"/>
      <c r="F28" s="30">
        <f t="shared" ref="F28:F38" si="12">IF(D$12=0,0,D28/D$12)</f>
        <v>0.58763338166848844</v>
      </c>
      <c r="G28" s="21"/>
      <c r="H28" s="21">
        <f>SUM(OSRRefH22x_0)</f>
        <v>21090.4668576</v>
      </c>
      <c r="I28" s="21"/>
      <c r="J28" s="30">
        <f t="shared" ref="J28:J38" si="13">IF(H$12=0,0,H28/H$12)</f>
        <v>0.31450613426385721</v>
      </c>
      <c r="K28" s="4"/>
      <c r="L28" s="21">
        <f t="shared" ref="L28:L38" si="14">+D28-H28</f>
        <v>-1342.6768575999959</v>
      </c>
      <c r="M28" s="4"/>
      <c r="N28" s="30">
        <f t="shared" ref="N28:N38" si="15">IF(H28=0,0,L28/H28)</f>
        <v>-6.3662737608682143E-2</v>
      </c>
      <c r="O28" s="10"/>
      <c r="P28" s="21">
        <f>SUM(OSRRefP22x_0)</f>
        <v>174715.56000000003</v>
      </c>
      <c r="Q28" s="21"/>
      <c r="R28" s="30">
        <f t="shared" ref="R28:R38" si="16">IF(P$12=0,0,P28/P$12)</f>
        <v>0.35238476682939202</v>
      </c>
      <c r="S28" s="21"/>
      <c r="T28" s="21">
        <f>SUM(OSRRefT22x_0)</f>
        <v>178761.56945559999</v>
      </c>
      <c r="U28" s="21"/>
      <c r="V28" s="30">
        <f t="shared" ref="V28:V38" si="17">IF(T$12=0,0,T28/T$12)</f>
        <v>0.3449870012594346</v>
      </c>
      <c r="W28" s="4"/>
      <c r="X28" s="21">
        <f t="shared" ref="X28:X38" si="18">+P28-T28</f>
        <v>-4046.0094555999676</v>
      </c>
      <c r="Y28" s="4"/>
      <c r="Z28" s="30">
        <f t="shared" ref="Z28:Z38" si="19">IF(T28=0,0,X28/T28)</f>
        <v>-2.2633552994201573E-2</v>
      </c>
    </row>
    <row r="29" spans="1:26" s="27" customFormat="1" outlineLevel="1" collapsed="1" x14ac:dyDescent="0.25">
      <c r="A29" s="26"/>
      <c r="B29" s="13" t="str">
        <f>CONCATENATE("     ","*Benefits                                         ")</f>
        <v xml:space="preserve">     *Benefits                                         </v>
      </c>
      <c r="C29" s="13"/>
      <c r="D29" s="1">
        <f>SUM(OSRRefD22_0x_0)</f>
        <v>4125.5</v>
      </c>
      <c r="E29" s="1"/>
      <c r="F29" s="5">
        <f t="shared" si="12"/>
        <v>0.12276216812480528</v>
      </c>
      <c r="G29" s="1"/>
      <c r="H29" s="1">
        <f>SUM(OSRRefH22_0x_0)</f>
        <v>3884.6428576000003</v>
      </c>
      <c r="I29" s="1"/>
      <c r="J29" s="5">
        <f t="shared" si="13"/>
        <v>5.7928732274564194E-2</v>
      </c>
      <c r="K29" s="1"/>
      <c r="L29" s="1">
        <f t="shared" si="14"/>
        <v>240.8571423999997</v>
      </c>
      <c r="M29" s="1"/>
      <c r="N29" s="5">
        <f t="shared" si="15"/>
        <v>6.2002390240014346E-2</v>
      </c>
      <c r="O29" s="13"/>
      <c r="P29" s="1">
        <f>SUM(OSRRefP22_0x_0)</f>
        <v>39046.39</v>
      </c>
      <c r="Q29" s="1"/>
      <c r="R29" s="5">
        <f t="shared" si="16"/>
        <v>7.8752877166060664E-2</v>
      </c>
      <c r="S29" s="1"/>
      <c r="T29" s="1">
        <f>SUM(OSRRefT22_0x_0)</f>
        <v>35504.537955600004</v>
      </c>
      <c r="U29" s="1"/>
      <c r="V29" s="5">
        <f t="shared" si="17"/>
        <v>6.8519224337233606E-2</v>
      </c>
      <c r="W29" s="1"/>
      <c r="X29" s="1">
        <f t="shared" si="18"/>
        <v>3541.8520443999951</v>
      </c>
      <c r="Y29" s="1"/>
      <c r="Z29" s="5">
        <f t="shared" si="19"/>
        <v>9.9757728119972661E-2</v>
      </c>
    </row>
    <row r="30" spans="1:26" s="24" customFormat="1" hidden="1" outlineLevel="2" x14ac:dyDescent="0.25">
      <c r="A30" s="25"/>
      <c r="B30" s="11" t="str">
        <f>CONCATENATE("          ", "6111", " - ", "F.I.C.A.")</f>
        <v xml:space="preserve">          6111 - F.I.C.A.</v>
      </c>
      <c r="C30" s="11"/>
      <c r="D30" s="6">
        <v>485.53</v>
      </c>
      <c r="E30" s="2"/>
      <c r="F30" s="7">
        <f t="shared" si="12"/>
        <v>1.4447876739701056E-2</v>
      </c>
      <c r="G30" s="2"/>
      <c r="H30" s="6">
        <v>563.13222959999996</v>
      </c>
      <c r="I30" s="2"/>
      <c r="J30" s="7">
        <f t="shared" si="13"/>
        <v>8.3975637811479435E-3</v>
      </c>
      <c r="K30" s="2"/>
      <c r="L30" s="6">
        <f t="shared" si="14"/>
        <v>-77.602229599999987</v>
      </c>
      <c r="M30" s="2"/>
      <c r="N30" s="7">
        <f t="shared" si="15"/>
        <v>-0.13780463188036998</v>
      </c>
      <c r="O30" s="11"/>
      <c r="P30" s="6">
        <v>4517.9399999999996</v>
      </c>
      <c r="Q30" s="2"/>
      <c r="R30" s="7">
        <f t="shared" si="16"/>
        <v>9.1122578518432074E-3</v>
      </c>
      <c r="S30" s="2"/>
      <c r="T30" s="6">
        <v>5619.0407616000002</v>
      </c>
      <c r="U30" s="2"/>
      <c r="V30" s="7">
        <f t="shared" si="17"/>
        <v>1.0844031120348766E-2</v>
      </c>
      <c r="W30" s="2"/>
      <c r="X30" s="6">
        <f t="shared" si="18"/>
        <v>-1101.1007616000006</v>
      </c>
      <c r="Y30" s="2"/>
      <c r="Z30" s="7">
        <f t="shared" si="19"/>
        <v>-0.19595884926210544</v>
      </c>
    </row>
    <row r="31" spans="1:26" s="24" customFormat="1" hidden="1" outlineLevel="2" x14ac:dyDescent="0.25">
      <c r="A31" s="25"/>
      <c r="B31" s="11" t="str">
        <f>CONCATENATE("          ", "6112", " - ", "COMPENSATION INSURANCE")</f>
        <v xml:space="preserve">          6112 - COMPENSATION INSURANCE</v>
      </c>
      <c r="C31" s="11"/>
      <c r="D31" s="6">
        <v>273.02</v>
      </c>
      <c r="E31" s="2"/>
      <c r="F31" s="7">
        <f t="shared" si="12"/>
        <v>8.1242339453240428E-3</v>
      </c>
      <c r="G31" s="2"/>
      <c r="H31" s="6">
        <v>277.82047</v>
      </c>
      <c r="I31" s="2"/>
      <c r="J31" s="7">
        <f t="shared" si="13"/>
        <v>4.1429259308966727E-3</v>
      </c>
      <c r="K31" s="2"/>
      <c r="L31" s="6">
        <f t="shared" si="14"/>
        <v>-4.8004700000000184</v>
      </c>
      <c r="M31" s="2"/>
      <c r="N31" s="7">
        <f t="shared" si="15"/>
        <v>-1.7279036350345309E-2</v>
      </c>
      <c r="O31" s="11"/>
      <c r="P31" s="6">
        <v>1722.97</v>
      </c>
      <c r="Q31" s="2"/>
      <c r="R31" s="7">
        <f t="shared" si="16"/>
        <v>3.4750675996118347E-3</v>
      </c>
      <c r="S31" s="2"/>
      <c r="T31" s="6">
        <v>2334.4637849999999</v>
      </c>
      <c r="U31" s="2"/>
      <c r="V31" s="7">
        <f t="shared" si="17"/>
        <v>4.5052169948414508E-3</v>
      </c>
      <c r="W31" s="2"/>
      <c r="X31" s="6">
        <f t="shared" si="18"/>
        <v>-611.49378499999989</v>
      </c>
      <c r="Y31" s="2"/>
      <c r="Z31" s="7">
        <f t="shared" si="19"/>
        <v>-0.26194185959496474</v>
      </c>
    </row>
    <row r="32" spans="1:26" s="24" customFormat="1" hidden="1" outlineLevel="2" x14ac:dyDescent="0.25">
      <c r="A32" s="25"/>
      <c r="B32" s="11" t="str">
        <f>CONCATENATE("          ", "6113", " - ", "GROUP INSURANCE")</f>
        <v xml:space="preserve">          6113 - GROUP INSURANCE</v>
      </c>
      <c r="C32" s="11"/>
      <c r="D32" s="6">
        <v>2021.26</v>
      </c>
      <c r="E32" s="2"/>
      <c r="F32" s="7">
        <f t="shared" si="12"/>
        <v>6.0146469505258496E-2</v>
      </c>
      <c r="G32" s="2"/>
      <c r="H32" s="6">
        <v>1977</v>
      </c>
      <c r="I32" s="2"/>
      <c r="J32" s="7">
        <f t="shared" si="13"/>
        <v>2.9481501364470093E-2</v>
      </c>
      <c r="K32" s="2"/>
      <c r="L32" s="6">
        <f t="shared" si="14"/>
        <v>44.259999999999991</v>
      </c>
      <c r="M32" s="2"/>
      <c r="N32" s="7">
        <f t="shared" si="15"/>
        <v>2.2387455741021745E-2</v>
      </c>
      <c r="O32" s="11"/>
      <c r="P32" s="6">
        <v>18183.599999999999</v>
      </c>
      <c r="Q32" s="2"/>
      <c r="R32" s="7">
        <f t="shared" si="16"/>
        <v>3.6674602113967017E-2</v>
      </c>
      <c r="S32" s="2"/>
      <c r="T32" s="6">
        <v>17793</v>
      </c>
      <c r="U32" s="2"/>
      <c r="V32" s="7">
        <f t="shared" si="17"/>
        <v>3.4338217840125515E-2</v>
      </c>
      <c r="W32" s="2"/>
      <c r="X32" s="6">
        <f t="shared" si="18"/>
        <v>390.59999999999854</v>
      </c>
      <c r="Y32" s="2"/>
      <c r="Z32" s="7">
        <f t="shared" si="19"/>
        <v>2.1952453211937197E-2</v>
      </c>
    </row>
    <row r="33" spans="1:26" s="24" customFormat="1" hidden="1" outlineLevel="2" x14ac:dyDescent="0.25">
      <c r="A33" s="25"/>
      <c r="B33" s="11" t="str">
        <f>CONCATENATE("          ", "6114", " - ", "STATE UNEMPLOYMENT INSURANCE")</f>
        <v xml:space="preserve">          6114 - STATE UNEMPLOYMENT INSURANCE</v>
      </c>
      <c r="C33" s="11"/>
      <c r="D33" s="6">
        <v>37.36</v>
      </c>
      <c r="E33" s="2"/>
      <c r="F33" s="7">
        <f t="shared" si="12"/>
        <v>1.1117184828851594E-3</v>
      </c>
      <c r="G33" s="2"/>
      <c r="H33" s="6">
        <v>38.017538000000002</v>
      </c>
      <c r="I33" s="2"/>
      <c r="J33" s="7">
        <f t="shared" si="13"/>
        <v>5.6692670633322893E-4</v>
      </c>
      <c r="K33" s="2"/>
      <c r="L33" s="6">
        <f t="shared" si="14"/>
        <v>-0.6575380000000024</v>
      </c>
      <c r="M33" s="2"/>
      <c r="N33" s="7">
        <f t="shared" si="15"/>
        <v>-1.7295649181701414E-2</v>
      </c>
      <c r="O33" s="11"/>
      <c r="P33" s="6">
        <v>268.66000000000003</v>
      </c>
      <c r="Q33" s="2"/>
      <c r="R33" s="7">
        <f t="shared" si="16"/>
        <v>5.4186182075817663E-4</v>
      </c>
      <c r="S33" s="2"/>
      <c r="T33" s="6">
        <v>319.45293900000001</v>
      </c>
      <c r="U33" s="2"/>
      <c r="V33" s="7">
        <f t="shared" si="17"/>
        <v>6.1650337824146171E-4</v>
      </c>
      <c r="W33" s="2"/>
      <c r="X33" s="6">
        <f t="shared" si="18"/>
        <v>-50.79293899999999</v>
      </c>
      <c r="Y33" s="2"/>
      <c r="Z33" s="7">
        <f t="shared" si="19"/>
        <v>-0.15899975489034393</v>
      </c>
    </row>
    <row r="34" spans="1:26" s="24" customFormat="1" hidden="1" outlineLevel="2" x14ac:dyDescent="0.25">
      <c r="A34" s="25"/>
      <c r="B34" s="11" t="str">
        <f>CONCATENATE("          ", "6115", " - ", "P.E.R.S.")</f>
        <v xml:space="preserve">          6115 - P.E.R.S.</v>
      </c>
      <c r="C34" s="11"/>
      <c r="D34" s="6">
        <v>568.97</v>
      </c>
      <c r="E34" s="2"/>
      <c r="F34" s="7">
        <f t="shared" si="12"/>
        <v>1.6930794036594466E-2</v>
      </c>
      <c r="G34" s="2"/>
      <c r="H34" s="6">
        <v>478.68632000000002</v>
      </c>
      <c r="I34" s="2"/>
      <c r="J34" s="7">
        <f t="shared" si="13"/>
        <v>7.1382859869667014E-3</v>
      </c>
      <c r="K34" s="2"/>
      <c r="L34" s="6">
        <f t="shared" si="14"/>
        <v>90.283680000000004</v>
      </c>
      <c r="M34" s="2"/>
      <c r="N34" s="7">
        <f t="shared" si="15"/>
        <v>0.18860718643474081</v>
      </c>
      <c r="O34" s="11"/>
      <c r="P34" s="6">
        <v>5922.97</v>
      </c>
      <c r="Q34" s="2"/>
      <c r="R34" s="7">
        <f t="shared" si="16"/>
        <v>1.1946070529651073E-2</v>
      </c>
      <c r="S34" s="2"/>
      <c r="T34" s="6">
        <v>4667.1916199999996</v>
      </c>
      <c r="U34" s="2"/>
      <c r="V34" s="7">
        <f t="shared" si="17"/>
        <v>9.0070838278631087E-3</v>
      </c>
      <c r="W34" s="2"/>
      <c r="X34" s="6">
        <f t="shared" si="18"/>
        <v>1255.7783800000007</v>
      </c>
      <c r="Y34" s="2"/>
      <c r="Z34" s="7">
        <f t="shared" si="19"/>
        <v>0.2690651000097572</v>
      </c>
    </row>
    <row r="35" spans="1:26" s="24" customFormat="1" hidden="1" outlineLevel="2" x14ac:dyDescent="0.25">
      <c r="A35" s="25"/>
      <c r="B35" s="11" t="str">
        <f>CONCATENATE("          ", "6116", " - ", "EDUCATIONAL BENEFITS")</f>
        <v xml:space="preserve">          6116 - EDUCATIONAL BENEFITS</v>
      </c>
      <c r="C35" s="11"/>
      <c r="D35" s="6"/>
      <c r="E35" s="2"/>
      <c r="F35" s="7">
        <f t="shared" si="12"/>
        <v>0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0</v>
      </c>
      <c r="M35" s="2"/>
      <c r="N35" s="7">
        <f t="shared" si="15"/>
        <v>0</v>
      </c>
      <c r="O35" s="11"/>
      <c r="P35" s="6"/>
      <c r="Q35" s="2"/>
      <c r="R35" s="7">
        <f t="shared" si="16"/>
        <v>0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0</v>
      </c>
      <c r="Y35" s="2"/>
      <c r="Z35" s="7">
        <f t="shared" si="19"/>
        <v>0</v>
      </c>
    </row>
    <row r="36" spans="1:26" s="24" customFormat="1" hidden="1" outlineLevel="2" x14ac:dyDescent="0.25">
      <c r="A36" s="25"/>
      <c r="B36" s="11" t="str">
        <f>CONCATENATE("          ", "6118", " - ", "VACATION")</f>
        <v xml:space="preserve">          6118 - VACATION</v>
      </c>
      <c r="C36" s="11"/>
      <c r="D36" s="6">
        <v>407.06</v>
      </c>
      <c r="E36" s="2"/>
      <c r="F36" s="7">
        <f t="shared" si="12"/>
        <v>1.2112851328780327E-2</v>
      </c>
      <c r="G36" s="2"/>
      <c r="H36" s="6">
        <v>220.74959999999999</v>
      </c>
      <c r="I36" s="2"/>
      <c r="J36" s="7">
        <f t="shared" si="13"/>
        <v>3.2918713371806914E-3</v>
      </c>
      <c r="K36" s="2"/>
      <c r="L36" s="6">
        <f t="shared" si="14"/>
        <v>186.31040000000002</v>
      </c>
      <c r="M36" s="2"/>
      <c r="N36" s="7">
        <f t="shared" si="15"/>
        <v>0.84398975128380771</v>
      </c>
      <c r="O36" s="11"/>
      <c r="P36" s="6">
        <v>4175.96</v>
      </c>
      <c r="Q36" s="2"/>
      <c r="R36" s="7">
        <f t="shared" si="16"/>
        <v>8.4225165227920611E-3</v>
      </c>
      <c r="S36" s="2"/>
      <c r="T36" s="6">
        <v>2116.6190999999999</v>
      </c>
      <c r="U36" s="2"/>
      <c r="V36" s="7">
        <f t="shared" si="17"/>
        <v>4.0848045714815045E-3</v>
      </c>
      <c r="W36" s="2"/>
      <c r="X36" s="6">
        <f t="shared" si="18"/>
        <v>2059.3409000000001</v>
      </c>
      <c r="Y36" s="2"/>
      <c r="Z36" s="7">
        <f t="shared" si="19"/>
        <v>0.97293882494020778</v>
      </c>
    </row>
    <row r="37" spans="1:26" s="24" customFormat="1" hidden="1" outlineLevel="2" x14ac:dyDescent="0.25">
      <c r="A37" s="25"/>
      <c r="B37" s="11" t="str">
        <f>CONCATENATE("          ", "6119", " - ", "SICK LEAVE")</f>
        <v xml:space="preserve">          6119 - SICK LEAVE</v>
      </c>
      <c r="C37" s="11"/>
      <c r="D37" s="6">
        <v>256.76</v>
      </c>
      <c r="E37" s="2"/>
      <c r="F37" s="7">
        <f t="shared" si="12"/>
        <v>7.6403864471518614E-3</v>
      </c>
      <c r="G37" s="2"/>
      <c r="H37" s="6">
        <v>329.23669999999998</v>
      </c>
      <c r="I37" s="2"/>
      <c r="J37" s="7">
        <f t="shared" si="13"/>
        <v>4.9096571675688568E-3</v>
      </c>
      <c r="K37" s="2"/>
      <c r="L37" s="6">
        <f t="shared" si="14"/>
        <v>-72.476699999999994</v>
      </c>
      <c r="M37" s="2"/>
      <c r="N37" s="7">
        <f t="shared" si="15"/>
        <v>-0.22013554381999334</v>
      </c>
      <c r="O37" s="11"/>
      <c r="P37" s="6">
        <v>2843.64</v>
      </c>
      <c r="Q37" s="2"/>
      <c r="R37" s="7">
        <f t="shared" si="16"/>
        <v>5.7353530409468513E-3</v>
      </c>
      <c r="S37" s="2"/>
      <c r="T37" s="6">
        <v>2654.7697500000004</v>
      </c>
      <c r="U37" s="2"/>
      <c r="V37" s="7">
        <f t="shared" si="17"/>
        <v>5.1233666043317919E-3</v>
      </c>
      <c r="W37" s="2"/>
      <c r="X37" s="6">
        <f t="shared" si="18"/>
        <v>188.87024999999949</v>
      </c>
      <c r="Y37" s="2"/>
      <c r="Z37" s="7">
        <f t="shared" si="19"/>
        <v>7.1143740431726499E-2</v>
      </c>
    </row>
    <row r="38" spans="1:26" s="24" customFormat="1" hidden="1" outlineLevel="2" x14ac:dyDescent="0.25">
      <c r="A38" s="25"/>
      <c r="B38" s="11" t="str">
        <f>CONCATENATE("          ", "6156", " - ", "EMPLOYEE MEALS")</f>
        <v xml:space="preserve">          6156 - EMPLOYEE MEALS</v>
      </c>
      <c r="C38" s="11"/>
      <c r="D38" s="6">
        <v>75.540000000000006</v>
      </c>
      <c r="E38" s="2"/>
      <c r="F38" s="7">
        <f t="shared" si="12"/>
        <v>2.2478376391098756E-3</v>
      </c>
      <c r="G38" s="2"/>
      <c r="H38" s="6"/>
      <c r="I38" s="2"/>
      <c r="J38" s="7">
        <f t="shared" si="13"/>
        <v>0</v>
      </c>
      <c r="K38" s="2"/>
      <c r="L38" s="6">
        <f t="shared" si="14"/>
        <v>75.540000000000006</v>
      </c>
      <c r="M38" s="2"/>
      <c r="N38" s="7">
        <f t="shared" si="15"/>
        <v>0</v>
      </c>
      <c r="O38" s="11"/>
      <c r="P38" s="6">
        <v>1410.65</v>
      </c>
      <c r="Q38" s="2"/>
      <c r="R38" s="7">
        <f t="shared" si="16"/>
        <v>2.8451476864904406E-3</v>
      </c>
      <c r="S38" s="2"/>
      <c r="T38" s="6"/>
      <c r="U38" s="2"/>
      <c r="V38" s="7">
        <f t="shared" si="17"/>
        <v>0</v>
      </c>
      <c r="W38" s="2"/>
      <c r="X38" s="6">
        <f t="shared" si="18"/>
        <v>1410.65</v>
      </c>
      <c r="Y38" s="2"/>
      <c r="Z38" s="7">
        <f t="shared" si="19"/>
        <v>0</v>
      </c>
    </row>
    <row r="39" spans="1:26" s="27" customFormat="1" outlineLevel="1" collapsed="1" x14ac:dyDescent="0.25">
      <c r="A39" s="26"/>
      <c r="B39" s="13" t="str">
        <f>CONCATENATE("     ","*Payroll                                          ")</f>
        <v xml:space="preserve">     *Payroll                                          </v>
      </c>
      <c r="C39" s="13"/>
      <c r="D39" s="1">
        <f>SUM(OSRRefD22_1x_0)</f>
        <v>13275.539999999999</v>
      </c>
      <c r="E39" s="1"/>
      <c r="F39" s="5">
        <f t="shared" ref="F39:F49" si="20">IF(D$12=0,0,D39/D$12)</f>
        <v>0.39503916456855592</v>
      </c>
      <c r="G39" s="1"/>
      <c r="H39" s="1">
        <f>SUM(OSRRefH22_1x_0)</f>
        <v>14343.824000000001</v>
      </c>
      <c r="I39" s="1"/>
      <c r="J39" s="5">
        <f t="shared" ref="J39:J49" si="21">IF(H$12=0,0,H39/H$12)</f>
        <v>0.2138985669335958</v>
      </c>
      <c r="K39" s="1"/>
      <c r="L39" s="1">
        <f t="shared" ref="L39:L49" si="22">+D39-H39</f>
        <v>-1068.2840000000015</v>
      </c>
      <c r="M39" s="1"/>
      <c r="N39" s="5">
        <f t="shared" ref="N39:N49" si="23">IF(H39=0,0,L39/H39)</f>
        <v>-7.4476931674566108E-2</v>
      </c>
      <c r="O39" s="13"/>
      <c r="P39" s="1">
        <f>SUM(OSRRefP22_1x_0)</f>
        <v>105273.4</v>
      </c>
      <c r="Q39" s="1"/>
      <c r="R39" s="5">
        <f t="shared" ref="R39:R49" si="24">IF(P$12=0,0,P39/P$12)</f>
        <v>0.21232649520361729</v>
      </c>
      <c r="S39" s="1"/>
      <c r="T39" s="1">
        <f>SUM(OSRRefT22_1x_0)</f>
        <v>120153.0315</v>
      </c>
      <c r="U39" s="1"/>
      <c r="V39" s="5">
        <f t="shared" ref="V39:V49" si="25">IF(T$12=0,0,T39/T$12)</f>
        <v>0.23188000729491726</v>
      </c>
      <c r="W39" s="1"/>
      <c r="X39" s="1">
        <f t="shared" ref="X39:X49" si="26">+P39-T39</f>
        <v>-14879.631500000003</v>
      </c>
      <c r="Y39" s="1"/>
      <c r="Z39" s="5">
        <f t="shared" ref="Z39:Z49" si="27">IF(T39=0,0,X39/T39)</f>
        <v>-0.12383900193146608</v>
      </c>
    </row>
    <row r="40" spans="1:26" s="24" customFormat="1" hidden="1" outlineLevel="2" x14ac:dyDescent="0.25">
      <c r="A40" s="25"/>
      <c r="B40" s="11" t="str">
        <f>CONCATENATE("          ", "6001", " - ", "ADMINISTRATIVE SALARIES")</f>
        <v xml:space="preserve">          6001 - ADMINISTRATIVE SALARIES</v>
      </c>
      <c r="C40" s="11"/>
      <c r="D40" s="6"/>
      <c r="E40" s="2"/>
      <c r="F40" s="7">
        <f t="shared" si="20"/>
        <v>0</v>
      </c>
      <c r="G40" s="2"/>
      <c r="H40" s="6">
        <v>5287.8140000000003</v>
      </c>
      <c r="I40" s="2"/>
      <c r="J40" s="7">
        <f t="shared" si="21"/>
        <v>7.8853159158353101E-2</v>
      </c>
      <c r="K40" s="2"/>
      <c r="L40" s="6">
        <f t="shared" si="22"/>
        <v>-5287.8140000000003</v>
      </c>
      <c r="M40" s="2"/>
      <c r="N40" s="7">
        <f t="shared" si="23"/>
        <v>-1</v>
      </c>
      <c r="O40" s="11"/>
      <c r="P40" s="6"/>
      <c r="Q40" s="2"/>
      <c r="R40" s="7">
        <f t="shared" si="24"/>
        <v>0</v>
      </c>
      <c r="S40" s="2"/>
      <c r="T40" s="6">
        <v>51556.186500000003</v>
      </c>
      <c r="U40" s="2"/>
      <c r="V40" s="7">
        <f t="shared" si="25"/>
        <v>9.9496856238022721E-2</v>
      </c>
      <c r="W40" s="2"/>
      <c r="X40" s="6">
        <f t="shared" si="26"/>
        <v>-51556.186500000003</v>
      </c>
      <c r="Y40" s="2"/>
      <c r="Z40" s="7">
        <f t="shared" si="27"/>
        <v>-1</v>
      </c>
    </row>
    <row r="41" spans="1:26" s="24" customFormat="1" hidden="1" outlineLevel="2" x14ac:dyDescent="0.25">
      <c r="A41" s="25"/>
      <c r="B41" s="11" t="str">
        <f>CONCATENATE("          ", "6002", " - ", "STAFF SALARIES")</f>
        <v xml:space="preserve">          6002 - STAFF SALARIES</v>
      </c>
      <c r="C41" s="11"/>
      <c r="D41" s="6">
        <v>5566.66</v>
      </c>
      <c r="E41" s="2"/>
      <c r="F41" s="7">
        <f t="shared" si="20"/>
        <v>0.1656466490882629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5566.66</v>
      </c>
      <c r="M41" s="2"/>
      <c r="N41" s="7">
        <f t="shared" si="23"/>
        <v>0</v>
      </c>
      <c r="O41" s="11"/>
      <c r="P41" s="6">
        <v>51631.11</v>
      </c>
      <c r="Q41" s="2"/>
      <c r="R41" s="7">
        <f t="shared" si="24"/>
        <v>0.10413506764075671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51631.11</v>
      </c>
      <c r="Y41" s="2"/>
      <c r="Z41" s="7">
        <f t="shared" si="27"/>
        <v>0</v>
      </c>
    </row>
    <row r="42" spans="1:26" s="24" customFormat="1" hidden="1" outlineLevel="2" x14ac:dyDescent="0.25">
      <c r="A42" s="25"/>
      <c r="B42" s="11" t="str">
        <f>CONCATENATE("          ", "6003", " - ", "STAFF HOURLY-9 MONTH")</f>
        <v xml:space="preserve">          6003 - STAFF HOURLY-9 MONTH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25">
      <c r="A43" s="25"/>
      <c r="B43" s="11" t="str">
        <f>CONCATENATE("          ", "6004", " - ", "STAFF HOURLY")</f>
        <v xml:space="preserve">          6004 - STAFF HOURLY</v>
      </c>
      <c r="C43" s="11"/>
      <c r="D43" s="6"/>
      <c r="E43" s="2"/>
      <c r="F43" s="7">
        <f t="shared" si="20"/>
        <v>0</v>
      </c>
      <c r="G43" s="2"/>
      <c r="H43" s="6">
        <v>1792.2</v>
      </c>
      <c r="I43" s="2"/>
      <c r="J43" s="7">
        <f t="shared" si="21"/>
        <v>2.6725719142844363E-2</v>
      </c>
      <c r="K43" s="2"/>
      <c r="L43" s="6">
        <f t="shared" si="22"/>
        <v>-1792.2</v>
      </c>
      <c r="M43" s="2"/>
      <c r="N43" s="7">
        <f t="shared" si="23"/>
        <v>-1</v>
      </c>
      <c r="O43" s="11"/>
      <c r="P43" s="6"/>
      <c r="Q43" s="2"/>
      <c r="R43" s="7">
        <f t="shared" si="24"/>
        <v>0</v>
      </c>
      <c r="S43" s="2"/>
      <c r="T43" s="6">
        <v>16284.3</v>
      </c>
      <c r="U43" s="2"/>
      <c r="V43" s="7">
        <f t="shared" si="25"/>
        <v>3.1426619500587644E-2</v>
      </c>
      <c r="W43" s="2"/>
      <c r="X43" s="6">
        <f t="shared" si="26"/>
        <v>-16284.3</v>
      </c>
      <c r="Y43" s="2"/>
      <c r="Z43" s="7">
        <f t="shared" si="27"/>
        <v>-1</v>
      </c>
    </row>
    <row r="44" spans="1:26" s="24" customFormat="1" hidden="1" outlineLevel="2" x14ac:dyDescent="0.25">
      <c r="A44" s="25"/>
      <c r="B44" s="11" t="str">
        <f>CONCATENATE("          ", "6005", " - ", "TEMPORARY WAGES-HOURLY")</f>
        <v xml:space="preserve">          6005 - TEMPORARY WAGES-HOURLY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>
        <v>1174.26</v>
      </c>
      <c r="Q44" s="2"/>
      <c r="R44" s="7">
        <f t="shared" si="24"/>
        <v>2.3683714049113989E-3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1174.26</v>
      </c>
      <c r="Y44" s="2"/>
      <c r="Z44" s="7">
        <f t="shared" si="27"/>
        <v>0</v>
      </c>
    </row>
    <row r="45" spans="1:26" s="24" customFormat="1" hidden="1" outlineLevel="2" x14ac:dyDescent="0.25">
      <c r="A45" s="25"/>
      <c r="B45" s="11" t="str">
        <f>CONCATENATE("          ", "6006", " - ", "TEMPORARY PART TIME")</f>
        <v xml:space="preserve">          6006 - TEMPORARY PART TIME</v>
      </c>
      <c r="C45" s="11"/>
      <c r="D45" s="6">
        <v>1671.31</v>
      </c>
      <c r="E45" s="2"/>
      <c r="F45" s="7">
        <f t="shared" si="20"/>
        <v>4.9733035803822156E-2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1671.31</v>
      </c>
      <c r="M45" s="2"/>
      <c r="N45" s="7">
        <f t="shared" si="23"/>
        <v>0</v>
      </c>
      <c r="O45" s="11"/>
      <c r="P45" s="6">
        <v>4878.2700000000004</v>
      </c>
      <c r="Q45" s="2"/>
      <c r="R45" s="7">
        <f t="shared" si="24"/>
        <v>9.8390093960767887E-3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4878.2700000000004</v>
      </c>
      <c r="Y45" s="2"/>
      <c r="Z45" s="7">
        <f t="shared" si="27"/>
        <v>0</v>
      </c>
    </row>
    <row r="46" spans="1:26" s="24" customFormat="1" hidden="1" outlineLevel="2" x14ac:dyDescent="0.25">
      <c r="A46" s="25"/>
      <c r="B46" s="11" t="str">
        <f>CONCATENATE("          ", "6007", " - ", "STUDENT HOURLY")</f>
        <v xml:space="preserve">          6007 - STUDENT HOURLY</v>
      </c>
      <c r="C46" s="11"/>
      <c r="D46" s="6">
        <v>6037.57</v>
      </c>
      <c r="E46" s="2"/>
      <c r="F46" s="7">
        <f t="shared" si="20"/>
        <v>0.17965947967647089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6037.57</v>
      </c>
      <c r="M46" s="2"/>
      <c r="N46" s="7">
        <f t="shared" si="23"/>
        <v>0</v>
      </c>
      <c r="O46" s="11"/>
      <c r="P46" s="6">
        <v>44034.28</v>
      </c>
      <c r="Q46" s="2"/>
      <c r="R46" s="7">
        <f t="shared" si="24"/>
        <v>8.8812979738611464E-2</v>
      </c>
      <c r="S46" s="2"/>
      <c r="T46" s="6">
        <v>2868.75</v>
      </c>
      <c r="U46" s="2"/>
      <c r="V46" s="7">
        <f t="shared" si="25"/>
        <v>5.5363211616287341E-3</v>
      </c>
      <c r="W46" s="2"/>
      <c r="X46" s="6">
        <f t="shared" si="26"/>
        <v>41165.53</v>
      </c>
      <c r="Y46" s="2"/>
      <c r="Z46" s="7">
        <f t="shared" si="27"/>
        <v>14.34964008714597</v>
      </c>
    </row>
    <row r="47" spans="1:26" s="24" customFormat="1" hidden="1" outlineLevel="2" x14ac:dyDescent="0.25">
      <c r="A47" s="25"/>
      <c r="B47" s="11" t="str">
        <f>CONCATENATE("          ", "6008", " - ", "STUDENT HOURLY-FICA EXEMPT")</f>
        <v xml:space="preserve">          6008 - STUDENT HOURLY-FICA EXEMPT</v>
      </c>
      <c r="C47" s="11"/>
      <c r="D47" s="6"/>
      <c r="E47" s="2"/>
      <c r="F47" s="7">
        <f t="shared" si="20"/>
        <v>0</v>
      </c>
      <c r="G47" s="2"/>
      <c r="H47" s="6">
        <v>7263.81</v>
      </c>
      <c r="I47" s="2"/>
      <c r="J47" s="7">
        <f t="shared" si="21"/>
        <v>0.10831968863239834</v>
      </c>
      <c r="K47" s="2"/>
      <c r="L47" s="6">
        <f t="shared" si="22"/>
        <v>-7263.81</v>
      </c>
      <c r="M47" s="2"/>
      <c r="N47" s="7">
        <f t="shared" si="23"/>
        <v>-1</v>
      </c>
      <c r="O47" s="11"/>
      <c r="P47" s="6">
        <v>3555.48</v>
      </c>
      <c r="Q47" s="2"/>
      <c r="R47" s="7">
        <f t="shared" si="24"/>
        <v>7.1710670232609302E-3</v>
      </c>
      <c r="S47" s="2"/>
      <c r="T47" s="6">
        <v>49443.794999999998</v>
      </c>
      <c r="U47" s="2"/>
      <c r="V47" s="7">
        <f t="shared" si="25"/>
        <v>9.542021039467817E-2</v>
      </c>
      <c r="W47" s="2"/>
      <c r="X47" s="6">
        <f t="shared" si="26"/>
        <v>-45888.314999999995</v>
      </c>
      <c r="Y47" s="2"/>
      <c r="Z47" s="7">
        <f t="shared" si="27"/>
        <v>-0.92809047121079591</v>
      </c>
    </row>
    <row r="48" spans="1:26" s="24" customFormat="1" hidden="1" outlineLevel="2" x14ac:dyDescent="0.25">
      <c r="A48" s="25"/>
      <c r="B48" s="11" t="str">
        <f>CONCATENATE("          ", "6009", " - ", "TEMPORARY-SEASONAL")</f>
        <v xml:space="preserve">          6009 - TEMPORARY-SEASONAL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4" customFormat="1" hidden="1" outlineLevel="2" x14ac:dyDescent="0.25">
      <c r="A49" s="25"/>
      <c r="B49" s="11" t="str">
        <f>CONCATENATE("          ", "6010", " - ", "GRATUITY")</f>
        <v xml:space="preserve">          6010 - GRATUITY</v>
      </c>
      <c r="C49" s="11"/>
      <c r="D49" s="6"/>
      <c r="E49" s="2"/>
      <c r="F49" s="7">
        <f t="shared" si="20"/>
        <v>0</v>
      </c>
      <c r="G49" s="2"/>
      <c r="H49" s="6">
        <v>0</v>
      </c>
      <c r="I49" s="2"/>
      <c r="J49" s="7">
        <f t="shared" si="21"/>
        <v>0</v>
      </c>
      <c r="K49" s="2"/>
      <c r="L49" s="6">
        <f t="shared" si="22"/>
        <v>0</v>
      </c>
      <c r="M49" s="2"/>
      <c r="N49" s="7">
        <f t="shared" si="23"/>
        <v>0</v>
      </c>
      <c r="O49" s="11"/>
      <c r="P49" s="6"/>
      <c r="Q49" s="2"/>
      <c r="R49" s="7">
        <f t="shared" si="24"/>
        <v>0</v>
      </c>
      <c r="S49" s="2"/>
      <c r="T49" s="6">
        <v>0</v>
      </c>
      <c r="U49" s="2"/>
      <c r="V49" s="7">
        <f t="shared" si="25"/>
        <v>0</v>
      </c>
      <c r="W49" s="2"/>
      <c r="X49" s="6">
        <f t="shared" si="26"/>
        <v>0</v>
      </c>
      <c r="Y49" s="2"/>
      <c r="Z49" s="7">
        <f t="shared" si="27"/>
        <v>0</v>
      </c>
    </row>
    <row r="50" spans="1:26" s="27" customFormat="1" outlineLevel="1" collapsed="1" x14ac:dyDescent="0.25">
      <c r="A50" s="26"/>
      <c r="B50" s="13" t="str">
        <f>CONCATENATE("     ","Advertising/Promo                                 ")</f>
        <v xml:space="preserve">     Advertising/Promo                                 </v>
      </c>
      <c r="C50" s="13"/>
      <c r="D50" s="1">
        <f>SUM(OSRRefD22_2x_0)</f>
        <v>49.08</v>
      </c>
      <c r="E50" s="1"/>
      <c r="F50" s="5">
        <f t="shared" ref="F50:F69" si="28">IF(D$12=0,0,D50/D$12)</f>
        <v>1.4604695701285768E-3</v>
      </c>
      <c r="G50" s="1"/>
      <c r="H50" s="1">
        <f>SUM(OSRRefH22_2x_0)</f>
        <v>0</v>
      </c>
      <c r="I50" s="1"/>
      <c r="J50" s="5">
        <f t="shared" ref="J50:J69" si="29">IF(H$12=0,0,H50/H$12)</f>
        <v>0</v>
      </c>
      <c r="K50" s="1"/>
      <c r="L50" s="1">
        <f t="shared" ref="L50:L69" si="30">+D50-H50</f>
        <v>49.08</v>
      </c>
      <c r="M50" s="1"/>
      <c r="N50" s="5">
        <f t="shared" ref="N50:N69" si="31">IF(H50=0,0,L50/H50)</f>
        <v>0</v>
      </c>
      <c r="O50" s="13"/>
      <c r="P50" s="1">
        <f>SUM(OSRRefP22_2x_0)</f>
        <v>1464.31</v>
      </c>
      <c r="Q50" s="1"/>
      <c r="R50" s="5">
        <f t="shared" ref="R50:R69" si="32">IF(P$12=0,0,P50/P$12)</f>
        <v>2.9533748334489894E-3</v>
      </c>
      <c r="S50" s="1"/>
      <c r="T50" s="1">
        <f>SUM(OSRRefT22_2x_0)</f>
        <v>0</v>
      </c>
      <c r="U50" s="1"/>
      <c r="V50" s="5">
        <f t="shared" ref="V50:V69" si="33">IF(T$12=0,0,T50/T$12)</f>
        <v>0</v>
      </c>
      <c r="W50" s="1"/>
      <c r="X50" s="1">
        <f t="shared" ref="X50:X69" si="34">+P50-T50</f>
        <v>1464.31</v>
      </c>
      <c r="Y50" s="1"/>
      <c r="Z50" s="5">
        <f t="shared" ref="Z50:Z69" si="35">IF(T50=0,0,X50/T50)</f>
        <v>0</v>
      </c>
    </row>
    <row r="51" spans="1:26" s="24" customFormat="1" hidden="1" outlineLevel="2" x14ac:dyDescent="0.25">
      <c r="A51" s="25"/>
      <c r="B51" s="11" t="str">
        <f>CONCATENATE("          ", "6362", " - ", "ADVERTISING EXPENSE")</f>
        <v xml:space="preserve">          6362 - ADVERTISING EXPENSE</v>
      </c>
      <c r="C51" s="11"/>
      <c r="D51" s="6">
        <v>49.08</v>
      </c>
      <c r="E51" s="2"/>
      <c r="F51" s="7">
        <f t="shared" si="28"/>
        <v>1.4604695701285768E-3</v>
      </c>
      <c r="G51" s="2"/>
      <c r="H51" s="6">
        <v>0</v>
      </c>
      <c r="I51" s="2"/>
      <c r="J51" s="7">
        <f t="shared" si="29"/>
        <v>0</v>
      </c>
      <c r="K51" s="2"/>
      <c r="L51" s="6">
        <f t="shared" si="30"/>
        <v>49.08</v>
      </c>
      <c r="M51" s="2"/>
      <c r="N51" s="7">
        <f t="shared" si="31"/>
        <v>0</v>
      </c>
      <c r="O51" s="11"/>
      <c r="P51" s="6">
        <v>1464.31</v>
      </c>
      <c r="Q51" s="2"/>
      <c r="R51" s="7">
        <f t="shared" si="32"/>
        <v>2.9533748334489894E-3</v>
      </c>
      <c r="S51" s="2"/>
      <c r="T51" s="6">
        <v>0</v>
      </c>
      <c r="U51" s="2"/>
      <c r="V51" s="7">
        <f t="shared" si="33"/>
        <v>0</v>
      </c>
      <c r="W51" s="2"/>
      <c r="X51" s="6">
        <f t="shared" si="34"/>
        <v>1464.31</v>
      </c>
      <c r="Y51" s="2"/>
      <c r="Z51" s="7">
        <f t="shared" si="35"/>
        <v>0</v>
      </c>
    </row>
    <row r="52" spans="1:26" s="27" customFormat="1" outlineLevel="1" collapsed="1" x14ac:dyDescent="0.25">
      <c r="A52" s="26"/>
      <c r="B52" s="13" t="str">
        <f>CONCATENATE("     ","Bad Debts/Over/Short                              ")</f>
        <v xml:space="preserve">     Bad Debts/Over/Short                              </v>
      </c>
      <c r="C52" s="13"/>
      <c r="D52" s="1">
        <f>SUM(OSRRefD22_3x_0)</f>
        <v>-14.37</v>
      </c>
      <c r="E52" s="1"/>
      <c r="F52" s="5">
        <f t="shared" si="28"/>
        <v>-4.2760692181637424E-4</v>
      </c>
      <c r="G52" s="1"/>
      <c r="H52" s="1">
        <f>SUM(OSRRefH22_3x_0)</f>
        <v>0</v>
      </c>
      <c r="I52" s="1"/>
      <c r="J52" s="5">
        <f t="shared" si="29"/>
        <v>0</v>
      </c>
      <c r="K52" s="1"/>
      <c r="L52" s="1">
        <f t="shared" si="30"/>
        <v>-14.37</v>
      </c>
      <c r="M52" s="1"/>
      <c r="N52" s="5">
        <f t="shared" si="31"/>
        <v>0</v>
      </c>
      <c r="O52" s="13"/>
      <c r="P52" s="1">
        <f>SUM(OSRRefP22_3x_0)</f>
        <v>-198.56</v>
      </c>
      <c r="Q52" s="1"/>
      <c r="R52" s="5">
        <f t="shared" si="32"/>
        <v>-4.0047674804490264E-4</v>
      </c>
      <c r="S52" s="1"/>
      <c r="T52" s="1">
        <f>SUM(OSRRefT22_3x_0)</f>
        <v>0</v>
      </c>
      <c r="U52" s="1"/>
      <c r="V52" s="5">
        <f t="shared" si="33"/>
        <v>0</v>
      </c>
      <c r="W52" s="1"/>
      <c r="X52" s="1">
        <f t="shared" si="34"/>
        <v>-198.56</v>
      </c>
      <c r="Y52" s="1"/>
      <c r="Z52" s="5">
        <f t="shared" si="35"/>
        <v>0</v>
      </c>
    </row>
    <row r="53" spans="1:26" s="24" customFormat="1" hidden="1" outlineLevel="2" x14ac:dyDescent="0.25">
      <c r="A53" s="25"/>
      <c r="B53" s="11" t="str">
        <f>CONCATENATE("          ", "6272", " - ", "CASH (OVER/SHORT)")</f>
        <v xml:space="preserve">          6272 - CASH (OVER/SHORT)</v>
      </c>
      <c r="C53" s="11"/>
      <c r="D53" s="6">
        <v>-14.37</v>
      </c>
      <c r="E53" s="2"/>
      <c r="F53" s="7">
        <f t="shared" si="28"/>
        <v>-4.2760692181637424E-4</v>
      </c>
      <c r="G53" s="2"/>
      <c r="H53" s="6">
        <v>0</v>
      </c>
      <c r="I53" s="2"/>
      <c r="J53" s="7">
        <f t="shared" si="29"/>
        <v>0</v>
      </c>
      <c r="K53" s="2"/>
      <c r="L53" s="6">
        <f t="shared" si="30"/>
        <v>-14.37</v>
      </c>
      <c r="M53" s="2"/>
      <c r="N53" s="7">
        <f t="shared" si="31"/>
        <v>0</v>
      </c>
      <c r="O53" s="11"/>
      <c r="P53" s="6">
        <v>-198.56</v>
      </c>
      <c r="Q53" s="2"/>
      <c r="R53" s="7">
        <f t="shared" si="32"/>
        <v>-4.0047674804490264E-4</v>
      </c>
      <c r="S53" s="2"/>
      <c r="T53" s="6">
        <v>0</v>
      </c>
      <c r="U53" s="2"/>
      <c r="V53" s="7">
        <f t="shared" si="33"/>
        <v>0</v>
      </c>
      <c r="W53" s="2"/>
      <c r="X53" s="6">
        <f t="shared" si="34"/>
        <v>-198.56</v>
      </c>
      <c r="Y53" s="2"/>
      <c r="Z53" s="7">
        <f t="shared" si="35"/>
        <v>0</v>
      </c>
    </row>
    <row r="54" spans="1:26" s="27" customFormat="1" outlineLevel="1" collapsed="1" x14ac:dyDescent="0.25">
      <c r="A54" s="26"/>
      <c r="B54" s="13" t="str">
        <f>CONCATENATE("     ","Bank/card Fees                                    ")</f>
        <v xml:space="preserve">     Bank/card Fees                                    </v>
      </c>
      <c r="C54" s="13"/>
      <c r="D54" s="1">
        <f>SUM(OSRRefD22_4x_0)</f>
        <v>1748.94</v>
      </c>
      <c r="E54" s="1"/>
      <c r="F54" s="5">
        <f t="shared" si="28"/>
        <v>5.20430654030292E-2</v>
      </c>
      <c r="G54" s="1"/>
      <c r="H54" s="1">
        <f>SUM(OSRRefH22_4x_0)</f>
        <v>2125</v>
      </c>
      <c r="I54" s="1"/>
      <c r="J54" s="5">
        <f t="shared" si="29"/>
        <v>3.1688513100404124E-2</v>
      </c>
      <c r="K54" s="1"/>
      <c r="L54" s="1">
        <f t="shared" si="30"/>
        <v>-376.05999999999995</v>
      </c>
      <c r="M54" s="1"/>
      <c r="N54" s="5">
        <f t="shared" si="31"/>
        <v>-0.17696941176470585</v>
      </c>
      <c r="O54" s="13"/>
      <c r="P54" s="1">
        <f>SUM(OSRRefP22_4x_0)</f>
        <v>18073.439999999999</v>
      </c>
      <c r="Q54" s="1"/>
      <c r="R54" s="5">
        <f t="shared" si="32"/>
        <v>3.6452419808544842E-2</v>
      </c>
      <c r="S54" s="1"/>
      <c r="T54" s="1">
        <f>SUM(OSRRefT22_4x_0)</f>
        <v>16422</v>
      </c>
      <c r="U54" s="1"/>
      <c r="V54" s="5">
        <f t="shared" si="33"/>
        <v>3.169236291634582E-2</v>
      </c>
      <c r="W54" s="1"/>
      <c r="X54" s="1">
        <f t="shared" si="34"/>
        <v>1651.4399999999987</v>
      </c>
      <c r="Y54" s="1"/>
      <c r="Z54" s="5">
        <f t="shared" si="35"/>
        <v>0.10056265984654723</v>
      </c>
    </row>
    <row r="55" spans="1:26" s="24" customFormat="1" hidden="1" outlineLevel="2" x14ac:dyDescent="0.25">
      <c r="A55" s="25"/>
      <c r="B55" s="11" t="str">
        <f>CONCATENATE("          ", "6381", " - ", "BANK/CREDIT CARD FEES")</f>
        <v xml:space="preserve">          6381 - BANK/CREDIT CARD FEES</v>
      </c>
      <c r="C55" s="11"/>
      <c r="D55" s="6">
        <v>1748.94</v>
      </c>
      <c r="E55" s="2"/>
      <c r="F55" s="7">
        <f t="shared" si="28"/>
        <v>5.20430654030292E-2</v>
      </c>
      <c r="G55" s="2"/>
      <c r="H55" s="6">
        <v>2125</v>
      </c>
      <c r="I55" s="2"/>
      <c r="J55" s="7">
        <f t="shared" si="29"/>
        <v>3.1688513100404124E-2</v>
      </c>
      <c r="K55" s="2"/>
      <c r="L55" s="6">
        <f t="shared" si="30"/>
        <v>-376.05999999999995</v>
      </c>
      <c r="M55" s="2"/>
      <c r="N55" s="7">
        <f t="shared" si="31"/>
        <v>-0.17696941176470585</v>
      </c>
      <c r="O55" s="11"/>
      <c r="P55" s="6">
        <v>18073.439999999999</v>
      </c>
      <c r="Q55" s="2"/>
      <c r="R55" s="7">
        <f t="shared" si="32"/>
        <v>3.6452419808544842E-2</v>
      </c>
      <c r="S55" s="2"/>
      <c r="T55" s="6">
        <v>16422</v>
      </c>
      <c r="U55" s="2"/>
      <c r="V55" s="7">
        <f t="shared" si="33"/>
        <v>3.169236291634582E-2</v>
      </c>
      <c r="W55" s="2"/>
      <c r="X55" s="6">
        <f t="shared" si="34"/>
        <v>1651.4399999999987</v>
      </c>
      <c r="Y55" s="2"/>
      <c r="Z55" s="7">
        <f t="shared" si="35"/>
        <v>0.10056265984654723</v>
      </c>
    </row>
    <row r="56" spans="1:26" s="27" customFormat="1" outlineLevel="1" collapsed="1" x14ac:dyDescent="0.25">
      <c r="A56" s="26"/>
      <c r="B56" s="13" t="str">
        <f>CONCATENATE("     ","Depreciation                                      ")</f>
        <v xml:space="preserve">     Depreciation                                      </v>
      </c>
      <c r="C56" s="13"/>
      <c r="D56" s="1">
        <f>SUM(OSRRefD22_5x_0)</f>
        <v>0</v>
      </c>
      <c r="E56" s="1"/>
      <c r="F56" s="5">
        <f t="shared" si="28"/>
        <v>0</v>
      </c>
      <c r="G56" s="1"/>
      <c r="H56" s="1">
        <f>SUM(OSRRefH22_5x_0)</f>
        <v>65</v>
      </c>
      <c r="I56" s="1"/>
      <c r="J56" s="5">
        <f t="shared" si="29"/>
        <v>9.6929569483589076E-4</v>
      </c>
      <c r="K56" s="1"/>
      <c r="L56" s="1">
        <f t="shared" si="30"/>
        <v>-65</v>
      </c>
      <c r="M56" s="1"/>
      <c r="N56" s="5">
        <f t="shared" si="31"/>
        <v>-1</v>
      </c>
      <c r="O56" s="13"/>
      <c r="P56" s="1">
        <f>SUM(OSRRefP22_5x_0)</f>
        <v>0</v>
      </c>
      <c r="Q56" s="1"/>
      <c r="R56" s="5">
        <f t="shared" si="32"/>
        <v>0</v>
      </c>
      <c r="S56" s="1"/>
      <c r="T56" s="1">
        <f>SUM(OSRRefT22_5x_0)</f>
        <v>390</v>
      </c>
      <c r="U56" s="1"/>
      <c r="V56" s="5">
        <f t="shared" si="33"/>
        <v>7.5265019713645538E-4</v>
      </c>
      <c r="W56" s="1"/>
      <c r="X56" s="1">
        <f t="shared" si="34"/>
        <v>-390</v>
      </c>
      <c r="Y56" s="1"/>
      <c r="Z56" s="5">
        <f t="shared" si="35"/>
        <v>-1</v>
      </c>
    </row>
    <row r="57" spans="1:26" s="24" customFormat="1" hidden="1" outlineLevel="2" x14ac:dyDescent="0.25">
      <c r="A57" s="25"/>
      <c r="B57" s="11" t="str">
        <f>CONCATENATE("          ", "6324", " - ", "FURNITURE + FIXT DEPRECIATION")</f>
        <v xml:space="preserve">          6324 - FURNITURE + FIXT DEPRECIATION</v>
      </c>
      <c r="C57" s="11"/>
      <c r="D57" s="6"/>
      <c r="E57" s="2"/>
      <c r="F57" s="7">
        <f t="shared" si="28"/>
        <v>0</v>
      </c>
      <c r="G57" s="2"/>
      <c r="H57" s="6">
        <v>65</v>
      </c>
      <c r="I57" s="2"/>
      <c r="J57" s="7">
        <f t="shared" si="29"/>
        <v>9.6929569483589076E-4</v>
      </c>
      <c r="K57" s="2"/>
      <c r="L57" s="6">
        <f t="shared" si="30"/>
        <v>-65</v>
      </c>
      <c r="M57" s="2"/>
      <c r="N57" s="7">
        <f t="shared" si="31"/>
        <v>-1</v>
      </c>
      <c r="O57" s="11"/>
      <c r="P57" s="6"/>
      <c r="Q57" s="2"/>
      <c r="R57" s="7">
        <f t="shared" si="32"/>
        <v>0</v>
      </c>
      <c r="S57" s="2"/>
      <c r="T57" s="6">
        <v>390</v>
      </c>
      <c r="U57" s="2"/>
      <c r="V57" s="7">
        <f t="shared" si="33"/>
        <v>7.5265019713645538E-4</v>
      </c>
      <c r="W57" s="2"/>
      <c r="X57" s="6">
        <f t="shared" si="34"/>
        <v>-390</v>
      </c>
      <c r="Y57" s="2"/>
      <c r="Z57" s="7">
        <f t="shared" si="35"/>
        <v>-1</v>
      </c>
    </row>
    <row r="58" spans="1:26" s="27" customFormat="1" outlineLevel="1" collapsed="1" x14ac:dyDescent="0.25">
      <c r="A58" s="26"/>
      <c r="B58" s="13" t="str">
        <f>CONCATENATE("     ","Discounts and Markdowns                           ")</f>
        <v xml:space="preserve">     Discounts and Markdowns                           </v>
      </c>
      <c r="C58" s="13"/>
      <c r="D58" s="1">
        <f>SUM(OSRRefD22_6x_0)</f>
        <v>5.91</v>
      </c>
      <c r="E58" s="1"/>
      <c r="F58" s="5">
        <f t="shared" si="28"/>
        <v>1.7586338955704746E-4</v>
      </c>
      <c r="G58" s="1"/>
      <c r="H58" s="1">
        <f>SUM(OSRRefH22_6x_0)</f>
        <v>0</v>
      </c>
      <c r="I58" s="1"/>
      <c r="J58" s="5">
        <f t="shared" si="29"/>
        <v>0</v>
      </c>
      <c r="K58" s="1"/>
      <c r="L58" s="1">
        <f t="shared" si="30"/>
        <v>5.91</v>
      </c>
      <c r="M58" s="1"/>
      <c r="N58" s="5">
        <f t="shared" si="31"/>
        <v>0</v>
      </c>
      <c r="O58" s="13"/>
      <c r="P58" s="1">
        <f>SUM(OSRRefP22_6x_0)</f>
        <v>125.87</v>
      </c>
      <c r="Q58" s="1"/>
      <c r="R58" s="5">
        <f t="shared" si="32"/>
        <v>2.5386789019143783E-4</v>
      </c>
      <c r="S58" s="1"/>
      <c r="T58" s="1">
        <f>SUM(OSRRefT22_6x_0)</f>
        <v>0</v>
      </c>
      <c r="U58" s="1"/>
      <c r="V58" s="5">
        <f t="shared" si="33"/>
        <v>0</v>
      </c>
      <c r="W58" s="1"/>
      <c r="X58" s="1">
        <f t="shared" si="34"/>
        <v>125.87</v>
      </c>
      <c r="Y58" s="1"/>
      <c r="Z58" s="5">
        <f t="shared" si="35"/>
        <v>0</v>
      </c>
    </row>
    <row r="59" spans="1:26" s="24" customFormat="1" hidden="1" outlineLevel="2" x14ac:dyDescent="0.25">
      <c r="A59" s="25"/>
      <c r="B59" s="11" t="str">
        <f>CONCATENATE("          ", "6382", " - ", "DISCOUNTS/MARK DOWNS")</f>
        <v xml:space="preserve">          6382 - DISCOUNTS/MARK DOWNS</v>
      </c>
      <c r="C59" s="11"/>
      <c r="D59" s="6">
        <v>5.91</v>
      </c>
      <c r="E59" s="2"/>
      <c r="F59" s="7">
        <f t="shared" si="28"/>
        <v>1.7586338955704746E-4</v>
      </c>
      <c r="G59" s="2"/>
      <c r="H59" s="6"/>
      <c r="I59" s="2"/>
      <c r="J59" s="7">
        <f t="shared" si="29"/>
        <v>0</v>
      </c>
      <c r="K59" s="2"/>
      <c r="L59" s="6">
        <f t="shared" si="30"/>
        <v>5.91</v>
      </c>
      <c r="M59" s="2"/>
      <c r="N59" s="7">
        <f t="shared" si="31"/>
        <v>0</v>
      </c>
      <c r="O59" s="11"/>
      <c r="P59" s="6">
        <v>125.87</v>
      </c>
      <c r="Q59" s="2"/>
      <c r="R59" s="7">
        <f t="shared" si="32"/>
        <v>2.5386789019143783E-4</v>
      </c>
      <c r="S59" s="2"/>
      <c r="T59" s="6"/>
      <c r="U59" s="2"/>
      <c r="V59" s="7">
        <f t="shared" si="33"/>
        <v>0</v>
      </c>
      <c r="W59" s="2"/>
      <c r="X59" s="6">
        <f t="shared" si="34"/>
        <v>125.87</v>
      </c>
      <c r="Y59" s="2"/>
      <c r="Z59" s="7">
        <f t="shared" si="35"/>
        <v>0</v>
      </c>
    </row>
    <row r="60" spans="1:26" s="27" customFormat="1" outlineLevel="1" collapsed="1" x14ac:dyDescent="0.25">
      <c r="A60" s="26"/>
      <c r="B60" s="13" t="str">
        <f>CONCATENATE("     ","Employees' Appreciation                           ")</f>
        <v xml:space="preserve">     Employees' Appreciation                           </v>
      </c>
      <c r="C60" s="13"/>
      <c r="D60" s="1">
        <f>SUM(OSRRefD22_7x_0)</f>
        <v>0</v>
      </c>
      <c r="E60" s="1"/>
      <c r="F60" s="5">
        <f t="shared" si="28"/>
        <v>0</v>
      </c>
      <c r="G60" s="1"/>
      <c r="H60" s="1">
        <f>SUM(OSRRefH22_7x_0)</f>
        <v>0</v>
      </c>
      <c r="I60" s="1"/>
      <c r="J60" s="5">
        <f t="shared" si="29"/>
        <v>0</v>
      </c>
      <c r="K60" s="1"/>
      <c r="L60" s="1">
        <f t="shared" si="30"/>
        <v>0</v>
      </c>
      <c r="M60" s="1"/>
      <c r="N60" s="5">
        <f t="shared" si="31"/>
        <v>0</v>
      </c>
      <c r="O60" s="13"/>
      <c r="P60" s="1">
        <f>SUM(OSRRefP22_7x_0)</f>
        <v>0</v>
      </c>
      <c r="Q60" s="1"/>
      <c r="R60" s="5">
        <f t="shared" si="32"/>
        <v>0</v>
      </c>
      <c r="S60" s="1"/>
      <c r="T60" s="1">
        <f>SUM(OSRRefT22_7x_0)</f>
        <v>0</v>
      </c>
      <c r="U60" s="1"/>
      <c r="V60" s="5">
        <f t="shared" si="33"/>
        <v>0</v>
      </c>
      <c r="W60" s="1"/>
      <c r="X60" s="1">
        <f t="shared" si="34"/>
        <v>0</v>
      </c>
      <c r="Y60" s="1"/>
      <c r="Z60" s="5">
        <f t="shared" si="35"/>
        <v>0</v>
      </c>
    </row>
    <row r="61" spans="1:26" s="24" customFormat="1" hidden="1" outlineLevel="2" x14ac:dyDescent="0.25">
      <c r="A61" s="25"/>
      <c r="B61" s="11" t="str">
        <f>CONCATENATE("          ", "6277", " - ", "EMPLOYEE APPRECIATION")</f>
        <v xml:space="preserve">          6277 - EMPLOYEE APPRECIATION</v>
      </c>
      <c r="C61" s="11"/>
      <c r="D61" s="6"/>
      <c r="E61" s="2"/>
      <c r="F61" s="7">
        <f t="shared" si="28"/>
        <v>0</v>
      </c>
      <c r="G61" s="2"/>
      <c r="H61" s="6">
        <v>0</v>
      </c>
      <c r="I61" s="2"/>
      <c r="J61" s="7">
        <f t="shared" si="29"/>
        <v>0</v>
      </c>
      <c r="K61" s="2"/>
      <c r="L61" s="6">
        <f t="shared" si="30"/>
        <v>0</v>
      </c>
      <c r="M61" s="2"/>
      <c r="N61" s="7">
        <f t="shared" si="31"/>
        <v>0</v>
      </c>
      <c r="O61" s="11"/>
      <c r="P61" s="6"/>
      <c r="Q61" s="2"/>
      <c r="R61" s="7">
        <f t="shared" si="32"/>
        <v>0</v>
      </c>
      <c r="S61" s="2"/>
      <c r="T61" s="6">
        <v>0</v>
      </c>
      <c r="U61" s="2"/>
      <c r="V61" s="7">
        <f t="shared" si="33"/>
        <v>0</v>
      </c>
      <c r="W61" s="2"/>
      <c r="X61" s="6">
        <f t="shared" si="34"/>
        <v>0</v>
      </c>
      <c r="Y61" s="2"/>
      <c r="Z61" s="7">
        <f t="shared" si="35"/>
        <v>0</v>
      </c>
    </row>
    <row r="62" spans="1:26" s="27" customFormat="1" outlineLevel="1" collapsed="1" x14ac:dyDescent="0.25">
      <c r="A62" s="26"/>
      <c r="B62" s="13" t="str">
        <f>CONCATENATE("     ","Freight out/Postage                               ")</f>
        <v xml:space="preserve">     Freight out/Postage                               </v>
      </c>
      <c r="C62" s="13"/>
      <c r="D62" s="1">
        <f>SUM(OSRRefD22_8x_0)</f>
        <v>56.71</v>
      </c>
      <c r="E62" s="1"/>
      <c r="F62" s="5">
        <f t="shared" si="28"/>
        <v>1.6875148598612794E-3</v>
      </c>
      <c r="G62" s="1"/>
      <c r="H62" s="1">
        <f>SUM(OSRRefH22_8x_0)</f>
        <v>0</v>
      </c>
      <c r="I62" s="1"/>
      <c r="J62" s="5">
        <f t="shared" si="29"/>
        <v>0</v>
      </c>
      <c r="K62" s="1"/>
      <c r="L62" s="1">
        <f t="shared" si="30"/>
        <v>56.71</v>
      </c>
      <c r="M62" s="1"/>
      <c r="N62" s="5">
        <f t="shared" si="31"/>
        <v>0</v>
      </c>
      <c r="O62" s="13"/>
      <c r="P62" s="1">
        <f>SUM(OSRRefP22_8x_0)</f>
        <v>311.17</v>
      </c>
      <c r="Q62" s="1"/>
      <c r="R62" s="5">
        <f t="shared" si="32"/>
        <v>6.2760047184293091E-4</v>
      </c>
      <c r="S62" s="1"/>
      <c r="T62" s="1">
        <f>SUM(OSRRefT22_8x_0)</f>
        <v>0</v>
      </c>
      <c r="U62" s="1"/>
      <c r="V62" s="5">
        <f t="shared" si="33"/>
        <v>0</v>
      </c>
      <c r="W62" s="1"/>
      <c r="X62" s="1">
        <f t="shared" si="34"/>
        <v>311.17</v>
      </c>
      <c r="Y62" s="1"/>
      <c r="Z62" s="5">
        <f t="shared" si="35"/>
        <v>0</v>
      </c>
    </row>
    <row r="63" spans="1:26" s="24" customFormat="1" hidden="1" outlineLevel="2" x14ac:dyDescent="0.25">
      <c r="A63" s="25"/>
      <c r="B63" s="11" t="str">
        <f>CONCATENATE("          ", "6305", " - ", "FREIGHT OUT")</f>
        <v xml:space="preserve">          6305 - FREIGHT OUT</v>
      </c>
      <c r="C63" s="11"/>
      <c r="D63" s="6">
        <v>56.71</v>
      </c>
      <c r="E63" s="2"/>
      <c r="F63" s="7">
        <f t="shared" si="28"/>
        <v>1.6875148598612794E-3</v>
      </c>
      <c r="G63" s="2"/>
      <c r="H63" s="6"/>
      <c r="I63" s="2"/>
      <c r="J63" s="7">
        <f t="shared" si="29"/>
        <v>0</v>
      </c>
      <c r="K63" s="2"/>
      <c r="L63" s="6">
        <f t="shared" si="30"/>
        <v>56.71</v>
      </c>
      <c r="M63" s="2"/>
      <c r="N63" s="7">
        <f t="shared" si="31"/>
        <v>0</v>
      </c>
      <c r="O63" s="11"/>
      <c r="P63" s="6">
        <v>311.17</v>
      </c>
      <c r="Q63" s="2"/>
      <c r="R63" s="7">
        <f t="shared" si="32"/>
        <v>6.2760047184293091E-4</v>
      </c>
      <c r="S63" s="2"/>
      <c r="T63" s="6"/>
      <c r="U63" s="2"/>
      <c r="V63" s="7">
        <f t="shared" si="33"/>
        <v>0</v>
      </c>
      <c r="W63" s="2"/>
      <c r="X63" s="6">
        <f t="shared" si="34"/>
        <v>311.17</v>
      </c>
      <c r="Y63" s="2"/>
      <c r="Z63" s="7">
        <f t="shared" si="35"/>
        <v>0</v>
      </c>
    </row>
    <row r="64" spans="1:26" s="27" customFormat="1" outlineLevel="1" collapsed="1" x14ac:dyDescent="0.25">
      <c r="A64" s="26"/>
      <c r="B64" s="13" t="str">
        <f>CONCATENATE("     ","General                                           ")</f>
        <v xml:space="preserve">     General                                           </v>
      </c>
      <c r="C64" s="13"/>
      <c r="D64" s="1">
        <f>SUM(OSRRefD22_9x_0)</f>
        <v>0</v>
      </c>
      <c r="E64" s="1"/>
      <c r="F64" s="5">
        <f t="shared" si="28"/>
        <v>0</v>
      </c>
      <c r="G64" s="1"/>
      <c r="H64" s="1">
        <f>SUM(OSRRefH22_9x_0)</f>
        <v>199</v>
      </c>
      <c r="I64" s="1"/>
      <c r="J64" s="5">
        <f t="shared" si="29"/>
        <v>2.9675360503437272E-3</v>
      </c>
      <c r="K64" s="1"/>
      <c r="L64" s="1">
        <f t="shared" si="30"/>
        <v>-199</v>
      </c>
      <c r="M64" s="1"/>
      <c r="N64" s="5">
        <f t="shared" si="31"/>
        <v>-1</v>
      </c>
      <c r="O64" s="13"/>
      <c r="P64" s="1">
        <f>SUM(OSRRefP22_9x_0)</f>
        <v>1192.3499999999999</v>
      </c>
      <c r="Q64" s="1"/>
      <c r="R64" s="5">
        <f t="shared" si="32"/>
        <v>2.4048572246743532E-3</v>
      </c>
      <c r="S64" s="1"/>
      <c r="T64" s="1">
        <f>SUM(OSRRefT22_9x_0)</f>
        <v>1539</v>
      </c>
      <c r="U64" s="1"/>
      <c r="V64" s="5">
        <f t="shared" si="33"/>
        <v>2.9700734702384742E-3</v>
      </c>
      <c r="W64" s="1"/>
      <c r="X64" s="1">
        <f t="shared" si="34"/>
        <v>-346.65000000000009</v>
      </c>
      <c r="Y64" s="1"/>
      <c r="Z64" s="5">
        <f t="shared" si="35"/>
        <v>-0.225243664717349</v>
      </c>
    </row>
    <row r="65" spans="1:26" s="24" customFormat="1" hidden="1" outlineLevel="2" x14ac:dyDescent="0.25">
      <c r="A65" s="25"/>
      <c r="B65" s="11" t="str">
        <f>CONCATENATE("          ", "6279", " - ", "GENERAL EXPENSE")</f>
        <v xml:space="preserve">          6279 - GENERAL EXPENSE</v>
      </c>
      <c r="C65" s="11"/>
      <c r="D65" s="6"/>
      <c r="E65" s="2"/>
      <c r="F65" s="7">
        <f t="shared" si="28"/>
        <v>0</v>
      </c>
      <c r="G65" s="2"/>
      <c r="H65" s="6">
        <v>199</v>
      </c>
      <c r="I65" s="2"/>
      <c r="J65" s="7">
        <f t="shared" si="29"/>
        <v>2.9675360503437272E-3</v>
      </c>
      <c r="K65" s="2"/>
      <c r="L65" s="6">
        <f t="shared" si="30"/>
        <v>-199</v>
      </c>
      <c r="M65" s="2"/>
      <c r="N65" s="7">
        <f t="shared" si="31"/>
        <v>-1</v>
      </c>
      <c r="O65" s="11"/>
      <c r="P65" s="6">
        <v>1192.3499999999999</v>
      </c>
      <c r="Q65" s="2"/>
      <c r="R65" s="7">
        <f t="shared" si="32"/>
        <v>2.4048572246743532E-3</v>
      </c>
      <c r="S65" s="2"/>
      <c r="T65" s="6">
        <v>1539</v>
      </c>
      <c r="U65" s="2"/>
      <c r="V65" s="7">
        <f t="shared" si="33"/>
        <v>2.9700734702384742E-3</v>
      </c>
      <c r="W65" s="2"/>
      <c r="X65" s="6">
        <f t="shared" si="34"/>
        <v>-346.65000000000009</v>
      </c>
      <c r="Y65" s="2"/>
      <c r="Z65" s="7">
        <f t="shared" si="35"/>
        <v>-0.225243664717349</v>
      </c>
    </row>
    <row r="66" spans="1:26" s="27" customFormat="1" outlineLevel="1" collapsed="1" x14ac:dyDescent="0.25">
      <c r="A66" s="26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SUM(OSRRefD22_10x_0)</f>
        <v>24.12</v>
      </c>
      <c r="E66" s="1"/>
      <c r="F66" s="5">
        <f t="shared" si="28"/>
        <v>7.1773687920744238E-4</v>
      </c>
      <c r="G66" s="1"/>
      <c r="H66" s="1">
        <f>SUM(OSRRefH22_10x_0)</f>
        <v>66</v>
      </c>
      <c r="I66" s="1"/>
      <c r="J66" s="5">
        <f t="shared" si="29"/>
        <v>9.8420793629490442E-4</v>
      </c>
      <c r="K66" s="1"/>
      <c r="L66" s="1">
        <f t="shared" si="30"/>
        <v>-41.879999999999995</v>
      </c>
      <c r="M66" s="1"/>
      <c r="N66" s="5">
        <f t="shared" si="31"/>
        <v>-0.63454545454545452</v>
      </c>
      <c r="O66" s="13"/>
      <c r="P66" s="1">
        <f>SUM(OSRRefP22_10x_0)</f>
        <v>1088.6200000000001</v>
      </c>
      <c r="Q66" s="1"/>
      <c r="R66" s="5">
        <f t="shared" si="32"/>
        <v>2.1956436213569799E-3</v>
      </c>
      <c r="S66" s="1"/>
      <c r="T66" s="1">
        <f>SUM(OSRRefT22_10x_0)</f>
        <v>512</v>
      </c>
      <c r="U66" s="1"/>
      <c r="V66" s="5">
        <f t="shared" si="33"/>
        <v>9.8809461777914134E-4</v>
      </c>
      <c r="W66" s="1"/>
      <c r="X66" s="1">
        <f t="shared" si="34"/>
        <v>576.62000000000012</v>
      </c>
      <c r="Y66" s="1"/>
      <c r="Z66" s="5">
        <f t="shared" si="35"/>
        <v>1.1262109375000002</v>
      </c>
    </row>
    <row r="67" spans="1:26" s="24" customFormat="1" hidden="1" outlineLevel="2" x14ac:dyDescent="0.25">
      <c r="A67" s="25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28"/>
        <v>0</v>
      </c>
      <c r="G67" s="2"/>
      <c r="H67" s="6"/>
      <c r="I67" s="2"/>
      <c r="J67" s="7">
        <f t="shared" si="29"/>
        <v>0</v>
      </c>
      <c r="K67" s="2"/>
      <c r="L67" s="6">
        <f t="shared" si="30"/>
        <v>0</v>
      </c>
      <c r="M67" s="2"/>
      <c r="N67" s="7">
        <f t="shared" si="31"/>
        <v>0</v>
      </c>
      <c r="O67" s="11"/>
      <c r="P67" s="6">
        <v>437.31</v>
      </c>
      <c r="Q67" s="2"/>
      <c r="R67" s="7">
        <f t="shared" si="32"/>
        <v>8.8201292650844261E-4</v>
      </c>
      <c r="S67" s="2"/>
      <c r="T67" s="6">
        <v>0</v>
      </c>
      <c r="U67" s="2"/>
      <c r="V67" s="7">
        <f t="shared" si="33"/>
        <v>0</v>
      </c>
      <c r="W67" s="2"/>
      <c r="X67" s="6">
        <f t="shared" si="34"/>
        <v>437.31</v>
      </c>
      <c r="Y67" s="2"/>
      <c r="Z67" s="7">
        <f t="shared" si="35"/>
        <v>0</v>
      </c>
    </row>
    <row r="68" spans="1:26" s="24" customFormat="1" hidden="1" outlineLevel="2" x14ac:dyDescent="0.25">
      <c r="A68" s="25"/>
      <c r="B68" s="11" t="str">
        <f>CONCATENATE("          ", "6373", " - ", "MAINTENANCE CONTRACTS")</f>
        <v xml:space="preserve">          6373 - MAINTENANCE CONTRACTS</v>
      </c>
      <c r="C68" s="11"/>
      <c r="D68" s="6">
        <v>24.12</v>
      </c>
      <c r="E68" s="2"/>
      <c r="F68" s="7">
        <f t="shared" si="28"/>
        <v>7.1773687920744238E-4</v>
      </c>
      <c r="G68" s="2"/>
      <c r="H68" s="6"/>
      <c r="I68" s="2"/>
      <c r="J68" s="7">
        <f t="shared" si="29"/>
        <v>0</v>
      </c>
      <c r="K68" s="2"/>
      <c r="L68" s="6">
        <f t="shared" si="30"/>
        <v>24.12</v>
      </c>
      <c r="M68" s="2"/>
      <c r="N68" s="7">
        <f t="shared" si="31"/>
        <v>0</v>
      </c>
      <c r="O68" s="11"/>
      <c r="P68" s="6">
        <v>70.73</v>
      </c>
      <c r="Q68" s="2"/>
      <c r="R68" s="7">
        <f t="shared" si="32"/>
        <v>1.4265572315277984E-4</v>
      </c>
      <c r="S68" s="2"/>
      <c r="T68" s="6"/>
      <c r="U68" s="2"/>
      <c r="V68" s="7">
        <f t="shared" si="33"/>
        <v>0</v>
      </c>
      <c r="W68" s="2"/>
      <c r="X68" s="6">
        <f t="shared" si="34"/>
        <v>70.73</v>
      </c>
      <c r="Y68" s="2"/>
      <c r="Z68" s="7">
        <f t="shared" si="35"/>
        <v>0</v>
      </c>
    </row>
    <row r="69" spans="1:26" s="24" customFormat="1" hidden="1" outlineLevel="2" x14ac:dyDescent="0.25">
      <c r="A69" s="25"/>
      <c r="B69" s="11" t="str">
        <f>CONCATENATE("          ", "6375", " - ", "OUTSIDE REPAIRS &amp; MAINTENANCE")</f>
        <v xml:space="preserve">          6375 - OUTSIDE REPAIRS &amp; MAINTENANCE</v>
      </c>
      <c r="C69" s="11"/>
      <c r="D69" s="6"/>
      <c r="E69" s="2"/>
      <c r="F69" s="7">
        <f t="shared" si="28"/>
        <v>0</v>
      </c>
      <c r="G69" s="2"/>
      <c r="H69" s="6">
        <v>66</v>
      </c>
      <c r="I69" s="2"/>
      <c r="J69" s="7">
        <f t="shared" si="29"/>
        <v>9.8420793629490442E-4</v>
      </c>
      <c r="K69" s="2"/>
      <c r="L69" s="6">
        <f t="shared" si="30"/>
        <v>-66</v>
      </c>
      <c r="M69" s="2"/>
      <c r="N69" s="7">
        <f t="shared" si="31"/>
        <v>-1</v>
      </c>
      <c r="O69" s="11"/>
      <c r="P69" s="6">
        <v>580.58000000000004</v>
      </c>
      <c r="Q69" s="2"/>
      <c r="R69" s="7">
        <f t="shared" si="32"/>
        <v>1.1709749716957573E-3</v>
      </c>
      <c r="S69" s="2"/>
      <c r="T69" s="6">
        <v>512</v>
      </c>
      <c r="U69" s="2"/>
      <c r="V69" s="7">
        <f t="shared" si="33"/>
        <v>9.8809461777914134E-4</v>
      </c>
      <c r="W69" s="2"/>
      <c r="X69" s="6">
        <f t="shared" si="34"/>
        <v>68.580000000000041</v>
      </c>
      <c r="Y69" s="2"/>
      <c r="Z69" s="7">
        <f t="shared" si="35"/>
        <v>0.13394531250000008</v>
      </c>
    </row>
    <row r="70" spans="1:26" s="27" customFormat="1" outlineLevel="1" collapsed="1" x14ac:dyDescent="0.25">
      <c r="A70" s="26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SUM(OSRRefD22_11x_0)</f>
        <v>68.900000000000006</v>
      </c>
      <c r="E70" s="1"/>
      <c r="F70" s="5">
        <f t="shared" ref="F70:F78" si="36">IF(D$12=0,0,D70/D$12)</f>
        <v>2.0502516988968817E-3</v>
      </c>
      <c r="G70" s="1"/>
      <c r="H70" s="1">
        <f>SUM(OSRRefH22_11x_0)</f>
        <v>0</v>
      </c>
      <c r="I70" s="1"/>
      <c r="J70" s="5">
        <f t="shared" ref="J70:J78" si="37">IF(H$12=0,0,H70/H$12)</f>
        <v>0</v>
      </c>
      <c r="K70" s="1"/>
      <c r="L70" s="1">
        <f t="shared" ref="L70:L78" si="38">+D70-H70</f>
        <v>68.900000000000006</v>
      </c>
      <c r="M70" s="1"/>
      <c r="N70" s="5">
        <f t="shared" ref="N70:N78" si="39">IF(H70=0,0,L70/H70)</f>
        <v>0</v>
      </c>
      <c r="O70" s="13"/>
      <c r="P70" s="1">
        <f>SUM(OSRRefP22_11x_0)</f>
        <v>1180.31</v>
      </c>
      <c r="Q70" s="1"/>
      <c r="R70" s="5">
        <f t="shared" ref="R70:R78" si="40">IF(P$12=0,0,P70/P$12)</f>
        <v>2.3805736829415744E-3</v>
      </c>
      <c r="S70" s="1"/>
      <c r="T70" s="1">
        <f>SUM(OSRRefT22_11x_0)</f>
        <v>0</v>
      </c>
      <c r="U70" s="1"/>
      <c r="V70" s="5">
        <f t="shared" ref="V70:V78" si="41">IF(T$12=0,0,T70/T$12)</f>
        <v>0</v>
      </c>
      <c r="W70" s="1"/>
      <c r="X70" s="1">
        <f t="shared" ref="X70:X78" si="42">+P70-T70</f>
        <v>1180.31</v>
      </c>
      <c r="Y70" s="1"/>
      <c r="Z70" s="5">
        <f t="shared" ref="Z70:Z78" si="43">IF(T70=0,0,X70/T70)</f>
        <v>0</v>
      </c>
    </row>
    <row r="71" spans="1:26" s="24" customFormat="1" hidden="1" outlineLevel="2" x14ac:dyDescent="0.25">
      <c r="A71" s="25"/>
      <c r="B71" s="11" t="str">
        <f>CONCATENATE("          ", "6286", " - ", "LAUNDRY EXPENSE")</f>
        <v xml:space="preserve">          6286 - LAUNDRY EXPENSE</v>
      </c>
      <c r="C71" s="11"/>
      <c r="D71" s="6">
        <v>68.900000000000006</v>
      </c>
      <c r="E71" s="2"/>
      <c r="F71" s="7">
        <f t="shared" si="36"/>
        <v>2.0502516988968817E-3</v>
      </c>
      <c r="G71" s="2"/>
      <c r="H71" s="6"/>
      <c r="I71" s="2"/>
      <c r="J71" s="7">
        <f t="shared" si="37"/>
        <v>0</v>
      </c>
      <c r="K71" s="2"/>
      <c r="L71" s="6">
        <f t="shared" si="38"/>
        <v>68.900000000000006</v>
      </c>
      <c r="M71" s="2"/>
      <c r="N71" s="7">
        <f t="shared" si="39"/>
        <v>0</v>
      </c>
      <c r="O71" s="11"/>
      <c r="P71" s="6">
        <v>1180.31</v>
      </c>
      <c r="Q71" s="2"/>
      <c r="R71" s="7">
        <f t="shared" si="40"/>
        <v>2.3805736829415744E-3</v>
      </c>
      <c r="S71" s="2"/>
      <c r="T71" s="6"/>
      <c r="U71" s="2"/>
      <c r="V71" s="7">
        <f t="shared" si="41"/>
        <v>0</v>
      </c>
      <c r="W71" s="2"/>
      <c r="X71" s="6">
        <f t="shared" si="42"/>
        <v>1180.31</v>
      </c>
      <c r="Y71" s="2"/>
      <c r="Z71" s="7">
        <f t="shared" si="43"/>
        <v>0</v>
      </c>
    </row>
    <row r="72" spans="1:26" s="27" customFormat="1" outlineLevel="1" collapsed="1" x14ac:dyDescent="0.25">
      <c r="A72" s="26"/>
      <c r="B72" s="13" t="str">
        <f>CONCATENATE("     ","Supplies                                          ")</f>
        <v xml:space="preserve">     Supplies                                          </v>
      </c>
      <c r="C72" s="13"/>
      <c r="D72" s="1">
        <f>SUM(OSRRefD22_12x_0)</f>
        <v>239.82999999999998</v>
      </c>
      <c r="E72" s="1"/>
      <c r="F72" s="5">
        <f t="shared" si="36"/>
        <v>7.1366018134461397E-3</v>
      </c>
      <c r="G72" s="1"/>
      <c r="H72" s="1">
        <f>SUM(OSRRefH22_12x_0)</f>
        <v>332</v>
      </c>
      <c r="I72" s="1"/>
      <c r="J72" s="5">
        <f t="shared" si="37"/>
        <v>4.9508641643925501E-3</v>
      </c>
      <c r="K72" s="1"/>
      <c r="L72" s="1">
        <f t="shared" si="38"/>
        <v>-92.170000000000016</v>
      </c>
      <c r="M72" s="1"/>
      <c r="N72" s="5">
        <f t="shared" si="39"/>
        <v>-0.27762048192771088</v>
      </c>
      <c r="O72" s="13"/>
      <c r="P72" s="1">
        <f>SUM(OSRRefP22_12x_0)</f>
        <v>5936.48</v>
      </c>
      <c r="Q72" s="1"/>
      <c r="R72" s="5">
        <f t="shared" si="40"/>
        <v>1.1973318922409364E-2</v>
      </c>
      <c r="S72" s="1"/>
      <c r="T72" s="1">
        <f>SUM(OSRRefT22_12x_0)</f>
        <v>2566</v>
      </c>
      <c r="U72" s="1"/>
      <c r="V72" s="5">
        <f t="shared" si="41"/>
        <v>4.9520523226978062E-3</v>
      </c>
      <c r="W72" s="1"/>
      <c r="X72" s="1">
        <f t="shared" si="42"/>
        <v>3370.4799999999996</v>
      </c>
      <c r="Y72" s="1"/>
      <c r="Z72" s="5">
        <f t="shared" si="43"/>
        <v>1.3135151987529228</v>
      </c>
    </row>
    <row r="73" spans="1:26" s="24" customFormat="1" hidden="1" outlineLevel="2" x14ac:dyDescent="0.25">
      <c r="A73" s="25"/>
      <c r="B73" s="11" t="str">
        <f>CONCATENATE("          ", "6234", " - ", "EXPENDABLE SUPPLIES &amp; EQUIPMEN")</f>
        <v xml:space="preserve">          6234 - EXPENDABLE SUPPLIES &amp; EQUIPMEN</v>
      </c>
      <c r="C73" s="11"/>
      <c r="D73" s="6"/>
      <c r="E73" s="2"/>
      <c r="F73" s="7">
        <f t="shared" si="36"/>
        <v>0</v>
      </c>
      <c r="G73" s="2"/>
      <c r="H73" s="6"/>
      <c r="I73" s="2"/>
      <c r="J73" s="7">
        <f t="shared" si="37"/>
        <v>0</v>
      </c>
      <c r="K73" s="2"/>
      <c r="L73" s="6">
        <f t="shared" si="38"/>
        <v>0</v>
      </c>
      <c r="M73" s="2"/>
      <c r="N73" s="7">
        <f t="shared" si="39"/>
        <v>0</v>
      </c>
      <c r="O73" s="11"/>
      <c r="P73" s="6">
        <v>354.82</v>
      </c>
      <c r="Q73" s="2"/>
      <c r="R73" s="7">
        <f t="shared" si="40"/>
        <v>7.1563839515155286E-4</v>
      </c>
      <c r="S73" s="2"/>
      <c r="T73" s="6"/>
      <c r="U73" s="2"/>
      <c r="V73" s="7">
        <f t="shared" si="41"/>
        <v>0</v>
      </c>
      <c r="W73" s="2"/>
      <c r="X73" s="6">
        <f t="shared" si="42"/>
        <v>354.82</v>
      </c>
      <c r="Y73" s="2"/>
      <c r="Z73" s="7">
        <f t="shared" si="43"/>
        <v>0</v>
      </c>
    </row>
    <row r="74" spans="1:26" s="24" customFormat="1" hidden="1" outlineLevel="2" x14ac:dyDescent="0.25">
      <c r="A74" s="25"/>
      <c r="B74" s="11" t="str">
        <f>CONCATENATE("          ", "6237", " - ", "JANITORIAL SUPPLIES")</f>
        <v xml:space="preserve">          6237 - JANITORIAL SUPPLIES</v>
      </c>
      <c r="C74" s="11"/>
      <c r="D74" s="6"/>
      <c r="E74" s="2"/>
      <c r="F74" s="7">
        <f t="shared" si="36"/>
        <v>0</v>
      </c>
      <c r="G74" s="2"/>
      <c r="H74" s="6"/>
      <c r="I74" s="2"/>
      <c r="J74" s="7">
        <f t="shared" si="37"/>
        <v>0</v>
      </c>
      <c r="K74" s="2"/>
      <c r="L74" s="6">
        <f t="shared" si="38"/>
        <v>0</v>
      </c>
      <c r="M74" s="2"/>
      <c r="N74" s="7">
        <f t="shared" si="39"/>
        <v>0</v>
      </c>
      <c r="O74" s="11"/>
      <c r="P74" s="6">
        <v>151.25</v>
      </c>
      <c r="Q74" s="2"/>
      <c r="R74" s="7">
        <f t="shared" si="40"/>
        <v>3.0505695075438923E-4</v>
      </c>
      <c r="S74" s="2"/>
      <c r="T74" s="6"/>
      <c r="U74" s="2"/>
      <c r="V74" s="7">
        <f t="shared" si="41"/>
        <v>0</v>
      </c>
      <c r="W74" s="2"/>
      <c r="X74" s="6">
        <f t="shared" si="42"/>
        <v>151.25</v>
      </c>
      <c r="Y74" s="2"/>
      <c r="Z74" s="7">
        <f t="shared" si="43"/>
        <v>0</v>
      </c>
    </row>
    <row r="75" spans="1:26" s="24" customFormat="1" hidden="1" outlineLevel="2" x14ac:dyDescent="0.25">
      <c r="A75" s="25"/>
      <c r="B75" s="11" t="str">
        <f>CONCATENATE("          ", "6241", " - ", "OFFICE EXPENSE")</f>
        <v xml:space="preserve">          6241 - OFFICE EXPENSE</v>
      </c>
      <c r="C75" s="11"/>
      <c r="D75" s="6"/>
      <c r="E75" s="2"/>
      <c r="F75" s="7">
        <f t="shared" si="36"/>
        <v>0</v>
      </c>
      <c r="G75" s="2"/>
      <c r="H75" s="6"/>
      <c r="I75" s="2"/>
      <c r="J75" s="7">
        <f t="shared" si="37"/>
        <v>0</v>
      </c>
      <c r="K75" s="2"/>
      <c r="L75" s="6">
        <f t="shared" si="38"/>
        <v>0</v>
      </c>
      <c r="M75" s="2"/>
      <c r="N75" s="7">
        <f t="shared" si="39"/>
        <v>0</v>
      </c>
      <c r="O75" s="11"/>
      <c r="P75" s="6">
        <v>328.56</v>
      </c>
      <c r="Q75" s="2"/>
      <c r="R75" s="7">
        <f t="shared" si="40"/>
        <v>6.6267445778421237E-4</v>
      </c>
      <c r="S75" s="2"/>
      <c r="T75" s="6"/>
      <c r="U75" s="2"/>
      <c r="V75" s="7">
        <f t="shared" si="41"/>
        <v>0</v>
      </c>
      <c r="W75" s="2"/>
      <c r="X75" s="6">
        <f t="shared" si="42"/>
        <v>328.56</v>
      </c>
      <c r="Y75" s="2"/>
      <c r="Z75" s="7">
        <f t="shared" si="43"/>
        <v>0</v>
      </c>
    </row>
    <row r="76" spans="1:26" s="24" customFormat="1" hidden="1" outlineLevel="2" x14ac:dyDescent="0.25">
      <c r="A76" s="25"/>
      <c r="B76" s="11" t="str">
        <f>CONCATENATE("          ", "6245", " - ", "PRINTING")</f>
        <v xml:space="preserve">          6245 - PRINTING</v>
      </c>
      <c r="C76" s="11"/>
      <c r="D76" s="6"/>
      <c r="E76" s="2"/>
      <c r="F76" s="7">
        <f t="shared" si="36"/>
        <v>0</v>
      </c>
      <c r="G76" s="2"/>
      <c r="H76" s="6"/>
      <c r="I76" s="2"/>
      <c r="J76" s="7">
        <f t="shared" si="37"/>
        <v>0</v>
      </c>
      <c r="K76" s="2"/>
      <c r="L76" s="6">
        <f t="shared" si="38"/>
        <v>0</v>
      </c>
      <c r="M76" s="2"/>
      <c r="N76" s="7">
        <f t="shared" si="39"/>
        <v>0</v>
      </c>
      <c r="O76" s="11"/>
      <c r="P76" s="6">
        <v>81.739999999999995</v>
      </c>
      <c r="Q76" s="2"/>
      <c r="R76" s="7">
        <f t="shared" si="40"/>
        <v>1.6486185226223982E-4</v>
      </c>
      <c r="S76" s="2"/>
      <c r="T76" s="6"/>
      <c r="U76" s="2"/>
      <c r="V76" s="7">
        <f t="shared" si="41"/>
        <v>0</v>
      </c>
      <c r="W76" s="2"/>
      <c r="X76" s="6">
        <f t="shared" si="42"/>
        <v>81.739999999999995</v>
      </c>
      <c r="Y76" s="2"/>
      <c r="Z76" s="7">
        <f t="shared" si="43"/>
        <v>0</v>
      </c>
    </row>
    <row r="77" spans="1:26" s="24" customFormat="1" hidden="1" outlineLevel="2" x14ac:dyDescent="0.25">
      <c r="A77" s="25"/>
      <c r="B77" s="11" t="str">
        <f>CONCATENATE("          ", "6247", " - ", "STORE SUPPLIES")</f>
        <v xml:space="preserve">          6247 - STORE SUPPLIES</v>
      </c>
      <c r="C77" s="11"/>
      <c r="D77" s="6">
        <v>205.38</v>
      </c>
      <c r="E77" s="2"/>
      <c r="F77" s="7">
        <f t="shared" si="36"/>
        <v>6.1114759639976993E-3</v>
      </c>
      <c r="G77" s="2"/>
      <c r="H77" s="6">
        <v>332</v>
      </c>
      <c r="I77" s="2"/>
      <c r="J77" s="7">
        <f t="shared" si="37"/>
        <v>4.9508641643925501E-3</v>
      </c>
      <c r="K77" s="2"/>
      <c r="L77" s="6">
        <f t="shared" si="38"/>
        <v>-126.62</v>
      </c>
      <c r="M77" s="2"/>
      <c r="N77" s="7">
        <f t="shared" si="39"/>
        <v>-0.38138554216867471</v>
      </c>
      <c r="O77" s="11"/>
      <c r="P77" s="6">
        <v>4985.66</v>
      </c>
      <c r="Q77" s="2"/>
      <c r="R77" s="7">
        <f t="shared" si="40"/>
        <v>1.0055604873376053E-2</v>
      </c>
      <c r="S77" s="2"/>
      <c r="T77" s="6">
        <v>2566</v>
      </c>
      <c r="U77" s="2"/>
      <c r="V77" s="7">
        <f t="shared" si="41"/>
        <v>4.9520523226978062E-3</v>
      </c>
      <c r="W77" s="2"/>
      <c r="X77" s="6">
        <f t="shared" si="42"/>
        <v>2419.66</v>
      </c>
      <c r="Y77" s="2"/>
      <c r="Z77" s="7">
        <f t="shared" si="43"/>
        <v>0.94296960249415429</v>
      </c>
    </row>
    <row r="78" spans="1:26" s="24" customFormat="1" hidden="1" outlineLevel="2" x14ac:dyDescent="0.25">
      <c r="A78" s="25"/>
      <c r="B78" s="11" t="str">
        <f>CONCATENATE("          ", "6248", " - ", "UNIFORMS")</f>
        <v xml:space="preserve">          6248 - UNIFORMS</v>
      </c>
      <c r="C78" s="11"/>
      <c r="D78" s="6">
        <v>34.450000000000003</v>
      </c>
      <c r="E78" s="2"/>
      <c r="F78" s="7">
        <f t="shared" si="36"/>
        <v>1.0251258494484408E-3</v>
      </c>
      <c r="G78" s="2"/>
      <c r="H78" s="6"/>
      <c r="I78" s="2"/>
      <c r="J78" s="7">
        <f t="shared" si="37"/>
        <v>0</v>
      </c>
      <c r="K78" s="2"/>
      <c r="L78" s="6">
        <f t="shared" si="38"/>
        <v>34.450000000000003</v>
      </c>
      <c r="M78" s="2"/>
      <c r="N78" s="7">
        <f t="shared" si="39"/>
        <v>0</v>
      </c>
      <c r="O78" s="11"/>
      <c r="P78" s="6">
        <v>34.450000000000003</v>
      </c>
      <c r="Q78" s="2"/>
      <c r="R78" s="7">
        <f t="shared" si="40"/>
        <v>6.9482393080917083E-5</v>
      </c>
      <c r="S78" s="2"/>
      <c r="T78" s="6"/>
      <c r="U78" s="2"/>
      <c r="V78" s="7">
        <f t="shared" si="41"/>
        <v>0</v>
      </c>
      <c r="W78" s="2"/>
      <c r="X78" s="6">
        <f t="shared" si="42"/>
        <v>34.450000000000003</v>
      </c>
      <c r="Y78" s="2"/>
      <c r="Z78" s="7">
        <f t="shared" si="43"/>
        <v>0</v>
      </c>
    </row>
    <row r="79" spans="1:26" s="27" customFormat="1" outlineLevel="1" collapsed="1" x14ac:dyDescent="0.25">
      <c r="A79" s="26"/>
      <c r="B79" s="13" t="str">
        <f>CONCATENATE("     ","Telephone/Data Lines                              ")</f>
        <v xml:space="preserve">     Telephone/Data Lines                              </v>
      </c>
      <c r="C79" s="13"/>
      <c r="D79" s="1">
        <f>SUM(OSRRefD22_13x_0)</f>
        <v>167.63</v>
      </c>
      <c r="E79" s="1"/>
      <c r="F79" s="5">
        <f t="shared" ref="F79:F82" si="44">IF(D$12=0,0,D79/D$12)</f>
        <v>4.9881522828168975E-3</v>
      </c>
      <c r="G79" s="1"/>
      <c r="H79" s="1">
        <f>SUM(OSRRefH22_13x_0)</f>
        <v>75</v>
      </c>
      <c r="I79" s="1"/>
      <c r="J79" s="5">
        <f t="shared" ref="J79:J82" si="45">IF(H$12=0,0,H79/H$12)</f>
        <v>1.1184181094260278E-3</v>
      </c>
      <c r="K79" s="1"/>
      <c r="L79" s="1">
        <f t="shared" ref="L79:L82" si="46">+D79-H79</f>
        <v>92.63</v>
      </c>
      <c r="M79" s="1"/>
      <c r="N79" s="5">
        <f t="shared" ref="N79:N82" si="47">IF(H79=0,0,L79/H79)</f>
        <v>1.2350666666666665</v>
      </c>
      <c r="O79" s="13"/>
      <c r="P79" s="1">
        <f>SUM(OSRRefP22_13x_0)</f>
        <v>1125.78</v>
      </c>
      <c r="Q79" s="1"/>
      <c r="R79" s="5">
        <f t="shared" ref="R79:R82" si="48">IF(P$12=0,0,P79/P$12)</f>
        <v>2.2705918282332313E-3</v>
      </c>
      <c r="S79" s="1"/>
      <c r="T79" s="1">
        <f>SUM(OSRRefT22_13x_0)</f>
        <v>675</v>
      </c>
      <c r="U79" s="1"/>
      <c r="V79" s="5">
        <f t="shared" ref="V79:V82" si="49">IF(T$12=0,0,T79/T$12)</f>
        <v>1.3026638027361728E-3</v>
      </c>
      <c r="W79" s="1"/>
      <c r="X79" s="1">
        <f t="shared" ref="X79:X82" si="50">+P79-T79</f>
        <v>450.78</v>
      </c>
      <c r="Y79" s="1"/>
      <c r="Z79" s="5">
        <f t="shared" ref="Z79:Z82" si="51">IF(T79=0,0,X79/T79)</f>
        <v>0.66782222222222221</v>
      </c>
    </row>
    <row r="80" spans="1:26" s="24" customFormat="1" hidden="1" outlineLevel="2" x14ac:dyDescent="0.25">
      <c r="A80" s="25"/>
      <c r="B80" s="11" t="str">
        <f>CONCATENATE("          ", "6309", " - ", "TELEPHONE")</f>
        <v xml:space="preserve">          6309 - TELEPHONE</v>
      </c>
      <c r="C80" s="11"/>
      <c r="D80" s="6">
        <v>167.63</v>
      </c>
      <c r="E80" s="2"/>
      <c r="F80" s="7">
        <f t="shared" si="44"/>
        <v>4.9881522828168975E-3</v>
      </c>
      <c r="G80" s="2"/>
      <c r="H80" s="6">
        <v>75</v>
      </c>
      <c r="I80" s="2"/>
      <c r="J80" s="7">
        <f t="shared" si="45"/>
        <v>1.1184181094260278E-3</v>
      </c>
      <c r="K80" s="2"/>
      <c r="L80" s="6">
        <f t="shared" si="46"/>
        <v>92.63</v>
      </c>
      <c r="M80" s="2"/>
      <c r="N80" s="7">
        <f t="shared" si="47"/>
        <v>1.2350666666666665</v>
      </c>
      <c r="O80" s="11"/>
      <c r="P80" s="6">
        <v>1125.78</v>
      </c>
      <c r="Q80" s="2"/>
      <c r="R80" s="7">
        <f t="shared" si="48"/>
        <v>2.2705918282332313E-3</v>
      </c>
      <c r="S80" s="2"/>
      <c r="T80" s="6">
        <v>675</v>
      </c>
      <c r="U80" s="2"/>
      <c r="V80" s="7">
        <f t="shared" si="49"/>
        <v>1.3026638027361728E-3</v>
      </c>
      <c r="W80" s="2"/>
      <c r="X80" s="6">
        <f t="shared" si="50"/>
        <v>450.78</v>
      </c>
      <c r="Y80" s="2"/>
      <c r="Z80" s="7">
        <f t="shared" si="51"/>
        <v>0.66782222222222221</v>
      </c>
    </row>
    <row r="81" spans="1:26" s="27" customFormat="1" outlineLevel="1" collapsed="1" x14ac:dyDescent="0.25">
      <c r="A81" s="26"/>
      <c r="B81" s="13" t="str">
        <f>CONCATENATE("     ","Training                                          ")</f>
        <v xml:space="preserve">     Training                                          </v>
      </c>
      <c r="C81" s="13"/>
      <c r="D81" s="1">
        <f>SUM(OSRRefD22_14x_0)</f>
        <v>0</v>
      </c>
      <c r="E81" s="1"/>
      <c r="F81" s="5">
        <f t="shared" si="44"/>
        <v>0</v>
      </c>
      <c r="G81" s="1"/>
      <c r="H81" s="1">
        <f>SUM(OSRRefH22_14x_0)</f>
        <v>0</v>
      </c>
      <c r="I81" s="1"/>
      <c r="J81" s="5">
        <f t="shared" si="45"/>
        <v>0</v>
      </c>
      <c r="K81" s="1"/>
      <c r="L81" s="1">
        <f t="shared" si="46"/>
        <v>0</v>
      </c>
      <c r="M81" s="1"/>
      <c r="N81" s="5">
        <f t="shared" si="47"/>
        <v>0</v>
      </c>
      <c r="O81" s="13"/>
      <c r="P81" s="1">
        <f>SUM(OSRRefP22_14x_0)</f>
        <v>96</v>
      </c>
      <c r="Q81" s="1"/>
      <c r="R81" s="5">
        <f t="shared" si="48"/>
        <v>1.9362292411518258E-4</v>
      </c>
      <c r="S81" s="1"/>
      <c r="T81" s="1">
        <f>SUM(OSRRefT22_14x_0)</f>
        <v>1000</v>
      </c>
      <c r="U81" s="1"/>
      <c r="V81" s="5">
        <f t="shared" si="49"/>
        <v>1.9298723003498856E-3</v>
      </c>
      <c r="W81" s="1"/>
      <c r="X81" s="1">
        <f t="shared" si="50"/>
        <v>-904</v>
      </c>
      <c r="Y81" s="1"/>
      <c r="Z81" s="5">
        <f t="shared" si="51"/>
        <v>-0.90400000000000003</v>
      </c>
    </row>
    <row r="82" spans="1:26" s="24" customFormat="1" hidden="1" outlineLevel="2" x14ac:dyDescent="0.25">
      <c r="A82" s="25"/>
      <c r="B82" s="11" t="str">
        <f>CONCATENATE("          ", "6376", " - ", "TRAINING")</f>
        <v xml:space="preserve">          6376 - TRAINING</v>
      </c>
      <c r="C82" s="11"/>
      <c r="D82" s="6"/>
      <c r="E82" s="2"/>
      <c r="F82" s="7">
        <f t="shared" si="44"/>
        <v>0</v>
      </c>
      <c r="G82" s="2"/>
      <c r="H82" s="6"/>
      <c r="I82" s="2"/>
      <c r="J82" s="7">
        <f t="shared" si="45"/>
        <v>0</v>
      </c>
      <c r="K82" s="2"/>
      <c r="L82" s="6">
        <f t="shared" si="46"/>
        <v>0</v>
      </c>
      <c r="M82" s="2"/>
      <c r="N82" s="7">
        <f t="shared" si="47"/>
        <v>0</v>
      </c>
      <c r="O82" s="11"/>
      <c r="P82" s="6">
        <v>96</v>
      </c>
      <c r="Q82" s="2"/>
      <c r="R82" s="7">
        <f t="shared" si="48"/>
        <v>1.9362292411518258E-4</v>
      </c>
      <c r="S82" s="2"/>
      <c r="T82" s="6">
        <v>1000</v>
      </c>
      <c r="U82" s="2"/>
      <c r="V82" s="7">
        <f t="shared" si="49"/>
        <v>1.9298723003498856E-3</v>
      </c>
      <c r="W82" s="2"/>
      <c r="X82" s="6">
        <f t="shared" si="50"/>
        <v>-904</v>
      </c>
      <c r="Y82" s="2"/>
      <c r="Z82" s="7">
        <f t="shared" si="51"/>
        <v>-0.90400000000000003</v>
      </c>
    </row>
    <row r="83" spans="1:26" s="56" customFormat="1" x14ac:dyDescent="0.25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9" t="s">
        <v>0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8" t="s">
        <v>3</v>
      </c>
      <c r="C86" s="28"/>
      <c r="D86" s="20">
        <f>+D26-D28+D84</f>
        <v>-2272.940000000006</v>
      </c>
      <c r="E86" s="14"/>
      <c r="F86" s="22">
        <f>IF(D$12=0,0,D86/D$12)</f>
        <v>-6.7635690805380108E-2</v>
      </c>
      <c r="G86" s="14"/>
      <c r="H86" s="20">
        <f>+H26-H28+H84</f>
        <v>13780.5331424</v>
      </c>
      <c r="I86" s="14"/>
      <c r="J86" s="22">
        <f>IF(H$12=0,0,H86/H$12)</f>
        <v>0.20549863765340967</v>
      </c>
      <c r="K86" s="16"/>
      <c r="L86" s="20">
        <f>+D86-H86</f>
        <v>-16053.473142400006</v>
      </c>
      <c r="M86" s="16"/>
      <c r="N86" s="22">
        <f>IF(H86=0,0,L86/H86)</f>
        <v>-1.1649384662053905</v>
      </c>
      <c r="O86" s="29"/>
      <c r="P86" s="20">
        <f>+P26-P28+P84</f>
        <v>86053.919999999984</v>
      </c>
      <c r="Q86" s="14"/>
      <c r="R86" s="22">
        <f>IF(P$12=0,0,P86/P$12)</f>
        <v>0.17356262106222906</v>
      </c>
      <c r="S86" s="14"/>
      <c r="T86" s="20">
        <f>+T26-T28+T84</f>
        <v>90685.430544400064</v>
      </c>
      <c r="U86" s="14"/>
      <c r="V86" s="22">
        <f>IF(T$12=0,0,T86/T$12)</f>
        <v>0.17501130045294114</v>
      </c>
      <c r="W86" s="16"/>
      <c r="X86" s="20">
        <f>+P86-T86</f>
        <v>-4631.5105444000801</v>
      </c>
      <c r="Y86" s="16"/>
      <c r="Z86" s="22">
        <f>IF(T86=0,0,X86/T86)</f>
        <v>-5.1072267249505622E-2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14</v>
      </c>
      <c r="C88" s="10"/>
      <c r="D88" s="4">
        <v>6019.47</v>
      </c>
      <c r="E88" s="4"/>
      <c r="F88" s="12">
        <f>IF(D$12=0,0,D88/D$12)</f>
        <v>0.17912087944787825</v>
      </c>
      <c r="G88" s="4"/>
      <c r="H88" s="4">
        <v>6323</v>
      </c>
      <c r="I88" s="4"/>
      <c r="J88" s="12">
        <f>IF(H$12=0,0,H88/H$12)</f>
        <v>9.4290102745343649E-2</v>
      </c>
      <c r="K88" s="4"/>
      <c r="L88" s="4">
        <f>+D88-H88</f>
        <v>-303.52999999999975</v>
      </c>
      <c r="M88" s="4"/>
      <c r="N88" s="12">
        <f>IF(H88=0,0,L88/H88)</f>
        <v>-4.8004111972165073E-2</v>
      </c>
      <c r="O88" s="10"/>
      <c r="P88" s="4">
        <v>53127.14</v>
      </c>
      <c r="Q88" s="4"/>
      <c r="R88" s="12">
        <f>IF(P$12=0,0,P88/P$12)</f>
        <v>0.10715241871538209</v>
      </c>
      <c r="S88" s="4"/>
      <c r="T88" s="4">
        <v>60568.999999999993</v>
      </c>
      <c r="U88" s="4"/>
      <c r="V88" s="12">
        <f>IF(T$12=0,0,T88/T$12)</f>
        <v>0.11689043535989221</v>
      </c>
      <c r="W88" s="4"/>
      <c r="X88" s="4">
        <f>+P88-T88</f>
        <v>-7441.8599999999933</v>
      </c>
      <c r="Y88" s="4"/>
      <c r="Z88" s="12">
        <f>IF(T88=0,0,X88/T88)</f>
        <v>-0.12286582245042835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4</v>
      </c>
      <c r="C90" s="28"/>
      <c r="D90" s="31">
        <f>+D86-D88</f>
        <v>-8292.4100000000071</v>
      </c>
      <c r="E90" s="14"/>
      <c r="F90" s="34">
        <f>IF(D$12=0,0,D90/D$12)</f>
        <v>-0.24675657025325839</v>
      </c>
      <c r="G90" s="14"/>
      <c r="H90" s="31">
        <f>+H86-H88</f>
        <v>7457.5331423999996</v>
      </c>
      <c r="I90" s="14"/>
      <c r="J90" s="34">
        <f>IF(H$12=0,0,H90/H$12)</f>
        <v>0.11120853490806602</v>
      </c>
      <c r="K90" s="16"/>
      <c r="L90" s="31">
        <f>D90-H90</f>
        <v>-15749.943142400007</v>
      </c>
      <c r="M90" s="16"/>
      <c r="N90" s="34">
        <f>IF(H90=0,0,L90/H90)</f>
        <v>-2.1119508075469748</v>
      </c>
      <c r="O90" s="29"/>
      <c r="P90" s="31">
        <f>+P86-P88</f>
        <v>32926.779999999984</v>
      </c>
      <c r="Q90" s="14"/>
      <c r="R90" s="34">
        <f>IF(P$12=0,0,P90/P$12)</f>
        <v>6.6410202346846955E-2</v>
      </c>
      <c r="S90" s="14"/>
      <c r="T90" s="31">
        <f>+T86-T88</f>
        <v>30116.430544400071</v>
      </c>
      <c r="U90" s="14"/>
      <c r="V90" s="34">
        <f>IF(T$12=0,0,T90/T$12)</f>
        <v>5.8120865093048923E-2</v>
      </c>
      <c r="W90" s="16"/>
      <c r="X90" s="31">
        <f>P90-T90</f>
        <v>2810.3494555999132</v>
      </c>
      <c r="Y90" s="16"/>
      <c r="Z90" s="34">
        <f>IF(T90=0,0,X90/T90)</f>
        <v>9.3316153501546914E-2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8" t="s">
        <v>5</v>
      </c>
      <c r="C93" s="28"/>
      <c r="D93" s="32">
        <f>SUM(D90:D92)</f>
        <v>-8292.4100000000071</v>
      </c>
      <c r="E93" s="14"/>
      <c r="F93" s="35">
        <f>IF(D$12=0,0,D93/D$12)</f>
        <v>-0.24675657025325839</v>
      </c>
      <c r="G93" s="14"/>
      <c r="H93" s="32">
        <f>SUM(H90:H92)</f>
        <v>7457.5331423999996</v>
      </c>
      <c r="I93" s="14"/>
      <c r="J93" s="35">
        <f>IF(H$12=0,0,H93/H$12)</f>
        <v>0.11120853490806602</v>
      </c>
      <c r="K93" s="16"/>
      <c r="L93" s="32">
        <f>+D93-H93</f>
        <v>-15749.943142400007</v>
      </c>
      <c r="M93" s="16"/>
      <c r="N93" s="35">
        <f>IF(H93=0,0,L93/H93)</f>
        <v>-2.1119508075469748</v>
      </c>
      <c r="O93" s="29"/>
      <c r="P93" s="32">
        <f>SUM(P90:P92)</f>
        <v>32926.779999999984</v>
      </c>
      <c r="Q93" s="14"/>
      <c r="R93" s="35">
        <f>IF(P$12=0,0,P93/P$12)</f>
        <v>6.6410202346846955E-2</v>
      </c>
      <c r="S93" s="14"/>
      <c r="T93" s="32">
        <f>SUM(T90:T92)</f>
        <v>30116.430544400071</v>
      </c>
      <c r="U93" s="14"/>
      <c r="V93" s="35">
        <f>IF(T$12=0,0,T93/T$12)</f>
        <v>5.8120865093048923E-2</v>
      </c>
      <c r="W93" s="16"/>
      <c r="X93" s="32">
        <f>+P93-T93</f>
        <v>2810.3494555999132</v>
      </c>
      <c r="Y93" s="16"/>
      <c r="Z93" s="35">
        <f>IF(T93=0,0,X93/T93)</f>
        <v>9.3316153501546914E-2</v>
      </c>
    </row>
    <row r="94" spans="1:26" ht="15.75" thickTop="1" x14ac:dyDescent="0.25">
      <c r="A94" s="9"/>
      <c r="C94" s="9"/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A95" s="9"/>
      <c r="B95" s="57">
        <v>43934.466442280092</v>
      </c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A96" s="9"/>
      <c r="B96" s="62" t="s">
        <v>314</v>
      </c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1:24" x14ac:dyDescent="0.25">
      <c r="A97" s="9"/>
      <c r="B97" s="60"/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299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","321", " - ", "Student Union C-Store")</f>
        <v>Department 321 - Student Union C-Store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20204.23</v>
      </c>
      <c r="E12" s="4"/>
      <c r="F12" s="12"/>
      <c r="G12" s="4"/>
      <c r="H12" s="4">
        <f>SUM(OSRRefH13x_0)</f>
        <v>36080</v>
      </c>
      <c r="I12" s="4"/>
      <c r="J12" s="12"/>
      <c r="K12" s="4"/>
      <c r="L12" s="4">
        <f t="shared" ref="L12:L15" si="0">+D12-H12</f>
        <v>-15875.77</v>
      </c>
      <c r="M12" s="4"/>
      <c r="N12" s="12">
        <f t="shared" ref="N12:N15" si="1">IF(H12=0,0,L12/H12)</f>
        <v>-0.4400157982261641</v>
      </c>
      <c r="O12" s="10"/>
      <c r="P12" s="4">
        <f>SUM(OSRRefP13x_0)</f>
        <v>281486.67000000004</v>
      </c>
      <c r="Q12" s="4"/>
      <c r="R12" s="12"/>
      <c r="S12" s="4"/>
      <c r="T12" s="4">
        <f>SUM(OSRRefT13x_0)</f>
        <v>265900</v>
      </c>
      <c r="U12" s="4"/>
      <c r="V12" s="12"/>
      <c r="W12" s="4"/>
      <c r="X12" s="4">
        <f t="shared" ref="X12:X15" si="2">+P12-T12</f>
        <v>15586.670000000042</v>
      </c>
      <c r="Y12" s="4"/>
      <c r="Z12" s="12">
        <f t="shared" ref="Z12:Z15" si="3">IF(T12=0,0,X12/T12)</f>
        <v>5.8618540804813997E-2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--4522.24</f>
        <v>4522.24</v>
      </c>
      <c r="E13" s="2"/>
      <c r="F13" s="19"/>
      <c r="G13" s="2"/>
      <c r="H13" s="2"/>
      <c r="I13" s="2"/>
      <c r="J13" s="19"/>
      <c r="K13" s="2"/>
      <c r="L13" s="2">
        <f t="shared" si="0"/>
        <v>4522.24</v>
      </c>
      <c r="M13" s="2"/>
      <c r="N13" s="19">
        <f t="shared" si="1"/>
        <v>0</v>
      </c>
      <c r="O13" s="11"/>
      <c r="P13" s="2">
        <f>--65192.75</f>
        <v>65192.75</v>
      </c>
      <c r="Q13" s="2"/>
      <c r="R13" s="19"/>
      <c r="S13" s="2"/>
      <c r="T13" s="2"/>
      <c r="U13" s="2"/>
      <c r="V13" s="19"/>
      <c r="W13" s="2"/>
      <c r="X13" s="2">
        <f t="shared" si="2"/>
        <v>65192.75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36080</v>
      </c>
      <c r="I14" s="2"/>
      <c r="J14" s="19"/>
      <c r="K14" s="2"/>
      <c r="L14" s="2">
        <f t="shared" si="0"/>
        <v>-36080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265900</v>
      </c>
      <c r="U14" s="2"/>
      <c r="V14" s="19"/>
      <c r="W14" s="2"/>
      <c r="X14" s="2">
        <f t="shared" si="2"/>
        <v>-265900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>--15681.99</f>
        <v>15681.99</v>
      </c>
      <c r="E15" s="2"/>
      <c r="F15" s="19"/>
      <c r="G15" s="2"/>
      <c r="H15" s="2"/>
      <c r="I15" s="2"/>
      <c r="J15" s="19"/>
      <c r="K15" s="2"/>
      <c r="L15" s="2">
        <f t="shared" si="0"/>
        <v>15681.99</v>
      </c>
      <c r="M15" s="2"/>
      <c r="N15" s="19">
        <f t="shared" si="1"/>
        <v>0</v>
      </c>
      <c r="O15" s="11"/>
      <c r="P15" s="2">
        <f>--216293.92</f>
        <v>216293.92</v>
      </c>
      <c r="Q15" s="2"/>
      <c r="R15" s="19"/>
      <c r="S15" s="2"/>
      <c r="T15" s="2"/>
      <c r="U15" s="2"/>
      <c r="V15" s="19"/>
      <c r="W15" s="2"/>
      <c r="X15" s="2">
        <f t="shared" si="2"/>
        <v>216293.92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9657.52</v>
      </c>
      <c r="E17" s="4"/>
      <c r="F17" s="12">
        <f t="shared" ref="F17:F20" si="4">IF(D$12=0,0,D17/D$12)</f>
        <v>0.47799495452189966</v>
      </c>
      <c r="G17" s="4"/>
      <c r="H17" s="4">
        <f>SUM(OSRRefH16x_0)</f>
        <v>17246</v>
      </c>
      <c r="I17" s="4"/>
      <c r="J17" s="12">
        <f t="shared" ref="J17:J20" si="5">IF(H$12=0,0,H17/H$12)</f>
        <v>0.47799334811529931</v>
      </c>
      <c r="K17" s="4"/>
      <c r="L17" s="4">
        <f t="shared" ref="L17:L20" si="6">+D17-H17</f>
        <v>-7588.48</v>
      </c>
      <c r="M17" s="4"/>
      <c r="N17" s="12">
        <f t="shared" ref="N17:N20" si="7">IF(H17=0,0,L17/H17)</f>
        <v>-0.44001391627043951</v>
      </c>
      <c r="O17" s="10"/>
      <c r="P17" s="4">
        <f>SUM(OSRRefP16x_0)</f>
        <v>134878.01</v>
      </c>
      <c r="Q17" s="4"/>
      <c r="R17" s="12">
        <f t="shared" ref="R17:R20" si="8">IF(P$12=0,0,P17/P$12)</f>
        <v>0.47916304526960368</v>
      </c>
      <c r="S17" s="4"/>
      <c r="T17" s="4">
        <f>SUM(OSRRefT16x_0)</f>
        <v>127100</v>
      </c>
      <c r="U17" s="4"/>
      <c r="V17" s="12">
        <f t="shared" ref="V17:V20" si="9">IF(T$12=0,0,T17/T$12)</f>
        <v>0.47799924783753289</v>
      </c>
      <c r="W17" s="4"/>
      <c r="X17" s="4">
        <f t="shared" ref="X17:X20" si="10">+P17-T17</f>
        <v>7778.0100000000093</v>
      </c>
      <c r="Y17" s="4"/>
      <c r="Z17" s="12">
        <f t="shared" ref="Z17:Z20" si="11">IF(T17=0,0,X17/T17)</f>
        <v>6.1195987411487095E-2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17246</v>
      </c>
      <c r="I18" s="2"/>
      <c r="J18" s="19">
        <f t="shared" si="5"/>
        <v>0.47799334811529931</v>
      </c>
      <c r="K18" s="2"/>
      <c r="L18" s="2">
        <f t="shared" si="6"/>
        <v>-17246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127100</v>
      </c>
      <c r="U18" s="2"/>
      <c r="V18" s="19">
        <f t="shared" si="9"/>
        <v>0.47799924783753289</v>
      </c>
      <c r="W18" s="2"/>
      <c r="X18" s="2">
        <f t="shared" si="10"/>
        <v>-127100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9288.36</v>
      </c>
      <c r="E19" s="2"/>
      <c r="F19" s="19">
        <f t="shared" si="4"/>
        <v>0.45972353314132736</v>
      </c>
      <c r="G19" s="2"/>
      <c r="H19" s="2"/>
      <c r="I19" s="2"/>
      <c r="J19" s="19">
        <f t="shared" si="5"/>
        <v>0</v>
      </c>
      <c r="K19" s="2"/>
      <c r="L19" s="2">
        <f t="shared" si="6"/>
        <v>9288.36</v>
      </c>
      <c r="M19" s="2"/>
      <c r="N19" s="19">
        <f t="shared" si="7"/>
        <v>0</v>
      </c>
      <c r="O19" s="11"/>
      <c r="P19" s="2">
        <v>134176.47</v>
      </c>
      <c r="Q19" s="2"/>
      <c r="R19" s="19">
        <f t="shared" si="8"/>
        <v>0.47667077805140817</v>
      </c>
      <c r="S19" s="2"/>
      <c r="T19" s="2"/>
      <c r="U19" s="2"/>
      <c r="V19" s="19">
        <f t="shared" si="9"/>
        <v>0</v>
      </c>
      <c r="W19" s="2"/>
      <c r="X19" s="2">
        <f t="shared" si="10"/>
        <v>134176.47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369.16</v>
      </c>
      <c r="E20" s="2"/>
      <c r="F20" s="19">
        <f t="shared" si="4"/>
        <v>1.8271421380572288E-2</v>
      </c>
      <c r="G20" s="2"/>
      <c r="H20" s="2"/>
      <c r="I20" s="2"/>
      <c r="J20" s="19">
        <f t="shared" si="5"/>
        <v>0</v>
      </c>
      <c r="K20" s="2"/>
      <c r="L20" s="2">
        <f t="shared" si="6"/>
        <v>369.16</v>
      </c>
      <c r="M20" s="2"/>
      <c r="N20" s="19">
        <f t="shared" si="7"/>
        <v>0</v>
      </c>
      <c r="O20" s="11"/>
      <c r="P20" s="2">
        <v>701.54</v>
      </c>
      <c r="Q20" s="2"/>
      <c r="R20" s="19">
        <f t="shared" si="8"/>
        <v>2.4922672181954472E-3</v>
      </c>
      <c r="S20" s="2"/>
      <c r="T20" s="2"/>
      <c r="U20" s="2"/>
      <c r="V20" s="19">
        <f t="shared" si="9"/>
        <v>0</v>
      </c>
      <c r="W20" s="2"/>
      <c r="X20" s="2">
        <f t="shared" si="10"/>
        <v>701.54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0">
        <f>D12-D17</f>
        <v>10546.71</v>
      </c>
      <c r="E22" s="14"/>
      <c r="F22" s="22">
        <f>IF(D$12=0,0,D22/D$12)</f>
        <v>0.52200504547810034</v>
      </c>
      <c r="G22" s="14"/>
      <c r="H22" s="20">
        <f>H12-H17</f>
        <v>18834</v>
      </c>
      <c r="I22" s="14"/>
      <c r="J22" s="22">
        <f>IF(H$12=0,0,H22/H$12)</f>
        <v>0.52200665188470063</v>
      </c>
      <c r="K22" s="16"/>
      <c r="L22" s="20">
        <f>+D22-H22</f>
        <v>-8287.2900000000009</v>
      </c>
      <c r="M22" s="16"/>
      <c r="N22" s="22">
        <f>IF(H22=0,0,L22/H22)</f>
        <v>-0.44001752150366363</v>
      </c>
      <c r="O22" s="29"/>
      <c r="P22" s="20">
        <f>P12-P17</f>
        <v>146608.66000000003</v>
      </c>
      <c r="Q22" s="14"/>
      <c r="R22" s="22">
        <f>IF(P$12=0,0,P22/P$12)</f>
        <v>0.52083695473039637</v>
      </c>
      <c r="S22" s="14"/>
      <c r="T22" s="20">
        <f>T12-T17</f>
        <v>138800</v>
      </c>
      <c r="U22" s="14"/>
      <c r="V22" s="22">
        <f>IF(T$12=0,0,T22/T$12)</f>
        <v>0.52200075216246711</v>
      </c>
      <c r="W22" s="16"/>
      <c r="X22" s="20">
        <f>+P22-T22</f>
        <v>7808.6600000000326</v>
      </c>
      <c r="Y22" s="16"/>
      <c r="Z22" s="22">
        <f>IF(T22=0,0,X22/T22)</f>
        <v>5.6258357348703408E-2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1">
        <f>SUM(OSRRefD22x_0)</f>
        <v>18733.879999999997</v>
      </c>
      <c r="E24" s="21"/>
      <c r="F24" s="30">
        <f t="shared" ref="F24:F33" si="12">IF(D$12=0,0,D24/D$12)</f>
        <v>0.92722563542386904</v>
      </c>
      <c r="G24" s="21"/>
      <c r="H24" s="21">
        <f>SUM(OSRRefH22x_0)</f>
        <v>15924.053598653851</v>
      </c>
      <c r="I24" s="21"/>
      <c r="J24" s="30">
        <f t="shared" ref="J24:J33" si="13">IF(H$12=0,0,H24/H$12)</f>
        <v>0.44135403543940827</v>
      </c>
      <c r="K24" s="4"/>
      <c r="L24" s="21">
        <f t="shared" ref="L24:L33" si="14">+D24-H24</f>
        <v>2809.8264013461467</v>
      </c>
      <c r="M24" s="4"/>
      <c r="N24" s="30">
        <f t="shared" ref="N24:N33" si="15">IF(H24=0,0,L24/H24)</f>
        <v>0.17645170458253651</v>
      </c>
      <c r="O24" s="10"/>
      <c r="P24" s="21">
        <f>SUM(OSRRefP22x_0)</f>
        <v>117904.79000000001</v>
      </c>
      <c r="Q24" s="21"/>
      <c r="R24" s="30">
        <f t="shared" ref="R24:R33" si="16">IF(P$12=0,0,P24/P$12)</f>
        <v>0.41886455937682587</v>
      </c>
      <c r="S24" s="21"/>
      <c r="T24" s="21">
        <f>SUM(OSRRefT22x_0)</f>
        <v>124009.64127062503</v>
      </c>
      <c r="U24" s="21"/>
      <c r="V24" s="30">
        <f t="shared" ref="V24:V33" si="17">IF(T$12=0,0,T24/T$12)</f>
        <v>0.4663769886070892</v>
      </c>
      <c r="W24" s="4"/>
      <c r="X24" s="21">
        <f t="shared" ref="X24:X33" si="18">+P24-T24</f>
        <v>-6104.8512706250185</v>
      </c>
      <c r="Y24" s="4"/>
      <c r="Z24" s="30">
        <f t="shared" ref="Z24:Z33" si="19">IF(T24=0,0,X24/T24)</f>
        <v>-4.9228843887246326E-2</v>
      </c>
    </row>
    <row r="25" spans="1:26" s="27" customFormat="1" outlineLevel="1" collapsed="1" x14ac:dyDescent="0.25">
      <c r="A25" s="26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463.06</v>
      </c>
      <c r="E25" s="1"/>
      <c r="F25" s="5">
        <f t="shared" si="12"/>
        <v>2.2918963009231234E-2</v>
      </c>
      <c r="G25" s="1"/>
      <c r="H25" s="1">
        <f>SUM(OSRRefH22_0x_0)</f>
        <v>1487.5022525000002</v>
      </c>
      <c r="I25" s="1"/>
      <c r="J25" s="5">
        <f t="shared" si="13"/>
        <v>4.1227889481707324E-2</v>
      </c>
      <c r="K25" s="1"/>
      <c r="L25" s="1">
        <f t="shared" si="14"/>
        <v>-1024.4422525000002</v>
      </c>
      <c r="M25" s="1"/>
      <c r="N25" s="5">
        <f t="shared" si="15"/>
        <v>-0.68869963106156717</v>
      </c>
      <c r="O25" s="13"/>
      <c r="P25" s="1">
        <f>SUM(OSRRefP22_0x_0)</f>
        <v>10263.029999999999</v>
      </c>
      <c r="Q25" s="1"/>
      <c r="R25" s="5">
        <f t="shared" si="16"/>
        <v>3.646009240863874E-2</v>
      </c>
      <c r="S25" s="1"/>
      <c r="T25" s="1">
        <f>SUM(OSRRefT22_0x_0)</f>
        <v>13162.924395625001</v>
      </c>
      <c r="U25" s="1"/>
      <c r="V25" s="5">
        <f t="shared" si="17"/>
        <v>4.950328843785258E-2</v>
      </c>
      <c r="W25" s="1"/>
      <c r="X25" s="1">
        <f t="shared" si="18"/>
        <v>-2899.8943956250023</v>
      </c>
      <c r="Y25" s="1"/>
      <c r="Z25" s="5">
        <f t="shared" si="19"/>
        <v>-0.22030776052993578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6">
        <v>314.05</v>
      </c>
      <c r="E26" s="2"/>
      <c r="F26" s="7">
        <f t="shared" si="12"/>
        <v>1.5543774744199606E-2</v>
      </c>
      <c r="G26" s="2"/>
      <c r="H26" s="6">
        <v>158.91425065384598</v>
      </c>
      <c r="I26" s="2"/>
      <c r="J26" s="7">
        <f t="shared" si="13"/>
        <v>4.4044969693416295E-3</v>
      </c>
      <c r="K26" s="2"/>
      <c r="L26" s="6">
        <f t="shared" si="14"/>
        <v>155.13574934615403</v>
      </c>
      <c r="M26" s="2"/>
      <c r="N26" s="7">
        <f t="shared" si="15"/>
        <v>0.97622301780900411</v>
      </c>
      <c r="O26" s="11"/>
      <c r="P26" s="6">
        <v>2418.25</v>
      </c>
      <c r="Q26" s="2"/>
      <c r="R26" s="7">
        <f t="shared" si="16"/>
        <v>8.5909929589205753E-3</v>
      </c>
      <c r="S26" s="2"/>
      <c r="T26" s="6">
        <v>1636.832249624998</v>
      </c>
      <c r="U26" s="2"/>
      <c r="V26" s="7">
        <f t="shared" si="17"/>
        <v>6.1558189154757356E-3</v>
      </c>
      <c r="W26" s="2"/>
      <c r="X26" s="6">
        <f t="shared" si="18"/>
        <v>781.41775037500202</v>
      </c>
      <c r="Y26" s="2"/>
      <c r="Z26" s="7">
        <f t="shared" si="19"/>
        <v>0.47739635540173808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6">
        <v>131.07</v>
      </c>
      <c r="E27" s="2"/>
      <c r="F27" s="7">
        <f t="shared" si="12"/>
        <v>6.4872553915689933E-3</v>
      </c>
      <c r="G27" s="2"/>
      <c r="H27" s="6">
        <v>153.90714692307699</v>
      </c>
      <c r="I27" s="2"/>
      <c r="J27" s="7">
        <f t="shared" si="13"/>
        <v>4.265719149752688E-3</v>
      </c>
      <c r="K27" s="2"/>
      <c r="L27" s="6">
        <f t="shared" si="14"/>
        <v>-22.837146923077</v>
      </c>
      <c r="M27" s="2"/>
      <c r="N27" s="7">
        <f t="shared" si="15"/>
        <v>-0.14838262796523047</v>
      </c>
      <c r="O27" s="11"/>
      <c r="P27" s="6">
        <v>874.82</v>
      </c>
      <c r="Q27" s="2"/>
      <c r="R27" s="7">
        <f t="shared" si="16"/>
        <v>3.1078558711146072E-3</v>
      </c>
      <c r="S27" s="2"/>
      <c r="T27" s="6">
        <v>1190.6895774999987</v>
      </c>
      <c r="U27" s="2"/>
      <c r="V27" s="7">
        <f t="shared" si="17"/>
        <v>4.4779600507709617E-3</v>
      </c>
      <c r="W27" s="2"/>
      <c r="X27" s="6">
        <f t="shared" si="18"/>
        <v>-315.86957749999863</v>
      </c>
      <c r="Y27" s="2"/>
      <c r="Z27" s="7">
        <f t="shared" si="19"/>
        <v>-0.26528289444105674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6"/>
      <c r="E28" s="2"/>
      <c r="F28" s="7">
        <f t="shared" si="12"/>
        <v>0</v>
      </c>
      <c r="G28" s="2"/>
      <c r="H28" s="6">
        <v>690.5</v>
      </c>
      <c r="I28" s="2"/>
      <c r="J28" s="7">
        <f t="shared" si="13"/>
        <v>1.9138026607538803E-2</v>
      </c>
      <c r="K28" s="2"/>
      <c r="L28" s="6">
        <f t="shared" si="14"/>
        <v>-690.5</v>
      </c>
      <c r="M28" s="2"/>
      <c r="N28" s="7">
        <f t="shared" si="15"/>
        <v>-1</v>
      </c>
      <c r="O28" s="11"/>
      <c r="P28" s="6">
        <v>4676.5</v>
      </c>
      <c r="Q28" s="2"/>
      <c r="R28" s="7">
        <f t="shared" si="16"/>
        <v>1.6613575342661873E-2</v>
      </c>
      <c r="S28" s="2"/>
      <c r="T28" s="6">
        <v>6214.5</v>
      </c>
      <c r="U28" s="2"/>
      <c r="V28" s="7">
        <f t="shared" si="17"/>
        <v>2.337156825874389E-2</v>
      </c>
      <c r="W28" s="2"/>
      <c r="X28" s="6">
        <f t="shared" si="18"/>
        <v>-1538</v>
      </c>
      <c r="Y28" s="2"/>
      <c r="Z28" s="7">
        <f t="shared" si="19"/>
        <v>-0.24748571888325691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6">
        <v>17.940000000000001</v>
      </c>
      <c r="E29" s="2"/>
      <c r="F29" s="7">
        <f t="shared" si="12"/>
        <v>8.8793287346263633E-4</v>
      </c>
      <c r="G29" s="2"/>
      <c r="H29" s="6">
        <v>21.060977999999999</v>
      </c>
      <c r="I29" s="2"/>
      <c r="J29" s="7">
        <f t="shared" si="13"/>
        <v>5.8372998891352546E-4</v>
      </c>
      <c r="K29" s="2"/>
      <c r="L29" s="6">
        <f t="shared" si="14"/>
        <v>-3.1209779999999974</v>
      </c>
      <c r="M29" s="2"/>
      <c r="N29" s="7">
        <f t="shared" si="15"/>
        <v>-0.14818770524331765</v>
      </c>
      <c r="O29" s="11"/>
      <c r="P29" s="6">
        <v>125.59</v>
      </c>
      <c r="Q29" s="2"/>
      <c r="R29" s="7">
        <f t="shared" si="16"/>
        <v>4.4616677585478554E-4</v>
      </c>
      <c r="S29" s="2"/>
      <c r="T29" s="6">
        <v>162.93646849999999</v>
      </c>
      <c r="U29" s="2"/>
      <c r="V29" s="7">
        <f t="shared" si="17"/>
        <v>6.1277348063181641E-4</v>
      </c>
      <c r="W29" s="2"/>
      <c r="X29" s="6">
        <f t="shared" si="18"/>
        <v>-37.346468499999986</v>
      </c>
      <c r="Y29" s="2"/>
      <c r="Z29" s="7">
        <f t="shared" si="19"/>
        <v>-0.22920877593465203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6"/>
      <c r="E30" s="2"/>
      <c r="F30" s="7">
        <f t="shared" si="12"/>
        <v>0</v>
      </c>
      <c r="G30" s="2"/>
      <c r="H30" s="6">
        <v>178.57866923076901</v>
      </c>
      <c r="I30" s="2"/>
      <c r="J30" s="7">
        <f t="shared" si="13"/>
        <v>4.9495196571720896E-3</v>
      </c>
      <c r="K30" s="2"/>
      <c r="L30" s="6">
        <f t="shared" si="14"/>
        <v>-178.57866923076901</v>
      </c>
      <c r="M30" s="2"/>
      <c r="N30" s="7">
        <f t="shared" si="15"/>
        <v>-1</v>
      </c>
      <c r="O30" s="11"/>
      <c r="P30" s="6">
        <v>670.55</v>
      </c>
      <c r="Q30" s="2"/>
      <c r="R30" s="7">
        <f t="shared" si="16"/>
        <v>2.3821731949154107E-3</v>
      </c>
      <c r="S30" s="2"/>
      <c r="T30" s="6">
        <v>1685.8676750000002</v>
      </c>
      <c r="U30" s="2"/>
      <c r="V30" s="7">
        <f t="shared" si="17"/>
        <v>6.3402319481007906E-3</v>
      </c>
      <c r="W30" s="2"/>
      <c r="X30" s="6">
        <f t="shared" si="18"/>
        <v>-1015.3176750000002</v>
      </c>
      <c r="Y30" s="2"/>
      <c r="Z30" s="7">
        <f t="shared" si="19"/>
        <v>-0.6022522942080849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6"/>
      <c r="E32" s="2"/>
      <c r="F32" s="7">
        <f t="shared" si="12"/>
        <v>0</v>
      </c>
      <c r="G32" s="2"/>
      <c r="H32" s="6">
        <v>41.529923076923097</v>
      </c>
      <c r="I32" s="2"/>
      <c r="J32" s="7">
        <f t="shared" si="13"/>
        <v>1.1510510830632789E-3</v>
      </c>
      <c r="K32" s="2"/>
      <c r="L32" s="6">
        <f t="shared" si="14"/>
        <v>-41.529923076923097</v>
      </c>
      <c r="M32" s="2"/>
      <c r="N32" s="7">
        <f t="shared" si="15"/>
        <v>-1</v>
      </c>
      <c r="O32" s="11"/>
      <c r="P32" s="6">
        <v>1098.8</v>
      </c>
      <c r="Q32" s="2"/>
      <c r="R32" s="7">
        <f t="shared" si="16"/>
        <v>3.9035596250437004E-3</v>
      </c>
      <c r="S32" s="2"/>
      <c r="T32" s="6">
        <v>392.06225000000012</v>
      </c>
      <c r="U32" s="2"/>
      <c r="V32" s="7">
        <f t="shared" si="17"/>
        <v>1.4744725460699515E-3</v>
      </c>
      <c r="W32" s="2"/>
      <c r="X32" s="6">
        <f t="shared" si="18"/>
        <v>706.73774999999978</v>
      </c>
      <c r="Y32" s="2"/>
      <c r="Z32" s="7">
        <f t="shared" si="19"/>
        <v>1.8026161661827926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6"/>
      <c r="E33" s="2"/>
      <c r="F33" s="7">
        <f t="shared" si="12"/>
        <v>0</v>
      </c>
      <c r="G33" s="2"/>
      <c r="H33" s="6">
        <v>243.01128461538499</v>
      </c>
      <c r="I33" s="2"/>
      <c r="J33" s="7">
        <f t="shared" si="13"/>
        <v>6.735346025925305E-3</v>
      </c>
      <c r="K33" s="2"/>
      <c r="L33" s="6">
        <f t="shared" si="14"/>
        <v>-243.01128461538499</v>
      </c>
      <c r="M33" s="2"/>
      <c r="N33" s="7">
        <f t="shared" si="15"/>
        <v>-1</v>
      </c>
      <c r="O33" s="11"/>
      <c r="P33" s="6">
        <v>398.52</v>
      </c>
      <c r="Q33" s="2"/>
      <c r="R33" s="7">
        <f t="shared" si="16"/>
        <v>1.4157686401277897E-3</v>
      </c>
      <c r="S33" s="2"/>
      <c r="T33" s="6">
        <v>1880.0361750000029</v>
      </c>
      <c r="U33" s="2"/>
      <c r="V33" s="7">
        <f t="shared" si="17"/>
        <v>7.0704632380594315E-3</v>
      </c>
      <c r="W33" s="2"/>
      <c r="X33" s="6">
        <f t="shared" si="18"/>
        <v>-1481.5161750000029</v>
      </c>
      <c r="Y33" s="2"/>
      <c r="Z33" s="7">
        <f t="shared" si="19"/>
        <v>-0.7880253554163662</v>
      </c>
    </row>
    <row r="34" spans="1:26" s="27" customFormat="1" outlineLevel="1" collapsed="1" x14ac:dyDescent="0.25">
      <c r="A34" s="26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6413.8200000000006</v>
      </c>
      <c r="E34" s="1"/>
      <c r="F34" s="5">
        <f t="shared" ref="F34:F44" si="20">IF(D$12=0,0,D34/D$12)</f>
        <v>0.31744936580112187</v>
      </c>
      <c r="G34" s="1"/>
      <c r="H34" s="1">
        <f>SUM(OSRRefH22_1x_0)</f>
        <v>7996.5513461538503</v>
      </c>
      <c r="I34" s="1"/>
      <c r="J34" s="5">
        <f t="shared" ref="J34:J44" si="21">IF(H$12=0,0,H34/H$12)</f>
        <v>0.22163390648985173</v>
      </c>
      <c r="K34" s="1"/>
      <c r="L34" s="1">
        <f t="shared" ref="L34:L44" si="22">+D34-H34</f>
        <v>-1582.7313461538497</v>
      </c>
      <c r="M34" s="1"/>
      <c r="N34" s="5">
        <f t="shared" ref="N34:N44" si="23">IF(H34=0,0,L34/H34)</f>
        <v>-0.19792674087125139</v>
      </c>
      <c r="O34" s="13"/>
      <c r="P34" s="1">
        <f>SUM(OSRRefP22_1x_0)</f>
        <v>51305.1</v>
      </c>
      <c r="Q34" s="1"/>
      <c r="R34" s="5">
        <f t="shared" ref="R34:R44" si="24">IF(P$12=0,0,P34/P$12)</f>
        <v>0.18226475875394024</v>
      </c>
      <c r="S34" s="1"/>
      <c r="T34" s="1">
        <f>SUM(OSRRefT22_1x_0)</f>
        <v>61687.716875000035</v>
      </c>
      <c r="U34" s="1"/>
      <c r="V34" s="5">
        <f t="shared" ref="V34:V44" si="25">IF(T$12=0,0,T34/T$12)</f>
        <v>0.23199592657013929</v>
      </c>
      <c r="W34" s="1"/>
      <c r="X34" s="1">
        <f t="shared" ref="X34:X44" si="26">+P34-T34</f>
        <v>-10382.616875000036</v>
      </c>
      <c r="Y34" s="1"/>
      <c r="Z34" s="5">
        <f t="shared" ref="Z34:Z44" si="27">IF(T34=0,0,X34/T34)</f>
        <v>-0.16830930695714827</v>
      </c>
    </row>
    <row r="35" spans="1:26" s="24" customFormat="1" hidden="1" outlineLevel="2" x14ac:dyDescent="0.25">
      <c r="A35" s="25"/>
      <c r="B35" s="11" t="str">
        <f>CONCATENATE("          ", "6001", " - ", "ADMINISTRATIVE SALARIES")</f>
        <v xml:space="preserve">          6001 - ADMINISTRATIVE SALARIES</v>
      </c>
      <c r="C35" s="11"/>
      <c r="D35" s="6"/>
      <c r="E35" s="2"/>
      <c r="F35" s="7">
        <f t="shared" si="20"/>
        <v>0</v>
      </c>
      <c r="G35" s="2"/>
      <c r="H35" s="6">
        <v>1972.67134615385</v>
      </c>
      <c r="I35" s="2"/>
      <c r="J35" s="7">
        <f t="shared" si="21"/>
        <v>5.4674926445505818E-2</v>
      </c>
      <c r="K35" s="2"/>
      <c r="L35" s="6">
        <f t="shared" si="22"/>
        <v>-1972.67134615385</v>
      </c>
      <c r="M35" s="2"/>
      <c r="N35" s="7">
        <f t="shared" si="23"/>
        <v>-1</v>
      </c>
      <c r="O35" s="11"/>
      <c r="P35" s="6"/>
      <c r="Q35" s="2"/>
      <c r="R35" s="7">
        <f t="shared" si="24"/>
        <v>0</v>
      </c>
      <c r="S35" s="2"/>
      <c r="T35" s="6">
        <v>18622.956875000033</v>
      </c>
      <c r="U35" s="2"/>
      <c r="V35" s="7">
        <f t="shared" si="25"/>
        <v>7.0037445938322798E-2</v>
      </c>
      <c r="W35" s="2"/>
      <c r="X35" s="6">
        <f t="shared" si="26"/>
        <v>-18622.956875000033</v>
      </c>
      <c r="Y35" s="2"/>
      <c r="Z35" s="7">
        <f t="shared" si="27"/>
        <v>-1</v>
      </c>
    </row>
    <row r="36" spans="1:26" s="24" customFormat="1" hidden="1" outlineLevel="2" x14ac:dyDescent="0.25">
      <c r="A36" s="25"/>
      <c r="B36" s="11" t="str">
        <f>CONCATENATE("          ", "6002", " - ", "STAFF SALARIES")</f>
        <v xml:space="preserve">          6002 - STAFF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>
        <v>10272</v>
      </c>
      <c r="Q36" s="2"/>
      <c r="R36" s="7">
        <f t="shared" si="24"/>
        <v>3.6491958926509728E-2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10272</v>
      </c>
      <c r="Y36" s="2"/>
      <c r="Z36" s="7">
        <f t="shared" si="27"/>
        <v>0</v>
      </c>
    </row>
    <row r="37" spans="1:26" s="24" customFormat="1" hidden="1" outlineLevel="2" x14ac:dyDescent="0.25">
      <c r="A37" s="25"/>
      <c r="B37" s="11" t="str">
        <f>CONCATENATE("          ", "6003", " - ", "STAFF HOURLY-9 MONTH")</f>
        <v xml:space="preserve">          6003 - STAFF HOURLY-9 MONTH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5"/>
      <c r="B38" s="11" t="str">
        <f>CONCATENATE("          ", "6004", " - ", "STAFF HOURLY")</f>
        <v xml:space="preserve">          6004 - STAFF HOURLY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"6005", " - ", "TEMPORARY WAGES-HOURLY")</f>
        <v xml:space="preserve">          6005 - TEMPORARY WAGES-HOURLY</v>
      </c>
      <c r="C39" s="11"/>
      <c r="D39" s="6">
        <v>565.37</v>
      </c>
      <c r="E39" s="2"/>
      <c r="F39" s="7">
        <f t="shared" si="20"/>
        <v>2.7982754106442069E-2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565.37</v>
      </c>
      <c r="M39" s="2"/>
      <c r="N39" s="7">
        <f t="shared" si="23"/>
        <v>0</v>
      </c>
      <c r="O39" s="11"/>
      <c r="P39" s="6">
        <v>3822.17</v>
      </c>
      <c r="Q39" s="2"/>
      <c r="R39" s="7">
        <f t="shared" si="24"/>
        <v>1.3578511550831162E-2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3822.17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"6006", " - ", "TEMPORARY PART TIME")</f>
        <v xml:space="preserve">          6006 - TEMPORARY PART TIME</v>
      </c>
      <c r="C40" s="11"/>
      <c r="D40" s="6">
        <v>3539.86</v>
      </c>
      <c r="E40" s="2"/>
      <c r="F40" s="7">
        <f t="shared" si="20"/>
        <v>0.17520390532081651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3539.86</v>
      </c>
      <c r="M40" s="2"/>
      <c r="N40" s="7">
        <f t="shared" si="23"/>
        <v>0</v>
      </c>
      <c r="O40" s="11"/>
      <c r="P40" s="6">
        <v>13120.47</v>
      </c>
      <c r="Q40" s="2"/>
      <c r="R40" s="7">
        <f t="shared" si="24"/>
        <v>4.6611336870765491E-2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13120.47</v>
      </c>
      <c r="Y40" s="2"/>
      <c r="Z40" s="7">
        <f t="shared" si="27"/>
        <v>0</v>
      </c>
    </row>
    <row r="41" spans="1:26" s="24" customFormat="1" hidden="1" outlineLevel="2" x14ac:dyDescent="0.25">
      <c r="A41" s="25"/>
      <c r="B41" s="11" t="str">
        <f>CONCATENATE("          ", "6007", " - ", "STUDENT HOURLY")</f>
        <v xml:space="preserve">          6007 - STUDENT HOURLY</v>
      </c>
      <c r="C41" s="11"/>
      <c r="D41" s="6">
        <v>2308.59</v>
      </c>
      <c r="E41" s="2"/>
      <c r="F41" s="7">
        <f t="shared" si="20"/>
        <v>0.11426270637386331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2308.59</v>
      </c>
      <c r="M41" s="2"/>
      <c r="N41" s="7">
        <f t="shared" si="23"/>
        <v>0</v>
      </c>
      <c r="O41" s="11"/>
      <c r="P41" s="6">
        <v>23036.15</v>
      </c>
      <c r="Q41" s="2"/>
      <c r="R41" s="7">
        <f t="shared" si="24"/>
        <v>8.1837445446350965E-2</v>
      </c>
      <c r="S41" s="2"/>
      <c r="T41" s="6">
        <v>1785</v>
      </c>
      <c r="U41" s="2"/>
      <c r="V41" s="7">
        <f t="shared" si="25"/>
        <v>6.7130500188040615E-3</v>
      </c>
      <c r="W41" s="2"/>
      <c r="X41" s="6">
        <f t="shared" si="26"/>
        <v>21251.15</v>
      </c>
      <c r="Y41" s="2"/>
      <c r="Z41" s="7">
        <f t="shared" si="27"/>
        <v>11.905406162464987</v>
      </c>
    </row>
    <row r="42" spans="1:26" s="24" customFormat="1" hidden="1" outlineLevel="2" x14ac:dyDescent="0.25">
      <c r="A42" s="25"/>
      <c r="B42" s="11" t="str">
        <f>CONCATENATE("          ", "6008", " - ", "STUDENT HOURLY-FICA EXEMPT")</f>
        <v xml:space="preserve">          6008 - STUDENT HOURLY-FICA EXEMPT</v>
      </c>
      <c r="C42" s="11"/>
      <c r="D42" s="6"/>
      <c r="E42" s="2"/>
      <c r="F42" s="7">
        <f t="shared" si="20"/>
        <v>0</v>
      </c>
      <c r="G42" s="2"/>
      <c r="H42" s="6">
        <v>6023.88</v>
      </c>
      <c r="I42" s="2"/>
      <c r="J42" s="7">
        <f t="shared" si="21"/>
        <v>0.16695898004434589</v>
      </c>
      <c r="K42" s="2"/>
      <c r="L42" s="6">
        <f t="shared" si="22"/>
        <v>-6023.88</v>
      </c>
      <c r="M42" s="2"/>
      <c r="N42" s="7">
        <f t="shared" si="23"/>
        <v>-1</v>
      </c>
      <c r="O42" s="11"/>
      <c r="P42" s="6">
        <v>1054.31</v>
      </c>
      <c r="Q42" s="2"/>
      <c r="R42" s="7">
        <f t="shared" si="24"/>
        <v>3.7455059594829121E-3</v>
      </c>
      <c r="S42" s="2"/>
      <c r="T42" s="6">
        <v>41279.760000000002</v>
      </c>
      <c r="U42" s="2"/>
      <c r="V42" s="7">
        <f t="shared" si="25"/>
        <v>0.15524543061301241</v>
      </c>
      <c r="W42" s="2"/>
      <c r="X42" s="6">
        <f t="shared" si="26"/>
        <v>-40225.450000000004</v>
      </c>
      <c r="Y42" s="2"/>
      <c r="Z42" s="7">
        <f t="shared" si="27"/>
        <v>-0.97445939608176024</v>
      </c>
    </row>
    <row r="43" spans="1:26" s="24" customFormat="1" hidden="1" outlineLevel="2" x14ac:dyDescent="0.25">
      <c r="A43" s="25"/>
      <c r="B43" s="11" t="str">
        <f>CONCATENATE("          ", "6009", " - ", "TEMPORARY-SEASONAL")</f>
        <v xml:space="preserve">          6009 - TEMPORARY-SEASONAL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25">
      <c r="A44" s="25"/>
      <c r="B44" s="11" t="str">
        <f>CONCATENATE("          ", "6010", " - ", "GRATUITY")</f>
        <v xml:space="preserve">          6010 - GRATUITY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7" customFormat="1" outlineLevel="1" collapsed="1" x14ac:dyDescent="0.25">
      <c r="A45" s="26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2.4900000000000002</v>
      </c>
      <c r="E45" s="1"/>
      <c r="F45" s="5">
        <f t="shared" ref="F45:F62" si="28">IF(D$12=0,0,D45/D$12)</f>
        <v>1.2324151922641944E-4</v>
      </c>
      <c r="G45" s="1"/>
      <c r="H45" s="1">
        <f>SUM(OSRRefH22_2x_0)</f>
        <v>0</v>
      </c>
      <c r="I45" s="1"/>
      <c r="J45" s="5">
        <f t="shared" ref="J45:J62" si="29">IF(H$12=0,0,H45/H$12)</f>
        <v>0</v>
      </c>
      <c r="K45" s="1"/>
      <c r="L45" s="1">
        <f t="shared" ref="L45:L62" si="30">+D45-H45</f>
        <v>2.4900000000000002</v>
      </c>
      <c r="M45" s="1"/>
      <c r="N45" s="5">
        <f t="shared" ref="N45:N62" si="31">IF(H45=0,0,L45/H45)</f>
        <v>0</v>
      </c>
      <c r="O45" s="13"/>
      <c r="P45" s="1">
        <f>SUM(OSRRefP22_2x_0)</f>
        <v>2.4900000000000002</v>
      </c>
      <c r="Q45" s="1"/>
      <c r="R45" s="5">
        <f t="shared" ref="R45:R62" si="32">IF(P$12=0,0,P45/P$12)</f>
        <v>8.8458895762275348E-6</v>
      </c>
      <c r="S45" s="1"/>
      <c r="T45" s="1">
        <f>SUM(OSRRefT22_2x_0)</f>
        <v>0</v>
      </c>
      <c r="U45" s="1"/>
      <c r="V45" s="5">
        <f t="shared" ref="V45:V62" si="33">IF(T$12=0,0,T45/T$12)</f>
        <v>0</v>
      </c>
      <c r="W45" s="1"/>
      <c r="X45" s="1">
        <f t="shared" ref="X45:X62" si="34">+P45-T45</f>
        <v>2.4900000000000002</v>
      </c>
      <c r="Y45" s="1"/>
      <c r="Z45" s="5">
        <f t="shared" ref="Z45:Z62" si="35">IF(T45=0,0,X45/T45)</f>
        <v>0</v>
      </c>
    </row>
    <row r="46" spans="1:26" s="24" customFormat="1" hidden="1" outlineLevel="2" x14ac:dyDescent="0.25">
      <c r="A46" s="25"/>
      <c r="B46" s="11" t="str">
        <f>CONCATENATE("          ", "6362", " - ", "ADVERTISING EXPENSE")</f>
        <v xml:space="preserve">          6362 - ADVERTISING EXPENSE</v>
      </c>
      <c r="C46" s="11"/>
      <c r="D46" s="6">
        <v>2.4900000000000002</v>
      </c>
      <c r="E46" s="2"/>
      <c r="F46" s="7">
        <f t="shared" si="28"/>
        <v>1.2324151922641944E-4</v>
      </c>
      <c r="G46" s="2"/>
      <c r="H46" s="6">
        <v>0</v>
      </c>
      <c r="I46" s="2"/>
      <c r="J46" s="7">
        <f t="shared" si="29"/>
        <v>0</v>
      </c>
      <c r="K46" s="2"/>
      <c r="L46" s="6">
        <f t="shared" si="30"/>
        <v>2.4900000000000002</v>
      </c>
      <c r="M46" s="2"/>
      <c r="N46" s="7">
        <f t="shared" si="31"/>
        <v>0</v>
      </c>
      <c r="O46" s="11"/>
      <c r="P46" s="6">
        <v>2.4900000000000002</v>
      </c>
      <c r="Q46" s="2"/>
      <c r="R46" s="7">
        <f t="shared" si="32"/>
        <v>8.8458895762275348E-6</v>
      </c>
      <c r="S46" s="2"/>
      <c r="T46" s="6">
        <v>0</v>
      </c>
      <c r="U46" s="2"/>
      <c r="V46" s="7">
        <f t="shared" si="33"/>
        <v>0</v>
      </c>
      <c r="W46" s="2"/>
      <c r="X46" s="6">
        <f t="shared" si="34"/>
        <v>2.4900000000000002</v>
      </c>
      <c r="Y46" s="2"/>
      <c r="Z46" s="7">
        <f t="shared" si="35"/>
        <v>0</v>
      </c>
    </row>
    <row r="47" spans="1:26" s="27" customFormat="1" outlineLevel="1" collapsed="1" x14ac:dyDescent="0.25">
      <c r="A47" s="26"/>
      <c r="B47" s="13" t="str">
        <f>CONCATENATE("     ","Bad Debts/Over/Short                              ")</f>
        <v xml:space="preserve">     Bad Debts/Over/Short                              </v>
      </c>
      <c r="C47" s="13"/>
      <c r="D47" s="1">
        <f>SUM(OSRRefD22_3x_0)</f>
        <v>-1.1499999999999999</v>
      </c>
      <c r="E47" s="1"/>
      <c r="F47" s="5">
        <f t="shared" si="28"/>
        <v>-5.6918773939912577E-5</v>
      </c>
      <c r="G47" s="1"/>
      <c r="H47" s="1">
        <f>SUM(OSRRefH22_3x_0)</f>
        <v>0</v>
      </c>
      <c r="I47" s="1"/>
      <c r="J47" s="5">
        <f t="shared" si="29"/>
        <v>0</v>
      </c>
      <c r="K47" s="1"/>
      <c r="L47" s="1">
        <f t="shared" si="30"/>
        <v>-1.1499999999999999</v>
      </c>
      <c r="M47" s="1"/>
      <c r="N47" s="5">
        <f t="shared" si="31"/>
        <v>0</v>
      </c>
      <c r="O47" s="13"/>
      <c r="P47" s="1">
        <f>SUM(OSRRefP22_3x_0)</f>
        <v>-74.03</v>
      </c>
      <c r="Q47" s="1"/>
      <c r="R47" s="5">
        <f t="shared" si="32"/>
        <v>-2.6299646800326276E-4</v>
      </c>
      <c r="S47" s="1"/>
      <c r="T47" s="1">
        <f>SUM(OSRRefT22_3x_0)</f>
        <v>0</v>
      </c>
      <c r="U47" s="1"/>
      <c r="V47" s="5">
        <f t="shared" si="33"/>
        <v>0</v>
      </c>
      <c r="W47" s="1"/>
      <c r="X47" s="1">
        <f t="shared" si="34"/>
        <v>-74.03</v>
      </c>
      <c r="Y47" s="1"/>
      <c r="Z47" s="5">
        <f t="shared" si="35"/>
        <v>0</v>
      </c>
    </row>
    <row r="48" spans="1:26" s="24" customFormat="1" hidden="1" outlineLevel="2" x14ac:dyDescent="0.25">
      <c r="A48" s="25"/>
      <c r="B48" s="11" t="str">
        <f>CONCATENATE("          ", "6272", " - ", "CASH (OVER/SHORT)")</f>
        <v xml:space="preserve">          6272 - CASH (OVER/SHORT)</v>
      </c>
      <c r="C48" s="11"/>
      <c r="D48" s="6">
        <v>-1.1499999999999999</v>
      </c>
      <c r="E48" s="2"/>
      <c r="F48" s="7">
        <f t="shared" si="28"/>
        <v>-5.6918773939912577E-5</v>
      </c>
      <c r="G48" s="2"/>
      <c r="H48" s="6">
        <v>0</v>
      </c>
      <c r="I48" s="2"/>
      <c r="J48" s="7">
        <f t="shared" si="29"/>
        <v>0</v>
      </c>
      <c r="K48" s="2"/>
      <c r="L48" s="6">
        <f t="shared" si="30"/>
        <v>-1.1499999999999999</v>
      </c>
      <c r="M48" s="2"/>
      <c r="N48" s="7">
        <f t="shared" si="31"/>
        <v>0</v>
      </c>
      <c r="O48" s="11"/>
      <c r="P48" s="6">
        <v>-74.03</v>
      </c>
      <c r="Q48" s="2"/>
      <c r="R48" s="7">
        <f t="shared" si="32"/>
        <v>-2.6299646800326276E-4</v>
      </c>
      <c r="S48" s="2"/>
      <c r="T48" s="6">
        <v>0</v>
      </c>
      <c r="U48" s="2"/>
      <c r="V48" s="7">
        <f t="shared" si="33"/>
        <v>0</v>
      </c>
      <c r="W48" s="2"/>
      <c r="X48" s="6">
        <f t="shared" si="34"/>
        <v>-74.03</v>
      </c>
      <c r="Y48" s="2"/>
      <c r="Z48" s="7">
        <f t="shared" si="35"/>
        <v>0</v>
      </c>
    </row>
    <row r="49" spans="1:26" s="27" customFormat="1" outlineLevel="1" collapsed="1" x14ac:dyDescent="0.25">
      <c r="A49" s="26"/>
      <c r="B49" s="13" t="str">
        <f>CONCATENATE("     ","Bank/card Fees                                    ")</f>
        <v xml:space="preserve">     Bank/card Fees                                    </v>
      </c>
      <c r="C49" s="13"/>
      <c r="D49" s="1">
        <f>SUM(OSRRefD22_4x_0)</f>
        <v>1059.3900000000001</v>
      </c>
      <c r="E49" s="1"/>
      <c r="F49" s="5">
        <f t="shared" si="28"/>
        <v>5.2434069499307824E-2</v>
      </c>
      <c r="G49" s="1"/>
      <c r="H49" s="1">
        <f>SUM(OSRRefH22_4x_0)</f>
        <v>1108</v>
      </c>
      <c r="I49" s="1"/>
      <c r="J49" s="5">
        <f t="shared" si="29"/>
        <v>3.0709534368070952E-2</v>
      </c>
      <c r="K49" s="1"/>
      <c r="L49" s="1">
        <f t="shared" si="30"/>
        <v>-48.6099999999999</v>
      </c>
      <c r="M49" s="1"/>
      <c r="N49" s="5">
        <f t="shared" si="31"/>
        <v>-4.387184115523457E-2</v>
      </c>
      <c r="O49" s="13"/>
      <c r="P49" s="1">
        <f>SUM(OSRRefP22_4x_0)</f>
        <v>10703.22</v>
      </c>
      <c r="Q49" s="1"/>
      <c r="R49" s="5">
        <f t="shared" si="32"/>
        <v>3.802389647793978E-2</v>
      </c>
      <c r="S49" s="1"/>
      <c r="T49" s="1">
        <f>SUM(OSRRefT22_4x_0)</f>
        <v>8164</v>
      </c>
      <c r="U49" s="1"/>
      <c r="V49" s="5">
        <f t="shared" si="33"/>
        <v>3.0703271906731854E-2</v>
      </c>
      <c r="W49" s="1"/>
      <c r="X49" s="1">
        <f t="shared" si="34"/>
        <v>2539.2199999999993</v>
      </c>
      <c r="Y49" s="1"/>
      <c r="Z49" s="5">
        <f t="shared" si="35"/>
        <v>0.3110264576188142</v>
      </c>
    </row>
    <row r="50" spans="1:26" s="24" customFormat="1" hidden="1" outlineLevel="2" x14ac:dyDescent="0.25">
      <c r="A50" s="25"/>
      <c r="B50" s="11" t="str">
        <f>CONCATENATE("          ", "6381", " - ", "BANK/CREDIT CARD FEES")</f>
        <v xml:space="preserve">          6381 - BANK/CREDIT CARD FEES</v>
      </c>
      <c r="C50" s="11"/>
      <c r="D50" s="6">
        <v>1059.3900000000001</v>
      </c>
      <c r="E50" s="2"/>
      <c r="F50" s="7">
        <f t="shared" si="28"/>
        <v>5.2434069499307824E-2</v>
      </c>
      <c r="G50" s="2"/>
      <c r="H50" s="6">
        <v>1108</v>
      </c>
      <c r="I50" s="2"/>
      <c r="J50" s="7">
        <f t="shared" si="29"/>
        <v>3.0709534368070952E-2</v>
      </c>
      <c r="K50" s="2"/>
      <c r="L50" s="6">
        <f t="shared" si="30"/>
        <v>-48.6099999999999</v>
      </c>
      <c r="M50" s="2"/>
      <c r="N50" s="7">
        <f t="shared" si="31"/>
        <v>-4.387184115523457E-2</v>
      </c>
      <c r="O50" s="11"/>
      <c r="P50" s="6">
        <v>10703.22</v>
      </c>
      <c r="Q50" s="2"/>
      <c r="R50" s="7">
        <f t="shared" si="32"/>
        <v>3.802389647793978E-2</v>
      </c>
      <c r="S50" s="2"/>
      <c r="T50" s="6">
        <v>8164</v>
      </c>
      <c r="U50" s="2"/>
      <c r="V50" s="7">
        <f t="shared" si="33"/>
        <v>3.0703271906731854E-2</v>
      </c>
      <c r="W50" s="2"/>
      <c r="X50" s="6">
        <f t="shared" si="34"/>
        <v>2539.2199999999993</v>
      </c>
      <c r="Y50" s="2"/>
      <c r="Z50" s="7">
        <f t="shared" si="35"/>
        <v>0.3110264576188142</v>
      </c>
    </row>
    <row r="51" spans="1:26" s="27" customFormat="1" outlineLevel="1" collapsed="1" x14ac:dyDescent="0.25">
      <c r="A51" s="26"/>
      <c r="B51" s="13" t="str">
        <f>CONCATENATE("     ","Depreciation                                      ")</f>
        <v xml:space="preserve">     Depreciation                                      </v>
      </c>
      <c r="C51" s="13"/>
      <c r="D51" s="1">
        <f>SUM(OSRRefD22_5x_0)</f>
        <v>1075.3699999999999</v>
      </c>
      <c r="E51" s="1"/>
      <c r="F51" s="5">
        <f t="shared" si="28"/>
        <v>5.3224992984142426E-2</v>
      </c>
      <c r="G51" s="1"/>
      <c r="H51" s="1">
        <f>SUM(OSRRefH22_5x_0)</f>
        <v>969</v>
      </c>
      <c r="I51" s="1"/>
      <c r="J51" s="5">
        <f t="shared" si="29"/>
        <v>2.6856984478935697E-2</v>
      </c>
      <c r="K51" s="1"/>
      <c r="L51" s="1">
        <f t="shared" si="30"/>
        <v>106.36999999999989</v>
      </c>
      <c r="M51" s="1"/>
      <c r="N51" s="5">
        <f t="shared" si="31"/>
        <v>0.10977296181630536</v>
      </c>
      <c r="O51" s="13"/>
      <c r="P51" s="1">
        <f>SUM(OSRRefP22_5x_0)</f>
        <v>8826.25</v>
      </c>
      <c r="Q51" s="1"/>
      <c r="R51" s="5">
        <f t="shared" si="32"/>
        <v>3.1355836494850714E-2</v>
      </c>
      <c r="S51" s="1"/>
      <c r="T51" s="1">
        <f>SUM(OSRRefT22_5x_0)</f>
        <v>8721</v>
      </c>
      <c r="U51" s="1"/>
      <c r="V51" s="5">
        <f t="shared" si="33"/>
        <v>3.2798044377585558E-2</v>
      </c>
      <c r="W51" s="1"/>
      <c r="X51" s="1">
        <f t="shared" si="34"/>
        <v>105.25</v>
      </c>
      <c r="Y51" s="1"/>
      <c r="Z51" s="5">
        <f t="shared" si="35"/>
        <v>1.2068570118105722E-2</v>
      </c>
    </row>
    <row r="52" spans="1:26" s="24" customFormat="1" hidden="1" outlineLevel="2" x14ac:dyDescent="0.25">
      <c r="A52" s="25"/>
      <c r="B52" s="11" t="str">
        <f>CONCATENATE("          ", "6322", " - ", "EQUIPMENT DEPRECIATION EXPENSE")</f>
        <v xml:space="preserve">          6322 - EQUIPMENT DEPRECIATION EXPENSE</v>
      </c>
      <c r="C52" s="11"/>
      <c r="D52" s="6">
        <v>1075.3699999999999</v>
      </c>
      <c r="E52" s="2"/>
      <c r="F52" s="7">
        <f t="shared" si="28"/>
        <v>5.3224992984142426E-2</v>
      </c>
      <c r="G52" s="2"/>
      <c r="H52" s="6">
        <v>969</v>
      </c>
      <c r="I52" s="2"/>
      <c r="J52" s="7">
        <f t="shared" si="29"/>
        <v>2.6856984478935697E-2</v>
      </c>
      <c r="K52" s="2"/>
      <c r="L52" s="6">
        <f t="shared" si="30"/>
        <v>106.36999999999989</v>
      </c>
      <c r="M52" s="2"/>
      <c r="N52" s="7">
        <f t="shared" si="31"/>
        <v>0.10977296181630536</v>
      </c>
      <c r="O52" s="11"/>
      <c r="P52" s="6">
        <v>8826.25</v>
      </c>
      <c r="Q52" s="2"/>
      <c r="R52" s="7">
        <f t="shared" si="32"/>
        <v>3.1355836494850714E-2</v>
      </c>
      <c r="S52" s="2"/>
      <c r="T52" s="6">
        <v>8721</v>
      </c>
      <c r="U52" s="2"/>
      <c r="V52" s="7">
        <f t="shared" si="33"/>
        <v>3.2798044377585558E-2</v>
      </c>
      <c r="W52" s="2"/>
      <c r="X52" s="6">
        <f t="shared" si="34"/>
        <v>105.25</v>
      </c>
      <c r="Y52" s="2"/>
      <c r="Z52" s="7">
        <f t="shared" si="35"/>
        <v>1.2068570118105722E-2</v>
      </c>
    </row>
    <row r="53" spans="1:26" s="27" customFormat="1" outlineLevel="1" collapsed="1" x14ac:dyDescent="0.25">
      <c r="A53" s="26"/>
      <c r="B53" s="13" t="str">
        <f>CONCATENATE("     ","Employees' Appreciation                           ")</f>
        <v xml:space="preserve">     Employees' Appreciation                           </v>
      </c>
      <c r="C53" s="13"/>
      <c r="D53" s="1">
        <f>SUM(OSRRefD22_6x_0)</f>
        <v>0</v>
      </c>
      <c r="E53" s="1"/>
      <c r="F53" s="5">
        <f t="shared" si="28"/>
        <v>0</v>
      </c>
      <c r="G53" s="1"/>
      <c r="H53" s="1">
        <f>SUM(OSRRefH22_6x_0)</f>
        <v>0</v>
      </c>
      <c r="I53" s="1"/>
      <c r="J53" s="5">
        <f t="shared" si="29"/>
        <v>0</v>
      </c>
      <c r="K53" s="1"/>
      <c r="L53" s="1">
        <f t="shared" si="30"/>
        <v>0</v>
      </c>
      <c r="M53" s="1"/>
      <c r="N53" s="5">
        <f t="shared" si="31"/>
        <v>0</v>
      </c>
      <c r="O53" s="13"/>
      <c r="P53" s="1">
        <f>SUM(OSRRefP22_6x_0)</f>
        <v>0</v>
      </c>
      <c r="Q53" s="1"/>
      <c r="R53" s="5">
        <f t="shared" si="32"/>
        <v>0</v>
      </c>
      <c r="S53" s="1"/>
      <c r="T53" s="1">
        <f>SUM(OSRRefT22_6x_0)</f>
        <v>0</v>
      </c>
      <c r="U53" s="1"/>
      <c r="V53" s="5">
        <f t="shared" si="33"/>
        <v>0</v>
      </c>
      <c r="W53" s="1"/>
      <c r="X53" s="1">
        <f t="shared" si="34"/>
        <v>0</v>
      </c>
      <c r="Y53" s="1"/>
      <c r="Z53" s="5">
        <f t="shared" si="35"/>
        <v>0</v>
      </c>
    </row>
    <row r="54" spans="1:26" s="24" customFormat="1" hidden="1" outlineLevel="2" x14ac:dyDescent="0.25">
      <c r="A54" s="25"/>
      <c r="B54" s="11" t="str">
        <f>CONCATENATE("          ", "6277", " - ", "EMPLOYEE APPRECIATION")</f>
        <v xml:space="preserve">          6277 - EMPLOYEE APPRECIATION</v>
      </c>
      <c r="C54" s="11"/>
      <c r="D54" s="6"/>
      <c r="E54" s="2"/>
      <c r="F54" s="7">
        <f t="shared" si="28"/>
        <v>0</v>
      </c>
      <c r="G54" s="2"/>
      <c r="H54" s="6">
        <v>0</v>
      </c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/>
      <c r="Q54" s="2"/>
      <c r="R54" s="7">
        <f t="shared" si="32"/>
        <v>0</v>
      </c>
      <c r="S54" s="2"/>
      <c r="T54" s="6">
        <v>0</v>
      </c>
      <c r="U54" s="2"/>
      <c r="V54" s="7">
        <f t="shared" si="33"/>
        <v>0</v>
      </c>
      <c r="W54" s="2"/>
      <c r="X54" s="6">
        <f t="shared" si="34"/>
        <v>0</v>
      </c>
      <c r="Y54" s="2"/>
      <c r="Z54" s="7">
        <f t="shared" si="35"/>
        <v>0</v>
      </c>
    </row>
    <row r="55" spans="1:26" s="27" customFormat="1" outlineLevel="1" collapsed="1" x14ac:dyDescent="0.25">
      <c r="A55" s="26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SUM(OSRRefD22_7x_0)</f>
        <v>0</v>
      </c>
      <c r="E55" s="1"/>
      <c r="F55" s="5">
        <f t="shared" si="28"/>
        <v>0</v>
      </c>
      <c r="G55" s="1"/>
      <c r="H55" s="1">
        <f>SUM(OSRRefH22_7x_0)</f>
        <v>250</v>
      </c>
      <c r="I55" s="1"/>
      <c r="J55" s="5">
        <f t="shared" si="29"/>
        <v>6.929046563192905E-3</v>
      </c>
      <c r="K55" s="1"/>
      <c r="L55" s="1">
        <f t="shared" si="30"/>
        <v>-250</v>
      </c>
      <c r="M55" s="1"/>
      <c r="N55" s="5">
        <f t="shared" si="31"/>
        <v>-1</v>
      </c>
      <c r="O55" s="13"/>
      <c r="P55" s="1">
        <f>SUM(OSRRefP22_7x_0)</f>
        <v>1356.19</v>
      </c>
      <c r="Q55" s="1"/>
      <c r="R55" s="5">
        <f t="shared" si="32"/>
        <v>4.8179546122024174E-3</v>
      </c>
      <c r="S55" s="1"/>
      <c r="T55" s="1">
        <f>SUM(OSRRefT22_7x_0)</f>
        <v>1843</v>
      </c>
      <c r="U55" s="1"/>
      <c r="V55" s="5">
        <f t="shared" si="33"/>
        <v>6.9311771342610001E-3</v>
      </c>
      <c r="W55" s="1"/>
      <c r="X55" s="1">
        <f t="shared" si="34"/>
        <v>-486.80999999999995</v>
      </c>
      <c r="Y55" s="1"/>
      <c r="Z55" s="5">
        <f t="shared" si="35"/>
        <v>-0.26413998914812803</v>
      </c>
    </row>
    <row r="56" spans="1:26" s="24" customFormat="1" hidden="1" outlineLevel="2" x14ac:dyDescent="0.25">
      <c r="A56" s="25"/>
      <c r="B56" s="11" t="str">
        <f>CONCATENATE("          ", "6279", " - ", "GENERAL EXPENSE")</f>
        <v xml:space="preserve">          6279 - GENERAL EXPENSE</v>
      </c>
      <c r="C56" s="11"/>
      <c r="D56" s="6"/>
      <c r="E56" s="2"/>
      <c r="F56" s="7">
        <f t="shared" si="28"/>
        <v>0</v>
      </c>
      <c r="G56" s="2"/>
      <c r="H56" s="6">
        <v>250</v>
      </c>
      <c r="I56" s="2"/>
      <c r="J56" s="7">
        <f t="shared" si="29"/>
        <v>6.929046563192905E-3</v>
      </c>
      <c r="K56" s="2"/>
      <c r="L56" s="6">
        <f t="shared" si="30"/>
        <v>-250</v>
      </c>
      <c r="M56" s="2"/>
      <c r="N56" s="7">
        <f t="shared" si="31"/>
        <v>-1</v>
      </c>
      <c r="O56" s="11"/>
      <c r="P56" s="6">
        <v>1356.19</v>
      </c>
      <c r="Q56" s="2"/>
      <c r="R56" s="7">
        <f t="shared" si="32"/>
        <v>4.8179546122024174E-3</v>
      </c>
      <c r="S56" s="2"/>
      <c r="T56" s="6">
        <v>1843</v>
      </c>
      <c r="U56" s="2"/>
      <c r="V56" s="7">
        <f t="shared" si="33"/>
        <v>6.9311771342610001E-3</v>
      </c>
      <c r="W56" s="2"/>
      <c r="X56" s="6">
        <f t="shared" si="34"/>
        <v>-486.80999999999995</v>
      </c>
      <c r="Y56" s="2"/>
      <c r="Z56" s="7">
        <f t="shared" si="35"/>
        <v>-0.26413998914812803</v>
      </c>
    </row>
    <row r="57" spans="1:26" s="27" customFormat="1" outlineLevel="1" collapsed="1" x14ac:dyDescent="0.25">
      <c r="A57" s="26"/>
      <c r="B57" s="13" t="str">
        <f>CONCATENATE("     ","R/H Commissions                                   ")</f>
        <v xml:space="preserve">     R/H Commissions                                   </v>
      </c>
      <c r="C57" s="13"/>
      <c r="D57" s="1">
        <f>SUM(OSRRefD22_8x_0)</f>
        <v>0</v>
      </c>
      <c r="E57" s="1"/>
      <c r="F57" s="5">
        <f t="shared" si="28"/>
        <v>0</v>
      </c>
      <c r="G57" s="1"/>
      <c r="H57" s="1">
        <f>SUM(OSRRefH22_8x_0)</f>
        <v>0</v>
      </c>
      <c r="I57" s="1"/>
      <c r="J57" s="5">
        <f t="shared" si="29"/>
        <v>0</v>
      </c>
      <c r="K57" s="1"/>
      <c r="L57" s="1">
        <f t="shared" si="30"/>
        <v>0</v>
      </c>
      <c r="M57" s="1"/>
      <c r="N57" s="5">
        <f t="shared" si="31"/>
        <v>0</v>
      </c>
      <c r="O57" s="13"/>
      <c r="P57" s="1">
        <f>SUM(OSRRefP22_8x_0)</f>
        <v>0</v>
      </c>
      <c r="Q57" s="1"/>
      <c r="R57" s="5">
        <f t="shared" si="32"/>
        <v>0</v>
      </c>
      <c r="S57" s="1"/>
      <c r="T57" s="1">
        <f>SUM(OSRRefT22_8x_0)</f>
        <v>0</v>
      </c>
      <c r="U57" s="1"/>
      <c r="V57" s="5">
        <f t="shared" si="33"/>
        <v>0</v>
      </c>
      <c r="W57" s="1"/>
      <c r="X57" s="1">
        <f t="shared" si="34"/>
        <v>0</v>
      </c>
      <c r="Y57" s="1"/>
      <c r="Z57" s="5">
        <f t="shared" si="35"/>
        <v>0</v>
      </c>
    </row>
    <row r="58" spans="1:26" s="24" customFormat="1" hidden="1" outlineLevel="2" x14ac:dyDescent="0.25">
      <c r="A58" s="25"/>
      <c r="B58" s="11" t="str">
        <f>CONCATENATE("          ", "6387", " - ", "COMMISSION DUE HOUSING")</f>
        <v xml:space="preserve">          6387 - COMMISSION DUE HOUSING</v>
      </c>
      <c r="C58" s="11"/>
      <c r="D58" s="6"/>
      <c r="E58" s="2"/>
      <c r="F58" s="7">
        <f t="shared" si="28"/>
        <v>0</v>
      </c>
      <c r="G58" s="2"/>
      <c r="H58" s="6"/>
      <c r="I58" s="2"/>
      <c r="J58" s="7">
        <f t="shared" si="29"/>
        <v>0</v>
      </c>
      <c r="K58" s="2"/>
      <c r="L58" s="6">
        <f t="shared" si="30"/>
        <v>0</v>
      </c>
      <c r="M58" s="2"/>
      <c r="N58" s="7">
        <f t="shared" si="31"/>
        <v>0</v>
      </c>
      <c r="O58" s="11"/>
      <c r="P58" s="6"/>
      <c r="Q58" s="2"/>
      <c r="R58" s="7">
        <f t="shared" si="32"/>
        <v>0</v>
      </c>
      <c r="S58" s="2"/>
      <c r="T58" s="6">
        <v>0</v>
      </c>
      <c r="U58" s="2"/>
      <c r="V58" s="7">
        <f t="shared" si="33"/>
        <v>0</v>
      </c>
      <c r="W58" s="2"/>
      <c r="X58" s="6">
        <f t="shared" si="34"/>
        <v>0</v>
      </c>
      <c r="Y58" s="2"/>
      <c r="Z58" s="7">
        <f t="shared" si="35"/>
        <v>0</v>
      </c>
    </row>
    <row r="59" spans="1:26" s="27" customFormat="1" outlineLevel="1" collapsed="1" x14ac:dyDescent="0.25">
      <c r="A59" s="26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SUM(OSRRefD22_9x_0)</f>
        <v>48.23</v>
      </c>
      <c r="E59" s="1"/>
      <c r="F59" s="5">
        <f t="shared" si="28"/>
        <v>2.3871238844538991E-3</v>
      </c>
      <c r="G59" s="1"/>
      <c r="H59" s="1">
        <f>SUM(OSRRefH22_9x_0)</f>
        <v>0</v>
      </c>
      <c r="I59" s="1"/>
      <c r="J59" s="5">
        <f t="shared" si="29"/>
        <v>0</v>
      </c>
      <c r="K59" s="1"/>
      <c r="L59" s="1">
        <f t="shared" si="30"/>
        <v>48.23</v>
      </c>
      <c r="M59" s="1"/>
      <c r="N59" s="5">
        <f t="shared" si="31"/>
        <v>0</v>
      </c>
      <c r="O59" s="13"/>
      <c r="P59" s="1">
        <f>SUM(OSRRefP22_9x_0)</f>
        <v>1665.12</v>
      </c>
      <c r="Q59" s="1"/>
      <c r="R59" s="5">
        <f t="shared" si="32"/>
        <v>5.9154488558907587E-3</v>
      </c>
      <c r="S59" s="1"/>
      <c r="T59" s="1">
        <f>SUM(OSRRefT22_9x_0)</f>
        <v>0</v>
      </c>
      <c r="U59" s="1"/>
      <c r="V59" s="5">
        <f t="shared" si="33"/>
        <v>0</v>
      </c>
      <c r="W59" s="1"/>
      <c r="X59" s="1">
        <f t="shared" si="34"/>
        <v>1665.12</v>
      </c>
      <c r="Y59" s="1"/>
      <c r="Z59" s="5">
        <f t="shared" si="35"/>
        <v>0</v>
      </c>
    </row>
    <row r="60" spans="1:26" s="24" customFormat="1" hidden="1" outlineLevel="2" x14ac:dyDescent="0.25">
      <c r="A60" s="25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>
        <v>437.31</v>
      </c>
      <c r="Q60" s="2"/>
      <c r="R60" s="7">
        <f t="shared" si="32"/>
        <v>1.5535726789478164E-3</v>
      </c>
      <c r="S60" s="2"/>
      <c r="T60" s="6">
        <v>0</v>
      </c>
      <c r="U60" s="2"/>
      <c r="V60" s="7">
        <f t="shared" si="33"/>
        <v>0</v>
      </c>
      <c r="W60" s="2"/>
      <c r="X60" s="6">
        <f t="shared" si="34"/>
        <v>437.31</v>
      </c>
      <c r="Y60" s="2"/>
      <c r="Z60" s="7">
        <f t="shared" si="35"/>
        <v>0</v>
      </c>
    </row>
    <row r="61" spans="1:26" s="24" customFormat="1" hidden="1" outlineLevel="2" x14ac:dyDescent="0.25">
      <c r="A61" s="25"/>
      <c r="B61" s="11" t="str">
        <f>CONCATENATE("          ", "6373", " - ", "MAINTENANCE CONTRACTS")</f>
        <v xml:space="preserve">          6373 - MAINTENANCE CONTRACTS</v>
      </c>
      <c r="C61" s="11"/>
      <c r="D61" s="6">
        <v>48.23</v>
      </c>
      <c r="E61" s="2"/>
      <c r="F61" s="7">
        <f t="shared" si="28"/>
        <v>2.3871238844538991E-3</v>
      </c>
      <c r="G61" s="2"/>
      <c r="H61" s="6"/>
      <c r="I61" s="2"/>
      <c r="J61" s="7">
        <f t="shared" si="29"/>
        <v>0</v>
      </c>
      <c r="K61" s="2"/>
      <c r="L61" s="6">
        <f t="shared" si="30"/>
        <v>48.23</v>
      </c>
      <c r="M61" s="2"/>
      <c r="N61" s="7">
        <f t="shared" si="31"/>
        <v>0</v>
      </c>
      <c r="O61" s="11"/>
      <c r="P61" s="6">
        <v>141.44999999999999</v>
      </c>
      <c r="Q61" s="2"/>
      <c r="R61" s="7">
        <f t="shared" si="32"/>
        <v>5.025104741194315E-4</v>
      </c>
      <c r="S61" s="2"/>
      <c r="T61" s="6"/>
      <c r="U61" s="2"/>
      <c r="V61" s="7">
        <f t="shared" si="33"/>
        <v>0</v>
      </c>
      <c r="W61" s="2"/>
      <c r="X61" s="6">
        <f t="shared" si="34"/>
        <v>141.44999999999999</v>
      </c>
      <c r="Y61" s="2"/>
      <c r="Z61" s="7">
        <f t="shared" si="35"/>
        <v>0</v>
      </c>
    </row>
    <row r="62" spans="1:26" s="24" customFormat="1" hidden="1" outlineLevel="2" x14ac:dyDescent="0.25">
      <c r="A62" s="25"/>
      <c r="B62" s="11" t="str">
        <f>CONCATENATE("          ", "6375", " - ", "OUTSIDE REPAIRS &amp; MAINTENANCE")</f>
        <v xml:space="preserve">          6375 - OUTSIDE REPAIRS &amp; MAINTENANCE</v>
      </c>
      <c r="C62" s="11"/>
      <c r="D62" s="6"/>
      <c r="E62" s="2"/>
      <c r="F62" s="7">
        <f t="shared" si="28"/>
        <v>0</v>
      </c>
      <c r="G62" s="2"/>
      <c r="H62" s="6"/>
      <c r="I62" s="2"/>
      <c r="J62" s="7">
        <f t="shared" si="29"/>
        <v>0</v>
      </c>
      <c r="K62" s="2"/>
      <c r="L62" s="6">
        <f t="shared" si="30"/>
        <v>0</v>
      </c>
      <c r="M62" s="2"/>
      <c r="N62" s="7">
        <f t="shared" si="31"/>
        <v>0</v>
      </c>
      <c r="O62" s="11"/>
      <c r="P62" s="6">
        <v>1086.3599999999999</v>
      </c>
      <c r="Q62" s="2"/>
      <c r="R62" s="7">
        <f t="shared" si="32"/>
        <v>3.8593657028235112E-3</v>
      </c>
      <c r="S62" s="2"/>
      <c r="T62" s="6"/>
      <c r="U62" s="2"/>
      <c r="V62" s="7">
        <f t="shared" si="33"/>
        <v>0</v>
      </c>
      <c r="W62" s="2"/>
      <c r="X62" s="6">
        <f t="shared" si="34"/>
        <v>1086.3599999999999</v>
      </c>
      <c r="Y62" s="2"/>
      <c r="Z62" s="7">
        <f t="shared" si="35"/>
        <v>0</v>
      </c>
    </row>
    <row r="63" spans="1:26" s="27" customFormat="1" outlineLevel="1" collapsed="1" x14ac:dyDescent="0.25">
      <c r="A63" s="26"/>
      <c r="B63" s="13" t="str">
        <f>CONCATENATE("     ","Royalty &amp; Commissions                             ")</f>
        <v xml:space="preserve">     Royalty &amp; Commissions                             </v>
      </c>
      <c r="C63" s="13"/>
      <c r="D63" s="1">
        <f>SUM(OSRRefD22_10x_0)</f>
        <v>9221.35</v>
      </c>
      <c r="E63" s="1"/>
      <c r="F63" s="5">
        <f t="shared" ref="F63:F65" si="36">IF(D$12=0,0,D63/D$12)</f>
        <v>0.45640690093114167</v>
      </c>
      <c r="G63" s="1"/>
      <c r="H63" s="1">
        <f>SUM(OSRRefH22_10x_0)</f>
        <v>3216</v>
      </c>
      <c r="I63" s="1"/>
      <c r="J63" s="5">
        <f t="shared" ref="J63:J65" si="37">IF(H$12=0,0,H63/H$12)</f>
        <v>8.9135254988913531E-2</v>
      </c>
      <c r="K63" s="1"/>
      <c r="L63" s="1">
        <f t="shared" ref="L63:L65" si="38">+D63-H63</f>
        <v>6005.35</v>
      </c>
      <c r="M63" s="1"/>
      <c r="N63" s="5">
        <f t="shared" ref="N63:N65" si="39">IF(H63=0,0,L63/H63)</f>
        <v>1.8673351990049751</v>
      </c>
      <c r="O63" s="13"/>
      <c r="P63" s="1">
        <f>SUM(OSRRefP22_10x_0)</f>
        <v>24556.14</v>
      </c>
      <c r="Q63" s="1"/>
      <c r="R63" s="5">
        <f t="shared" ref="R63:R65" si="40">IF(P$12=0,0,P63/P$12)</f>
        <v>8.7237310384893171E-2</v>
      </c>
      <c r="S63" s="1"/>
      <c r="T63" s="1">
        <f>SUM(OSRRefT22_10x_0)</f>
        <v>23699</v>
      </c>
      <c r="U63" s="1"/>
      <c r="V63" s="5">
        <f t="shared" ref="V63:V65" si="41">IF(T$12=0,0,T63/T$12)</f>
        <v>8.9127491538172246E-2</v>
      </c>
      <c r="W63" s="1"/>
      <c r="X63" s="1">
        <f t="shared" ref="X63:X65" si="42">+P63-T63</f>
        <v>857.13999999999942</v>
      </c>
      <c r="Y63" s="1"/>
      <c r="Z63" s="5">
        <f t="shared" ref="Z63:Z65" si="43">IF(T63=0,0,X63/T63)</f>
        <v>3.6167770792016517E-2</v>
      </c>
    </row>
    <row r="64" spans="1:26" s="24" customFormat="1" hidden="1" outlineLevel="2" x14ac:dyDescent="0.25">
      <c r="A64" s="25"/>
      <c r="B64" s="11" t="str">
        <f>CONCATENATE("          ", "6254", " - ", "ROYALTY &amp; COMMISSIONS")</f>
        <v xml:space="preserve">          6254 - ROYALTY &amp; COMMISSIONS</v>
      </c>
      <c r="C64" s="11"/>
      <c r="D64" s="6">
        <v>9221.35</v>
      </c>
      <c r="E64" s="2"/>
      <c r="F64" s="7">
        <f t="shared" si="36"/>
        <v>0.45640690093114167</v>
      </c>
      <c r="G64" s="2"/>
      <c r="H64" s="6"/>
      <c r="I64" s="2"/>
      <c r="J64" s="7">
        <f t="shared" si="37"/>
        <v>0</v>
      </c>
      <c r="K64" s="2"/>
      <c r="L64" s="6">
        <f t="shared" si="38"/>
        <v>9221.35</v>
      </c>
      <c r="M64" s="2"/>
      <c r="N64" s="7">
        <f t="shared" si="39"/>
        <v>0</v>
      </c>
      <c r="O64" s="11"/>
      <c r="P64" s="6">
        <v>24556.14</v>
      </c>
      <c r="Q64" s="2"/>
      <c r="R64" s="7">
        <f t="shared" si="40"/>
        <v>8.7237310384893171E-2</v>
      </c>
      <c r="S64" s="2"/>
      <c r="T64" s="6"/>
      <c r="U64" s="2"/>
      <c r="V64" s="7">
        <f t="shared" si="41"/>
        <v>0</v>
      </c>
      <c r="W64" s="2"/>
      <c r="X64" s="6">
        <f t="shared" si="42"/>
        <v>24556.14</v>
      </c>
      <c r="Y64" s="2"/>
      <c r="Z64" s="7">
        <f t="shared" si="43"/>
        <v>0</v>
      </c>
    </row>
    <row r="65" spans="1:26" s="24" customFormat="1" hidden="1" outlineLevel="2" x14ac:dyDescent="0.25">
      <c r="A65" s="25"/>
      <c r="B65" s="11" t="str">
        <f>CONCATENATE("          ", "6259", " - ", "ROYALTY &amp; COMMISSIONS")</f>
        <v xml:space="preserve">          6259 - ROYALTY &amp; COMMISSIONS</v>
      </c>
      <c r="C65" s="11"/>
      <c r="D65" s="6"/>
      <c r="E65" s="2"/>
      <c r="F65" s="7">
        <f t="shared" si="36"/>
        <v>0</v>
      </c>
      <c r="G65" s="2"/>
      <c r="H65" s="6">
        <v>3216</v>
      </c>
      <c r="I65" s="2"/>
      <c r="J65" s="7">
        <f t="shared" si="37"/>
        <v>8.9135254988913531E-2</v>
      </c>
      <c r="K65" s="2"/>
      <c r="L65" s="6">
        <f t="shared" si="38"/>
        <v>-3216</v>
      </c>
      <c r="M65" s="2"/>
      <c r="N65" s="7">
        <f t="shared" si="39"/>
        <v>-1</v>
      </c>
      <c r="O65" s="11"/>
      <c r="P65" s="6"/>
      <c r="Q65" s="2"/>
      <c r="R65" s="7">
        <f t="shared" si="40"/>
        <v>0</v>
      </c>
      <c r="S65" s="2"/>
      <c r="T65" s="6">
        <v>23699</v>
      </c>
      <c r="U65" s="2"/>
      <c r="V65" s="7">
        <f t="shared" si="41"/>
        <v>8.9127491538172246E-2</v>
      </c>
      <c r="W65" s="2"/>
      <c r="X65" s="6">
        <f t="shared" si="42"/>
        <v>-23699</v>
      </c>
      <c r="Y65" s="2"/>
      <c r="Z65" s="7">
        <f t="shared" si="43"/>
        <v>-1</v>
      </c>
    </row>
    <row r="66" spans="1:26" s="27" customFormat="1" outlineLevel="1" collapsed="1" x14ac:dyDescent="0.25">
      <c r="A66" s="26"/>
      <c r="B66" s="13" t="str">
        <f>CONCATENATE("     ","Services                                          ")</f>
        <v xml:space="preserve">     Services                                          </v>
      </c>
      <c r="C66" s="13"/>
      <c r="D66" s="1">
        <f>SUM(OSRRefD22_11x_0)</f>
        <v>147.29</v>
      </c>
      <c r="E66" s="1"/>
      <c r="F66" s="5">
        <f t="shared" ref="F66:F69" si="44">IF(D$12=0,0,D66/D$12)</f>
        <v>7.290057577051934E-3</v>
      </c>
      <c r="G66" s="1"/>
      <c r="H66" s="1">
        <f>SUM(OSRRefH22_11x_0)</f>
        <v>214</v>
      </c>
      <c r="I66" s="1"/>
      <c r="J66" s="5">
        <f t="shared" ref="J66:J69" si="45">IF(H$12=0,0,H66/H$12)</f>
        <v>5.9312638580931261E-3</v>
      </c>
      <c r="K66" s="1"/>
      <c r="L66" s="1">
        <f t="shared" ref="L66:L69" si="46">+D66-H66</f>
        <v>-66.710000000000008</v>
      </c>
      <c r="M66" s="1"/>
      <c r="N66" s="5">
        <f t="shared" ref="N66:N69" si="47">IF(H66=0,0,L66/H66)</f>
        <v>-0.31172897196261684</v>
      </c>
      <c r="O66" s="13"/>
      <c r="P66" s="1">
        <f>SUM(OSRRefP22_11x_0)</f>
        <v>1829.96</v>
      </c>
      <c r="Q66" s="1"/>
      <c r="R66" s="5">
        <f t="shared" ref="R66:R69" si="48">IF(P$12=0,0,P66/P$12)</f>
        <v>6.5010538509692123E-3</v>
      </c>
      <c r="S66" s="1"/>
      <c r="T66" s="1">
        <f>SUM(OSRRefT22_11x_0)</f>
        <v>1580</v>
      </c>
      <c r="U66" s="1"/>
      <c r="V66" s="5">
        <f t="shared" ref="V66:V69" si="49">IF(T$12=0,0,T66/T$12)</f>
        <v>5.9420834900338476E-3</v>
      </c>
      <c r="W66" s="1"/>
      <c r="X66" s="1">
        <f t="shared" ref="X66:X69" si="50">+P66-T66</f>
        <v>249.96000000000004</v>
      </c>
      <c r="Y66" s="1"/>
      <c r="Z66" s="5">
        <f t="shared" ref="Z66:Z69" si="51">IF(T66=0,0,X66/T66)</f>
        <v>0.15820253164556963</v>
      </c>
    </row>
    <row r="67" spans="1:26" s="24" customFormat="1" hidden="1" outlineLevel="2" x14ac:dyDescent="0.25">
      <c r="A67" s="25"/>
      <c r="B67" s="11" t="str">
        <f>CONCATENATE("          ", "6282", " - ", "JANITORIAL/EXTERMINATOR EXPENS")</f>
        <v xml:space="preserve">          6282 - JANITORIAL/EXTERMINATOR EXPENS</v>
      </c>
      <c r="C67" s="11"/>
      <c r="D67" s="6">
        <v>82</v>
      </c>
      <c r="E67" s="2"/>
      <c r="F67" s="7">
        <f t="shared" si="44"/>
        <v>4.0585560548459408E-3</v>
      </c>
      <c r="G67" s="2"/>
      <c r="H67" s="6"/>
      <c r="I67" s="2"/>
      <c r="J67" s="7">
        <f t="shared" si="45"/>
        <v>0</v>
      </c>
      <c r="K67" s="2"/>
      <c r="L67" s="6">
        <f t="shared" si="46"/>
        <v>82</v>
      </c>
      <c r="M67" s="2"/>
      <c r="N67" s="7">
        <f t="shared" si="47"/>
        <v>0</v>
      </c>
      <c r="O67" s="11"/>
      <c r="P67" s="6">
        <v>287</v>
      </c>
      <c r="Q67" s="2"/>
      <c r="R67" s="7">
        <f t="shared" si="48"/>
        <v>1.0195864692278322E-3</v>
      </c>
      <c r="S67" s="2"/>
      <c r="T67" s="6"/>
      <c r="U67" s="2"/>
      <c r="V67" s="7">
        <f t="shared" si="49"/>
        <v>0</v>
      </c>
      <c r="W67" s="2"/>
      <c r="X67" s="6">
        <f t="shared" si="50"/>
        <v>287</v>
      </c>
      <c r="Y67" s="2"/>
      <c r="Z67" s="7">
        <f t="shared" si="51"/>
        <v>0</v>
      </c>
    </row>
    <row r="68" spans="1:26" s="24" customFormat="1" hidden="1" outlineLevel="2" x14ac:dyDescent="0.25">
      <c r="A68" s="25"/>
      <c r="B68" s="11" t="str">
        <f>CONCATENATE("          ", "6285", " - ", "JANITORIAL SERVICES")</f>
        <v xml:space="preserve">          6285 - JANITORIAL SERVICES</v>
      </c>
      <c r="C68" s="11"/>
      <c r="D68" s="6">
        <v>24.22</v>
      </c>
      <c r="E68" s="2"/>
      <c r="F68" s="7">
        <f t="shared" si="44"/>
        <v>1.1987588737605937E-3</v>
      </c>
      <c r="G68" s="2"/>
      <c r="H68" s="6">
        <v>214</v>
      </c>
      <c r="I68" s="2"/>
      <c r="J68" s="7">
        <f t="shared" si="45"/>
        <v>5.9312638580931261E-3</v>
      </c>
      <c r="K68" s="2"/>
      <c r="L68" s="6">
        <f t="shared" si="46"/>
        <v>-189.78</v>
      </c>
      <c r="M68" s="2"/>
      <c r="N68" s="7">
        <f t="shared" si="47"/>
        <v>-0.88682242990654203</v>
      </c>
      <c r="O68" s="11"/>
      <c r="P68" s="6">
        <v>208.38</v>
      </c>
      <c r="Q68" s="2"/>
      <c r="R68" s="7">
        <f t="shared" si="48"/>
        <v>7.4028372284911379E-4</v>
      </c>
      <c r="S68" s="2"/>
      <c r="T68" s="6">
        <v>1580</v>
      </c>
      <c r="U68" s="2"/>
      <c r="V68" s="7">
        <f t="shared" si="49"/>
        <v>5.9420834900338476E-3</v>
      </c>
      <c r="W68" s="2"/>
      <c r="X68" s="6">
        <f t="shared" si="50"/>
        <v>-1371.62</v>
      </c>
      <c r="Y68" s="2"/>
      <c r="Z68" s="7">
        <f t="shared" si="51"/>
        <v>-0.86811392405063281</v>
      </c>
    </row>
    <row r="69" spans="1:26" s="24" customFormat="1" hidden="1" outlineLevel="2" x14ac:dyDescent="0.25">
      <c r="A69" s="25"/>
      <c r="B69" s="11" t="str">
        <f>CONCATENATE("          ", "6286", " - ", "LAUNDRY EXPENSE")</f>
        <v xml:space="preserve">          6286 - LAUNDRY EXPENSE</v>
      </c>
      <c r="C69" s="11"/>
      <c r="D69" s="6">
        <v>41.07</v>
      </c>
      <c r="E69" s="2"/>
      <c r="F69" s="7">
        <f t="shared" si="44"/>
        <v>2.0327426484453999E-3</v>
      </c>
      <c r="G69" s="2"/>
      <c r="H69" s="6"/>
      <c r="I69" s="2"/>
      <c r="J69" s="7">
        <f t="shared" si="45"/>
        <v>0</v>
      </c>
      <c r="K69" s="2"/>
      <c r="L69" s="6">
        <f t="shared" si="46"/>
        <v>41.07</v>
      </c>
      <c r="M69" s="2"/>
      <c r="N69" s="7">
        <f t="shared" si="47"/>
        <v>0</v>
      </c>
      <c r="O69" s="11"/>
      <c r="P69" s="6">
        <v>1334.58</v>
      </c>
      <c r="Q69" s="2"/>
      <c r="R69" s="7">
        <f t="shared" si="48"/>
        <v>4.7411836588922658E-3</v>
      </c>
      <c r="S69" s="2"/>
      <c r="T69" s="6"/>
      <c r="U69" s="2"/>
      <c r="V69" s="7">
        <f t="shared" si="49"/>
        <v>0</v>
      </c>
      <c r="W69" s="2"/>
      <c r="X69" s="6">
        <f t="shared" si="50"/>
        <v>1334.58</v>
      </c>
      <c r="Y69" s="2"/>
      <c r="Z69" s="7">
        <f t="shared" si="51"/>
        <v>0</v>
      </c>
    </row>
    <row r="70" spans="1:26" s="27" customFormat="1" outlineLevel="1" collapsed="1" x14ac:dyDescent="0.25">
      <c r="A70" s="26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SUM(OSRRefD22_12x_0)</f>
        <v>175.94</v>
      </c>
      <c r="E70" s="1"/>
      <c r="F70" s="5">
        <f t="shared" ref="F70:F74" si="52">IF(D$12=0,0,D70/D$12)</f>
        <v>8.7080774669462783E-3</v>
      </c>
      <c r="G70" s="1"/>
      <c r="H70" s="1">
        <f>SUM(OSRRefH22_12x_0)</f>
        <v>572</v>
      </c>
      <c r="I70" s="1"/>
      <c r="J70" s="5">
        <f t="shared" ref="J70:J74" si="53">IF(H$12=0,0,H70/H$12)</f>
        <v>1.5853658536585366E-2</v>
      </c>
      <c r="K70" s="1"/>
      <c r="L70" s="1">
        <f t="shared" ref="L70:L74" si="54">+D70-H70</f>
        <v>-396.06</v>
      </c>
      <c r="M70" s="1"/>
      <c r="N70" s="5">
        <f t="shared" ref="N70:N74" si="55">IF(H70=0,0,L70/H70)</f>
        <v>-0.69241258741258738</v>
      </c>
      <c r="O70" s="13"/>
      <c r="P70" s="1">
        <f>SUM(OSRRefP22_12x_0)</f>
        <v>7602.1100000000006</v>
      </c>
      <c r="Q70" s="1"/>
      <c r="R70" s="5">
        <f t="shared" ref="R70:R74" si="56">IF(P$12=0,0,P70/P$12)</f>
        <v>2.7006998235475945E-2</v>
      </c>
      <c r="S70" s="1"/>
      <c r="T70" s="1">
        <f>SUM(OSRRefT22_12x_0)</f>
        <v>4213</v>
      </c>
      <c r="U70" s="1"/>
      <c r="V70" s="5">
        <f t="shared" ref="V70:V74" si="57">IF(T$12=0,0,T70/T$12)</f>
        <v>1.584430236931177E-2</v>
      </c>
      <c r="W70" s="1"/>
      <c r="X70" s="1">
        <f t="shared" ref="X70:X74" si="58">+P70-T70</f>
        <v>3389.1100000000006</v>
      </c>
      <c r="Y70" s="1"/>
      <c r="Z70" s="5">
        <f t="shared" ref="Z70:Z74" si="59">IF(T70=0,0,X70/T70)</f>
        <v>0.80444101590315709</v>
      </c>
    </row>
    <row r="71" spans="1:26" s="24" customFormat="1" hidden="1" outlineLevel="2" x14ac:dyDescent="0.25">
      <c r="A71" s="25"/>
      <c r="B71" s="11" t="str">
        <f>CONCATENATE("          ", "6234", " - ", "EXPENDABLE SUPPLIES &amp; EQUIPMEN")</f>
        <v xml:space="preserve">          6234 - EXPENDABLE SUPPLIES &amp; EQUIPMEN</v>
      </c>
      <c r="C71" s="11"/>
      <c r="D71" s="6"/>
      <c r="E71" s="2"/>
      <c r="F71" s="7">
        <f t="shared" si="52"/>
        <v>0</v>
      </c>
      <c r="G71" s="2"/>
      <c r="H71" s="6"/>
      <c r="I71" s="2"/>
      <c r="J71" s="7">
        <f t="shared" si="53"/>
        <v>0</v>
      </c>
      <c r="K71" s="2"/>
      <c r="L71" s="6">
        <f t="shared" si="54"/>
        <v>0</v>
      </c>
      <c r="M71" s="2"/>
      <c r="N71" s="7">
        <f t="shared" si="55"/>
        <v>0</v>
      </c>
      <c r="O71" s="11"/>
      <c r="P71" s="6">
        <v>354.71</v>
      </c>
      <c r="Q71" s="2"/>
      <c r="R71" s="7">
        <f t="shared" si="56"/>
        <v>1.2601307195115135E-3</v>
      </c>
      <c r="S71" s="2"/>
      <c r="T71" s="6"/>
      <c r="U71" s="2"/>
      <c r="V71" s="7">
        <f t="shared" si="57"/>
        <v>0</v>
      </c>
      <c r="W71" s="2"/>
      <c r="X71" s="6">
        <f t="shared" si="58"/>
        <v>354.71</v>
      </c>
      <c r="Y71" s="2"/>
      <c r="Z71" s="7">
        <f t="shared" si="59"/>
        <v>0</v>
      </c>
    </row>
    <row r="72" spans="1:26" s="24" customFormat="1" hidden="1" outlineLevel="2" x14ac:dyDescent="0.25">
      <c r="A72" s="25"/>
      <c r="B72" s="11" t="str">
        <f>CONCATENATE("          ", "6237", " - ", "JANITORIAL SUPPLIES")</f>
        <v xml:space="preserve">          6237 - JANITORIAL SUPPLIES</v>
      </c>
      <c r="C72" s="11"/>
      <c r="D72" s="6"/>
      <c r="E72" s="2"/>
      <c r="F72" s="7">
        <f t="shared" si="52"/>
        <v>0</v>
      </c>
      <c r="G72" s="2"/>
      <c r="H72" s="6"/>
      <c r="I72" s="2"/>
      <c r="J72" s="7">
        <f t="shared" si="53"/>
        <v>0</v>
      </c>
      <c r="K72" s="2"/>
      <c r="L72" s="6">
        <f t="shared" si="54"/>
        <v>0</v>
      </c>
      <c r="M72" s="2"/>
      <c r="N72" s="7">
        <f t="shared" si="55"/>
        <v>0</v>
      </c>
      <c r="O72" s="11"/>
      <c r="P72" s="6">
        <v>38.56</v>
      </c>
      <c r="Q72" s="2"/>
      <c r="R72" s="7">
        <f t="shared" si="56"/>
        <v>1.369869486182063E-4</v>
      </c>
      <c r="S72" s="2"/>
      <c r="T72" s="6"/>
      <c r="U72" s="2"/>
      <c r="V72" s="7">
        <f t="shared" si="57"/>
        <v>0</v>
      </c>
      <c r="W72" s="2"/>
      <c r="X72" s="6">
        <f t="shared" si="58"/>
        <v>38.56</v>
      </c>
      <c r="Y72" s="2"/>
      <c r="Z72" s="7">
        <f t="shared" si="59"/>
        <v>0</v>
      </c>
    </row>
    <row r="73" spans="1:26" s="24" customFormat="1" hidden="1" outlineLevel="2" x14ac:dyDescent="0.25">
      <c r="A73" s="25"/>
      <c r="B73" s="11" t="str">
        <f>CONCATENATE("          ", "6247", " - ", "STORE SUPPLIES")</f>
        <v xml:space="preserve">          6247 - STORE SUPPLIES</v>
      </c>
      <c r="C73" s="11"/>
      <c r="D73" s="6">
        <v>134.87</v>
      </c>
      <c r="E73" s="2"/>
      <c r="F73" s="7">
        <f t="shared" si="52"/>
        <v>6.6753348185008788E-3</v>
      </c>
      <c r="G73" s="2"/>
      <c r="H73" s="6">
        <v>572</v>
      </c>
      <c r="I73" s="2"/>
      <c r="J73" s="7">
        <f t="shared" si="53"/>
        <v>1.5853658536585366E-2</v>
      </c>
      <c r="K73" s="2"/>
      <c r="L73" s="6">
        <f t="shared" si="54"/>
        <v>-437.13</v>
      </c>
      <c r="M73" s="2"/>
      <c r="N73" s="7">
        <f t="shared" si="55"/>
        <v>-0.7642132867132867</v>
      </c>
      <c r="O73" s="11"/>
      <c r="P73" s="6">
        <v>7167.77</v>
      </c>
      <c r="Q73" s="2"/>
      <c r="R73" s="7">
        <f t="shared" si="56"/>
        <v>2.5463976677829892E-2</v>
      </c>
      <c r="S73" s="2"/>
      <c r="T73" s="6">
        <v>4213</v>
      </c>
      <c r="U73" s="2"/>
      <c r="V73" s="7">
        <f t="shared" si="57"/>
        <v>1.584430236931177E-2</v>
      </c>
      <c r="W73" s="2"/>
      <c r="X73" s="6">
        <f t="shared" si="58"/>
        <v>2954.7700000000004</v>
      </c>
      <c r="Y73" s="2"/>
      <c r="Z73" s="7">
        <f t="shared" si="59"/>
        <v>0.70134583432233577</v>
      </c>
    </row>
    <row r="74" spans="1:26" s="24" customFormat="1" hidden="1" outlineLevel="2" x14ac:dyDescent="0.25">
      <c r="A74" s="25"/>
      <c r="B74" s="11" t="str">
        <f>CONCATENATE("          ", "6248", " - ", "UNIFORMS")</f>
        <v xml:space="preserve">          6248 - UNIFORMS</v>
      </c>
      <c r="C74" s="11"/>
      <c r="D74" s="6">
        <v>41.07</v>
      </c>
      <c r="E74" s="2"/>
      <c r="F74" s="7">
        <f t="shared" si="52"/>
        <v>2.0327426484453999E-3</v>
      </c>
      <c r="G74" s="2"/>
      <c r="H74" s="6"/>
      <c r="I74" s="2"/>
      <c r="J74" s="7">
        <f t="shared" si="53"/>
        <v>0</v>
      </c>
      <c r="K74" s="2"/>
      <c r="L74" s="6">
        <f t="shared" si="54"/>
        <v>41.07</v>
      </c>
      <c r="M74" s="2"/>
      <c r="N74" s="7">
        <f t="shared" si="55"/>
        <v>0</v>
      </c>
      <c r="O74" s="11"/>
      <c r="P74" s="6">
        <v>41.07</v>
      </c>
      <c r="Q74" s="2"/>
      <c r="R74" s="7">
        <f t="shared" si="56"/>
        <v>1.4590388951633124E-4</v>
      </c>
      <c r="S74" s="2"/>
      <c r="T74" s="6"/>
      <c r="U74" s="2"/>
      <c r="V74" s="7">
        <f t="shared" si="57"/>
        <v>0</v>
      </c>
      <c r="W74" s="2"/>
      <c r="X74" s="6">
        <f t="shared" si="58"/>
        <v>41.07</v>
      </c>
      <c r="Y74" s="2"/>
      <c r="Z74" s="7">
        <f t="shared" si="59"/>
        <v>0</v>
      </c>
    </row>
    <row r="75" spans="1:26" s="27" customFormat="1" outlineLevel="1" collapsed="1" x14ac:dyDescent="0.25">
      <c r="A75" s="26"/>
      <c r="B75" s="13" t="str">
        <f>CONCATENATE("     ","Telephone/Data Lines                              ")</f>
        <v xml:space="preserve">     Telephone/Data Lines                              </v>
      </c>
      <c r="C75" s="13"/>
      <c r="D75" s="1">
        <f>SUM(OSRRefD22_13x_0)</f>
        <v>92.09</v>
      </c>
      <c r="E75" s="1"/>
      <c r="F75" s="5">
        <f t="shared" ref="F75:F78" si="60">IF(D$12=0,0,D75/D$12)</f>
        <v>4.5579564279361303E-3</v>
      </c>
      <c r="G75" s="1"/>
      <c r="H75" s="1">
        <f>SUM(OSRRefH22_13x_0)</f>
        <v>75</v>
      </c>
      <c r="I75" s="1"/>
      <c r="J75" s="5">
        <f t="shared" ref="J75:J78" si="61">IF(H$12=0,0,H75/H$12)</f>
        <v>2.0787139689578712E-3</v>
      </c>
      <c r="K75" s="1"/>
      <c r="L75" s="1">
        <f t="shared" ref="L75:L78" si="62">+D75-H75</f>
        <v>17.090000000000003</v>
      </c>
      <c r="M75" s="1"/>
      <c r="N75" s="5">
        <f t="shared" ref="N75:N78" si="63">IF(H75=0,0,L75/H75)</f>
        <v>0.22786666666666672</v>
      </c>
      <c r="O75" s="13"/>
      <c r="P75" s="1">
        <f>SUM(OSRRefP22_13x_0)</f>
        <v>525.09</v>
      </c>
      <c r="Q75" s="1"/>
      <c r="R75" s="5">
        <f t="shared" ref="R75:R78" si="64">IF(P$12=0,0,P75/P$12)</f>
        <v>1.8654169307555485E-3</v>
      </c>
      <c r="S75" s="1"/>
      <c r="T75" s="1">
        <f>SUM(OSRRefT22_13x_0)</f>
        <v>675</v>
      </c>
      <c r="U75" s="1"/>
      <c r="V75" s="5">
        <f t="shared" ref="V75:V78" si="65">IF(T$12=0,0,T75/T$12)</f>
        <v>2.5385483264385106E-3</v>
      </c>
      <c r="W75" s="1"/>
      <c r="X75" s="1">
        <f t="shared" ref="X75:X78" si="66">+P75-T75</f>
        <v>-149.90999999999997</v>
      </c>
      <c r="Y75" s="1"/>
      <c r="Z75" s="5">
        <f t="shared" ref="Z75:Z78" si="67">IF(T75=0,0,X75/T75)</f>
        <v>-0.22208888888888884</v>
      </c>
    </row>
    <row r="76" spans="1:26" s="24" customFormat="1" hidden="1" outlineLevel="2" x14ac:dyDescent="0.25">
      <c r="A76" s="25"/>
      <c r="B76" s="11" t="str">
        <f>CONCATENATE("          ", "6309", " - ", "TELEPHONE")</f>
        <v xml:space="preserve">          6309 - TELEPHONE</v>
      </c>
      <c r="C76" s="11"/>
      <c r="D76" s="6">
        <v>92.09</v>
      </c>
      <c r="E76" s="2"/>
      <c r="F76" s="7">
        <f t="shared" si="60"/>
        <v>4.5579564279361303E-3</v>
      </c>
      <c r="G76" s="2"/>
      <c r="H76" s="6">
        <v>75</v>
      </c>
      <c r="I76" s="2"/>
      <c r="J76" s="7">
        <f t="shared" si="61"/>
        <v>2.0787139689578712E-3</v>
      </c>
      <c r="K76" s="2"/>
      <c r="L76" s="6">
        <f t="shared" si="62"/>
        <v>17.090000000000003</v>
      </c>
      <c r="M76" s="2"/>
      <c r="N76" s="7">
        <f t="shared" si="63"/>
        <v>0.22786666666666672</v>
      </c>
      <c r="O76" s="11"/>
      <c r="P76" s="6">
        <v>525.09</v>
      </c>
      <c r="Q76" s="2"/>
      <c r="R76" s="7">
        <f t="shared" si="64"/>
        <v>1.8654169307555485E-3</v>
      </c>
      <c r="S76" s="2"/>
      <c r="T76" s="6">
        <v>675</v>
      </c>
      <c r="U76" s="2"/>
      <c r="V76" s="7">
        <f t="shared" si="65"/>
        <v>2.5385483264385106E-3</v>
      </c>
      <c r="W76" s="2"/>
      <c r="X76" s="6">
        <f t="shared" si="66"/>
        <v>-149.90999999999997</v>
      </c>
      <c r="Y76" s="2"/>
      <c r="Z76" s="7">
        <f t="shared" si="67"/>
        <v>-0.22208888888888884</v>
      </c>
    </row>
    <row r="77" spans="1:26" s="27" customFormat="1" outlineLevel="1" collapsed="1" x14ac:dyDescent="0.25">
      <c r="A77" s="26"/>
      <c r="B77" s="13" t="str">
        <f>CONCATENATE("     ","Utilities                                         ")</f>
        <v xml:space="preserve">     Utilities                                         </v>
      </c>
      <c r="C77" s="13"/>
      <c r="D77" s="1">
        <f>SUM(OSRRefD22_14x_0)</f>
        <v>36</v>
      </c>
      <c r="E77" s="1"/>
      <c r="F77" s="5">
        <f t="shared" si="60"/>
        <v>1.7818050972494375E-3</v>
      </c>
      <c r="G77" s="1"/>
      <c r="H77" s="1">
        <f>SUM(OSRRefH22_14x_0)</f>
        <v>36</v>
      </c>
      <c r="I77" s="1"/>
      <c r="J77" s="5">
        <f t="shared" si="61"/>
        <v>9.9778270509977827E-4</v>
      </c>
      <c r="K77" s="1"/>
      <c r="L77" s="1">
        <f t="shared" si="62"/>
        <v>0</v>
      </c>
      <c r="M77" s="1"/>
      <c r="N77" s="5">
        <f t="shared" si="63"/>
        <v>0</v>
      </c>
      <c r="O77" s="13"/>
      <c r="P77" s="1">
        <f>SUM(OSRRefP22_14x_0)</f>
        <v>-655.88</v>
      </c>
      <c r="Q77" s="1"/>
      <c r="R77" s="5">
        <f t="shared" si="64"/>
        <v>-2.3300570503036605E-3</v>
      </c>
      <c r="S77" s="1"/>
      <c r="T77" s="1">
        <f>SUM(OSRRefT22_14x_0)</f>
        <v>264</v>
      </c>
      <c r="U77" s="1"/>
      <c r="V77" s="5">
        <f t="shared" si="65"/>
        <v>9.9285445656261762E-4</v>
      </c>
      <c r="W77" s="1"/>
      <c r="X77" s="1">
        <f t="shared" si="66"/>
        <v>-919.88</v>
      </c>
      <c r="Y77" s="1"/>
      <c r="Z77" s="5">
        <f t="shared" si="67"/>
        <v>-3.4843939393939394</v>
      </c>
    </row>
    <row r="78" spans="1:26" s="24" customFormat="1" hidden="1" outlineLevel="2" x14ac:dyDescent="0.25">
      <c r="A78" s="25"/>
      <c r="B78" s="11" t="str">
        <f>CONCATENATE("          ", "6274", " - ", "UTILITIES")</f>
        <v xml:space="preserve">          6274 - UTILITIES</v>
      </c>
      <c r="C78" s="11"/>
      <c r="D78" s="6">
        <v>36</v>
      </c>
      <c r="E78" s="2"/>
      <c r="F78" s="7">
        <f t="shared" si="60"/>
        <v>1.7818050972494375E-3</v>
      </c>
      <c r="G78" s="2"/>
      <c r="H78" s="6">
        <v>36</v>
      </c>
      <c r="I78" s="2"/>
      <c r="J78" s="7">
        <f t="shared" si="61"/>
        <v>9.9778270509977827E-4</v>
      </c>
      <c r="K78" s="2"/>
      <c r="L78" s="6">
        <f t="shared" si="62"/>
        <v>0</v>
      </c>
      <c r="M78" s="2"/>
      <c r="N78" s="7">
        <f t="shared" si="63"/>
        <v>0</v>
      </c>
      <c r="O78" s="11"/>
      <c r="P78" s="6">
        <v>-655.88</v>
      </c>
      <c r="Q78" s="2"/>
      <c r="R78" s="7">
        <f t="shared" si="64"/>
        <v>-2.3300570503036605E-3</v>
      </c>
      <c r="S78" s="2"/>
      <c r="T78" s="6">
        <v>264</v>
      </c>
      <c r="U78" s="2"/>
      <c r="V78" s="7">
        <f t="shared" si="65"/>
        <v>9.9285445656261762E-4</v>
      </c>
      <c r="W78" s="2"/>
      <c r="X78" s="6">
        <f t="shared" si="66"/>
        <v>-919.88</v>
      </c>
      <c r="Y78" s="2"/>
      <c r="Z78" s="7">
        <f t="shared" si="67"/>
        <v>-3.4843939393939394</v>
      </c>
    </row>
    <row r="79" spans="1:26" s="56" customFormat="1" x14ac:dyDescent="0.25">
      <c r="A79" s="36"/>
      <c r="B79" s="36"/>
      <c r="C79" s="36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6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25">
      <c r="A80" s="10"/>
      <c r="B80" s="29" t="s">
        <v>0</v>
      </c>
      <c r="C80" s="10"/>
      <c r="D80" s="4">
        <f>SUM(0)</f>
        <v>0</v>
      </c>
      <c r="E80" s="4"/>
      <c r="F80" s="12">
        <f>IF(D$12=0,0,D80/D$12)</f>
        <v>0</v>
      </c>
      <c r="G80" s="4"/>
      <c r="H80" s="4">
        <f>SUM(0)</f>
        <v>0</v>
      </c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>
        <f>SUM(0)</f>
        <v>0</v>
      </c>
      <c r="Q80" s="4"/>
      <c r="R80" s="12">
        <f>IF(P$12=0,0,P80/P$12)</f>
        <v>0</v>
      </c>
      <c r="S80" s="4"/>
      <c r="T80" s="4">
        <f>SUM(0)</f>
        <v>0</v>
      </c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8" t="s">
        <v>3</v>
      </c>
      <c r="C82" s="28"/>
      <c r="D82" s="20">
        <f>+D22-D24+D80</f>
        <v>-8187.1699999999983</v>
      </c>
      <c r="E82" s="14"/>
      <c r="F82" s="22">
        <f>IF(D$12=0,0,D82/D$12)</f>
        <v>-0.40522058994576871</v>
      </c>
      <c r="G82" s="14"/>
      <c r="H82" s="20">
        <f>+H22-H24+H80</f>
        <v>2909.9464013461493</v>
      </c>
      <c r="I82" s="14"/>
      <c r="J82" s="22">
        <f>IF(H$12=0,0,H82/H$12)</f>
        <v>8.0652616445292383E-2</v>
      </c>
      <c r="K82" s="16"/>
      <c r="L82" s="20">
        <f>+D82-H82</f>
        <v>-11097.116401346148</v>
      </c>
      <c r="M82" s="16"/>
      <c r="N82" s="22">
        <f>IF(H82=0,0,L82/H82)</f>
        <v>-3.8135123025677005</v>
      </c>
      <c r="O82" s="29"/>
      <c r="P82" s="20">
        <f>+P22-P24+P80</f>
        <v>28703.870000000024</v>
      </c>
      <c r="Q82" s="14"/>
      <c r="R82" s="22">
        <f>IF(P$12=0,0,P82/P$12)</f>
        <v>0.10197239535357046</v>
      </c>
      <c r="S82" s="14"/>
      <c r="T82" s="20">
        <f>+T22-T24+T80</f>
        <v>14790.358729374973</v>
      </c>
      <c r="U82" s="14"/>
      <c r="V82" s="22">
        <f>IF(T$12=0,0,T82/T$12)</f>
        <v>5.5623763555377861E-2</v>
      </c>
      <c r="W82" s="16"/>
      <c r="X82" s="20">
        <f>+P82-T82</f>
        <v>13913.511270625051</v>
      </c>
      <c r="Y82" s="16"/>
      <c r="Z82" s="22">
        <f>IF(T82=0,0,X82/T82)</f>
        <v>0.94071492958393055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2"/>
      <c r="B84" s="10" t="s">
        <v>14</v>
      </c>
      <c r="C84" s="10"/>
      <c r="D84" s="4">
        <v>3532.13</v>
      </c>
      <c r="E84" s="4"/>
      <c r="F84" s="12">
        <f>IF(D$12=0,0,D84/D$12)</f>
        <v>0.17482131217076821</v>
      </c>
      <c r="G84" s="4"/>
      <c r="H84" s="4">
        <v>3445</v>
      </c>
      <c r="I84" s="4"/>
      <c r="J84" s="12">
        <f>IF(H$12=0,0,H84/H$12)</f>
        <v>9.5482261640798233E-2</v>
      </c>
      <c r="K84" s="4"/>
      <c r="L84" s="4">
        <f>+D84-H84</f>
        <v>87.130000000000109</v>
      </c>
      <c r="M84" s="4"/>
      <c r="N84" s="12">
        <f>IF(H84=0,0,L84/H84)</f>
        <v>2.5291727140783777E-2</v>
      </c>
      <c r="O84" s="10"/>
      <c r="P84" s="4">
        <v>30161.980000000003</v>
      </c>
      <c r="Q84" s="4"/>
      <c r="R84" s="12">
        <f>IF(P$12=0,0,P84/P$12)</f>
        <v>0.107152427502162</v>
      </c>
      <c r="S84" s="4"/>
      <c r="T84" s="4">
        <v>31081</v>
      </c>
      <c r="U84" s="4"/>
      <c r="V84" s="12">
        <f>IF(T$12=0,0,T84/T$12)</f>
        <v>0.11688980819857089</v>
      </c>
      <c r="W84" s="4"/>
      <c r="X84" s="4">
        <f>+P84-T84</f>
        <v>-919.0199999999968</v>
      </c>
      <c r="Y84" s="4"/>
      <c r="Z84" s="12">
        <f>IF(T84=0,0,X84/T84)</f>
        <v>-2.9568546700556506E-2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8" t="s">
        <v>4</v>
      </c>
      <c r="C86" s="28"/>
      <c r="D86" s="31">
        <f>+D82-D84</f>
        <v>-11719.3</v>
      </c>
      <c r="E86" s="14"/>
      <c r="F86" s="34">
        <f>IF(D$12=0,0,D86/D$12)</f>
        <v>-0.58004190211653694</v>
      </c>
      <c r="G86" s="14"/>
      <c r="H86" s="31">
        <f>+H82-H84</f>
        <v>-535.05359865385071</v>
      </c>
      <c r="I86" s="14"/>
      <c r="J86" s="34">
        <f>IF(H$12=0,0,H86/H$12)</f>
        <v>-1.482964519550584E-2</v>
      </c>
      <c r="K86" s="16"/>
      <c r="L86" s="31">
        <f>D86-H86</f>
        <v>-11184.246401346149</v>
      </c>
      <c r="M86" s="16"/>
      <c r="N86" s="34">
        <f>IF(H86=0,0,L86/H86)</f>
        <v>20.903039302015276</v>
      </c>
      <c r="O86" s="29"/>
      <c r="P86" s="31">
        <f>+P82-P84</f>
        <v>-1458.1099999999788</v>
      </c>
      <c r="Q86" s="14"/>
      <c r="R86" s="34">
        <f>IF(P$12=0,0,P86/P$12)</f>
        <v>-5.1800321485915429E-3</v>
      </c>
      <c r="S86" s="14"/>
      <c r="T86" s="31">
        <f>+T82-T84</f>
        <v>-16290.641270625027</v>
      </c>
      <c r="U86" s="14"/>
      <c r="V86" s="34">
        <f>IF(T$12=0,0,T86/T$12)</f>
        <v>-6.1266044643193032E-2</v>
      </c>
      <c r="W86" s="16"/>
      <c r="X86" s="31">
        <f>P86-T86</f>
        <v>14832.531270625048</v>
      </c>
      <c r="Y86" s="16"/>
      <c r="Z86" s="34">
        <f>IF(T86=0,0,X86/T86)</f>
        <v>-0.91049400844463901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8" t="s">
        <v>5</v>
      </c>
      <c r="C89" s="28"/>
      <c r="D89" s="32">
        <f>SUM(D86:D88)</f>
        <v>-11719.3</v>
      </c>
      <c r="E89" s="14"/>
      <c r="F89" s="35">
        <f>IF(D$12=0,0,D89/D$12)</f>
        <v>-0.58004190211653694</v>
      </c>
      <c r="G89" s="14"/>
      <c r="H89" s="32">
        <f>SUM(H86:H88)</f>
        <v>-535.05359865385071</v>
      </c>
      <c r="I89" s="14"/>
      <c r="J89" s="35">
        <f>IF(H$12=0,0,H89/H$12)</f>
        <v>-1.482964519550584E-2</v>
      </c>
      <c r="K89" s="16"/>
      <c r="L89" s="32">
        <f>+D89-H89</f>
        <v>-11184.246401346149</v>
      </c>
      <c r="M89" s="16"/>
      <c r="N89" s="35">
        <f>IF(H89=0,0,L89/H89)</f>
        <v>20.903039302015276</v>
      </c>
      <c r="O89" s="29"/>
      <c r="P89" s="32">
        <f>SUM(P86:P88)</f>
        <v>-1458.1099999999788</v>
      </c>
      <c r="Q89" s="14"/>
      <c r="R89" s="35">
        <f>IF(P$12=0,0,P89/P$12)</f>
        <v>-5.1800321485915429E-3</v>
      </c>
      <c r="S89" s="14"/>
      <c r="T89" s="32">
        <f>SUM(T86:T88)</f>
        <v>-16290.641270625027</v>
      </c>
      <c r="U89" s="14"/>
      <c r="V89" s="35">
        <f>IF(T$12=0,0,T89/T$12)</f>
        <v>-6.1266044643193032E-2</v>
      </c>
      <c r="W89" s="16"/>
      <c r="X89" s="32">
        <f>+P89-T89</f>
        <v>14832.531270625048</v>
      </c>
      <c r="Y89" s="16"/>
      <c r="Z89" s="35">
        <f>IF(T89=0,0,X89/T89)</f>
        <v>-0.91049400844463901</v>
      </c>
    </row>
    <row r="90" spans="1:26" ht="15.75" thickTop="1" x14ac:dyDescent="0.25">
      <c r="A90" s="9"/>
      <c r="C90" s="9"/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57">
        <v>43934.466553472223</v>
      </c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A92" s="9"/>
      <c r="B92" s="62" t="s">
        <v>314</v>
      </c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A93" s="9"/>
      <c r="B93" s="60"/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","322", " - ", "Beach Hut")</f>
        <v>Department 322 - Beach Hut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46095.740000000005</v>
      </c>
      <c r="E12" s="4"/>
      <c r="F12" s="12"/>
      <c r="G12" s="4"/>
      <c r="H12" s="4">
        <f>SUM(OSRRefH13x_0)</f>
        <v>120814.00000000001</v>
      </c>
      <c r="I12" s="4"/>
      <c r="J12" s="12"/>
      <c r="K12" s="4"/>
      <c r="L12" s="4">
        <f t="shared" ref="L12:L15" si="0">+D12-H12</f>
        <v>-74718.260000000009</v>
      </c>
      <c r="M12" s="4"/>
      <c r="N12" s="12">
        <f t="shared" ref="N12:N15" si="1">IF(H12=0,0,L12/H12)</f>
        <v>-0.61845696690780871</v>
      </c>
      <c r="O12" s="10"/>
      <c r="P12" s="4">
        <f>SUM(OSRRefP13x_0)</f>
        <v>689915.82</v>
      </c>
      <c r="Q12" s="4"/>
      <c r="R12" s="12"/>
      <c r="S12" s="4"/>
      <c r="T12" s="4">
        <f>SUM(OSRRefT13x_0)</f>
        <v>814416</v>
      </c>
      <c r="U12" s="4"/>
      <c r="V12" s="12"/>
      <c r="W12" s="4"/>
      <c r="X12" s="4">
        <f t="shared" ref="X12:X15" si="2">+P12-T12</f>
        <v>-124500.18000000005</v>
      </c>
      <c r="Y12" s="4"/>
      <c r="Z12" s="12">
        <f t="shared" ref="Z12:Z15" si="3">IF(T12=0,0,X12/T12)</f>
        <v>-0.15287049861495852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--4994.66</f>
        <v>4994.66</v>
      </c>
      <c r="E13" s="2"/>
      <c r="F13" s="19"/>
      <c r="G13" s="2"/>
      <c r="H13" s="2"/>
      <c r="I13" s="2"/>
      <c r="J13" s="19"/>
      <c r="K13" s="2"/>
      <c r="L13" s="2">
        <f t="shared" si="0"/>
        <v>4994.66</v>
      </c>
      <c r="M13" s="2"/>
      <c r="N13" s="19">
        <f t="shared" si="1"/>
        <v>0</v>
      </c>
      <c r="O13" s="11"/>
      <c r="P13" s="2">
        <f>--85250.21</f>
        <v>85250.21</v>
      </c>
      <c r="Q13" s="2"/>
      <c r="R13" s="19"/>
      <c r="S13" s="2"/>
      <c r="T13" s="2"/>
      <c r="U13" s="2"/>
      <c r="V13" s="19"/>
      <c r="W13" s="2"/>
      <c r="X13" s="2">
        <f t="shared" si="2"/>
        <v>85250.21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120814.00000000001</v>
      </c>
      <c r="I14" s="2"/>
      <c r="J14" s="19"/>
      <c r="K14" s="2"/>
      <c r="L14" s="2">
        <f t="shared" si="0"/>
        <v>-120814.00000000001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814416</v>
      </c>
      <c r="U14" s="2"/>
      <c r="V14" s="19"/>
      <c r="W14" s="2"/>
      <c r="X14" s="2">
        <f t="shared" si="2"/>
        <v>-814416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--41101.08</f>
        <v>41101.08</v>
      </c>
      <c r="E15" s="2"/>
      <c r="F15" s="19"/>
      <c r="G15" s="2"/>
      <c r="H15" s="2"/>
      <c r="I15" s="2"/>
      <c r="J15" s="19"/>
      <c r="K15" s="2"/>
      <c r="L15" s="2">
        <f t="shared" si="0"/>
        <v>41101.08</v>
      </c>
      <c r="M15" s="2"/>
      <c r="N15" s="19">
        <f t="shared" si="1"/>
        <v>0</v>
      </c>
      <c r="O15" s="11"/>
      <c r="P15" s="2">
        <f>--604665.61</f>
        <v>604665.61</v>
      </c>
      <c r="Q15" s="2"/>
      <c r="R15" s="19"/>
      <c r="S15" s="2"/>
      <c r="T15" s="2"/>
      <c r="U15" s="2"/>
      <c r="V15" s="19"/>
      <c r="W15" s="2"/>
      <c r="X15" s="2">
        <f t="shared" si="2"/>
        <v>604665.61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22125.95</v>
      </c>
      <c r="E17" s="4"/>
      <c r="F17" s="12">
        <f t="shared" ref="F17:F20" si="4">IF(D$12=0,0,D17/D$12)</f>
        <v>0.47999988719131093</v>
      </c>
      <c r="G17" s="4"/>
      <c r="H17" s="4">
        <f>SUM(OSRRefH16x_0)</f>
        <v>57991</v>
      </c>
      <c r="I17" s="4"/>
      <c r="J17" s="12">
        <f t="shared" ref="J17:J20" si="5">IF(H$12=0,0,H17/H$12)</f>
        <v>0.48000231761219719</v>
      </c>
      <c r="K17" s="4"/>
      <c r="L17" s="4">
        <f t="shared" ref="L17:L20" si="6">+D17-H17</f>
        <v>-35865.050000000003</v>
      </c>
      <c r="M17" s="4"/>
      <c r="N17" s="12">
        <f t="shared" ref="N17:N20" si="7">IF(H17=0,0,L17/H17)</f>
        <v>-0.61845889879464055</v>
      </c>
      <c r="O17" s="10"/>
      <c r="P17" s="4">
        <f>SUM(OSRRefP16x_0)</f>
        <v>345100.94</v>
      </c>
      <c r="Q17" s="4"/>
      <c r="R17" s="12">
        <f t="shared" ref="R17:R20" si="8">IF(P$12=0,0,P17/P$12)</f>
        <v>0.50020731514752048</v>
      </c>
      <c r="S17" s="4"/>
      <c r="T17" s="4">
        <f>SUM(OSRRefT16x_0)</f>
        <v>390920</v>
      </c>
      <c r="U17" s="4"/>
      <c r="V17" s="12">
        <f t="shared" ref="V17:V20" si="9">IF(T$12=0,0,T17/T$12)</f>
        <v>0.48000039291958901</v>
      </c>
      <c r="W17" s="4"/>
      <c r="X17" s="4">
        <f t="shared" ref="X17:X20" si="10">+P17-T17</f>
        <v>-45819.06</v>
      </c>
      <c r="Y17" s="4"/>
      <c r="Z17" s="12">
        <f t="shared" ref="Z17:Z20" si="11">IF(T17=0,0,X17/T17)</f>
        <v>-0.11720827790852348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57991</v>
      </c>
      <c r="I18" s="2"/>
      <c r="J18" s="19">
        <f t="shared" si="5"/>
        <v>0.48000231761219719</v>
      </c>
      <c r="K18" s="2"/>
      <c r="L18" s="2">
        <f t="shared" si="6"/>
        <v>-57991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390920</v>
      </c>
      <c r="U18" s="2"/>
      <c r="V18" s="19">
        <f t="shared" si="9"/>
        <v>0.48000039291958901</v>
      </c>
      <c r="W18" s="2"/>
      <c r="X18" s="2">
        <f t="shared" si="10"/>
        <v>-390920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25510.89</v>
      </c>
      <c r="E19" s="2"/>
      <c r="F19" s="19">
        <f t="shared" si="4"/>
        <v>0.55343270332573025</v>
      </c>
      <c r="G19" s="2"/>
      <c r="H19" s="2"/>
      <c r="I19" s="2"/>
      <c r="J19" s="19">
        <f t="shared" si="5"/>
        <v>0</v>
      </c>
      <c r="K19" s="2"/>
      <c r="L19" s="2">
        <f t="shared" si="6"/>
        <v>25510.89</v>
      </c>
      <c r="M19" s="2"/>
      <c r="N19" s="19">
        <f t="shared" si="7"/>
        <v>0</v>
      </c>
      <c r="O19" s="11"/>
      <c r="P19" s="2">
        <v>367445.36</v>
      </c>
      <c r="Q19" s="2"/>
      <c r="R19" s="19">
        <f t="shared" si="8"/>
        <v>0.53259448377339713</v>
      </c>
      <c r="S19" s="2"/>
      <c r="T19" s="2"/>
      <c r="U19" s="2"/>
      <c r="V19" s="19">
        <f t="shared" si="9"/>
        <v>0</v>
      </c>
      <c r="W19" s="2"/>
      <c r="X19" s="2">
        <f t="shared" si="10"/>
        <v>367445.36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-3384.94</v>
      </c>
      <c r="E20" s="2"/>
      <c r="F20" s="19">
        <f t="shared" si="4"/>
        <v>-7.3432816134419363E-2</v>
      </c>
      <c r="G20" s="2"/>
      <c r="H20" s="2"/>
      <c r="I20" s="2"/>
      <c r="J20" s="19">
        <f t="shared" si="5"/>
        <v>0</v>
      </c>
      <c r="K20" s="2"/>
      <c r="L20" s="2">
        <f t="shared" si="6"/>
        <v>-3384.94</v>
      </c>
      <c r="M20" s="2"/>
      <c r="N20" s="19">
        <f t="shared" si="7"/>
        <v>0</v>
      </c>
      <c r="O20" s="11"/>
      <c r="P20" s="2">
        <v>-22344.42</v>
      </c>
      <c r="Q20" s="2"/>
      <c r="R20" s="19">
        <f t="shared" si="8"/>
        <v>-3.2387168625876706E-2</v>
      </c>
      <c r="S20" s="2"/>
      <c r="T20" s="2"/>
      <c r="U20" s="2"/>
      <c r="V20" s="19">
        <f t="shared" si="9"/>
        <v>0</v>
      </c>
      <c r="W20" s="2"/>
      <c r="X20" s="2">
        <f t="shared" si="10"/>
        <v>-22344.42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0">
        <f>D12-D17</f>
        <v>23969.790000000005</v>
      </c>
      <c r="E22" s="14"/>
      <c r="F22" s="22">
        <f>IF(D$12=0,0,D22/D$12)</f>
        <v>0.52000011280868907</v>
      </c>
      <c r="G22" s="14"/>
      <c r="H22" s="20">
        <f>H12-H17</f>
        <v>62823.000000000015</v>
      </c>
      <c r="I22" s="14"/>
      <c r="J22" s="22">
        <f>IF(H$12=0,0,H22/H$12)</f>
        <v>0.51999768238780275</v>
      </c>
      <c r="K22" s="16"/>
      <c r="L22" s="20">
        <f>+D22-H22</f>
        <v>-38853.210000000006</v>
      </c>
      <c r="M22" s="16"/>
      <c r="N22" s="22">
        <f>IF(H22=0,0,L22/H22)</f>
        <v>-0.61845518361109786</v>
      </c>
      <c r="O22" s="29"/>
      <c r="P22" s="20">
        <f>P12-P17</f>
        <v>344814.87999999995</v>
      </c>
      <c r="Q22" s="14"/>
      <c r="R22" s="22">
        <f>IF(P$12=0,0,P22/P$12)</f>
        <v>0.49979268485247952</v>
      </c>
      <c r="S22" s="14"/>
      <c r="T22" s="20">
        <f>T12-T17</f>
        <v>423496</v>
      </c>
      <c r="U22" s="14"/>
      <c r="V22" s="22">
        <f>IF(T$12=0,0,T22/T$12)</f>
        <v>0.51999960708041104</v>
      </c>
      <c r="W22" s="16"/>
      <c r="X22" s="20">
        <f>+P22-T22</f>
        <v>-78681.120000000054</v>
      </c>
      <c r="Y22" s="16"/>
      <c r="Z22" s="22">
        <f>IF(T22=0,0,X22/T22)</f>
        <v>-0.18578952339573468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1">
        <f>SUM(OSRRefD22x_0)</f>
        <v>29808.760000000002</v>
      </c>
      <c r="E24" s="21"/>
      <c r="F24" s="30">
        <f t="shared" ref="F24:F34" si="12">IF(D$12=0,0,D24/D$12)</f>
        <v>0.64667060340066129</v>
      </c>
      <c r="G24" s="21"/>
      <c r="H24" s="21">
        <f>SUM(OSRRefH22x_0)</f>
        <v>34899.86094812923</v>
      </c>
      <c r="I24" s="21"/>
      <c r="J24" s="30">
        <f t="shared" ref="J24:J34" si="13">IF(H$12=0,0,H24/H$12)</f>
        <v>0.28887265505760279</v>
      </c>
      <c r="K24" s="4"/>
      <c r="L24" s="21">
        <f t="shared" ref="L24:L34" si="14">+D24-H24</f>
        <v>-5091.1009481292276</v>
      </c>
      <c r="M24" s="4"/>
      <c r="N24" s="30">
        <f t="shared" ref="N24:N34" si="15">IF(H24=0,0,L24/H24)</f>
        <v>-0.14587739921646109</v>
      </c>
      <c r="O24" s="10"/>
      <c r="P24" s="21">
        <f>SUM(OSRRefP22x_0)</f>
        <v>260250.2</v>
      </c>
      <c r="Q24" s="21"/>
      <c r="R24" s="30">
        <f t="shared" ref="R24:R34" si="16">IF(P$12=0,0,P24/P$12)</f>
        <v>0.37722022376585018</v>
      </c>
      <c r="S24" s="21"/>
      <c r="T24" s="21">
        <f>SUM(OSRRefT22x_0)</f>
        <v>259659.54794791999</v>
      </c>
      <c r="U24" s="21"/>
      <c r="V24" s="30">
        <f t="shared" ref="V24:V34" si="17">IF(T$12=0,0,T24/T$12)</f>
        <v>0.31882913394127815</v>
      </c>
      <c r="W24" s="4"/>
      <c r="X24" s="21">
        <f t="shared" ref="X24:X34" si="18">+P24-T24</f>
        <v>590.6520520800259</v>
      </c>
      <c r="Y24" s="4"/>
      <c r="Z24" s="30">
        <f t="shared" ref="Z24:Z34" si="19">IF(T24=0,0,X24/T24)</f>
        <v>2.2747172470564928E-3</v>
      </c>
    </row>
    <row r="25" spans="1:26" s="27" customFormat="1" outlineLevel="1" collapsed="1" x14ac:dyDescent="0.25">
      <c r="A25" s="26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2384.2399999999998</v>
      </c>
      <c r="E25" s="1"/>
      <c r="F25" s="5">
        <f t="shared" si="12"/>
        <v>5.1723651686685135E-2</v>
      </c>
      <c r="G25" s="1"/>
      <c r="H25" s="1">
        <f>SUM(OSRRefH22_0x_0)</f>
        <v>2582.2833173600002</v>
      </c>
      <c r="I25" s="1"/>
      <c r="J25" s="5">
        <f t="shared" si="13"/>
        <v>2.1374040403926695E-2</v>
      </c>
      <c r="K25" s="1"/>
      <c r="L25" s="1">
        <f t="shared" si="14"/>
        <v>-198.0433173600004</v>
      </c>
      <c r="M25" s="1"/>
      <c r="N25" s="5">
        <f t="shared" si="15"/>
        <v>-7.6693101809785211E-2</v>
      </c>
      <c r="O25" s="13"/>
      <c r="P25" s="1">
        <f>SUM(OSRRefP22_0x_0)</f>
        <v>21594.22</v>
      </c>
      <c r="Q25" s="1"/>
      <c r="R25" s="5">
        <f t="shared" si="16"/>
        <v>3.1299789588822596E-2</v>
      </c>
      <c r="S25" s="1"/>
      <c r="T25" s="1">
        <f>SUM(OSRRefT22_0x_0)</f>
        <v>21993.255647920003</v>
      </c>
      <c r="U25" s="1"/>
      <c r="V25" s="5">
        <f t="shared" si="17"/>
        <v>2.7004940531521977E-2</v>
      </c>
      <c r="W25" s="1"/>
      <c r="X25" s="1">
        <f t="shared" si="18"/>
        <v>-399.03564792000179</v>
      </c>
      <c r="Y25" s="1"/>
      <c r="Z25" s="5">
        <f t="shared" si="19"/>
        <v>-1.814354610831527E-2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6">
        <v>372.25</v>
      </c>
      <c r="E26" s="2"/>
      <c r="F26" s="7">
        <f t="shared" si="12"/>
        <v>8.0755835571790363E-3</v>
      </c>
      <c r="G26" s="2"/>
      <c r="H26" s="6">
        <v>318.43388892923099</v>
      </c>
      <c r="I26" s="2"/>
      <c r="J26" s="7">
        <f t="shared" si="13"/>
        <v>2.6357366607283176E-3</v>
      </c>
      <c r="K26" s="2"/>
      <c r="L26" s="6">
        <f t="shared" si="14"/>
        <v>53.816111070769011</v>
      </c>
      <c r="M26" s="2"/>
      <c r="N26" s="7">
        <f t="shared" si="15"/>
        <v>0.16900246155247989</v>
      </c>
      <c r="O26" s="11"/>
      <c r="P26" s="6">
        <v>4690.7</v>
      </c>
      <c r="Q26" s="2"/>
      <c r="R26" s="7">
        <f t="shared" si="16"/>
        <v>6.7989454133694166E-3</v>
      </c>
      <c r="S26" s="2"/>
      <c r="T26" s="6">
        <v>3354.5535715200031</v>
      </c>
      <c r="U26" s="2"/>
      <c r="V26" s="7">
        <f t="shared" si="17"/>
        <v>4.1189681581894301E-3</v>
      </c>
      <c r="W26" s="2"/>
      <c r="X26" s="6">
        <f t="shared" si="18"/>
        <v>1336.1464284799968</v>
      </c>
      <c r="Y26" s="2"/>
      <c r="Z26" s="7">
        <f t="shared" si="19"/>
        <v>0.39830826963796767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6">
        <v>462.2</v>
      </c>
      <c r="E27" s="2"/>
      <c r="F27" s="7">
        <f t="shared" si="12"/>
        <v>1.0026956937886232E-2</v>
      </c>
      <c r="G27" s="2"/>
      <c r="H27" s="6">
        <v>427.05583261538499</v>
      </c>
      <c r="I27" s="2"/>
      <c r="J27" s="7">
        <f t="shared" si="13"/>
        <v>3.5348207377901976E-3</v>
      </c>
      <c r="K27" s="2"/>
      <c r="L27" s="6">
        <f t="shared" si="14"/>
        <v>35.144167384615002</v>
      </c>
      <c r="M27" s="2"/>
      <c r="N27" s="7">
        <f t="shared" si="15"/>
        <v>8.2294081243158068E-2</v>
      </c>
      <c r="O27" s="11"/>
      <c r="P27" s="6">
        <v>2837.41</v>
      </c>
      <c r="Q27" s="2"/>
      <c r="R27" s="7">
        <f t="shared" si="16"/>
        <v>4.1126901539958894E-3</v>
      </c>
      <c r="S27" s="2"/>
      <c r="T27" s="6">
        <v>3134.6748910000028</v>
      </c>
      <c r="U27" s="2"/>
      <c r="V27" s="7">
        <f t="shared" si="17"/>
        <v>3.848984905748417E-3</v>
      </c>
      <c r="W27" s="2"/>
      <c r="X27" s="6">
        <f t="shared" si="18"/>
        <v>-297.26489100000299</v>
      </c>
      <c r="Y27" s="2"/>
      <c r="Z27" s="7">
        <f t="shared" si="19"/>
        <v>-9.4831171121918661E-2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6">
        <v>683.68</v>
      </c>
      <c r="E28" s="2"/>
      <c r="F28" s="7">
        <f t="shared" si="12"/>
        <v>1.483173933209446E-2</v>
      </c>
      <c r="G28" s="2"/>
      <c r="H28" s="6">
        <v>663</v>
      </c>
      <c r="I28" s="2"/>
      <c r="J28" s="7">
        <f t="shared" si="13"/>
        <v>5.4877745956594427E-3</v>
      </c>
      <c r="K28" s="2"/>
      <c r="L28" s="6">
        <f t="shared" si="14"/>
        <v>20.67999999999995</v>
      </c>
      <c r="M28" s="2"/>
      <c r="N28" s="7">
        <f t="shared" si="15"/>
        <v>3.1191553544494644E-2</v>
      </c>
      <c r="O28" s="11"/>
      <c r="P28" s="6">
        <v>5897.88</v>
      </c>
      <c r="Q28" s="2"/>
      <c r="R28" s="7">
        <f t="shared" si="16"/>
        <v>8.5486951147170399E-3</v>
      </c>
      <c r="S28" s="2"/>
      <c r="T28" s="6">
        <v>5967</v>
      </c>
      <c r="U28" s="2"/>
      <c r="V28" s="7">
        <f t="shared" si="17"/>
        <v>7.326722461248306E-3</v>
      </c>
      <c r="W28" s="2"/>
      <c r="X28" s="6">
        <f t="shared" si="18"/>
        <v>-69.119999999999891</v>
      </c>
      <c r="Y28" s="2"/>
      <c r="Z28" s="7">
        <f t="shared" si="19"/>
        <v>-1.1583710407239801E-2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6">
        <v>63.25</v>
      </c>
      <c r="E29" s="2"/>
      <c r="F29" s="7">
        <f t="shared" si="12"/>
        <v>1.3721441504138993E-3</v>
      </c>
      <c r="G29" s="2"/>
      <c r="H29" s="6">
        <v>58.439219199999997</v>
      </c>
      <c r="I29" s="2"/>
      <c r="J29" s="7">
        <f t="shared" si="13"/>
        <v>4.8371231148707921E-4</v>
      </c>
      <c r="K29" s="2"/>
      <c r="L29" s="6">
        <f t="shared" si="14"/>
        <v>4.8107808000000034</v>
      </c>
      <c r="M29" s="2"/>
      <c r="N29" s="7">
        <f t="shared" si="15"/>
        <v>8.2321099868493855E-2</v>
      </c>
      <c r="O29" s="11"/>
      <c r="P29" s="6">
        <v>433.45</v>
      </c>
      <c r="Q29" s="2"/>
      <c r="R29" s="7">
        <f t="shared" si="16"/>
        <v>6.2826505413370579E-4</v>
      </c>
      <c r="S29" s="2"/>
      <c r="T29" s="6">
        <v>428.95551139999998</v>
      </c>
      <c r="U29" s="2"/>
      <c r="V29" s="7">
        <f t="shared" si="17"/>
        <v>5.2670319762873022E-4</v>
      </c>
      <c r="W29" s="2"/>
      <c r="X29" s="6">
        <f t="shared" si="18"/>
        <v>4.494488600000011</v>
      </c>
      <c r="Y29" s="2"/>
      <c r="Z29" s="7">
        <f t="shared" si="19"/>
        <v>1.0477749977686874E-2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6">
        <v>290.58</v>
      </c>
      <c r="E30" s="2"/>
      <c r="F30" s="7">
        <f t="shared" si="12"/>
        <v>6.3038363197987484E-3</v>
      </c>
      <c r="G30" s="2"/>
      <c r="H30" s="6">
        <v>357.837638153846</v>
      </c>
      <c r="I30" s="2"/>
      <c r="J30" s="7">
        <f t="shared" si="13"/>
        <v>2.9618888386598072E-3</v>
      </c>
      <c r="K30" s="2"/>
      <c r="L30" s="6">
        <f t="shared" si="14"/>
        <v>-67.257638153846017</v>
      </c>
      <c r="M30" s="2"/>
      <c r="N30" s="7">
        <f t="shared" si="15"/>
        <v>-0.18795574020899886</v>
      </c>
      <c r="O30" s="11"/>
      <c r="P30" s="6">
        <v>2481.06</v>
      </c>
      <c r="Q30" s="2"/>
      <c r="R30" s="7">
        <f t="shared" si="16"/>
        <v>3.5961778641342072E-3</v>
      </c>
      <c r="S30" s="2"/>
      <c r="T30" s="6">
        <v>3373.946324</v>
      </c>
      <c r="U30" s="2"/>
      <c r="V30" s="7">
        <f t="shared" si="17"/>
        <v>4.14278000923361E-3</v>
      </c>
      <c r="W30" s="2"/>
      <c r="X30" s="6">
        <f t="shared" si="18"/>
        <v>-892.88632400000006</v>
      </c>
      <c r="Y30" s="2"/>
      <c r="Z30" s="7">
        <f t="shared" si="19"/>
        <v>-0.26464153197951112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6">
        <v>239.72</v>
      </c>
      <c r="E32" s="2"/>
      <c r="F32" s="7">
        <f t="shared" si="12"/>
        <v>5.2004805650153352E-3</v>
      </c>
      <c r="G32" s="2"/>
      <c r="H32" s="6">
        <v>124.827083076923</v>
      </c>
      <c r="I32" s="2"/>
      <c r="J32" s="7">
        <f t="shared" si="13"/>
        <v>1.0332170367417931E-3</v>
      </c>
      <c r="K32" s="2"/>
      <c r="L32" s="6">
        <f t="shared" si="14"/>
        <v>114.892916923077</v>
      </c>
      <c r="M32" s="2"/>
      <c r="N32" s="7">
        <f t="shared" si="15"/>
        <v>0.92041658020860573</v>
      </c>
      <c r="O32" s="11"/>
      <c r="P32" s="6">
        <v>2157.48</v>
      </c>
      <c r="Q32" s="2"/>
      <c r="R32" s="7">
        <f t="shared" si="16"/>
        <v>3.1271641227186243E-3</v>
      </c>
      <c r="S32" s="2"/>
      <c r="T32" s="6">
        <v>1176.95802</v>
      </c>
      <c r="U32" s="2"/>
      <c r="V32" s="7">
        <f t="shared" si="17"/>
        <v>1.4451558171745152E-3</v>
      </c>
      <c r="W32" s="2"/>
      <c r="X32" s="6">
        <f t="shared" si="18"/>
        <v>980.52197999999999</v>
      </c>
      <c r="Y32" s="2"/>
      <c r="Z32" s="7">
        <f t="shared" si="19"/>
        <v>0.83309851612209584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6">
        <v>191.88</v>
      </c>
      <c r="E33" s="2"/>
      <c r="F33" s="7">
        <f t="shared" si="12"/>
        <v>4.1626406257931859E-3</v>
      </c>
      <c r="G33" s="2"/>
      <c r="H33" s="6">
        <v>632.68965538461498</v>
      </c>
      <c r="I33" s="2"/>
      <c r="J33" s="7">
        <f t="shared" si="13"/>
        <v>5.2368902228600569E-3</v>
      </c>
      <c r="K33" s="2"/>
      <c r="L33" s="6">
        <f t="shared" si="14"/>
        <v>-440.80965538461498</v>
      </c>
      <c r="M33" s="2"/>
      <c r="N33" s="7">
        <f t="shared" si="15"/>
        <v>-0.69672334869556973</v>
      </c>
      <c r="O33" s="11"/>
      <c r="P33" s="6">
        <v>1726.92</v>
      </c>
      <c r="Q33" s="2"/>
      <c r="R33" s="7">
        <f t="shared" si="16"/>
        <v>2.503087985429875E-3</v>
      </c>
      <c r="S33" s="2"/>
      <c r="T33" s="6">
        <v>4557.1673299999975</v>
      </c>
      <c r="U33" s="2"/>
      <c r="V33" s="7">
        <f t="shared" si="17"/>
        <v>5.5956259822989695E-3</v>
      </c>
      <c r="W33" s="2"/>
      <c r="X33" s="6">
        <f t="shared" si="18"/>
        <v>-2830.2473299999974</v>
      </c>
      <c r="Y33" s="2"/>
      <c r="Z33" s="7">
        <f t="shared" si="19"/>
        <v>-0.62105407264033885</v>
      </c>
    </row>
    <row r="34" spans="1:26" s="24" customFormat="1" hidden="1" outlineLevel="2" x14ac:dyDescent="0.25">
      <c r="A34" s="25"/>
      <c r="B34" s="11" t="str">
        <f>CONCATENATE("          ", "6156", " - ", "EMPLOYEE MEALS")</f>
        <v xml:space="preserve">          6156 - EMPLOYEE MEALS</v>
      </c>
      <c r="C34" s="11"/>
      <c r="D34" s="6">
        <v>80.680000000000007</v>
      </c>
      <c r="E34" s="2"/>
      <c r="F34" s="7">
        <f t="shared" si="12"/>
        <v>1.7502701985042436E-3</v>
      </c>
      <c r="G34" s="2"/>
      <c r="H34" s="6"/>
      <c r="I34" s="2"/>
      <c r="J34" s="7">
        <f t="shared" si="13"/>
        <v>0</v>
      </c>
      <c r="K34" s="2"/>
      <c r="L34" s="6">
        <f t="shared" si="14"/>
        <v>80.680000000000007</v>
      </c>
      <c r="M34" s="2"/>
      <c r="N34" s="7">
        <f t="shared" si="15"/>
        <v>0</v>
      </c>
      <c r="O34" s="11"/>
      <c r="P34" s="6">
        <v>1369.32</v>
      </c>
      <c r="Q34" s="2"/>
      <c r="R34" s="7">
        <f t="shared" si="16"/>
        <v>1.9847638803238343E-3</v>
      </c>
      <c r="S34" s="2"/>
      <c r="T34" s="6"/>
      <c r="U34" s="2"/>
      <c r="V34" s="7">
        <f t="shared" si="17"/>
        <v>0</v>
      </c>
      <c r="W34" s="2"/>
      <c r="X34" s="6">
        <f t="shared" si="18"/>
        <v>1369.32</v>
      </c>
      <c r="Y34" s="2"/>
      <c r="Z34" s="7">
        <f t="shared" si="19"/>
        <v>0</v>
      </c>
    </row>
    <row r="35" spans="1:26" s="27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21246.86</v>
      </c>
      <c r="E35" s="1"/>
      <c r="F35" s="5">
        <f t="shared" ref="F35:F45" si="20">IF(D$12=0,0,D35/D$12)</f>
        <v>0.46092892748874403</v>
      </c>
      <c r="G35" s="1"/>
      <c r="H35" s="1">
        <f>SUM(OSRRefH22_1x_0)</f>
        <v>22268.577630769232</v>
      </c>
      <c r="I35" s="1"/>
      <c r="J35" s="5">
        <f t="shared" ref="J35:J45" si="21">IF(H$12=0,0,H35/H$12)</f>
        <v>0.18432116833123008</v>
      </c>
      <c r="K35" s="1"/>
      <c r="L35" s="1">
        <f t="shared" ref="L35:L45" si="22">+D35-H35</f>
        <v>-1021.7176307692316</v>
      </c>
      <c r="M35" s="1"/>
      <c r="N35" s="5">
        <f t="shared" ref="N35:N45" si="23">IF(H35=0,0,L35/H35)</f>
        <v>-4.5881584702450441E-2</v>
      </c>
      <c r="O35" s="13"/>
      <c r="P35" s="1">
        <f>SUM(OSRRefP22_1x_0)</f>
        <v>157287.33999999997</v>
      </c>
      <c r="Q35" s="1"/>
      <c r="R35" s="5">
        <f t="shared" ref="R35:R45" si="24">IF(P$12=0,0,P35/P$12)</f>
        <v>0.22798048028526144</v>
      </c>
      <c r="S35" s="1"/>
      <c r="T35" s="1">
        <f>SUM(OSRRefT22_1x_0)</f>
        <v>163021.2923</v>
      </c>
      <c r="U35" s="1"/>
      <c r="V35" s="5">
        <f t="shared" ref="V35:V45" si="25">IF(T$12=0,0,T35/T$12)</f>
        <v>0.20016955990550284</v>
      </c>
      <c r="W35" s="1"/>
      <c r="X35" s="1">
        <f t="shared" ref="X35:X45" si="26">+P35-T35</f>
        <v>-5733.9523000000336</v>
      </c>
      <c r="Y35" s="1"/>
      <c r="Z35" s="5">
        <f t="shared" ref="Z35:Z45" si="27">IF(T35=0,0,X35/T35)</f>
        <v>-3.5173026904044689E-2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3952.8576307692297</v>
      </c>
      <c r="I36" s="2"/>
      <c r="J36" s="7">
        <f t="shared" si="21"/>
        <v>3.2718539496823455E-2</v>
      </c>
      <c r="K36" s="2"/>
      <c r="L36" s="6">
        <f t="shared" si="22"/>
        <v>-3952.8576307692297</v>
      </c>
      <c r="M36" s="2"/>
      <c r="N36" s="7">
        <f t="shared" si="23"/>
        <v>-1</v>
      </c>
      <c r="O36" s="11"/>
      <c r="P36" s="6"/>
      <c r="Q36" s="2"/>
      <c r="R36" s="7">
        <f t="shared" si="24"/>
        <v>0</v>
      </c>
      <c r="S36" s="2"/>
      <c r="T36" s="6">
        <v>37270.337299999999</v>
      </c>
      <c r="U36" s="2"/>
      <c r="V36" s="7">
        <f t="shared" si="25"/>
        <v>4.5763267543859648E-2</v>
      </c>
      <c r="W36" s="2"/>
      <c r="X36" s="6">
        <f t="shared" si="26"/>
        <v>-37270.337299999999</v>
      </c>
      <c r="Y36" s="2"/>
      <c r="Z36" s="7">
        <f t="shared" si="27"/>
        <v>-1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6">
        <v>4160</v>
      </c>
      <c r="E37" s="2"/>
      <c r="F37" s="7">
        <f t="shared" si="20"/>
        <v>9.0246951236708631E-2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4160</v>
      </c>
      <c r="M37" s="2"/>
      <c r="N37" s="7">
        <f t="shared" si="23"/>
        <v>0</v>
      </c>
      <c r="O37" s="11"/>
      <c r="P37" s="6">
        <v>34846</v>
      </c>
      <c r="Q37" s="2"/>
      <c r="R37" s="7">
        <f t="shared" si="24"/>
        <v>5.0507611203929201E-2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34846</v>
      </c>
      <c r="Y37" s="2"/>
      <c r="Z37" s="7">
        <f t="shared" si="27"/>
        <v>0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>
        <v>9018.76</v>
      </c>
      <c r="Q40" s="2"/>
      <c r="R40" s="7">
        <f t="shared" si="24"/>
        <v>1.3072261482567541E-2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9018.76</v>
      </c>
      <c r="Y40" s="2"/>
      <c r="Z40" s="7">
        <f t="shared" si="27"/>
        <v>0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6">
        <v>706.07</v>
      </c>
      <c r="E41" s="2"/>
      <c r="F41" s="7">
        <f t="shared" si="20"/>
        <v>1.5317467514351651E-2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706.07</v>
      </c>
      <c r="M41" s="2"/>
      <c r="N41" s="7">
        <f t="shared" si="23"/>
        <v>0</v>
      </c>
      <c r="O41" s="11"/>
      <c r="P41" s="6">
        <v>1199.43</v>
      </c>
      <c r="Q41" s="2"/>
      <c r="R41" s="7">
        <f t="shared" si="24"/>
        <v>1.7385164468326007E-3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1199.43</v>
      </c>
      <c r="Y41" s="2"/>
      <c r="Z41" s="7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6">
        <v>15956.990000000002</v>
      </c>
      <c r="E42" s="2"/>
      <c r="F42" s="7">
        <f t="shared" si="20"/>
        <v>0.34617060058044408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15956.990000000002</v>
      </c>
      <c r="M42" s="2"/>
      <c r="N42" s="7">
        <f t="shared" si="23"/>
        <v>0</v>
      </c>
      <c r="O42" s="11"/>
      <c r="P42" s="6">
        <v>109564.34999999999</v>
      </c>
      <c r="Q42" s="2"/>
      <c r="R42" s="7">
        <f t="shared" si="24"/>
        <v>0.15880828765457211</v>
      </c>
      <c r="S42" s="2"/>
      <c r="T42" s="6">
        <v>4601.25</v>
      </c>
      <c r="U42" s="2"/>
      <c r="V42" s="7">
        <f t="shared" si="25"/>
        <v>5.6497539341073847E-3</v>
      </c>
      <c r="W42" s="2"/>
      <c r="X42" s="6">
        <f t="shared" si="26"/>
        <v>104963.09999999999</v>
      </c>
      <c r="Y42" s="2"/>
      <c r="Z42" s="7">
        <f t="shared" si="27"/>
        <v>22.811866340668296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6">
        <v>423.8</v>
      </c>
      <c r="E43" s="2"/>
      <c r="F43" s="7">
        <f t="shared" si="20"/>
        <v>9.1939081572396924E-3</v>
      </c>
      <c r="G43" s="2"/>
      <c r="H43" s="6">
        <v>18315.72</v>
      </c>
      <c r="I43" s="2"/>
      <c r="J43" s="7">
        <f t="shared" si="21"/>
        <v>0.15160262883440659</v>
      </c>
      <c r="K43" s="2"/>
      <c r="L43" s="6">
        <f t="shared" si="22"/>
        <v>-17891.920000000002</v>
      </c>
      <c r="M43" s="2"/>
      <c r="N43" s="7">
        <f t="shared" si="23"/>
        <v>-0.97686140648579478</v>
      </c>
      <c r="O43" s="11"/>
      <c r="P43" s="6">
        <v>2658.8</v>
      </c>
      <c r="Q43" s="2"/>
      <c r="R43" s="7">
        <f t="shared" si="24"/>
        <v>3.8538034973600119E-3</v>
      </c>
      <c r="S43" s="2"/>
      <c r="T43" s="6">
        <v>121149.705</v>
      </c>
      <c r="U43" s="2"/>
      <c r="V43" s="7">
        <f t="shared" si="25"/>
        <v>0.14875653842753581</v>
      </c>
      <c r="W43" s="2"/>
      <c r="X43" s="6">
        <f t="shared" si="26"/>
        <v>-118490.905</v>
      </c>
      <c r="Y43" s="2"/>
      <c r="Z43" s="7">
        <f t="shared" si="27"/>
        <v>-0.97805359905746359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7" customFormat="1" outlineLevel="1" collapsed="1" x14ac:dyDescent="0.25">
      <c r="A46" s="26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9.14</v>
      </c>
      <c r="E46" s="1"/>
      <c r="F46" s="5">
        <f t="shared" ref="F46:F54" si="28">IF(D$12=0,0,D46/D$12)</f>
        <v>1.9828296497680697E-4</v>
      </c>
      <c r="G46" s="1"/>
      <c r="H46" s="1">
        <f>SUM(OSRRefH22_2x_0)</f>
        <v>0</v>
      </c>
      <c r="I46" s="1"/>
      <c r="J46" s="5">
        <f t="shared" ref="J46:J54" si="29">IF(H$12=0,0,H46/H$12)</f>
        <v>0</v>
      </c>
      <c r="K46" s="1"/>
      <c r="L46" s="1">
        <f t="shared" ref="L46:L54" si="30">+D46-H46</f>
        <v>9.14</v>
      </c>
      <c r="M46" s="1"/>
      <c r="N46" s="5">
        <f t="shared" ref="N46:N54" si="31">IF(H46=0,0,L46/H46)</f>
        <v>0</v>
      </c>
      <c r="O46" s="13"/>
      <c r="P46" s="1">
        <f>SUM(OSRRefP22_2x_0)</f>
        <v>262.2</v>
      </c>
      <c r="Q46" s="1"/>
      <c r="R46" s="5">
        <f t="shared" ref="R46:R54" si="32">IF(P$12=0,0,P46/P$12)</f>
        <v>3.8004636565661012E-4</v>
      </c>
      <c r="S46" s="1"/>
      <c r="T46" s="1">
        <f>SUM(OSRRefT22_2x_0)</f>
        <v>0</v>
      </c>
      <c r="U46" s="1"/>
      <c r="V46" s="5">
        <f t="shared" ref="V46:V54" si="33">IF(T$12=0,0,T46/T$12)</f>
        <v>0</v>
      </c>
      <c r="W46" s="1"/>
      <c r="X46" s="1">
        <f t="shared" ref="X46:X54" si="34">+P46-T46</f>
        <v>262.2</v>
      </c>
      <c r="Y46" s="1"/>
      <c r="Z46" s="5">
        <f t="shared" ref="Z46:Z54" si="35">IF(T46=0,0,X46/T46)</f>
        <v>0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6">
        <v>9.14</v>
      </c>
      <c r="E47" s="2"/>
      <c r="F47" s="7">
        <f t="shared" si="28"/>
        <v>1.9828296497680697E-4</v>
      </c>
      <c r="G47" s="2"/>
      <c r="H47" s="6">
        <v>0</v>
      </c>
      <c r="I47" s="2"/>
      <c r="J47" s="7">
        <f t="shared" si="29"/>
        <v>0</v>
      </c>
      <c r="K47" s="2"/>
      <c r="L47" s="6">
        <f t="shared" si="30"/>
        <v>9.14</v>
      </c>
      <c r="M47" s="2"/>
      <c r="N47" s="7">
        <f t="shared" si="31"/>
        <v>0</v>
      </c>
      <c r="O47" s="11"/>
      <c r="P47" s="6">
        <v>262.2</v>
      </c>
      <c r="Q47" s="2"/>
      <c r="R47" s="7">
        <f t="shared" si="32"/>
        <v>3.8004636565661012E-4</v>
      </c>
      <c r="S47" s="2"/>
      <c r="T47" s="6">
        <v>0</v>
      </c>
      <c r="U47" s="2"/>
      <c r="V47" s="7">
        <f t="shared" si="33"/>
        <v>0</v>
      </c>
      <c r="W47" s="2"/>
      <c r="X47" s="6">
        <f t="shared" si="34"/>
        <v>262.2</v>
      </c>
      <c r="Y47" s="2"/>
      <c r="Z47" s="7">
        <f t="shared" si="35"/>
        <v>0</v>
      </c>
    </row>
    <row r="48" spans="1:26" s="27" customFormat="1" outlineLevel="1" collapsed="1" x14ac:dyDescent="0.25">
      <c r="A48" s="26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-8.2100000000000009</v>
      </c>
      <c r="E48" s="1"/>
      <c r="F48" s="5">
        <f t="shared" si="28"/>
        <v>-1.7810756482052354E-4</v>
      </c>
      <c r="G48" s="1"/>
      <c r="H48" s="1">
        <f>SUM(OSRRefH22_3x_0)</f>
        <v>0</v>
      </c>
      <c r="I48" s="1"/>
      <c r="J48" s="5">
        <f t="shared" si="29"/>
        <v>0</v>
      </c>
      <c r="K48" s="1"/>
      <c r="L48" s="1">
        <f t="shared" si="30"/>
        <v>-8.2100000000000009</v>
      </c>
      <c r="M48" s="1"/>
      <c r="N48" s="5">
        <f t="shared" si="31"/>
        <v>0</v>
      </c>
      <c r="O48" s="13"/>
      <c r="P48" s="1">
        <f>SUM(OSRRefP22_3x_0)</f>
        <v>-53.23</v>
      </c>
      <c r="Q48" s="1"/>
      <c r="R48" s="5">
        <f t="shared" si="32"/>
        <v>-7.7154340365756508E-5</v>
      </c>
      <c r="S48" s="1"/>
      <c r="T48" s="1">
        <f>SUM(OSRRefT22_3x_0)</f>
        <v>0</v>
      </c>
      <c r="U48" s="1"/>
      <c r="V48" s="5">
        <f t="shared" si="33"/>
        <v>0</v>
      </c>
      <c r="W48" s="1"/>
      <c r="X48" s="1">
        <f t="shared" si="34"/>
        <v>-53.23</v>
      </c>
      <c r="Y48" s="1"/>
      <c r="Z48" s="5">
        <f t="shared" si="35"/>
        <v>0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6">
        <v>-8.2100000000000009</v>
      </c>
      <c r="E49" s="2"/>
      <c r="F49" s="7">
        <f t="shared" si="28"/>
        <v>-1.7810756482052354E-4</v>
      </c>
      <c r="G49" s="2"/>
      <c r="H49" s="6">
        <v>0</v>
      </c>
      <c r="I49" s="2"/>
      <c r="J49" s="7">
        <f t="shared" si="29"/>
        <v>0</v>
      </c>
      <c r="K49" s="2"/>
      <c r="L49" s="6">
        <f t="shared" si="30"/>
        <v>-8.2100000000000009</v>
      </c>
      <c r="M49" s="2"/>
      <c r="N49" s="7">
        <f t="shared" si="31"/>
        <v>0</v>
      </c>
      <c r="O49" s="11"/>
      <c r="P49" s="6">
        <v>-53.23</v>
      </c>
      <c r="Q49" s="2"/>
      <c r="R49" s="7">
        <f t="shared" si="32"/>
        <v>-7.7154340365756508E-5</v>
      </c>
      <c r="S49" s="2"/>
      <c r="T49" s="6">
        <v>0</v>
      </c>
      <c r="U49" s="2"/>
      <c r="V49" s="7">
        <f t="shared" si="33"/>
        <v>0</v>
      </c>
      <c r="W49" s="2"/>
      <c r="X49" s="6">
        <f t="shared" si="34"/>
        <v>-53.23</v>
      </c>
      <c r="Y49" s="2"/>
      <c r="Z49" s="7">
        <f t="shared" si="35"/>
        <v>0</v>
      </c>
    </row>
    <row r="50" spans="1:26" s="27" customFormat="1" outlineLevel="1" collapsed="1" x14ac:dyDescent="0.25">
      <c r="A50" s="26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2433.37</v>
      </c>
      <c r="E50" s="1"/>
      <c r="F50" s="5">
        <f t="shared" si="28"/>
        <v>5.2789476858382131E-2</v>
      </c>
      <c r="G50" s="1"/>
      <c r="H50" s="1">
        <f>SUM(OSRRefH22_4x_0)</f>
        <v>3664</v>
      </c>
      <c r="I50" s="1"/>
      <c r="J50" s="5">
        <f t="shared" si="29"/>
        <v>3.0327611038455805E-2</v>
      </c>
      <c r="K50" s="1"/>
      <c r="L50" s="1">
        <f t="shared" si="30"/>
        <v>-1230.6300000000001</v>
      </c>
      <c r="M50" s="1"/>
      <c r="N50" s="5">
        <f t="shared" si="31"/>
        <v>-0.33587063318777294</v>
      </c>
      <c r="O50" s="13"/>
      <c r="P50" s="1">
        <f>SUM(OSRRefP22_4x_0)</f>
        <v>25665.63</v>
      </c>
      <c r="Q50" s="1"/>
      <c r="R50" s="5">
        <f t="shared" si="32"/>
        <v>3.7201103752049061E-2</v>
      </c>
      <c r="S50" s="1"/>
      <c r="T50" s="1">
        <f>SUM(OSRRefT22_4x_0)</f>
        <v>24698</v>
      </c>
      <c r="U50" s="1"/>
      <c r="V50" s="5">
        <f t="shared" si="33"/>
        <v>3.032602502897782E-2</v>
      </c>
      <c r="W50" s="1"/>
      <c r="X50" s="1">
        <f t="shared" si="34"/>
        <v>967.63000000000102</v>
      </c>
      <c r="Y50" s="1"/>
      <c r="Z50" s="5">
        <f t="shared" si="35"/>
        <v>3.9178475989958744E-2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6">
        <v>2433.37</v>
      </c>
      <c r="E51" s="2"/>
      <c r="F51" s="7">
        <f t="shared" si="28"/>
        <v>5.2789476858382131E-2</v>
      </c>
      <c r="G51" s="2"/>
      <c r="H51" s="6">
        <v>3664</v>
      </c>
      <c r="I51" s="2"/>
      <c r="J51" s="7">
        <f t="shared" si="29"/>
        <v>3.0327611038455805E-2</v>
      </c>
      <c r="K51" s="2"/>
      <c r="L51" s="6">
        <f t="shared" si="30"/>
        <v>-1230.6300000000001</v>
      </c>
      <c r="M51" s="2"/>
      <c r="N51" s="7">
        <f t="shared" si="31"/>
        <v>-0.33587063318777294</v>
      </c>
      <c r="O51" s="11"/>
      <c r="P51" s="6">
        <v>25665.63</v>
      </c>
      <c r="Q51" s="2"/>
      <c r="R51" s="7">
        <f t="shared" si="32"/>
        <v>3.7201103752049061E-2</v>
      </c>
      <c r="S51" s="2"/>
      <c r="T51" s="6">
        <v>24698</v>
      </c>
      <c r="U51" s="2"/>
      <c r="V51" s="7">
        <f t="shared" si="33"/>
        <v>3.032602502897782E-2</v>
      </c>
      <c r="W51" s="2"/>
      <c r="X51" s="6">
        <f t="shared" si="34"/>
        <v>967.63000000000102</v>
      </c>
      <c r="Y51" s="2"/>
      <c r="Z51" s="7">
        <f t="shared" si="35"/>
        <v>3.9178475989958744E-2</v>
      </c>
    </row>
    <row r="52" spans="1:26" s="27" customFormat="1" outlineLevel="1" collapsed="1" x14ac:dyDescent="0.25">
      <c r="A52" s="26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2017.34</v>
      </c>
      <c r="E52" s="1"/>
      <c r="F52" s="5">
        <f t="shared" si="28"/>
        <v>4.376413091535139E-2</v>
      </c>
      <c r="G52" s="1"/>
      <c r="H52" s="1">
        <f>SUM(OSRRefH22_5x_0)</f>
        <v>1941</v>
      </c>
      <c r="I52" s="1"/>
      <c r="J52" s="5">
        <f t="shared" si="29"/>
        <v>1.6066018838876286E-2</v>
      </c>
      <c r="K52" s="1"/>
      <c r="L52" s="1">
        <f t="shared" si="30"/>
        <v>76.339999999999918</v>
      </c>
      <c r="M52" s="1"/>
      <c r="N52" s="5">
        <f t="shared" si="31"/>
        <v>3.93302421432251E-2</v>
      </c>
      <c r="O52" s="13"/>
      <c r="P52" s="1">
        <f>SUM(OSRRefP22_5x_0)</f>
        <v>16877.98</v>
      </c>
      <c r="Q52" s="1"/>
      <c r="R52" s="5">
        <f t="shared" si="32"/>
        <v>2.4463825166380446E-2</v>
      </c>
      <c r="S52" s="1"/>
      <c r="T52" s="1">
        <f>SUM(OSRRefT22_5x_0)</f>
        <v>17220</v>
      </c>
      <c r="U52" s="1"/>
      <c r="V52" s="5">
        <f t="shared" si="33"/>
        <v>2.1143985383391288E-2</v>
      </c>
      <c r="W52" s="1"/>
      <c r="X52" s="1">
        <f t="shared" si="34"/>
        <v>-342.02000000000044</v>
      </c>
      <c r="Y52" s="1"/>
      <c r="Z52" s="5">
        <f t="shared" si="35"/>
        <v>-1.9861788617886206E-2</v>
      </c>
    </row>
    <row r="53" spans="1:26" s="24" customFormat="1" hidden="1" outlineLevel="2" x14ac:dyDescent="0.25">
      <c r="A53" s="25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2017.34</v>
      </c>
      <c r="E53" s="2"/>
      <c r="F53" s="7">
        <f t="shared" si="28"/>
        <v>4.376413091535139E-2</v>
      </c>
      <c r="G53" s="2"/>
      <c r="H53" s="6">
        <v>1858</v>
      </c>
      <c r="I53" s="2"/>
      <c r="J53" s="7">
        <f t="shared" si="29"/>
        <v>1.5379012366116508E-2</v>
      </c>
      <c r="K53" s="2"/>
      <c r="L53" s="6">
        <f t="shared" si="30"/>
        <v>159.33999999999992</v>
      </c>
      <c r="M53" s="2"/>
      <c r="N53" s="7">
        <f t="shared" si="31"/>
        <v>8.5758880516684566E-2</v>
      </c>
      <c r="O53" s="11"/>
      <c r="P53" s="6">
        <v>16877.98</v>
      </c>
      <c r="Q53" s="2"/>
      <c r="R53" s="7">
        <f t="shared" si="32"/>
        <v>2.4463825166380446E-2</v>
      </c>
      <c r="S53" s="2"/>
      <c r="T53" s="6">
        <v>16722</v>
      </c>
      <c r="U53" s="2"/>
      <c r="V53" s="7">
        <f t="shared" si="33"/>
        <v>2.0532504273000532E-2</v>
      </c>
      <c r="W53" s="2"/>
      <c r="X53" s="6">
        <f t="shared" si="34"/>
        <v>155.97999999999956</v>
      </c>
      <c r="Y53" s="2"/>
      <c r="Z53" s="7">
        <f t="shared" si="35"/>
        <v>9.3278315990909921E-3</v>
      </c>
    </row>
    <row r="54" spans="1:26" s="24" customFormat="1" hidden="1" outlineLevel="2" x14ac:dyDescent="0.25">
      <c r="A54" s="25"/>
      <c r="B54" s="11" t="str">
        <f>CONCATENATE("          ", "6324", " - ", "FURNITURE + FIXT DEPRECIATION")</f>
        <v xml:space="preserve">          6324 - FURNITURE + FIXT DEPRECIATION</v>
      </c>
      <c r="C54" s="11"/>
      <c r="D54" s="6"/>
      <c r="E54" s="2"/>
      <c r="F54" s="7">
        <f t="shared" si="28"/>
        <v>0</v>
      </c>
      <c r="G54" s="2"/>
      <c r="H54" s="6">
        <v>83</v>
      </c>
      <c r="I54" s="2"/>
      <c r="J54" s="7">
        <f t="shared" si="29"/>
        <v>6.8700647275977945E-4</v>
      </c>
      <c r="K54" s="2"/>
      <c r="L54" s="6">
        <f t="shared" si="30"/>
        <v>-83</v>
      </c>
      <c r="M54" s="2"/>
      <c r="N54" s="7">
        <f t="shared" si="31"/>
        <v>-1</v>
      </c>
      <c r="O54" s="11"/>
      <c r="P54" s="6"/>
      <c r="Q54" s="2"/>
      <c r="R54" s="7">
        <f t="shared" si="32"/>
        <v>0</v>
      </c>
      <c r="S54" s="2"/>
      <c r="T54" s="6">
        <v>498</v>
      </c>
      <c r="U54" s="2"/>
      <c r="V54" s="7">
        <f t="shared" si="33"/>
        <v>6.1148111039075858E-4</v>
      </c>
      <c r="W54" s="2"/>
      <c r="X54" s="6">
        <f t="shared" si="34"/>
        <v>-498</v>
      </c>
      <c r="Y54" s="2"/>
      <c r="Z54" s="7">
        <f t="shared" si="35"/>
        <v>-1</v>
      </c>
    </row>
    <row r="55" spans="1:26" s="27" customFormat="1" outlineLevel="1" collapsed="1" x14ac:dyDescent="0.25">
      <c r="A55" s="26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SUM(OSRRefD22_6x_0)</f>
        <v>0</v>
      </c>
      <c r="E55" s="1"/>
      <c r="F55" s="5">
        <f t="shared" ref="F55:F64" si="36">IF(D$12=0,0,D55/D$12)</f>
        <v>0</v>
      </c>
      <c r="G55" s="1"/>
      <c r="H55" s="1">
        <f>SUM(OSRRefH22_6x_0)</f>
        <v>0</v>
      </c>
      <c r="I55" s="1"/>
      <c r="J55" s="5">
        <f t="shared" ref="J55:J64" si="37">IF(H$12=0,0,H55/H$12)</f>
        <v>0</v>
      </c>
      <c r="K55" s="1"/>
      <c r="L55" s="1">
        <f t="shared" ref="L55:L64" si="38">+D55-H55</f>
        <v>0</v>
      </c>
      <c r="M55" s="1"/>
      <c r="N55" s="5">
        <f t="shared" ref="N55:N64" si="39">IF(H55=0,0,L55/H55)</f>
        <v>0</v>
      </c>
      <c r="O55" s="13"/>
      <c r="P55" s="1">
        <f>SUM(OSRRefP22_6x_0)</f>
        <v>0</v>
      </c>
      <c r="Q55" s="1"/>
      <c r="R55" s="5">
        <f t="shared" ref="R55:R64" si="40">IF(P$12=0,0,P55/P$12)</f>
        <v>0</v>
      </c>
      <c r="S55" s="1"/>
      <c r="T55" s="1">
        <f>SUM(OSRRefT22_6x_0)</f>
        <v>0</v>
      </c>
      <c r="U55" s="1"/>
      <c r="V55" s="5">
        <f t="shared" ref="V55:V64" si="41">IF(T$12=0,0,T55/T$12)</f>
        <v>0</v>
      </c>
      <c r="W55" s="1"/>
      <c r="X55" s="1">
        <f t="shared" ref="X55:X64" si="42">+P55-T55</f>
        <v>0</v>
      </c>
      <c r="Y55" s="1"/>
      <c r="Z55" s="5">
        <f t="shared" ref="Z55:Z64" si="43">IF(T55=0,0,X55/T55)</f>
        <v>0</v>
      </c>
    </row>
    <row r="56" spans="1:26" s="24" customFormat="1" hidden="1" outlineLevel="2" x14ac:dyDescent="0.25">
      <c r="A56" s="25"/>
      <c r="B56" s="11" t="str">
        <f>CONCATENATE("          ", "6277", " - ", "EMPLOYEE APPRECIATION")</f>
        <v xml:space="preserve">          6277 - EMPLOYEE APPRECIATION</v>
      </c>
      <c r="C56" s="11"/>
      <c r="D56" s="6"/>
      <c r="E56" s="2"/>
      <c r="F56" s="7">
        <f t="shared" si="36"/>
        <v>0</v>
      </c>
      <c r="G56" s="2"/>
      <c r="H56" s="6">
        <v>0</v>
      </c>
      <c r="I56" s="2"/>
      <c r="J56" s="7">
        <f t="shared" si="37"/>
        <v>0</v>
      </c>
      <c r="K56" s="2"/>
      <c r="L56" s="6">
        <f t="shared" si="38"/>
        <v>0</v>
      </c>
      <c r="M56" s="2"/>
      <c r="N56" s="7">
        <f t="shared" si="39"/>
        <v>0</v>
      </c>
      <c r="O56" s="11"/>
      <c r="P56" s="6"/>
      <c r="Q56" s="2"/>
      <c r="R56" s="7">
        <f t="shared" si="40"/>
        <v>0</v>
      </c>
      <c r="S56" s="2"/>
      <c r="T56" s="6">
        <v>0</v>
      </c>
      <c r="U56" s="2"/>
      <c r="V56" s="7">
        <f t="shared" si="41"/>
        <v>0</v>
      </c>
      <c r="W56" s="2"/>
      <c r="X56" s="6">
        <f t="shared" si="42"/>
        <v>0</v>
      </c>
      <c r="Y56" s="2"/>
      <c r="Z56" s="7">
        <f t="shared" si="43"/>
        <v>0</v>
      </c>
    </row>
    <row r="57" spans="1:26" s="27" customFormat="1" outlineLevel="1" collapsed="1" x14ac:dyDescent="0.25">
      <c r="A57" s="26"/>
      <c r="B57" s="13" t="str">
        <f>CONCATENATE("     ","General                                           ")</f>
        <v xml:space="preserve">     General                                           </v>
      </c>
      <c r="C57" s="13"/>
      <c r="D57" s="1">
        <f>SUM(OSRRefD22_7x_0)</f>
        <v>0</v>
      </c>
      <c r="E57" s="1"/>
      <c r="F57" s="5">
        <f t="shared" si="36"/>
        <v>0</v>
      </c>
      <c r="G57" s="1"/>
      <c r="H57" s="1">
        <f>SUM(OSRRefH22_7x_0)</f>
        <v>333</v>
      </c>
      <c r="I57" s="1"/>
      <c r="J57" s="5">
        <f t="shared" si="37"/>
        <v>2.7563030774579102E-3</v>
      </c>
      <c r="K57" s="1"/>
      <c r="L57" s="1">
        <f t="shared" si="38"/>
        <v>-333</v>
      </c>
      <c r="M57" s="1"/>
      <c r="N57" s="5">
        <f t="shared" si="39"/>
        <v>-1</v>
      </c>
      <c r="O57" s="13"/>
      <c r="P57" s="1">
        <f>SUM(OSRRefP22_7x_0)</f>
        <v>1231.03</v>
      </c>
      <c r="Q57" s="1"/>
      <c r="R57" s="5">
        <f t="shared" si="40"/>
        <v>1.7843191362099801E-3</v>
      </c>
      <c r="S57" s="1"/>
      <c r="T57" s="1">
        <f>SUM(OSRRefT22_7x_0)</f>
        <v>2246</v>
      </c>
      <c r="U57" s="1"/>
      <c r="V57" s="5">
        <f t="shared" si="41"/>
        <v>2.7578043653366338E-3</v>
      </c>
      <c r="W57" s="1"/>
      <c r="X57" s="1">
        <f t="shared" si="42"/>
        <v>-1014.97</v>
      </c>
      <c r="Y57" s="1"/>
      <c r="Z57" s="5">
        <f t="shared" si="43"/>
        <v>-0.45190115761353516</v>
      </c>
    </row>
    <row r="58" spans="1:26" s="24" customFormat="1" hidden="1" outlineLevel="2" x14ac:dyDescent="0.25">
      <c r="A58" s="25"/>
      <c r="B58" s="11" t="str">
        <f>CONCATENATE("          ", "6279", " - ", "GENERAL EXPENSE")</f>
        <v xml:space="preserve">          6279 - GENERAL EXPENSE</v>
      </c>
      <c r="C58" s="11"/>
      <c r="D58" s="6"/>
      <c r="E58" s="2"/>
      <c r="F58" s="7">
        <f t="shared" si="36"/>
        <v>0</v>
      </c>
      <c r="G58" s="2"/>
      <c r="H58" s="6">
        <v>333</v>
      </c>
      <c r="I58" s="2"/>
      <c r="J58" s="7">
        <f t="shared" si="37"/>
        <v>2.7563030774579102E-3</v>
      </c>
      <c r="K58" s="2"/>
      <c r="L58" s="6">
        <f t="shared" si="38"/>
        <v>-333</v>
      </c>
      <c r="M58" s="2"/>
      <c r="N58" s="7">
        <f t="shared" si="39"/>
        <v>-1</v>
      </c>
      <c r="O58" s="11"/>
      <c r="P58" s="6">
        <v>1231.03</v>
      </c>
      <c r="Q58" s="2"/>
      <c r="R58" s="7">
        <f t="shared" si="40"/>
        <v>1.7843191362099801E-3</v>
      </c>
      <c r="S58" s="2"/>
      <c r="T58" s="6">
        <v>2246</v>
      </c>
      <c r="U58" s="2"/>
      <c r="V58" s="7">
        <f t="shared" si="41"/>
        <v>2.7578043653366338E-3</v>
      </c>
      <c r="W58" s="2"/>
      <c r="X58" s="6">
        <f t="shared" si="42"/>
        <v>-1014.97</v>
      </c>
      <c r="Y58" s="2"/>
      <c r="Z58" s="7">
        <f t="shared" si="43"/>
        <v>-0.45190115761353516</v>
      </c>
    </row>
    <row r="59" spans="1:26" s="27" customFormat="1" outlineLevel="1" collapsed="1" x14ac:dyDescent="0.25">
      <c r="A59" s="26"/>
      <c r="B59" s="13" t="str">
        <f>CONCATENATE("     ","Rent                                              ")</f>
        <v xml:space="preserve">     Rent                                              </v>
      </c>
      <c r="C59" s="13"/>
      <c r="D59" s="1">
        <f>SUM(OSRRefD22_8x_0)</f>
        <v>1150</v>
      </c>
      <c r="E59" s="1"/>
      <c r="F59" s="5">
        <f t="shared" si="36"/>
        <v>2.4948075462070896E-2</v>
      </c>
      <c r="G59" s="1"/>
      <c r="H59" s="1">
        <f>SUM(OSRRefH22_8x_0)</f>
        <v>1150</v>
      </c>
      <c r="I59" s="1"/>
      <c r="J59" s="5">
        <f t="shared" si="37"/>
        <v>9.5187643816114012E-3</v>
      </c>
      <c r="K59" s="1"/>
      <c r="L59" s="1">
        <f t="shared" si="38"/>
        <v>0</v>
      </c>
      <c r="M59" s="1"/>
      <c r="N59" s="5">
        <f t="shared" si="39"/>
        <v>0</v>
      </c>
      <c r="O59" s="13"/>
      <c r="P59" s="1">
        <f>SUM(OSRRefP22_8x_0)</f>
        <v>10350</v>
      </c>
      <c r="Q59" s="1"/>
      <c r="R59" s="5">
        <f t="shared" si="40"/>
        <v>1.5001830223287242E-2</v>
      </c>
      <c r="S59" s="1"/>
      <c r="T59" s="1">
        <f>SUM(OSRRefT22_8x_0)</f>
        <v>10350</v>
      </c>
      <c r="U59" s="1"/>
      <c r="V59" s="5">
        <f t="shared" si="41"/>
        <v>1.2708492956916367E-2</v>
      </c>
      <c r="W59" s="1"/>
      <c r="X59" s="1">
        <f t="shared" si="42"/>
        <v>0</v>
      </c>
      <c r="Y59" s="1"/>
      <c r="Z59" s="5">
        <f t="shared" si="43"/>
        <v>0</v>
      </c>
    </row>
    <row r="60" spans="1:26" s="24" customFormat="1" hidden="1" outlineLevel="2" x14ac:dyDescent="0.25">
      <c r="A60" s="25"/>
      <c r="B60" s="11" t="str">
        <f>CONCATENATE("          ", "6273", " - ", "RENT")</f>
        <v xml:space="preserve">          6273 - RENT</v>
      </c>
      <c r="C60" s="11"/>
      <c r="D60" s="6">
        <v>1150</v>
      </c>
      <c r="E60" s="2"/>
      <c r="F60" s="7">
        <f t="shared" si="36"/>
        <v>2.4948075462070896E-2</v>
      </c>
      <c r="G60" s="2"/>
      <c r="H60" s="6">
        <v>1150</v>
      </c>
      <c r="I60" s="2"/>
      <c r="J60" s="7">
        <f t="shared" si="37"/>
        <v>9.5187643816114012E-3</v>
      </c>
      <c r="K60" s="2"/>
      <c r="L60" s="6">
        <f t="shared" si="38"/>
        <v>0</v>
      </c>
      <c r="M60" s="2"/>
      <c r="N60" s="7">
        <f t="shared" si="39"/>
        <v>0</v>
      </c>
      <c r="O60" s="11"/>
      <c r="P60" s="6">
        <v>10350</v>
      </c>
      <c r="Q60" s="2"/>
      <c r="R60" s="7">
        <f t="shared" si="40"/>
        <v>1.5001830223287242E-2</v>
      </c>
      <c r="S60" s="2"/>
      <c r="T60" s="6">
        <v>10350</v>
      </c>
      <c r="U60" s="2"/>
      <c r="V60" s="7">
        <f t="shared" si="41"/>
        <v>1.2708492956916367E-2</v>
      </c>
      <c r="W60" s="2"/>
      <c r="X60" s="6">
        <f t="shared" si="42"/>
        <v>0</v>
      </c>
      <c r="Y60" s="2"/>
      <c r="Z60" s="7">
        <f t="shared" si="43"/>
        <v>0</v>
      </c>
    </row>
    <row r="61" spans="1:26" s="27" customFormat="1" outlineLevel="1" collapsed="1" x14ac:dyDescent="0.25">
      <c r="A61" s="26"/>
      <c r="B61" s="13" t="str">
        <f>CONCATENATE("     ","Repair and Maintenance                            ")</f>
        <v xml:space="preserve">     Repair and Maintenance                            </v>
      </c>
      <c r="C61" s="13"/>
      <c r="D61" s="1">
        <f>SUM(OSRRefD22_9x_0)</f>
        <v>340.4</v>
      </c>
      <c r="E61" s="1"/>
      <c r="F61" s="5">
        <f t="shared" si="36"/>
        <v>7.384630336772985E-3</v>
      </c>
      <c r="G61" s="1"/>
      <c r="H61" s="1">
        <f>SUM(OSRRefH22_9x_0)</f>
        <v>555</v>
      </c>
      <c r="I61" s="1"/>
      <c r="J61" s="5">
        <f t="shared" si="37"/>
        <v>4.5938384624298499E-3</v>
      </c>
      <c r="K61" s="1"/>
      <c r="L61" s="1">
        <f t="shared" si="38"/>
        <v>-214.60000000000002</v>
      </c>
      <c r="M61" s="1"/>
      <c r="N61" s="5">
        <f t="shared" si="39"/>
        <v>-0.38666666666666671</v>
      </c>
      <c r="O61" s="13"/>
      <c r="P61" s="1">
        <f>SUM(OSRRefP22_9x_0)</f>
        <v>6214.04</v>
      </c>
      <c r="Q61" s="1"/>
      <c r="R61" s="5">
        <f t="shared" si="40"/>
        <v>9.0069539208421107E-3</v>
      </c>
      <c r="S61" s="1"/>
      <c r="T61" s="1">
        <f>SUM(OSRRefT22_9x_0)</f>
        <v>3742</v>
      </c>
      <c r="U61" s="1"/>
      <c r="V61" s="5">
        <f t="shared" si="41"/>
        <v>4.5947034439401974E-3</v>
      </c>
      <c r="W61" s="1"/>
      <c r="X61" s="1">
        <f t="shared" si="42"/>
        <v>2472.04</v>
      </c>
      <c r="Y61" s="1"/>
      <c r="Z61" s="5">
        <f t="shared" si="43"/>
        <v>0.66061998931052912</v>
      </c>
    </row>
    <row r="62" spans="1:26" s="24" customFormat="1" hidden="1" outlineLevel="2" x14ac:dyDescent="0.25">
      <c r="A62" s="25"/>
      <c r="B62" s="11" t="str">
        <f>CONCATENATE("          ", "6371", " - ", "COMPUTER SOFTWARE MAINTENANCE")</f>
        <v xml:space="preserve">          6371 - COMPUTER SOFTWARE MAINTENANCE</v>
      </c>
      <c r="C62" s="11"/>
      <c r="D62" s="6"/>
      <c r="E62" s="2"/>
      <c r="F62" s="7">
        <f t="shared" si="36"/>
        <v>0</v>
      </c>
      <c r="G62" s="2"/>
      <c r="H62" s="6"/>
      <c r="I62" s="2"/>
      <c r="J62" s="7">
        <f t="shared" si="37"/>
        <v>0</v>
      </c>
      <c r="K62" s="2"/>
      <c r="L62" s="6">
        <f t="shared" si="38"/>
        <v>0</v>
      </c>
      <c r="M62" s="2"/>
      <c r="N62" s="7">
        <f t="shared" si="39"/>
        <v>0</v>
      </c>
      <c r="O62" s="11"/>
      <c r="P62" s="6"/>
      <c r="Q62" s="2"/>
      <c r="R62" s="7">
        <f t="shared" si="40"/>
        <v>0</v>
      </c>
      <c r="S62" s="2"/>
      <c r="T62" s="6">
        <v>0</v>
      </c>
      <c r="U62" s="2"/>
      <c r="V62" s="7">
        <f t="shared" si="41"/>
        <v>0</v>
      </c>
      <c r="W62" s="2"/>
      <c r="X62" s="6">
        <f t="shared" si="42"/>
        <v>0</v>
      </c>
      <c r="Y62" s="2"/>
      <c r="Z62" s="7">
        <f t="shared" si="43"/>
        <v>0</v>
      </c>
    </row>
    <row r="63" spans="1:26" s="24" customFormat="1" hidden="1" outlineLevel="2" x14ac:dyDescent="0.25">
      <c r="A63" s="25"/>
      <c r="B63" s="11" t="str">
        <f>CONCATENATE("          ", "6373", " - ", "MAINTENANCE CONTRACTS")</f>
        <v xml:space="preserve">          6373 - MAINTENANCE CONTRACTS</v>
      </c>
      <c r="C63" s="11"/>
      <c r="D63" s="6">
        <v>72.349999999999994</v>
      </c>
      <c r="E63" s="2"/>
      <c r="F63" s="7">
        <f t="shared" si="36"/>
        <v>1.5695593562441992E-3</v>
      </c>
      <c r="G63" s="2"/>
      <c r="H63" s="6"/>
      <c r="I63" s="2"/>
      <c r="J63" s="7">
        <f t="shared" si="37"/>
        <v>0</v>
      </c>
      <c r="K63" s="2"/>
      <c r="L63" s="6">
        <f t="shared" si="38"/>
        <v>72.349999999999994</v>
      </c>
      <c r="M63" s="2"/>
      <c r="N63" s="7">
        <f t="shared" si="39"/>
        <v>0</v>
      </c>
      <c r="O63" s="11"/>
      <c r="P63" s="6">
        <v>212.18</v>
      </c>
      <c r="Q63" s="2"/>
      <c r="R63" s="7">
        <f t="shared" si="40"/>
        <v>3.075447668383659E-4</v>
      </c>
      <c r="S63" s="2"/>
      <c r="T63" s="6"/>
      <c r="U63" s="2"/>
      <c r="V63" s="7">
        <f t="shared" si="41"/>
        <v>0</v>
      </c>
      <c r="W63" s="2"/>
      <c r="X63" s="6">
        <f t="shared" si="42"/>
        <v>212.18</v>
      </c>
      <c r="Y63" s="2"/>
      <c r="Z63" s="7">
        <f t="shared" si="43"/>
        <v>0</v>
      </c>
    </row>
    <row r="64" spans="1:26" s="24" customFormat="1" hidden="1" outlineLevel="2" x14ac:dyDescent="0.25">
      <c r="A64" s="25"/>
      <c r="B64" s="11" t="str">
        <f>CONCATENATE("          ", "6375", " - ", "OUTSIDE REPAIRS &amp; MAINTENANCE")</f>
        <v xml:space="preserve">          6375 - OUTSIDE REPAIRS &amp; MAINTENANCE</v>
      </c>
      <c r="C64" s="11"/>
      <c r="D64" s="6">
        <v>268.05</v>
      </c>
      <c r="E64" s="2"/>
      <c r="F64" s="7">
        <f t="shared" si="36"/>
        <v>5.8150709805287861E-3</v>
      </c>
      <c r="G64" s="2"/>
      <c r="H64" s="6">
        <v>555</v>
      </c>
      <c r="I64" s="2"/>
      <c r="J64" s="7">
        <f t="shared" si="37"/>
        <v>4.5938384624298499E-3</v>
      </c>
      <c r="K64" s="2"/>
      <c r="L64" s="6">
        <f t="shared" si="38"/>
        <v>-286.95</v>
      </c>
      <c r="M64" s="2"/>
      <c r="N64" s="7">
        <f t="shared" si="39"/>
        <v>-0.51702702702702696</v>
      </c>
      <c r="O64" s="11"/>
      <c r="P64" s="6">
        <v>6001.86</v>
      </c>
      <c r="Q64" s="2"/>
      <c r="R64" s="7">
        <f t="shared" si="40"/>
        <v>8.6994091540037455E-3</v>
      </c>
      <c r="S64" s="2"/>
      <c r="T64" s="6">
        <v>3742</v>
      </c>
      <c r="U64" s="2"/>
      <c r="V64" s="7">
        <f t="shared" si="41"/>
        <v>4.5947034439401974E-3</v>
      </c>
      <c r="W64" s="2"/>
      <c r="X64" s="6">
        <f t="shared" si="42"/>
        <v>2259.8599999999997</v>
      </c>
      <c r="Y64" s="2"/>
      <c r="Z64" s="7">
        <f t="shared" si="43"/>
        <v>0.60391769107429172</v>
      </c>
    </row>
    <row r="65" spans="1:26" s="27" customFormat="1" outlineLevel="1" collapsed="1" x14ac:dyDescent="0.25">
      <c r="A65" s="26"/>
      <c r="B65" s="13" t="str">
        <f>CONCATENATE("     ","Services                                          ")</f>
        <v xml:space="preserve">     Services                                          </v>
      </c>
      <c r="C65" s="13"/>
      <c r="D65" s="1">
        <f>SUM(OSRRefD22_10x_0)</f>
        <v>158.63</v>
      </c>
      <c r="E65" s="1"/>
      <c r="F65" s="5">
        <f t="shared" ref="F65:F68" si="44">IF(D$12=0,0,D65/D$12)</f>
        <v>3.4413158352593967E-3</v>
      </c>
      <c r="G65" s="1"/>
      <c r="H65" s="1">
        <f>SUM(OSRRefH22_10x_0)</f>
        <v>0</v>
      </c>
      <c r="I65" s="1"/>
      <c r="J65" s="5">
        <f t="shared" ref="J65:J68" si="45">IF(H$12=0,0,H65/H$12)</f>
        <v>0</v>
      </c>
      <c r="K65" s="1"/>
      <c r="L65" s="1">
        <f t="shared" ref="L65:L68" si="46">+D65-H65</f>
        <v>158.63</v>
      </c>
      <c r="M65" s="1"/>
      <c r="N65" s="5">
        <f t="shared" ref="N65:N68" si="47">IF(H65=0,0,L65/H65)</f>
        <v>0</v>
      </c>
      <c r="O65" s="13"/>
      <c r="P65" s="1">
        <f>SUM(OSRRefP22_10x_0)</f>
        <v>4180.5</v>
      </c>
      <c r="Q65" s="1"/>
      <c r="R65" s="5">
        <f t="shared" ref="R65:R68" si="48">IF(P$12=0,0,P65/P$12)</f>
        <v>6.0594349032321079E-3</v>
      </c>
      <c r="S65" s="1"/>
      <c r="T65" s="1">
        <f>SUM(OSRRefT22_10x_0)</f>
        <v>0</v>
      </c>
      <c r="U65" s="1"/>
      <c r="V65" s="5">
        <f t="shared" ref="V65:V68" si="49">IF(T$12=0,0,T65/T$12)</f>
        <v>0</v>
      </c>
      <c r="W65" s="1"/>
      <c r="X65" s="1">
        <f t="shared" ref="X65:X68" si="50">+P65-T65</f>
        <v>4180.5</v>
      </c>
      <c r="Y65" s="1"/>
      <c r="Z65" s="5">
        <f t="shared" ref="Z65:Z68" si="51">IF(T65=0,0,X65/T65)</f>
        <v>0</v>
      </c>
    </row>
    <row r="66" spans="1:26" s="24" customFormat="1" hidden="1" outlineLevel="2" x14ac:dyDescent="0.25">
      <c r="A66" s="25"/>
      <c r="B66" s="11" t="str">
        <f>CONCATENATE("          ", "6282", " - ", "JANITORIAL/EXTERMINATOR EXPENS")</f>
        <v xml:space="preserve">          6282 - JANITORIAL/EXTERMINATOR EXPENS</v>
      </c>
      <c r="C66" s="11"/>
      <c r="D66" s="6"/>
      <c r="E66" s="2"/>
      <c r="F66" s="7">
        <f t="shared" si="44"/>
        <v>0</v>
      </c>
      <c r="G66" s="2"/>
      <c r="H66" s="6"/>
      <c r="I66" s="2"/>
      <c r="J66" s="7">
        <f t="shared" si="45"/>
        <v>0</v>
      </c>
      <c r="K66" s="2"/>
      <c r="L66" s="6">
        <f t="shared" si="46"/>
        <v>0</v>
      </c>
      <c r="M66" s="2"/>
      <c r="N66" s="7">
        <f t="shared" si="47"/>
        <v>0</v>
      </c>
      <c r="O66" s="11"/>
      <c r="P66" s="6">
        <v>1051.29</v>
      </c>
      <c r="Q66" s="2"/>
      <c r="R66" s="7">
        <f t="shared" si="48"/>
        <v>1.5237945985932023E-3</v>
      </c>
      <c r="S66" s="2"/>
      <c r="T66" s="6"/>
      <c r="U66" s="2"/>
      <c r="V66" s="7">
        <f t="shared" si="49"/>
        <v>0</v>
      </c>
      <c r="W66" s="2"/>
      <c r="X66" s="6">
        <f t="shared" si="50"/>
        <v>1051.29</v>
      </c>
      <c r="Y66" s="2"/>
      <c r="Z66" s="7">
        <f t="shared" si="51"/>
        <v>0</v>
      </c>
    </row>
    <row r="67" spans="1:26" s="24" customFormat="1" hidden="1" outlineLevel="2" x14ac:dyDescent="0.25">
      <c r="A67" s="25"/>
      <c r="B67" s="11" t="str">
        <f>CONCATENATE("          ", "6285", " - ", "JANITORIAL SERVICES")</f>
        <v xml:space="preserve">          6285 - JANITORIAL SERVICES</v>
      </c>
      <c r="C67" s="11"/>
      <c r="D67" s="6">
        <v>81.040000000000006</v>
      </c>
      <c r="E67" s="2"/>
      <c r="F67" s="7">
        <f t="shared" si="44"/>
        <v>1.7580800308228048E-3</v>
      </c>
      <c r="G67" s="2"/>
      <c r="H67" s="6"/>
      <c r="I67" s="2"/>
      <c r="J67" s="7">
        <f t="shared" si="45"/>
        <v>0</v>
      </c>
      <c r="K67" s="2"/>
      <c r="L67" s="6">
        <f t="shared" si="46"/>
        <v>81.040000000000006</v>
      </c>
      <c r="M67" s="2"/>
      <c r="N67" s="7">
        <f t="shared" si="47"/>
        <v>0</v>
      </c>
      <c r="O67" s="11"/>
      <c r="P67" s="6">
        <v>597.20000000000005</v>
      </c>
      <c r="Q67" s="2"/>
      <c r="R67" s="7">
        <f t="shared" si="48"/>
        <v>8.6561285114465137E-4</v>
      </c>
      <c r="S67" s="2"/>
      <c r="T67" s="6"/>
      <c r="U67" s="2"/>
      <c r="V67" s="7">
        <f t="shared" si="49"/>
        <v>0</v>
      </c>
      <c r="W67" s="2"/>
      <c r="X67" s="6">
        <f t="shared" si="50"/>
        <v>597.20000000000005</v>
      </c>
      <c r="Y67" s="2"/>
      <c r="Z67" s="7">
        <f t="shared" si="51"/>
        <v>0</v>
      </c>
    </row>
    <row r="68" spans="1:26" s="24" customFormat="1" hidden="1" outlineLevel="2" x14ac:dyDescent="0.25">
      <c r="A68" s="25"/>
      <c r="B68" s="11" t="str">
        <f>CONCATENATE("          ", "6286", " - ", "LAUNDRY EXPENSE")</f>
        <v xml:space="preserve">          6286 - LAUNDRY EXPENSE</v>
      </c>
      <c r="C68" s="11"/>
      <c r="D68" s="6">
        <v>77.59</v>
      </c>
      <c r="E68" s="2"/>
      <c r="F68" s="7">
        <f t="shared" si="44"/>
        <v>1.6832358044365921E-3</v>
      </c>
      <c r="G68" s="2"/>
      <c r="H68" s="6"/>
      <c r="I68" s="2"/>
      <c r="J68" s="7">
        <f t="shared" si="45"/>
        <v>0</v>
      </c>
      <c r="K68" s="2"/>
      <c r="L68" s="6">
        <f t="shared" si="46"/>
        <v>77.59</v>
      </c>
      <c r="M68" s="2"/>
      <c r="N68" s="7">
        <f t="shared" si="47"/>
        <v>0</v>
      </c>
      <c r="O68" s="11"/>
      <c r="P68" s="6">
        <v>2532.0100000000002</v>
      </c>
      <c r="Q68" s="2"/>
      <c r="R68" s="7">
        <f t="shared" si="48"/>
        <v>3.6700274534942545E-3</v>
      </c>
      <c r="S68" s="2"/>
      <c r="T68" s="6"/>
      <c r="U68" s="2"/>
      <c r="V68" s="7">
        <f t="shared" si="49"/>
        <v>0</v>
      </c>
      <c r="W68" s="2"/>
      <c r="X68" s="6">
        <f t="shared" si="50"/>
        <v>2532.0100000000002</v>
      </c>
      <c r="Y68" s="2"/>
      <c r="Z68" s="7">
        <f t="shared" si="51"/>
        <v>0</v>
      </c>
    </row>
    <row r="69" spans="1:26" s="27" customFormat="1" outlineLevel="1" collapsed="1" x14ac:dyDescent="0.25">
      <c r="A69" s="26"/>
      <c r="B69" s="13" t="str">
        <f>CONCATENATE("     ","Supplies                                          ")</f>
        <v xml:space="preserve">     Supplies                                          </v>
      </c>
      <c r="C69" s="13"/>
      <c r="D69" s="1">
        <f>SUM(OSRRefD22_11x_0)</f>
        <v>-246.29</v>
      </c>
      <c r="E69" s="1"/>
      <c r="F69" s="5">
        <f t="shared" ref="F69:F76" si="52">IF(D$12=0,0,D69/D$12)</f>
        <v>-5.3430100048290786E-3</v>
      </c>
      <c r="G69" s="1"/>
      <c r="H69" s="1">
        <f>SUM(OSRRefH22_11x_0)</f>
        <v>2331</v>
      </c>
      <c r="I69" s="1"/>
      <c r="J69" s="5">
        <f t="shared" ref="J69:J76" si="53">IF(H$12=0,0,H69/H$12)</f>
        <v>1.9294121542205372E-2</v>
      </c>
      <c r="K69" s="1"/>
      <c r="L69" s="1">
        <f t="shared" ref="L69:L76" si="54">+D69-H69</f>
        <v>-2577.29</v>
      </c>
      <c r="M69" s="1"/>
      <c r="N69" s="5">
        <f t="shared" ref="N69:N76" si="55">IF(H69=0,0,L69/H69)</f>
        <v>-1.1056585156585157</v>
      </c>
      <c r="O69" s="13"/>
      <c r="P69" s="1">
        <f>SUM(OSRRefP22_11x_0)</f>
        <v>14313.21</v>
      </c>
      <c r="Q69" s="1"/>
      <c r="R69" s="5">
        <f t="shared" ref="R69:R76" si="56">IF(P$12=0,0,P69/P$12)</f>
        <v>2.0746313658962047E-2</v>
      </c>
      <c r="S69" s="1"/>
      <c r="T69" s="1">
        <f>SUM(OSRRefT22_11x_0)</f>
        <v>15714</v>
      </c>
      <c r="U69" s="1"/>
      <c r="V69" s="5">
        <f t="shared" ref="V69:V76" si="57">IF(T$12=0,0,T69/T$12)</f>
        <v>1.9294807567631283E-2</v>
      </c>
      <c r="W69" s="1"/>
      <c r="X69" s="1">
        <f t="shared" ref="X69:X76" si="58">+P69-T69</f>
        <v>-1400.7900000000009</v>
      </c>
      <c r="Y69" s="1"/>
      <c r="Z69" s="5">
        <f t="shared" ref="Z69:Z76" si="59">IF(T69=0,0,X69/T69)</f>
        <v>-8.91428025964109E-2</v>
      </c>
    </row>
    <row r="70" spans="1:26" s="24" customFormat="1" hidden="1" outlineLevel="2" x14ac:dyDescent="0.25">
      <c r="A70" s="25"/>
      <c r="B70" s="11" t="str">
        <f>CONCATENATE("          ", "6234", " - ", "EXPENDABLE SUPPLIES &amp; EQUIPMEN")</f>
        <v xml:space="preserve">          6234 - EXPENDABLE SUPPLIES &amp; EQUIPMEN</v>
      </c>
      <c r="C70" s="11"/>
      <c r="D70" s="6"/>
      <c r="E70" s="2"/>
      <c r="F70" s="7">
        <f t="shared" si="52"/>
        <v>0</v>
      </c>
      <c r="G70" s="2"/>
      <c r="H70" s="6"/>
      <c r="I70" s="2"/>
      <c r="J70" s="7">
        <f t="shared" si="53"/>
        <v>0</v>
      </c>
      <c r="K70" s="2"/>
      <c r="L70" s="6">
        <f t="shared" si="54"/>
        <v>0</v>
      </c>
      <c r="M70" s="2"/>
      <c r="N70" s="7">
        <f t="shared" si="55"/>
        <v>0</v>
      </c>
      <c r="O70" s="11"/>
      <c r="P70" s="6">
        <v>354.71</v>
      </c>
      <c r="Q70" s="2"/>
      <c r="R70" s="7">
        <f t="shared" si="56"/>
        <v>5.1413518826108379E-4</v>
      </c>
      <c r="S70" s="2"/>
      <c r="T70" s="6"/>
      <c r="U70" s="2"/>
      <c r="V70" s="7">
        <f t="shared" si="57"/>
        <v>0</v>
      </c>
      <c r="W70" s="2"/>
      <c r="X70" s="6">
        <f t="shared" si="58"/>
        <v>354.71</v>
      </c>
      <c r="Y70" s="2"/>
      <c r="Z70" s="7">
        <f t="shared" si="59"/>
        <v>0</v>
      </c>
    </row>
    <row r="71" spans="1:26" s="24" customFormat="1" hidden="1" outlineLevel="2" x14ac:dyDescent="0.25">
      <c r="A71" s="25"/>
      <c r="B71" s="11" t="str">
        <f>CONCATENATE("          ", "6237", " - ", "JANITORIAL SUPPLIES")</f>
        <v xml:space="preserve">          6237 - JANITORIAL SUPPLIES</v>
      </c>
      <c r="C71" s="11"/>
      <c r="D71" s="6"/>
      <c r="E71" s="2"/>
      <c r="F71" s="7">
        <f t="shared" si="52"/>
        <v>0</v>
      </c>
      <c r="G71" s="2"/>
      <c r="H71" s="6"/>
      <c r="I71" s="2"/>
      <c r="J71" s="7">
        <f t="shared" si="53"/>
        <v>0</v>
      </c>
      <c r="K71" s="2"/>
      <c r="L71" s="6">
        <f t="shared" si="54"/>
        <v>0</v>
      </c>
      <c r="M71" s="2"/>
      <c r="N71" s="7">
        <f t="shared" si="55"/>
        <v>0</v>
      </c>
      <c r="O71" s="11"/>
      <c r="P71" s="6">
        <v>1709.62</v>
      </c>
      <c r="Q71" s="2"/>
      <c r="R71" s="7">
        <f t="shared" si="56"/>
        <v>2.4780124624479549E-3</v>
      </c>
      <c r="S71" s="2"/>
      <c r="T71" s="6"/>
      <c r="U71" s="2"/>
      <c r="V71" s="7">
        <f t="shared" si="57"/>
        <v>0</v>
      </c>
      <c r="W71" s="2"/>
      <c r="X71" s="6">
        <f t="shared" si="58"/>
        <v>1709.62</v>
      </c>
      <c r="Y71" s="2"/>
      <c r="Z71" s="7">
        <f t="shared" si="59"/>
        <v>0</v>
      </c>
    </row>
    <row r="72" spans="1:26" s="24" customFormat="1" hidden="1" outlineLevel="2" x14ac:dyDescent="0.25">
      <c r="A72" s="25"/>
      <c r="B72" s="11" t="str">
        <f>CONCATENATE("          ", "6239", " - ", "KITCHEN SUPPLIES")</f>
        <v xml:space="preserve">          6239 - KITCHEN SUPPLIES</v>
      </c>
      <c r="C72" s="11"/>
      <c r="D72" s="6"/>
      <c r="E72" s="2"/>
      <c r="F72" s="7">
        <f t="shared" si="52"/>
        <v>0</v>
      </c>
      <c r="G72" s="2"/>
      <c r="H72" s="6"/>
      <c r="I72" s="2"/>
      <c r="J72" s="7">
        <f t="shared" si="53"/>
        <v>0</v>
      </c>
      <c r="K72" s="2"/>
      <c r="L72" s="6">
        <f t="shared" si="54"/>
        <v>0</v>
      </c>
      <c r="M72" s="2"/>
      <c r="N72" s="7">
        <f t="shared" si="55"/>
        <v>0</v>
      </c>
      <c r="O72" s="11"/>
      <c r="P72" s="6">
        <v>441.2</v>
      </c>
      <c r="Q72" s="2"/>
      <c r="R72" s="7">
        <f t="shared" si="56"/>
        <v>6.3949830864872762E-4</v>
      </c>
      <c r="S72" s="2"/>
      <c r="T72" s="6"/>
      <c r="U72" s="2"/>
      <c r="V72" s="7">
        <f t="shared" si="57"/>
        <v>0</v>
      </c>
      <c r="W72" s="2"/>
      <c r="X72" s="6">
        <f t="shared" si="58"/>
        <v>441.2</v>
      </c>
      <c r="Y72" s="2"/>
      <c r="Z72" s="7">
        <f t="shared" si="59"/>
        <v>0</v>
      </c>
    </row>
    <row r="73" spans="1:26" s="24" customFormat="1" hidden="1" outlineLevel="2" x14ac:dyDescent="0.25">
      <c r="A73" s="25"/>
      <c r="B73" s="11" t="str">
        <f>CONCATENATE("          ", "6241", " - ", "OFFICE EXPENSE")</f>
        <v xml:space="preserve">          6241 - OFFICE EXPENSE</v>
      </c>
      <c r="C73" s="11"/>
      <c r="D73" s="6">
        <v>33.74</v>
      </c>
      <c r="E73" s="2"/>
      <c r="F73" s="7">
        <f t="shared" si="52"/>
        <v>7.3195484007849748E-4</v>
      </c>
      <c r="G73" s="2"/>
      <c r="H73" s="6"/>
      <c r="I73" s="2"/>
      <c r="J73" s="7">
        <f t="shared" si="53"/>
        <v>0</v>
      </c>
      <c r="K73" s="2"/>
      <c r="L73" s="6">
        <f t="shared" si="54"/>
        <v>33.74</v>
      </c>
      <c r="M73" s="2"/>
      <c r="N73" s="7">
        <f t="shared" si="55"/>
        <v>0</v>
      </c>
      <c r="O73" s="11"/>
      <c r="P73" s="6">
        <v>1564.62</v>
      </c>
      <c r="Q73" s="2"/>
      <c r="R73" s="7">
        <f t="shared" si="56"/>
        <v>2.2678418941023851E-3</v>
      </c>
      <c r="S73" s="2"/>
      <c r="T73" s="6"/>
      <c r="U73" s="2"/>
      <c r="V73" s="7">
        <f t="shared" si="57"/>
        <v>0</v>
      </c>
      <c r="W73" s="2"/>
      <c r="X73" s="6">
        <f t="shared" si="58"/>
        <v>1564.62</v>
      </c>
      <c r="Y73" s="2"/>
      <c r="Z73" s="7">
        <f t="shared" si="59"/>
        <v>0</v>
      </c>
    </row>
    <row r="74" spans="1:26" s="24" customFormat="1" hidden="1" outlineLevel="2" x14ac:dyDescent="0.25">
      <c r="A74" s="25"/>
      <c r="B74" s="11" t="str">
        <f>CONCATENATE("          ", "6243", " - ", "PAPER SUPPLIES")</f>
        <v xml:space="preserve">          6243 - PAPER SUPPLIES</v>
      </c>
      <c r="C74" s="11"/>
      <c r="D74" s="6"/>
      <c r="E74" s="2"/>
      <c r="F74" s="7">
        <f t="shared" si="52"/>
        <v>0</v>
      </c>
      <c r="G74" s="2"/>
      <c r="H74" s="6"/>
      <c r="I74" s="2"/>
      <c r="J74" s="7">
        <f t="shared" si="53"/>
        <v>0</v>
      </c>
      <c r="K74" s="2"/>
      <c r="L74" s="6">
        <f t="shared" si="54"/>
        <v>0</v>
      </c>
      <c r="M74" s="2"/>
      <c r="N74" s="7">
        <f t="shared" si="55"/>
        <v>0</v>
      </c>
      <c r="O74" s="11"/>
      <c r="P74" s="6">
        <v>2823.28</v>
      </c>
      <c r="Q74" s="2"/>
      <c r="R74" s="7">
        <f t="shared" si="56"/>
        <v>4.0922093944736624E-3</v>
      </c>
      <c r="S74" s="2"/>
      <c r="T74" s="6"/>
      <c r="U74" s="2"/>
      <c r="V74" s="7">
        <f t="shared" si="57"/>
        <v>0</v>
      </c>
      <c r="W74" s="2"/>
      <c r="X74" s="6">
        <f t="shared" si="58"/>
        <v>2823.28</v>
      </c>
      <c r="Y74" s="2"/>
      <c r="Z74" s="7">
        <f t="shared" si="59"/>
        <v>0</v>
      </c>
    </row>
    <row r="75" spans="1:26" s="24" customFormat="1" hidden="1" outlineLevel="2" x14ac:dyDescent="0.25">
      <c r="A75" s="25"/>
      <c r="B75" s="11" t="str">
        <f>CONCATENATE("          ", "6247", " - ", "STORE SUPPLIES")</f>
        <v xml:space="preserve">          6247 - STORE SUPPLIES</v>
      </c>
      <c r="C75" s="11"/>
      <c r="D75" s="6">
        <v>-357.62</v>
      </c>
      <c r="E75" s="2"/>
      <c r="F75" s="7">
        <f t="shared" si="52"/>
        <v>-7.7582006493441685E-3</v>
      </c>
      <c r="G75" s="2"/>
      <c r="H75" s="6">
        <v>2331</v>
      </c>
      <c r="I75" s="2"/>
      <c r="J75" s="7">
        <f t="shared" si="53"/>
        <v>1.9294121542205372E-2</v>
      </c>
      <c r="K75" s="2"/>
      <c r="L75" s="6">
        <f t="shared" si="54"/>
        <v>-2688.62</v>
      </c>
      <c r="M75" s="2"/>
      <c r="N75" s="7">
        <f t="shared" si="55"/>
        <v>-1.1534191334191333</v>
      </c>
      <c r="O75" s="11"/>
      <c r="P75" s="6">
        <v>7342.19</v>
      </c>
      <c r="Q75" s="2"/>
      <c r="R75" s="7">
        <f t="shared" si="56"/>
        <v>1.0642153415180421E-2</v>
      </c>
      <c r="S75" s="2"/>
      <c r="T75" s="6">
        <v>15714</v>
      </c>
      <c r="U75" s="2"/>
      <c r="V75" s="7">
        <f t="shared" si="57"/>
        <v>1.9294807567631283E-2</v>
      </c>
      <c r="W75" s="2"/>
      <c r="X75" s="6">
        <f t="shared" si="58"/>
        <v>-8371.8100000000013</v>
      </c>
      <c r="Y75" s="2"/>
      <c r="Z75" s="7">
        <f t="shared" si="59"/>
        <v>-0.53276123202240044</v>
      </c>
    </row>
    <row r="76" spans="1:26" s="24" customFormat="1" hidden="1" outlineLevel="2" x14ac:dyDescent="0.25">
      <c r="A76" s="25"/>
      <c r="B76" s="11" t="str">
        <f>CONCATENATE("          ", "6248", " - ", "UNIFORMS")</f>
        <v xml:space="preserve">          6248 - UNIFORMS</v>
      </c>
      <c r="C76" s="11"/>
      <c r="D76" s="6">
        <v>77.59</v>
      </c>
      <c r="E76" s="2"/>
      <c r="F76" s="7">
        <f t="shared" si="52"/>
        <v>1.6832358044365921E-3</v>
      </c>
      <c r="G76" s="2"/>
      <c r="H76" s="6"/>
      <c r="I76" s="2"/>
      <c r="J76" s="7">
        <f t="shared" si="53"/>
        <v>0</v>
      </c>
      <c r="K76" s="2"/>
      <c r="L76" s="6">
        <f t="shared" si="54"/>
        <v>77.59</v>
      </c>
      <c r="M76" s="2"/>
      <c r="N76" s="7">
        <f t="shared" si="55"/>
        <v>0</v>
      </c>
      <c r="O76" s="11"/>
      <c r="P76" s="6">
        <v>77.59</v>
      </c>
      <c r="Q76" s="2"/>
      <c r="R76" s="7">
        <f t="shared" si="56"/>
        <v>1.1246299584781229E-4</v>
      </c>
      <c r="S76" s="2"/>
      <c r="T76" s="6"/>
      <c r="U76" s="2"/>
      <c r="V76" s="7">
        <f t="shared" si="57"/>
        <v>0</v>
      </c>
      <c r="W76" s="2"/>
      <c r="X76" s="6">
        <f t="shared" si="58"/>
        <v>77.59</v>
      </c>
      <c r="Y76" s="2"/>
      <c r="Z76" s="7">
        <f t="shared" si="59"/>
        <v>0</v>
      </c>
    </row>
    <row r="77" spans="1:26" s="27" customFormat="1" outlineLevel="1" collapsed="1" x14ac:dyDescent="0.25">
      <c r="A77" s="26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SUM(OSRRefD22_12x_0)</f>
        <v>115.28</v>
      </c>
      <c r="E77" s="1"/>
      <c r="F77" s="5">
        <f t="shared" ref="F77:F80" si="60">IF(D$12=0,0,D77/D$12)</f>
        <v>2.5008818602326372E-3</v>
      </c>
      <c r="G77" s="1"/>
      <c r="H77" s="1">
        <f>SUM(OSRRefH22_12x_0)</f>
        <v>75</v>
      </c>
      <c r="I77" s="1"/>
      <c r="J77" s="5">
        <f t="shared" ref="J77:J80" si="61">IF(H$12=0,0,H77/H$12)</f>
        <v>6.2078898140943922E-4</v>
      </c>
      <c r="K77" s="1"/>
      <c r="L77" s="1">
        <f t="shared" ref="L77:L80" si="62">+D77-H77</f>
        <v>40.28</v>
      </c>
      <c r="M77" s="1"/>
      <c r="N77" s="5">
        <f t="shared" ref="N77:N80" si="63">IF(H77=0,0,L77/H77)</f>
        <v>0.53706666666666669</v>
      </c>
      <c r="O77" s="13"/>
      <c r="P77" s="1">
        <f>SUM(OSRRefP22_12x_0)</f>
        <v>518.28</v>
      </c>
      <c r="Q77" s="1"/>
      <c r="R77" s="5">
        <f t="shared" ref="R77:R80" si="64">IF(P$12=0,0,P77/P$12)</f>
        <v>7.5122208387684174E-4</v>
      </c>
      <c r="S77" s="1"/>
      <c r="T77" s="1">
        <f>SUM(OSRRefT22_12x_0)</f>
        <v>675</v>
      </c>
      <c r="U77" s="1"/>
      <c r="V77" s="5">
        <f t="shared" ref="V77:V80" si="65">IF(T$12=0,0,T77/T$12)</f>
        <v>8.2881475805976306E-4</v>
      </c>
      <c r="W77" s="1"/>
      <c r="X77" s="1">
        <f t="shared" ref="X77:X80" si="66">+P77-T77</f>
        <v>-156.72000000000003</v>
      </c>
      <c r="Y77" s="1"/>
      <c r="Z77" s="5">
        <f t="shared" ref="Z77:Z80" si="67">IF(T77=0,0,X77/T77)</f>
        <v>-0.23217777777777782</v>
      </c>
    </row>
    <row r="78" spans="1:26" s="24" customFormat="1" hidden="1" outlineLevel="2" x14ac:dyDescent="0.25">
      <c r="A78" s="25"/>
      <c r="B78" s="11" t="str">
        <f>CONCATENATE("          ", "6309", " - ", "TELEPHONE")</f>
        <v xml:space="preserve">          6309 - TELEPHONE</v>
      </c>
      <c r="C78" s="11"/>
      <c r="D78" s="6">
        <v>115.28</v>
      </c>
      <c r="E78" s="2"/>
      <c r="F78" s="7">
        <f t="shared" si="60"/>
        <v>2.5008818602326372E-3</v>
      </c>
      <c r="G78" s="2"/>
      <c r="H78" s="6">
        <v>75</v>
      </c>
      <c r="I78" s="2"/>
      <c r="J78" s="7">
        <f t="shared" si="61"/>
        <v>6.2078898140943922E-4</v>
      </c>
      <c r="K78" s="2"/>
      <c r="L78" s="6">
        <f t="shared" si="62"/>
        <v>40.28</v>
      </c>
      <c r="M78" s="2"/>
      <c r="N78" s="7">
        <f t="shared" si="63"/>
        <v>0.53706666666666669</v>
      </c>
      <c r="O78" s="11"/>
      <c r="P78" s="6">
        <v>518.28</v>
      </c>
      <c r="Q78" s="2"/>
      <c r="R78" s="7">
        <f t="shared" si="64"/>
        <v>7.5122208387684174E-4</v>
      </c>
      <c r="S78" s="2"/>
      <c r="T78" s="6">
        <v>675</v>
      </c>
      <c r="U78" s="2"/>
      <c r="V78" s="7">
        <f t="shared" si="65"/>
        <v>8.2881475805976306E-4</v>
      </c>
      <c r="W78" s="2"/>
      <c r="X78" s="6">
        <f t="shared" si="66"/>
        <v>-156.72000000000003</v>
      </c>
      <c r="Y78" s="2"/>
      <c r="Z78" s="7">
        <f t="shared" si="67"/>
        <v>-0.23217777777777782</v>
      </c>
    </row>
    <row r="79" spans="1:26" s="27" customFormat="1" outlineLevel="1" collapsed="1" x14ac:dyDescent="0.25">
      <c r="A79" s="26"/>
      <c r="B79" s="13" t="str">
        <f>CONCATENATE("     ","Utilities                                         ")</f>
        <v xml:space="preserve">     Utilities                                         </v>
      </c>
      <c r="C79" s="13"/>
      <c r="D79" s="1">
        <f>SUM(OSRRefD22_13x_0)</f>
        <v>208</v>
      </c>
      <c r="E79" s="1"/>
      <c r="F79" s="5">
        <f t="shared" si="60"/>
        <v>4.5123475618354314E-3</v>
      </c>
      <c r="G79" s="1"/>
      <c r="H79" s="1">
        <f>SUM(OSRRefH22_13x_0)</f>
        <v>0</v>
      </c>
      <c r="I79" s="1"/>
      <c r="J79" s="5">
        <f t="shared" si="61"/>
        <v>0</v>
      </c>
      <c r="K79" s="1"/>
      <c r="L79" s="1">
        <f t="shared" si="62"/>
        <v>208</v>
      </c>
      <c r="M79" s="1"/>
      <c r="N79" s="5">
        <f t="shared" si="63"/>
        <v>0</v>
      </c>
      <c r="O79" s="13"/>
      <c r="P79" s="1">
        <f>SUM(OSRRefP22_13x_0)</f>
        <v>1809</v>
      </c>
      <c r="Q79" s="1"/>
      <c r="R79" s="5">
        <f t="shared" si="64"/>
        <v>2.6220590216354221E-3</v>
      </c>
      <c r="S79" s="1"/>
      <c r="T79" s="1">
        <f>SUM(OSRRefT22_13x_0)</f>
        <v>0</v>
      </c>
      <c r="U79" s="1"/>
      <c r="V79" s="5">
        <f t="shared" si="65"/>
        <v>0</v>
      </c>
      <c r="W79" s="1"/>
      <c r="X79" s="1">
        <f t="shared" si="66"/>
        <v>1809</v>
      </c>
      <c r="Y79" s="1"/>
      <c r="Z79" s="5">
        <f t="shared" si="67"/>
        <v>0</v>
      </c>
    </row>
    <row r="80" spans="1:26" s="24" customFormat="1" hidden="1" outlineLevel="2" x14ac:dyDescent="0.25">
      <c r="A80" s="25"/>
      <c r="B80" s="11" t="str">
        <f>CONCATENATE("          ", "6274", " - ", "UTILITIES")</f>
        <v xml:space="preserve">          6274 - UTILITIES</v>
      </c>
      <c r="C80" s="11"/>
      <c r="D80" s="6">
        <v>208</v>
      </c>
      <c r="E80" s="2"/>
      <c r="F80" s="7">
        <f t="shared" si="60"/>
        <v>4.5123475618354314E-3</v>
      </c>
      <c r="G80" s="2"/>
      <c r="H80" s="6"/>
      <c r="I80" s="2"/>
      <c r="J80" s="7">
        <f t="shared" si="61"/>
        <v>0</v>
      </c>
      <c r="K80" s="2"/>
      <c r="L80" s="6">
        <f t="shared" si="62"/>
        <v>208</v>
      </c>
      <c r="M80" s="2"/>
      <c r="N80" s="7">
        <f t="shared" si="63"/>
        <v>0</v>
      </c>
      <c r="O80" s="11"/>
      <c r="P80" s="6">
        <v>1809</v>
      </c>
      <c r="Q80" s="2"/>
      <c r="R80" s="7">
        <f t="shared" si="64"/>
        <v>2.6220590216354221E-3</v>
      </c>
      <c r="S80" s="2"/>
      <c r="T80" s="6"/>
      <c r="U80" s="2"/>
      <c r="V80" s="7">
        <f t="shared" si="65"/>
        <v>0</v>
      </c>
      <c r="W80" s="2"/>
      <c r="X80" s="6">
        <f t="shared" si="66"/>
        <v>1809</v>
      </c>
      <c r="Y80" s="2"/>
      <c r="Z80" s="7">
        <f t="shared" si="67"/>
        <v>0</v>
      </c>
    </row>
    <row r="81" spans="1:26" s="56" customFormat="1" x14ac:dyDescent="0.25">
      <c r="A81" s="36"/>
      <c r="B81" s="36"/>
      <c r="C81" s="36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6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25">
      <c r="A82" s="10"/>
      <c r="B82" s="29" t="s">
        <v>0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8" t="s">
        <v>3</v>
      </c>
      <c r="C84" s="28"/>
      <c r="D84" s="20">
        <f>+D22-D24+D82</f>
        <v>-5838.9699999999975</v>
      </c>
      <c r="E84" s="14"/>
      <c r="F84" s="22">
        <f>IF(D$12=0,0,D84/D$12)</f>
        <v>-0.12667049059197222</v>
      </c>
      <c r="G84" s="14"/>
      <c r="H84" s="20">
        <f>+H22-H24+H82</f>
        <v>27923.139051870785</v>
      </c>
      <c r="I84" s="14"/>
      <c r="J84" s="22">
        <f>IF(H$12=0,0,H84/H$12)</f>
        <v>0.23112502733019999</v>
      </c>
      <c r="K84" s="16"/>
      <c r="L84" s="20">
        <f>+D84-H84</f>
        <v>-33762.109051870779</v>
      </c>
      <c r="M84" s="16"/>
      <c r="N84" s="22">
        <f>IF(H84=0,0,L84/H84)</f>
        <v>-1.2091086531909383</v>
      </c>
      <c r="O84" s="29"/>
      <c r="P84" s="20">
        <f>+P22-P24+P82</f>
        <v>84564.679999999935</v>
      </c>
      <c r="Q84" s="14"/>
      <c r="R84" s="22">
        <f>IF(P$12=0,0,P84/P$12)</f>
        <v>0.12257246108662929</v>
      </c>
      <c r="S84" s="14"/>
      <c r="T84" s="20">
        <f>+T22-T24+T82</f>
        <v>163836.45205208001</v>
      </c>
      <c r="U84" s="14"/>
      <c r="V84" s="22">
        <f>IF(T$12=0,0,T84/T$12)</f>
        <v>0.20117047313913283</v>
      </c>
      <c r="W84" s="16"/>
      <c r="X84" s="20">
        <f>+P84-T84</f>
        <v>-79271.772052080079</v>
      </c>
      <c r="Y84" s="16"/>
      <c r="Z84" s="22">
        <f>IF(T84=0,0,X84/T84)</f>
        <v>-0.48384697702609747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52"/>
      <c r="B86" s="10" t="s">
        <v>14</v>
      </c>
      <c r="C86" s="10"/>
      <c r="D86" s="4">
        <v>8308.15</v>
      </c>
      <c r="E86" s="4"/>
      <c r="F86" s="12">
        <f>IF(D$12=0,0,D86/D$12)</f>
        <v>0.1802368288262646</v>
      </c>
      <c r="G86" s="4"/>
      <c r="H86" s="4">
        <v>11791</v>
      </c>
      <c r="I86" s="4"/>
      <c r="J86" s="12">
        <f>IF(H$12=0,0,H86/H$12)</f>
        <v>9.7596305063982633E-2</v>
      </c>
      <c r="K86" s="4"/>
      <c r="L86" s="4">
        <f>+D86-H86</f>
        <v>-3482.8500000000004</v>
      </c>
      <c r="M86" s="4"/>
      <c r="N86" s="12">
        <f>IF(H86=0,0,L86/H86)</f>
        <v>-0.29538207107115599</v>
      </c>
      <c r="O86" s="10"/>
      <c r="P86" s="4">
        <v>73926.150000000009</v>
      </c>
      <c r="Q86" s="4"/>
      <c r="R86" s="12">
        <f>IF(P$12=0,0,P86/P$12)</f>
        <v>0.10715242042137839</v>
      </c>
      <c r="S86" s="4"/>
      <c r="T86" s="4">
        <v>95196</v>
      </c>
      <c r="U86" s="4"/>
      <c r="V86" s="12">
        <f>IF(T$12=0,0,T86/T$12)</f>
        <v>0.11688866623445512</v>
      </c>
      <c r="W86" s="4"/>
      <c r="X86" s="4">
        <f>+P86-T86</f>
        <v>-21269.849999999991</v>
      </c>
      <c r="Y86" s="4"/>
      <c r="Z86" s="12">
        <f>IF(T86=0,0,X86/T86)</f>
        <v>-0.22343218202445472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8" t="s">
        <v>4</v>
      </c>
      <c r="C88" s="28"/>
      <c r="D88" s="31">
        <f>+D84-D86</f>
        <v>-14147.119999999997</v>
      </c>
      <c r="E88" s="14"/>
      <c r="F88" s="34">
        <f>IF(D$12=0,0,D88/D$12)</f>
        <v>-0.30690731941823679</v>
      </c>
      <c r="G88" s="14"/>
      <c r="H88" s="31">
        <f>+H84-H86</f>
        <v>16132.139051870785</v>
      </c>
      <c r="I88" s="14"/>
      <c r="J88" s="34">
        <f>IF(H$12=0,0,H88/H$12)</f>
        <v>0.13352872226621734</v>
      </c>
      <c r="K88" s="16"/>
      <c r="L88" s="31">
        <f>D88-H88</f>
        <v>-30279.25905187078</v>
      </c>
      <c r="M88" s="16"/>
      <c r="N88" s="34">
        <f>IF(H88=0,0,L88/H88)</f>
        <v>-1.8769525203391677</v>
      </c>
      <c r="O88" s="29"/>
      <c r="P88" s="31">
        <f>+P84-P86</f>
        <v>10638.529999999926</v>
      </c>
      <c r="Q88" s="14"/>
      <c r="R88" s="34">
        <f>IF(P$12=0,0,P88/P$12)</f>
        <v>1.5420040665250909E-2</v>
      </c>
      <c r="S88" s="14"/>
      <c r="T88" s="31">
        <f>+T84-T86</f>
        <v>68640.452052080014</v>
      </c>
      <c r="U88" s="14"/>
      <c r="V88" s="34">
        <f>IF(T$12=0,0,T88/T$12)</f>
        <v>8.4281806904677722E-2</v>
      </c>
      <c r="W88" s="16"/>
      <c r="X88" s="31">
        <f>P88-T88</f>
        <v>-58001.922052080088</v>
      </c>
      <c r="Y88" s="16"/>
      <c r="Z88" s="34">
        <f>IF(T88=0,0,X88/T88)</f>
        <v>-0.84501078180650546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8" t="s">
        <v>5</v>
      </c>
      <c r="C91" s="28"/>
      <c r="D91" s="32">
        <f>SUM(D88:D90)</f>
        <v>-14147.119999999997</v>
      </c>
      <c r="E91" s="14"/>
      <c r="F91" s="35">
        <f>IF(D$12=0,0,D91/D$12)</f>
        <v>-0.30690731941823679</v>
      </c>
      <c r="G91" s="14"/>
      <c r="H91" s="32">
        <f>SUM(H88:H90)</f>
        <v>16132.139051870785</v>
      </c>
      <c r="I91" s="14"/>
      <c r="J91" s="35">
        <f>IF(H$12=0,0,H91/H$12)</f>
        <v>0.13352872226621734</v>
      </c>
      <c r="K91" s="16"/>
      <c r="L91" s="32">
        <f>+D91-H91</f>
        <v>-30279.25905187078</v>
      </c>
      <c r="M91" s="16"/>
      <c r="N91" s="35">
        <f>IF(H91=0,0,L91/H91)</f>
        <v>-1.8769525203391677</v>
      </c>
      <c r="O91" s="29"/>
      <c r="P91" s="32">
        <f>SUM(P88:P90)</f>
        <v>10638.529999999926</v>
      </c>
      <c r="Q91" s="14"/>
      <c r="R91" s="35">
        <f>IF(P$12=0,0,P91/P$12)</f>
        <v>1.5420040665250909E-2</v>
      </c>
      <c r="S91" s="14"/>
      <c r="T91" s="32">
        <f>SUM(T88:T90)</f>
        <v>68640.452052080014</v>
      </c>
      <c r="U91" s="14"/>
      <c r="V91" s="35">
        <f>IF(T$12=0,0,T91/T$12)</f>
        <v>8.4281806904677722E-2</v>
      </c>
      <c r="W91" s="16"/>
      <c r="X91" s="32">
        <f>+P91-T91</f>
        <v>-58001.922052080088</v>
      </c>
      <c r="Y91" s="16"/>
      <c r="Z91" s="35">
        <f>IF(T91=0,0,X91/T91)</f>
        <v>-0.84501078180650546</v>
      </c>
    </row>
    <row r="92" spans="1:26" ht="15.75" thickTop="1" x14ac:dyDescent="0.25">
      <c r="A92" s="9"/>
      <c r="C92" s="9"/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A93" s="9"/>
      <c r="B93" s="57">
        <v>43934.466567557873</v>
      </c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A94" s="9"/>
      <c r="B94" s="62" t="s">
        <v>314</v>
      </c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A95" s="9"/>
      <c r="B95" s="60"/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","325", " - ", "Outpost C-Store")</f>
        <v>Department 325 - Outpost C-Store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43583.68</v>
      </c>
      <c r="E12" s="4"/>
      <c r="F12" s="12"/>
      <c r="G12" s="4"/>
      <c r="H12" s="4">
        <f>SUM(OSRRefH13x_0)</f>
        <v>92104</v>
      </c>
      <c r="I12" s="4"/>
      <c r="J12" s="12"/>
      <c r="K12" s="4"/>
      <c r="L12" s="4">
        <f t="shared" ref="L12:L15" si="0">+D12-H12</f>
        <v>-48520.32</v>
      </c>
      <c r="M12" s="4"/>
      <c r="N12" s="12">
        <f t="shared" ref="N12:N15" si="1">IF(H12=0,0,L12/H12)</f>
        <v>-0.52679927038999397</v>
      </c>
      <c r="O12" s="10"/>
      <c r="P12" s="4">
        <f>SUM(OSRRefP13x_0)</f>
        <v>596954.75</v>
      </c>
      <c r="Q12" s="4"/>
      <c r="R12" s="12"/>
      <c r="S12" s="4"/>
      <c r="T12" s="4">
        <f>SUM(OSRRefT13x_0)</f>
        <v>607976.19999999995</v>
      </c>
      <c r="U12" s="4"/>
      <c r="V12" s="12"/>
      <c r="W12" s="4"/>
      <c r="X12" s="4">
        <f t="shared" ref="X12:X15" si="2">+P12-T12</f>
        <v>-11021.449999999953</v>
      </c>
      <c r="Y12" s="4"/>
      <c r="Z12" s="12">
        <f t="shared" ref="Z12:Z15" si="3">IF(T12=0,0,X12/T12)</f>
        <v>-1.8128094487909155E-2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92104</v>
      </c>
      <c r="I13" s="2"/>
      <c r="J13" s="19"/>
      <c r="K13" s="2"/>
      <c r="L13" s="2">
        <f t="shared" si="0"/>
        <v>-92104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607976.19999999995</v>
      </c>
      <c r="U13" s="2"/>
      <c r="V13" s="19"/>
      <c r="W13" s="2"/>
      <c r="X13" s="2">
        <f t="shared" si="2"/>
        <v>-607976.19999999995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>--7482.33</f>
        <v>7482.33</v>
      </c>
      <c r="E14" s="2"/>
      <c r="F14" s="19"/>
      <c r="G14" s="2"/>
      <c r="H14" s="2"/>
      <c r="I14" s="2"/>
      <c r="J14" s="19"/>
      <c r="K14" s="2"/>
      <c r="L14" s="2">
        <f t="shared" si="0"/>
        <v>7482.33</v>
      </c>
      <c r="M14" s="2"/>
      <c r="N14" s="19">
        <f t="shared" si="1"/>
        <v>0</v>
      </c>
      <c r="O14" s="11"/>
      <c r="P14" s="2">
        <f>--105564.32</f>
        <v>105564.32</v>
      </c>
      <c r="Q14" s="2"/>
      <c r="R14" s="19"/>
      <c r="S14" s="2"/>
      <c r="T14" s="2"/>
      <c r="U14" s="2"/>
      <c r="V14" s="19"/>
      <c r="W14" s="2"/>
      <c r="X14" s="2">
        <f t="shared" si="2"/>
        <v>105564.32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>--36101.35</f>
        <v>36101.35</v>
      </c>
      <c r="E15" s="2"/>
      <c r="F15" s="19"/>
      <c r="G15" s="2"/>
      <c r="H15" s="2"/>
      <c r="I15" s="2"/>
      <c r="J15" s="19"/>
      <c r="K15" s="2"/>
      <c r="L15" s="2">
        <f t="shared" si="0"/>
        <v>36101.35</v>
      </c>
      <c r="M15" s="2"/>
      <c r="N15" s="19">
        <f t="shared" si="1"/>
        <v>0</v>
      </c>
      <c r="O15" s="11"/>
      <c r="P15" s="2">
        <f>--491390.43</f>
        <v>491390.43</v>
      </c>
      <c r="Q15" s="2"/>
      <c r="R15" s="19"/>
      <c r="S15" s="2"/>
      <c r="T15" s="2"/>
      <c r="U15" s="2"/>
      <c r="V15" s="19"/>
      <c r="W15" s="2"/>
      <c r="X15" s="2">
        <f t="shared" si="2"/>
        <v>491390.43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20876.89</v>
      </c>
      <c r="E17" s="4"/>
      <c r="F17" s="12">
        <f t="shared" ref="F17:F20" si="4">IF(D$12=0,0,D17/D$12)</f>
        <v>0.47900705034545038</v>
      </c>
      <c r="G17" s="4"/>
      <c r="H17" s="4">
        <f>SUM(OSRRefH16x_0)</f>
        <v>44150</v>
      </c>
      <c r="I17" s="4"/>
      <c r="J17" s="12">
        <f t="shared" ref="J17:J20" si="5">IF(H$12=0,0,H17/H$12)</f>
        <v>0.47934943107791195</v>
      </c>
      <c r="K17" s="4"/>
      <c r="L17" s="4">
        <f t="shared" ref="L17:L20" si="6">+D17-H17</f>
        <v>-23273.11</v>
      </c>
      <c r="M17" s="4"/>
      <c r="N17" s="12">
        <f t="shared" ref="N17:N20" si="7">IF(H17=0,0,L17/H17)</f>
        <v>-0.52713725934314837</v>
      </c>
      <c r="O17" s="10"/>
      <c r="P17" s="4">
        <f>SUM(OSRRefP16x_0)</f>
        <v>276760.68999999994</v>
      </c>
      <c r="Q17" s="4"/>
      <c r="R17" s="12">
        <f t="shared" ref="R17:R20" si="8">IF(P$12=0,0,P17/P$12)</f>
        <v>0.46362088583766181</v>
      </c>
      <c r="S17" s="4"/>
      <c r="T17" s="4">
        <f>SUM(OSRRefT16x_0)</f>
        <v>291770</v>
      </c>
      <c r="U17" s="4"/>
      <c r="V17" s="12">
        <f t="shared" ref="V17:V20" si="9">IF(T$12=0,0,T17/T$12)</f>
        <v>0.47990365412330288</v>
      </c>
      <c r="W17" s="4"/>
      <c r="X17" s="4">
        <f t="shared" ref="X17:X20" si="10">+P17-T17</f>
        <v>-15009.310000000056</v>
      </c>
      <c r="Y17" s="4"/>
      <c r="Z17" s="12">
        <f t="shared" ref="Z17:Z20" si="11">IF(T17=0,0,X17/T17)</f>
        <v>-5.144226616855762E-2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44150</v>
      </c>
      <c r="I18" s="2"/>
      <c r="J18" s="19">
        <f t="shared" si="5"/>
        <v>0.47934943107791195</v>
      </c>
      <c r="K18" s="2"/>
      <c r="L18" s="2">
        <f t="shared" si="6"/>
        <v>-44150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291770</v>
      </c>
      <c r="U18" s="2"/>
      <c r="V18" s="19">
        <f t="shared" si="9"/>
        <v>0.47990365412330288</v>
      </c>
      <c r="W18" s="2"/>
      <c r="X18" s="2">
        <f t="shared" si="10"/>
        <v>-291770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20862.34</v>
      </c>
      <c r="E19" s="2"/>
      <c r="F19" s="19">
        <f t="shared" si="4"/>
        <v>0.4786732097886181</v>
      </c>
      <c r="G19" s="2"/>
      <c r="H19" s="2"/>
      <c r="I19" s="2"/>
      <c r="J19" s="19">
        <f t="shared" si="5"/>
        <v>0</v>
      </c>
      <c r="K19" s="2"/>
      <c r="L19" s="2">
        <f t="shared" si="6"/>
        <v>20862.34</v>
      </c>
      <c r="M19" s="2"/>
      <c r="N19" s="19">
        <f t="shared" si="7"/>
        <v>0</v>
      </c>
      <c r="O19" s="11"/>
      <c r="P19" s="2">
        <v>282727.39999999997</v>
      </c>
      <c r="Q19" s="2"/>
      <c r="R19" s="19">
        <f t="shared" si="8"/>
        <v>0.47361613254605978</v>
      </c>
      <c r="S19" s="2"/>
      <c r="T19" s="2"/>
      <c r="U19" s="2"/>
      <c r="V19" s="19">
        <f t="shared" si="9"/>
        <v>0</v>
      </c>
      <c r="W19" s="2"/>
      <c r="X19" s="2">
        <f t="shared" si="10"/>
        <v>282727.39999999997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14.55</v>
      </c>
      <c r="E20" s="2"/>
      <c r="F20" s="19">
        <f t="shared" si="4"/>
        <v>3.3384055683228218E-4</v>
      </c>
      <c r="G20" s="2"/>
      <c r="H20" s="2"/>
      <c r="I20" s="2"/>
      <c r="J20" s="19">
        <f t="shared" si="5"/>
        <v>0</v>
      </c>
      <c r="K20" s="2"/>
      <c r="L20" s="2">
        <f t="shared" si="6"/>
        <v>14.55</v>
      </c>
      <c r="M20" s="2"/>
      <c r="N20" s="19">
        <f t="shared" si="7"/>
        <v>0</v>
      </c>
      <c r="O20" s="11"/>
      <c r="P20" s="2">
        <v>-5966.71</v>
      </c>
      <c r="Q20" s="2"/>
      <c r="R20" s="19">
        <f t="shared" si="8"/>
        <v>-9.9952467083979143E-3</v>
      </c>
      <c r="S20" s="2"/>
      <c r="T20" s="2"/>
      <c r="U20" s="2"/>
      <c r="V20" s="19">
        <f t="shared" si="9"/>
        <v>0</v>
      </c>
      <c r="W20" s="2"/>
      <c r="X20" s="2">
        <f t="shared" si="10"/>
        <v>-5966.71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0">
        <f>D12-D17</f>
        <v>22706.79</v>
      </c>
      <c r="E22" s="14"/>
      <c r="F22" s="22">
        <f>IF(D$12=0,0,D22/D$12)</f>
        <v>0.52099294965454956</v>
      </c>
      <c r="G22" s="14"/>
      <c r="H22" s="20">
        <f>H12-H17</f>
        <v>47954</v>
      </c>
      <c r="I22" s="14"/>
      <c r="J22" s="22">
        <f>IF(H$12=0,0,H22/H$12)</f>
        <v>0.52065056892208805</v>
      </c>
      <c r="K22" s="16"/>
      <c r="L22" s="20">
        <f>+D22-H22</f>
        <v>-25247.21</v>
      </c>
      <c r="M22" s="16"/>
      <c r="N22" s="22">
        <f>IF(H22=0,0,L22/H22)</f>
        <v>-0.52648809275555741</v>
      </c>
      <c r="O22" s="29"/>
      <c r="P22" s="20">
        <f>P12-P17</f>
        <v>320194.06000000006</v>
      </c>
      <c r="Q22" s="14"/>
      <c r="R22" s="22">
        <f>IF(P$12=0,0,P22/P$12)</f>
        <v>0.53637911416233819</v>
      </c>
      <c r="S22" s="14"/>
      <c r="T22" s="20">
        <f>T12-T17</f>
        <v>316206.19999999995</v>
      </c>
      <c r="U22" s="14"/>
      <c r="V22" s="22">
        <f>IF(T$12=0,0,T22/T$12)</f>
        <v>0.52009634587669706</v>
      </c>
      <c r="W22" s="16"/>
      <c r="X22" s="20">
        <f>+P22-T22</f>
        <v>3987.8600000001024</v>
      </c>
      <c r="Y22" s="16"/>
      <c r="Z22" s="22">
        <f>IF(T22=0,0,X22/T22)</f>
        <v>1.2611580671094061E-2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1">
        <f>SUM(OSRRefD22x_0)</f>
        <v>32833.819999999992</v>
      </c>
      <c r="E24" s="21"/>
      <c r="F24" s="30">
        <f t="shared" ref="F24:F34" si="12">IF(D$12=0,0,D24/D$12)</f>
        <v>0.75335125441449624</v>
      </c>
      <c r="G24" s="21"/>
      <c r="H24" s="21">
        <f>SUM(OSRRefH22x_0)</f>
        <v>33022.832332799997</v>
      </c>
      <c r="I24" s="21"/>
      <c r="J24" s="30">
        <f t="shared" ref="J24:J34" si="13">IF(H$12=0,0,H24/H$12)</f>
        <v>0.35853852528446101</v>
      </c>
      <c r="K24" s="4"/>
      <c r="L24" s="21">
        <f t="shared" ref="L24:L34" si="14">+D24-H24</f>
        <v>-189.01233280000451</v>
      </c>
      <c r="M24" s="4"/>
      <c r="N24" s="30">
        <f t="shared" ref="N24:N34" si="15">IF(H24=0,0,L24/H24)</f>
        <v>-5.7236862936274431E-3</v>
      </c>
      <c r="O24" s="10"/>
      <c r="P24" s="21">
        <f>SUM(OSRRefP22x_0)</f>
        <v>278773.78999999998</v>
      </c>
      <c r="Q24" s="21"/>
      <c r="R24" s="30">
        <f t="shared" ref="R24:R34" si="16">IF(P$12=0,0,P24/P$12)</f>
        <v>0.46699316824265152</v>
      </c>
      <c r="S24" s="21"/>
      <c r="T24" s="21">
        <f>SUM(OSRRefT22x_0)</f>
        <v>272645.93440435</v>
      </c>
      <c r="U24" s="21"/>
      <c r="V24" s="30">
        <f t="shared" ref="V24:V34" si="17">IF(T$12=0,0,T24/T$12)</f>
        <v>0.44844836755838474</v>
      </c>
      <c r="W24" s="4"/>
      <c r="X24" s="21">
        <f t="shared" ref="X24:X34" si="18">+P24-T24</f>
        <v>6127.8555956499767</v>
      </c>
      <c r="Y24" s="4"/>
      <c r="Z24" s="30">
        <f t="shared" ref="Z24:Z34" si="19">IF(T24=0,0,X24/T24)</f>
        <v>2.247550695754005E-2</v>
      </c>
    </row>
    <row r="25" spans="1:26" s="27" customFormat="1" outlineLevel="1" collapsed="1" x14ac:dyDescent="0.25">
      <c r="A25" s="26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3946.3300000000004</v>
      </c>
      <c r="E25" s="1"/>
      <c r="F25" s="5">
        <f t="shared" si="12"/>
        <v>9.0546048429136786E-2</v>
      </c>
      <c r="G25" s="1"/>
      <c r="H25" s="1">
        <f>SUM(OSRRefH22_0x_0)</f>
        <v>3617.0617727999997</v>
      </c>
      <c r="I25" s="1"/>
      <c r="J25" s="5">
        <f t="shared" si="13"/>
        <v>3.9271494970902453E-2</v>
      </c>
      <c r="K25" s="1"/>
      <c r="L25" s="1">
        <f t="shared" si="14"/>
        <v>329.26822720000064</v>
      </c>
      <c r="M25" s="1"/>
      <c r="N25" s="5">
        <f t="shared" si="15"/>
        <v>9.103196126648154E-2</v>
      </c>
      <c r="O25" s="13"/>
      <c r="P25" s="1">
        <f>SUM(OSRRefP22_0x_0)</f>
        <v>34482.619999999995</v>
      </c>
      <c r="Q25" s="1"/>
      <c r="R25" s="5">
        <f t="shared" si="16"/>
        <v>5.7764210771419432E-2</v>
      </c>
      <c r="S25" s="1"/>
      <c r="T25" s="1">
        <f>SUM(OSRRefT22_0x_0)</f>
        <v>32477.339334349999</v>
      </c>
      <c r="U25" s="1"/>
      <c r="V25" s="5">
        <f t="shared" si="17"/>
        <v>5.3418767600360018E-2</v>
      </c>
      <c r="W25" s="1"/>
      <c r="X25" s="1">
        <f t="shared" si="18"/>
        <v>2005.2806656499961</v>
      </c>
      <c r="Y25" s="1"/>
      <c r="Z25" s="5">
        <f t="shared" si="19"/>
        <v>6.1743994635948825E-2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6">
        <v>624.87</v>
      </c>
      <c r="E26" s="2"/>
      <c r="F26" s="7">
        <f t="shared" si="12"/>
        <v>1.4337247336617743E-2</v>
      </c>
      <c r="G26" s="2"/>
      <c r="H26" s="6">
        <v>302.69145600000002</v>
      </c>
      <c r="I26" s="2"/>
      <c r="J26" s="7">
        <f t="shared" si="13"/>
        <v>3.2864094501867456E-3</v>
      </c>
      <c r="K26" s="2"/>
      <c r="L26" s="6">
        <f t="shared" si="14"/>
        <v>322.17854399999999</v>
      </c>
      <c r="M26" s="2"/>
      <c r="N26" s="7">
        <f t="shared" si="15"/>
        <v>1.0643793791127028</v>
      </c>
      <c r="O26" s="11"/>
      <c r="P26" s="6">
        <v>5239.8</v>
      </c>
      <c r="Q26" s="2"/>
      <c r="R26" s="7">
        <f t="shared" si="16"/>
        <v>8.7775497221523075E-3</v>
      </c>
      <c r="S26" s="2"/>
      <c r="T26" s="6">
        <v>3217.1356147500001</v>
      </c>
      <c r="U26" s="2"/>
      <c r="V26" s="7">
        <f t="shared" si="17"/>
        <v>5.2915486079060338E-3</v>
      </c>
      <c r="W26" s="2"/>
      <c r="X26" s="6">
        <f t="shared" si="18"/>
        <v>2022.6643852500001</v>
      </c>
      <c r="Y26" s="2"/>
      <c r="Z26" s="7">
        <f t="shared" si="19"/>
        <v>0.62871592231811435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6">
        <v>344.64</v>
      </c>
      <c r="E27" s="2"/>
      <c r="F27" s="7">
        <f t="shared" si="12"/>
        <v>7.9075470451324889E-3</v>
      </c>
      <c r="G27" s="2"/>
      <c r="H27" s="6">
        <v>265.24851200000001</v>
      </c>
      <c r="I27" s="2"/>
      <c r="J27" s="7">
        <f t="shared" si="13"/>
        <v>2.8798804829323374E-3</v>
      </c>
      <c r="K27" s="2"/>
      <c r="L27" s="6">
        <f t="shared" si="14"/>
        <v>79.391487999999981</v>
      </c>
      <c r="M27" s="2"/>
      <c r="N27" s="7">
        <f t="shared" si="15"/>
        <v>0.29930983364008457</v>
      </c>
      <c r="O27" s="11"/>
      <c r="P27" s="6">
        <v>1874.25</v>
      </c>
      <c r="Q27" s="2"/>
      <c r="R27" s="7">
        <f t="shared" si="16"/>
        <v>3.1396852106462007E-3</v>
      </c>
      <c r="S27" s="2"/>
      <c r="T27" s="6">
        <v>1961.2508889999999</v>
      </c>
      <c r="U27" s="2"/>
      <c r="V27" s="7">
        <f t="shared" si="17"/>
        <v>3.2258678694988391E-3</v>
      </c>
      <c r="W27" s="2"/>
      <c r="X27" s="6">
        <f t="shared" si="18"/>
        <v>-87.000888999999916</v>
      </c>
      <c r="Y27" s="2"/>
      <c r="Z27" s="7">
        <f t="shared" si="19"/>
        <v>-4.4359897801937935E-2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6">
        <v>1915.63</v>
      </c>
      <c r="E28" s="2"/>
      <c r="F28" s="7">
        <f t="shared" si="12"/>
        <v>4.3952919992070426E-2</v>
      </c>
      <c r="G28" s="2"/>
      <c r="H28" s="6">
        <v>1977</v>
      </c>
      <c r="I28" s="2"/>
      <c r="J28" s="7">
        <f t="shared" si="13"/>
        <v>2.146486580387388E-2</v>
      </c>
      <c r="K28" s="2"/>
      <c r="L28" s="6">
        <f t="shared" si="14"/>
        <v>-61.369999999999891</v>
      </c>
      <c r="M28" s="2"/>
      <c r="N28" s="7">
        <f t="shared" si="15"/>
        <v>-3.1041982802225539E-2</v>
      </c>
      <c r="O28" s="11"/>
      <c r="P28" s="6">
        <v>17109.46</v>
      </c>
      <c r="Q28" s="2"/>
      <c r="R28" s="7">
        <f t="shared" si="16"/>
        <v>2.8661234373292113E-2</v>
      </c>
      <c r="S28" s="2"/>
      <c r="T28" s="6">
        <v>17793</v>
      </c>
      <c r="U28" s="2"/>
      <c r="V28" s="7">
        <f t="shared" si="17"/>
        <v>2.9265948239421215E-2</v>
      </c>
      <c r="W28" s="2"/>
      <c r="X28" s="6">
        <f t="shared" si="18"/>
        <v>-683.54000000000087</v>
      </c>
      <c r="Y28" s="2"/>
      <c r="Z28" s="7">
        <f t="shared" si="19"/>
        <v>-3.8416231102118857E-2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6">
        <v>47.16</v>
      </c>
      <c r="E29" s="2"/>
      <c r="F29" s="7">
        <f t="shared" si="12"/>
        <v>1.0820564027636031E-3</v>
      </c>
      <c r="G29" s="2"/>
      <c r="H29" s="6">
        <v>36.297164799999997</v>
      </c>
      <c r="I29" s="2"/>
      <c r="J29" s="7">
        <f t="shared" si="13"/>
        <v>3.9408890819074089E-4</v>
      </c>
      <c r="K29" s="2"/>
      <c r="L29" s="6">
        <f t="shared" si="14"/>
        <v>10.862835199999999</v>
      </c>
      <c r="M29" s="2"/>
      <c r="N29" s="7">
        <f t="shared" si="15"/>
        <v>0.29927503318385901</v>
      </c>
      <c r="O29" s="11"/>
      <c r="P29" s="6">
        <v>292.74</v>
      </c>
      <c r="Q29" s="2"/>
      <c r="R29" s="7">
        <f t="shared" si="16"/>
        <v>4.9038892813902562E-4</v>
      </c>
      <c r="S29" s="2"/>
      <c r="T29" s="6">
        <v>268.38170059999999</v>
      </c>
      <c r="U29" s="2"/>
      <c r="V29" s="7">
        <f t="shared" si="17"/>
        <v>4.4143455056299904E-4</v>
      </c>
      <c r="W29" s="2"/>
      <c r="X29" s="6">
        <f t="shared" si="18"/>
        <v>24.358299400000021</v>
      </c>
      <c r="Y29" s="2"/>
      <c r="Z29" s="7">
        <f t="shared" si="19"/>
        <v>9.0759911519839379E-2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6">
        <v>425.19</v>
      </c>
      <c r="E30" s="2"/>
      <c r="F30" s="7">
        <f t="shared" si="12"/>
        <v>9.755715900997804E-3</v>
      </c>
      <c r="G30" s="2"/>
      <c r="H30" s="6">
        <v>340.1472</v>
      </c>
      <c r="I30" s="2"/>
      <c r="J30" s="7">
        <f t="shared" si="13"/>
        <v>3.6930773907756448E-3</v>
      </c>
      <c r="K30" s="2"/>
      <c r="L30" s="6">
        <f t="shared" si="14"/>
        <v>85.0428</v>
      </c>
      <c r="M30" s="2"/>
      <c r="N30" s="7">
        <f t="shared" si="15"/>
        <v>0.2500176394219914</v>
      </c>
      <c r="O30" s="11"/>
      <c r="P30" s="6">
        <v>4107.38</v>
      </c>
      <c r="Q30" s="2"/>
      <c r="R30" s="7">
        <f t="shared" si="16"/>
        <v>6.8805550169422393E-3</v>
      </c>
      <c r="S30" s="2"/>
      <c r="T30" s="6">
        <v>3316.4351999999999</v>
      </c>
      <c r="U30" s="2"/>
      <c r="V30" s="7">
        <f t="shared" si="17"/>
        <v>5.4548766876071795E-3</v>
      </c>
      <c r="W30" s="2"/>
      <c r="X30" s="6">
        <f t="shared" si="18"/>
        <v>790.94480000000021</v>
      </c>
      <c r="Y30" s="2"/>
      <c r="Z30" s="7">
        <f t="shared" si="19"/>
        <v>0.23849246323281101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6">
        <v>304.2</v>
      </c>
      <c r="E32" s="2"/>
      <c r="F32" s="7">
        <f t="shared" si="12"/>
        <v>6.9796767964522494E-3</v>
      </c>
      <c r="G32" s="2"/>
      <c r="H32" s="6">
        <v>197.76</v>
      </c>
      <c r="I32" s="2"/>
      <c r="J32" s="7">
        <f t="shared" si="13"/>
        <v>2.1471380178928168E-3</v>
      </c>
      <c r="K32" s="2"/>
      <c r="L32" s="6">
        <f t="shared" si="14"/>
        <v>106.44</v>
      </c>
      <c r="M32" s="2"/>
      <c r="N32" s="7">
        <f t="shared" si="15"/>
        <v>0.53822815533980584</v>
      </c>
      <c r="O32" s="11"/>
      <c r="P32" s="6">
        <v>2737.8</v>
      </c>
      <c r="Q32" s="2"/>
      <c r="R32" s="7">
        <f t="shared" si="16"/>
        <v>4.5862772680843903E-3</v>
      </c>
      <c r="S32" s="2"/>
      <c r="T32" s="6">
        <v>1928.16</v>
      </c>
      <c r="U32" s="2"/>
      <c r="V32" s="7">
        <f t="shared" si="17"/>
        <v>3.1714399346553374E-3</v>
      </c>
      <c r="W32" s="2"/>
      <c r="X32" s="6">
        <f t="shared" si="18"/>
        <v>809.6400000000001</v>
      </c>
      <c r="Y32" s="2"/>
      <c r="Z32" s="7">
        <f t="shared" si="19"/>
        <v>0.41990291262135926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6">
        <v>191.88</v>
      </c>
      <c r="E33" s="2"/>
      <c r="F33" s="7">
        <f t="shared" si="12"/>
        <v>4.4025653639160342E-3</v>
      </c>
      <c r="G33" s="2"/>
      <c r="H33" s="6">
        <v>497.91744</v>
      </c>
      <c r="I33" s="2"/>
      <c r="J33" s="7">
        <f t="shared" si="13"/>
        <v>5.4060349170502913E-3</v>
      </c>
      <c r="K33" s="2"/>
      <c r="L33" s="6">
        <f t="shared" si="14"/>
        <v>-306.03744</v>
      </c>
      <c r="M33" s="2"/>
      <c r="N33" s="7">
        <f t="shared" si="15"/>
        <v>-0.61463490814862798</v>
      </c>
      <c r="O33" s="11"/>
      <c r="P33" s="6">
        <v>1726.92</v>
      </c>
      <c r="Q33" s="2"/>
      <c r="R33" s="7">
        <f t="shared" si="16"/>
        <v>2.8928825844840001E-3</v>
      </c>
      <c r="S33" s="2"/>
      <c r="T33" s="6">
        <v>3867.9759299999996</v>
      </c>
      <c r="U33" s="2"/>
      <c r="V33" s="7">
        <f t="shared" si="17"/>
        <v>6.3620515572813535E-3</v>
      </c>
      <c r="W33" s="2"/>
      <c r="X33" s="6">
        <f t="shared" si="18"/>
        <v>-2141.0559299999995</v>
      </c>
      <c r="Y33" s="2"/>
      <c r="Z33" s="7">
        <f t="shared" si="19"/>
        <v>-0.55353393318556654</v>
      </c>
    </row>
    <row r="34" spans="1:26" s="24" customFormat="1" hidden="1" outlineLevel="2" x14ac:dyDescent="0.25">
      <c r="A34" s="25"/>
      <c r="B34" s="11" t="str">
        <f>CONCATENATE("          ", "6156", " - ", "EMPLOYEE MEALS")</f>
        <v xml:space="preserve">          6156 - EMPLOYEE MEALS</v>
      </c>
      <c r="C34" s="11"/>
      <c r="D34" s="6">
        <v>92.76</v>
      </c>
      <c r="E34" s="2"/>
      <c r="F34" s="7">
        <f t="shared" si="12"/>
        <v>2.1283195911864258E-3</v>
      </c>
      <c r="G34" s="2"/>
      <c r="H34" s="6"/>
      <c r="I34" s="2"/>
      <c r="J34" s="7">
        <f t="shared" si="13"/>
        <v>0</v>
      </c>
      <c r="K34" s="2"/>
      <c r="L34" s="6">
        <f t="shared" si="14"/>
        <v>92.76</v>
      </c>
      <c r="M34" s="2"/>
      <c r="N34" s="7">
        <f t="shared" si="15"/>
        <v>0</v>
      </c>
      <c r="O34" s="11"/>
      <c r="P34" s="6">
        <v>1394.27</v>
      </c>
      <c r="Q34" s="2"/>
      <c r="R34" s="7">
        <f t="shared" si="16"/>
        <v>2.3356376676791665E-3</v>
      </c>
      <c r="S34" s="2"/>
      <c r="T34" s="6">
        <v>125</v>
      </c>
      <c r="U34" s="2"/>
      <c r="V34" s="7">
        <f t="shared" si="17"/>
        <v>2.056001534270585E-4</v>
      </c>
      <c r="W34" s="2"/>
      <c r="X34" s="6">
        <f t="shared" si="18"/>
        <v>1269.27</v>
      </c>
      <c r="Y34" s="2"/>
      <c r="Z34" s="7">
        <f t="shared" si="19"/>
        <v>10.154159999999999</v>
      </c>
    </row>
    <row r="35" spans="1:26" s="27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14763.060000000001</v>
      </c>
      <c r="E35" s="1"/>
      <c r="F35" s="5">
        <f t="shared" ref="F35:F45" si="20">IF(D$12=0,0,D35/D$12)</f>
        <v>0.33872908391397882</v>
      </c>
      <c r="G35" s="1"/>
      <c r="H35" s="1">
        <f>SUM(OSRRefH22_1x_0)</f>
        <v>13264.770560000001</v>
      </c>
      <c r="I35" s="1"/>
      <c r="J35" s="5">
        <f t="shared" ref="J35:J45" si="21">IF(H$12=0,0,H35/H$12)</f>
        <v>0.1440194840614957</v>
      </c>
      <c r="K35" s="1"/>
      <c r="L35" s="1">
        <f t="shared" ref="L35:L45" si="22">+D35-H35</f>
        <v>1498.2894400000005</v>
      </c>
      <c r="M35" s="1"/>
      <c r="N35" s="5">
        <f t="shared" ref="N35:N45" si="23">IF(H35=0,0,L35/H35)</f>
        <v>0.11295253342097765</v>
      </c>
      <c r="O35" s="13"/>
      <c r="P35" s="1">
        <f>SUM(OSRRefP22_1x_0)</f>
        <v>102571.43000000001</v>
      </c>
      <c r="Q35" s="1"/>
      <c r="R35" s="5">
        <f t="shared" ref="R35:R45" si="24">IF(P$12=0,0,P35/P$12)</f>
        <v>0.17182446408207658</v>
      </c>
      <c r="S35" s="1"/>
      <c r="T35" s="1">
        <f>SUM(OSRRefT22_1x_0)</f>
        <v>97427.59507000001</v>
      </c>
      <c r="U35" s="1"/>
      <c r="V35" s="5">
        <f t="shared" ref="V35:V45" si="25">IF(T$12=0,0,T35/T$12)</f>
        <v>0.16024902795537066</v>
      </c>
      <c r="W35" s="1"/>
      <c r="X35" s="1">
        <f t="shared" ref="X35:X45" si="26">+P35-T35</f>
        <v>5143.8349299999973</v>
      </c>
      <c r="Y35" s="1"/>
      <c r="Z35" s="5">
        <f t="shared" ref="Z35:Z45" si="27">IF(T35=0,0,X35/T35)</f>
        <v>5.2796488780250013E-2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6">
        <v>3744</v>
      </c>
      <c r="E37" s="2"/>
      <c r="F37" s="7">
        <f t="shared" si="20"/>
        <v>8.5903714417873853E-2</v>
      </c>
      <c r="G37" s="2"/>
      <c r="H37" s="6">
        <v>3559.68</v>
      </c>
      <c r="I37" s="2"/>
      <c r="J37" s="7">
        <f t="shared" si="21"/>
        <v>3.86484843220707E-2</v>
      </c>
      <c r="K37" s="2"/>
      <c r="L37" s="6">
        <f t="shared" si="22"/>
        <v>184.32000000000016</v>
      </c>
      <c r="M37" s="2"/>
      <c r="N37" s="7">
        <f t="shared" si="23"/>
        <v>5.1779935275080957E-2</v>
      </c>
      <c r="O37" s="11"/>
      <c r="P37" s="6">
        <v>34352</v>
      </c>
      <c r="Q37" s="2"/>
      <c r="R37" s="7">
        <f t="shared" si="24"/>
        <v>5.7545400216683092E-2</v>
      </c>
      <c r="S37" s="2"/>
      <c r="T37" s="6">
        <v>34706.879999999997</v>
      </c>
      <c r="U37" s="2"/>
      <c r="V37" s="7">
        <f t="shared" si="25"/>
        <v>5.7085918823796065E-2</v>
      </c>
      <c r="W37" s="2"/>
      <c r="X37" s="6">
        <f t="shared" si="26"/>
        <v>-354.87999999999738</v>
      </c>
      <c r="Y37" s="2"/>
      <c r="Z37" s="7">
        <f t="shared" si="27"/>
        <v>-1.0225062004997206E-2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>
        <v>254.64</v>
      </c>
      <c r="Q39" s="2"/>
      <c r="R39" s="7">
        <f t="shared" si="24"/>
        <v>4.2656499508547338E-4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254.64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6">
        <v>4008.03</v>
      </c>
      <c r="E40" s="2"/>
      <c r="F40" s="7">
        <f t="shared" si="20"/>
        <v>9.1961715945050995E-2</v>
      </c>
      <c r="G40" s="2"/>
      <c r="H40" s="6">
        <v>1638.2911999999999</v>
      </c>
      <c r="I40" s="2"/>
      <c r="J40" s="7">
        <f t="shared" si="21"/>
        <v>1.7787405541561711E-2</v>
      </c>
      <c r="K40" s="2"/>
      <c r="L40" s="6">
        <f t="shared" si="22"/>
        <v>2369.7388000000001</v>
      </c>
      <c r="M40" s="2"/>
      <c r="N40" s="7">
        <f t="shared" si="23"/>
        <v>1.4464698339342847</v>
      </c>
      <c r="O40" s="11"/>
      <c r="P40" s="6">
        <v>23945.94</v>
      </c>
      <c r="Q40" s="2"/>
      <c r="R40" s="7">
        <f t="shared" si="24"/>
        <v>4.0113492689353755E-2</v>
      </c>
      <c r="S40" s="2"/>
      <c r="T40" s="6">
        <v>11623.393599999999</v>
      </c>
      <c r="U40" s="2"/>
      <c r="V40" s="7">
        <f t="shared" si="25"/>
        <v>1.9118172060024717E-2</v>
      </c>
      <c r="W40" s="2"/>
      <c r="X40" s="6">
        <f t="shared" si="26"/>
        <v>12322.546399999999</v>
      </c>
      <c r="Y40" s="2"/>
      <c r="Z40" s="7">
        <f t="shared" si="27"/>
        <v>1.0601504882360691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6">
        <v>6426.87</v>
      </c>
      <c r="E42" s="2"/>
      <c r="F42" s="7">
        <f t="shared" si="20"/>
        <v>0.14746047144252161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6426.87</v>
      </c>
      <c r="M42" s="2"/>
      <c r="N42" s="7">
        <f t="shared" si="23"/>
        <v>0</v>
      </c>
      <c r="O42" s="11"/>
      <c r="P42" s="6">
        <v>40507.550000000003</v>
      </c>
      <c r="Q42" s="2"/>
      <c r="R42" s="7">
        <f t="shared" si="24"/>
        <v>6.7856985810063497E-2</v>
      </c>
      <c r="S42" s="2"/>
      <c r="T42" s="6">
        <v>3370.1437500000002</v>
      </c>
      <c r="U42" s="2"/>
      <c r="V42" s="7">
        <f t="shared" si="25"/>
        <v>5.5432165765699386E-3</v>
      </c>
      <c r="W42" s="2"/>
      <c r="X42" s="6">
        <f t="shared" si="26"/>
        <v>37137.40625</v>
      </c>
      <c r="Y42" s="2"/>
      <c r="Z42" s="7">
        <f t="shared" si="27"/>
        <v>11.019531807804933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6">
        <v>584.16</v>
      </c>
      <c r="E43" s="2"/>
      <c r="F43" s="7">
        <f t="shared" si="20"/>
        <v>1.3403182108532367E-2</v>
      </c>
      <c r="G43" s="2"/>
      <c r="H43" s="6">
        <v>8066.79936</v>
      </c>
      <c r="I43" s="2"/>
      <c r="J43" s="7">
        <f t="shared" si="21"/>
        <v>8.7583594197863282E-2</v>
      </c>
      <c r="K43" s="2"/>
      <c r="L43" s="6">
        <f t="shared" si="22"/>
        <v>-7482.6393600000001</v>
      </c>
      <c r="M43" s="2"/>
      <c r="N43" s="7">
        <f t="shared" si="23"/>
        <v>-0.92758466227676206</v>
      </c>
      <c r="O43" s="11"/>
      <c r="P43" s="6">
        <v>3511.3</v>
      </c>
      <c r="Q43" s="2"/>
      <c r="R43" s="7">
        <f t="shared" si="24"/>
        <v>5.882020370890759E-3</v>
      </c>
      <c r="S43" s="2"/>
      <c r="T43" s="6">
        <v>47727.17772</v>
      </c>
      <c r="U43" s="2"/>
      <c r="V43" s="7">
        <f t="shared" si="25"/>
        <v>7.8501720494979901E-2</v>
      </c>
      <c r="W43" s="2"/>
      <c r="X43" s="6">
        <f t="shared" si="26"/>
        <v>-44215.877719999997</v>
      </c>
      <c r="Y43" s="2"/>
      <c r="Z43" s="7">
        <f t="shared" si="27"/>
        <v>-0.92642975831087959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7" customFormat="1" outlineLevel="1" collapsed="1" x14ac:dyDescent="0.25">
      <c r="A46" s="26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0</v>
      </c>
      <c r="E46" s="1"/>
      <c r="F46" s="5">
        <f t="shared" ref="F46:F55" si="28">IF(D$12=0,0,D46/D$12)</f>
        <v>0</v>
      </c>
      <c r="G46" s="1"/>
      <c r="H46" s="1">
        <f>SUM(OSRRefH22_2x_0)</f>
        <v>75</v>
      </c>
      <c r="I46" s="1"/>
      <c r="J46" s="5">
        <f t="shared" ref="J46:J55" si="29">IF(H$12=0,0,H46/H$12)</f>
        <v>8.142968817858074E-4</v>
      </c>
      <c r="K46" s="1"/>
      <c r="L46" s="1">
        <f t="shared" ref="L46:L55" si="30">+D46-H46</f>
        <v>-75</v>
      </c>
      <c r="M46" s="1"/>
      <c r="N46" s="5">
        <f t="shared" ref="N46:N55" si="31">IF(H46=0,0,L46/H46)</f>
        <v>-1</v>
      </c>
      <c r="O46" s="13"/>
      <c r="P46" s="1">
        <f>SUM(OSRRefP22_2x_0)</f>
        <v>968.17</v>
      </c>
      <c r="Q46" s="1"/>
      <c r="R46" s="5">
        <f t="shared" ref="R46:R55" si="32">IF(P$12=0,0,P46/P$12)</f>
        <v>1.6218482221642427E-3</v>
      </c>
      <c r="S46" s="1"/>
      <c r="T46" s="1">
        <f>SUM(OSRRefT22_2x_0)</f>
        <v>1050</v>
      </c>
      <c r="U46" s="1"/>
      <c r="V46" s="5">
        <f t="shared" ref="V46:V55" si="33">IF(T$12=0,0,T46/T$12)</f>
        <v>1.7270412887872915E-3</v>
      </c>
      <c r="W46" s="1"/>
      <c r="X46" s="1">
        <f t="shared" ref="X46:X55" si="34">+P46-T46</f>
        <v>-81.830000000000041</v>
      </c>
      <c r="Y46" s="1"/>
      <c r="Z46" s="5">
        <f t="shared" ref="Z46:Z55" si="35">IF(T46=0,0,X46/T46)</f>
        <v>-7.7933333333333368E-2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6"/>
      <c r="E47" s="2"/>
      <c r="F47" s="7">
        <f t="shared" si="28"/>
        <v>0</v>
      </c>
      <c r="G47" s="2"/>
      <c r="H47" s="6">
        <v>75</v>
      </c>
      <c r="I47" s="2"/>
      <c r="J47" s="7">
        <f t="shared" si="29"/>
        <v>8.142968817858074E-4</v>
      </c>
      <c r="K47" s="2"/>
      <c r="L47" s="6">
        <f t="shared" si="30"/>
        <v>-75</v>
      </c>
      <c r="M47" s="2"/>
      <c r="N47" s="7">
        <f t="shared" si="31"/>
        <v>-1</v>
      </c>
      <c r="O47" s="11"/>
      <c r="P47" s="6">
        <v>968.17</v>
      </c>
      <c r="Q47" s="2"/>
      <c r="R47" s="7">
        <f t="shared" si="32"/>
        <v>1.6218482221642427E-3</v>
      </c>
      <c r="S47" s="2"/>
      <c r="T47" s="6">
        <v>1050</v>
      </c>
      <c r="U47" s="2"/>
      <c r="V47" s="7">
        <f t="shared" si="33"/>
        <v>1.7270412887872915E-3</v>
      </c>
      <c r="W47" s="2"/>
      <c r="X47" s="6">
        <f t="shared" si="34"/>
        <v>-81.830000000000041</v>
      </c>
      <c r="Y47" s="2"/>
      <c r="Z47" s="7">
        <f t="shared" si="35"/>
        <v>-7.7933333333333368E-2</v>
      </c>
    </row>
    <row r="48" spans="1:26" s="27" customFormat="1" outlineLevel="1" collapsed="1" x14ac:dyDescent="0.25">
      <c r="A48" s="26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-18.88</v>
      </c>
      <c r="E48" s="1"/>
      <c r="F48" s="5">
        <f t="shared" si="28"/>
        <v>-4.3318967099611593E-4</v>
      </c>
      <c r="G48" s="1"/>
      <c r="H48" s="1">
        <f>SUM(OSRRefH22_3x_0)</f>
        <v>10</v>
      </c>
      <c r="I48" s="1"/>
      <c r="J48" s="5">
        <f t="shared" si="29"/>
        <v>1.0857291757144098E-4</v>
      </c>
      <c r="K48" s="1"/>
      <c r="L48" s="1">
        <f t="shared" si="30"/>
        <v>-28.88</v>
      </c>
      <c r="M48" s="1"/>
      <c r="N48" s="5">
        <f t="shared" si="31"/>
        <v>-2.8879999999999999</v>
      </c>
      <c r="O48" s="13"/>
      <c r="P48" s="1">
        <f>SUM(OSRRefP22_3x_0)</f>
        <v>-84.11</v>
      </c>
      <c r="Q48" s="1"/>
      <c r="R48" s="5">
        <f t="shared" si="32"/>
        <v>-1.4089845168331435E-4</v>
      </c>
      <c r="S48" s="1"/>
      <c r="T48" s="1">
        <f>SUM(OSRRefT22_3x_0)</f>
        <v>90</v>
      </c>
      <c r="U48" s="1"/>
      <c r="V48" s="5">
        <f t="shared" si="33"/>
        <v>1.4803211046748212E-4</v>
      </c>
      <c r="W48" s="1"/>
      <c r="X48" s="1">
        <f t="shared" si="34"/>
        <v>-174.11</v>
      </c>
      <c r="Y48" s="1"/>
      <c r="Z48" s="5">
        <f t="shared" si="35"/>
        <v>-1.9345555555555558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6">
        <v>-18.88</v>
      </c>
      <c r="E49" s="2"/>
      <c r="F49" s="7">
        <f t="shared" si="28"/>
        <v>-4.3318967099611593E-4</v>
      </c>
      <c r="G49" s="2"/>
      <c r="H49" s="6">
        <v>10</v>
      </c>
      <c r="I49" s="2"/>
      <c r="J49" s="7">
        <f t="shared" si="29"/>
        <v>1.0857291757144098E-4</v>
      </c>
      <c r="K49" s="2"/>
      <c r="L49" s="6">
        <f t="shared" si="30"/>
        <v>-28.88</v>
      </c>
      <c r="M49" s="2"/>
      <c r="N49" s="7">
        <f t="shared" si="31"/>
        <v>-2.8879999999999999</v>
      </c>
      <c r="O49" s="11"/>
      <c r="P49" s="6">
        <v>-84.11</v>
      </c>
      <c r="Q49" s="2"/>
      <c r="R49" s="7">
        <f t="shared" si="32"/>
        <v>-1.4089845168331435E-4</v>
      </c>
      <c r="S49" s="2"/>
      <c r="T49" s="6">
        <v>90</v>
      </c>
      <c r="U49" s="2"/>
      <c r="V49" s="7">
        <f t="shared" si="33"/>
        <v>1.4803211046748212E-4</v>
      </c>
      <c r="W49" s="2"/>
      <c r="X49" s="6">
        <f t="shared" si="34"/>
        <v>-174.11</v>
      </c>
      <c r="Y49" s="2"/>
      <c r="Z49" s="7">
        <f t="shared" si="35"/>
        <v>-1.9345555555555558</v>
      </c>
    </row>
    <row r="50" spans="1:26" s="27" customFormat="1" outlineLevel="1" collapsed="1" x14ac:dyDescent="0.25">
      <c r="A50" s="26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2235.8000000000002</v>
      </c>
      <c r="E50" s="1"/>
      <c r="F50" s="5">
        <f t="shared" si="28"/>
        <v>5.1299018348152342E-2</v>
      </c>
      <c r="G50" s="1"/>
      <c r="H50" s="1">
        <f>SUM(OSRRefH22_4x_0)</f>
        <v>3500</v>
      </c>
      <c r="I50" s="1"/>
      <c r="J50" s="5">
        <f t="shared" si="29"/>
        <v>3.8000521150004345E-2</v>
      </c>
      <c r="K50" s="1"/>
      <c r="L50" s="1">
        <f t="shared" si="30"/>
        <v>-1264.1999999999998</v>
      </c>
      <c r="M50" s="1"/>
      <c r="N50" s="5">
        <f t="shared" si="31"/>
        <v>-0.36119999999999997</v>
      </c>
      <c r="O50" s="13"/>
      <c r="P50" s="1">
        <f>SUM(OSRRefP22_4x_0)</f>
        <v>22867.9</v>
      </c>
      <c r="Q50" s="1"/>
      <c r="R50" s="5">
        <f t="shared" si="32"/>
        <v>3.8307593666019074E-2</v>
      </c>
      <c r="S50" s="1"/>
      <c r="T50" s="1">
        <f>SUM(OSRRefT22_4x_0)</f>
        <v>21033</v>
      </c>
      <c r="U50" s="1"/>
      <c r="V50" s="5">
        <f t="shared" si="33"/>
        <v>3.4595104216250575E-2</v>
      </c>
      <c r="W50" s="1"/>
      <c r="X50" s="1">
        <f t="shared" si="34"/>
        <v>1834.9000000000015</v>
      </c>
      <c r="Y50" s="1"/>
      <c r="Z50" s="5">
        <f t="shared" si="35"/>
        <v>8.7239100461180122E-2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6">
        <v>2235.8000000000002</v>
      </c>
      <c r="E51" s="2"/>
      <c r="F51" s="7">
        <f t="shared" si="28"/>
        <v>5.1299018348152342E-2</v>
      </c>
      <c r="G51" s="2"/>
      <c r="H51" s="6">
        <v>3500</v>
      </c>
      <c r="I51" s="2"/>
      <c r="J51" s="7">
        <f t="shared" si="29"/>
        <v>3.8000521150004345E-2</v>
      </c>
      <c r="K51" s="2"/>
      <c r="L51" s="6">
        <f t="shared" si="30"/>
        <v>-1264.1999999999998</v>
      </c>
      <c r="M51" s="2"/>
      <c r="N51" s="7">
        <f t="shared" si="31"/>
        <v>-0.36119999999999997</v>
      </c>
      <c r="O51" s="11"/>
      <c r="P51" s="6">
        <v>22867.9</v>
      </c>
      <c r="Q51" s="2"/>
      <c r="R51" s="7">
        <f t="shared" si="32"/>
        <v>3.8307593666019074E-2</v>
      </c>
      <c r="S51" s="2"/>
      <c r="T51" s="6">
        <v>21033</v>
      </c>
      <c r="U51" s="2"/>
      <c r="V51" s="7">
        <f t="shared" si="33"/>
        <v>3.4595104216250575E-2</v>
      </c>
      <c r="W51" s="2"/>
      <c r="X51" s="6">
        <f t="shared" si="34"/>
        <v>1834.9000000000015</v>
      </c>
      <c r="Y51" s="2"/>
      <c r="Z51" s="7">
        <f t="shared" si="35"/>
        <v>8.7239100461180122E-2</v>
      </c>
    </row>
    <row r="52" spans="1:26" s="27" customFormat="1" outlineLevel="1" collapsed="1" x14ac:dyDescent="0.25">
      <c r="A52" s="26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5671.26</v>
      </c>
      <c r="E52" s="1"/>
      <c r="F52" s="5">
        <f t="shared" si="28"/>
        <v>0.13012347741172844</v>
      </c>
      <c r="G52" s="1"/>
      <c r="H52" s="1">
        <f>SUM(OSRRefH22_5x_0)</f>
        <v>6026</v>
      </c>
      <c r="I52" s="1"/>
      <c r="J52" s="5">
        <f t="shared" si="29"/>
        <v>6.5426040128550328E-2</v>
      </c>
      <c r="K52" s="1"/>
      <c r="L52" s="1">
        <f t="shared" si="30"/>
        <v>-354.73999999999978</v>
      </c>
      <c r="M52" s="1"/>
      <c r="N52" s="5">
        <f t="shared" si="31"/>
        <v>-5.8868237636906698E-2</v>
      </c>
      <c r="O52" s="13"/>
      <c r="P52" s="1">
        <f>SUM(OSRRefP22_5x_0)</f>
        <v>49472.480000000003</v>
      </c>
      <c r="Q52" s="1"/>
      <c r="R52" s="5">
        <f t="shared" si="32"/>
        <v>8.2874757257564338E-2</v>
      </c>
      <c r="S52" s="1"/>
      <c r="T52" s="1">
        <f>SUM(OSRRefT22_5x_0)</f>
        <v>52623</v>
      </c>
      <c r="U52" s="1"/>
      <c r="V52" s="5">
        <f t="shared" si="33"/>
        <v>8.6554374990336802E-2</v>
      </c>
      <c r="W52" s="1"/>
      <c r="X52" s="1">
        <f t="shared" si="34"/>
        <v>-3150.5199999999968</v>
      </c>
      <c r="Y52" s="1"/>
      <c r="Z52" s="5">
        <f t="shared" si="35"/>
        <v>-5.9869638751116373E-2</v>
      </c>
    </row>
    <row r="53" spans="1:26" s="24" customFormat="1" hidden="1" outlineLevel="2" x14ac:dyDescent="0.25">
      <c r="A53" s="25"/>
      <c r="B53" s="11" t="str">
        <f>CONCATENATE("          ", "6321", " - ", "BUILDING DEPRECIATION")</f>
        <v xml:space="preserve">          6321 - BUILDING DEPRECIATION</v>
      </c>
      <c r="C53" s="11"/>
      <c r="D53" s="6">
        <v>5080.51</v>
      </c>
      <c r="E53" s="2"/>
      <c r="F53" s="7">
        <f t="shared" si="28"/>
        <v>0.11656909191697443</v>
      </c>
      <c r="G53" s="2"/>
      <c r="H53" s="6">
        <v>5081</v>
      </c>
      <c r="I53" s="2"/>
      <c r="J53" s="7">
        <f t="shared" si="29"/>
        <v>5.5165899418049162E-2</v>
      </c>
      <c r="K53" s="2"/>
      <c r="L53" s="6">
        <f t="shared" si="30"/>
        <v>-0.48999999999978172</v>
      </c>
      <c r="M53" s="2"/>
      <c r="N53" s="7">
        <f t="shared" si="31"/>
        <v>-9.6437709112336489E-5</v>
      </c>
      <c r="O53" s="11"/>
      <c r="P53" s="6">
        <v>45724.590000000004</v>
      </c>
      <c r="Q53" s="2"/>
      <c r="R53" s="7">
        <f t="shared" si="32"/>
        <v>7.6596408689268328E-2</v>
      </c>
      <c r="S53" s="2"/>
      <c r="T53" s="6">
        <v>45729</v>
      </c>
      <c r="U53" s="2"/>
      <c r="V53" s="7">
        <f t="shared" si="33"/>
        <v>7.5215115328527662E-2</v>
      </c>
      <c r="W53" s="2"/>
      <c r="X53" s="6">
        <f t="shared" si="34"/>
        <v>-4.4099999999962165</v>
      </c>
      <c r="Y53" s="2"/>
      <c r="Z53" s="7">
        <f t="shared" si="35"/>
        <v>-9.6437709112296712E-5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590.75</v>
      </c>
      <c r="E54" s="2"/>
      <c r="F54" s="7">
        <f t="shared" si="28"/>
        <v>1.3554385494754E-2</v>
      </c>
      <c r="G54" s="2"/>
      <c r="H54" s="6">
        <v>348</v>
      </c>
      <c r="I54" s="2"/>
      <c r="J54" s="7">
        <f t="shared" si="29"/>
        <v>3.778337531486146E-3</v>
      </c>
      <c r="K54" s="2"/>
      <c r="L54" s="6">
        <f t="shared" si="30"/>
        <v>242.75</v>
      </c>
      <c r="M54" s="2"/>
      <c r="N54" s="7">
        <f t="shared" si="31"/>
        <v>0.69755747126436785</v>
      </c>
      <c r="O54" s="11"/>
      <c r="P54" s="6">
        <v>3747.89</v>
      </c>
      <c r="Q54" s="2"/>
      <c r="R54" s="7">
        <f t="shared" si="32"/>
        <v>6.2783485682960053E-3</v>
      </c>
      <c r="S54" s="2"/>
      <c r="T54" s="6">
        <v>3132</v>
      </c>
      <c r="U54" s="2"/>
      <c r="V54" s="7">
        <f t="shared" si="33"/>
        <v>5.1515174442683777E-3</v>
      </c>
      <c r="W54" s="2"/>
      <c r="X54" s="6">
        <f t="shared" si="34"/>
        <v>615.88999999999987</v>
      </c>
      <c r="Y54" s="2"/>
      <c r="Z54" s="7">
        <f t="shared" si="35"/>
        <v>0.1966443167305236</v>
      </c>
    </row>
    <row r="55" spans="1:26" s="24" customFormat="1" hidden="1" outlineLevel="2" x14ac:dyDescent="0.25">
      <c r="A55" s="25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8"/>
        <v>0</v>
      </c>
      <c r="G55" s="2"/>
      <c r="H55" s="6">
        <v>597</v>
      </c>
      <c r="I55" s="2"/>
      <c r="J55" s="7">
        <f t="shared" si="29"/>
        <v>6.4818031790150263E-3</v>
      </c>
      <c r="K55" s="2"/>
      <c r="L55" s="6">
        <f t="shared" si="30"/>
        <v>-597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3762</v>
      </c>
      <c r="U55" s="2"/>
      <c r="V55" s="7">
        <f t="shared" si="33"/>
        <v>6.1877422175407532E-3</v>
      </c>
      <c r="W55" s="2"/>
      <c r="X55" s="6">
        <f t="shared" si="34"/>
        <v>-3762</v>
      </c>
      <c r="Y55" s="2"/>
      <c r="Z55" s="7">
        <f t="shared" si="35"/>
        <v>-1</v>
      </c>
    </row>
    <row r="56" spans="1:26" s="27" customFormat="1" outlineLevel="1" collapsed="1" x14ac:dyDescent="0.25">
      <c r="A56" s="26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27.01</v>
      </c>
      <c r="E56" s="1"/>
      <c r="F56" s="5">
        <f t="shared" ref="F56:F69" si="36">IF(D$12=0,0,D56/D$12)</f>
        <v>6.1972738419518504E-4</v>
      </c>
      <c r="G56" s="1"/>
      <c r="H56" s="1">
        <f>SUM(OSRRefH22_6x_0)</f>
        <v>25</v>
      </c>
      <c r="I56" s="1"/>
      <c r="J56" s="5">
        <f t="shared" ref="J56:J69" si="37">IF(H$12=0,0,H56/H$12)</f>
        <v>2.7143229392860243E-4</v>
      </c>
      <c r="K56" s="1"/>
      <c r="L56" s="1">
        <f t="shared" ref="L56:L69" si="38">+D56-H56</f>
        <v>2.0100000000000016</v>
      </c>
      <c r="M56" s="1"/>
      <c r="N56" s="5">
        <f t="shared" ref="N56:N69" si="39">IF(H56=0,0,L56/H56)</f>
        <v>8.0400000000000069E-2</v>
      </c>
      <c r="O56" s="13"/>
      <c r="P56" s="1">
        <f>SUM(OSRRefP22_6x_0)</f>
        <v>101.58</v>
      </c>
      <c r="Q56" s="1"/>
      <c r="R56" s="5">
        <f t="shared" ref="R56:R69" si="40">IF(P$12=0,0,P56/P$12)</f>
        <v>1.7016365143254157E-4</v>
      </c>
      <c r="S56" s="1"/>
      <c r="T56" s="1">
        <f>SUM(OSRRefT22_6x_0)</f>
        <v>225</v>
      </c>
      <c r="U56" s="1"/>
      <c r="V56" s="5">
        <f t="shared" ref="V56:V69" si="41">IF(T$12=0,0,T56/T$12)</f>
        <v>3.7008027616870532E-4</v>
      </c>
      <c r="W56" s="1"/>
      <c r="X56" s="1">
        <f t="shared" ref="X56:X69" si="42">+P56-T56</f>
        <v>-123.42</v>
      </c>
      <c r="Y56" s="1"/>
      <c r="Z56" s="5">
        <f t="shared" ref="Z56:Z69" si="43">IF(T56=0,0,X56/T56)</f>
        <v>-0.54853333333333332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6">
        <v>27.01</v>
      </c>
      <c r="E57" s="2"/>
      <c r="F57" s="7">
        <f t="shared" si="36"/>
        <v>6.1972738419518504E-4</v>
      </c>
      <c r="G57" s="2"/>
      <c r="H57" s="6">
        <v>25</v>
      </c>
      <c r="I57" s="2"/>
      <c r="J57" s="7">
        <f t="shared" si="37"/>
        <v>2.7143229392860243E-4</v>
      </c>
      <c r="K57" s="2"/>
      <c r="L57" s="6">
        <f t="shared" si="38"/>
        <v>2.0100000000000016</v>
      </c>
      <c r="M57" s="2"/>
      <c r="N57" s="7">
        <f t="shared" si="39"/>
        <v>8.0400000000000069E-2</v>
      </c>
      <c r="O57" s="11"/>
      <c r="P57" s="6">
        <v>101.58</v>
      </c>
      <c r="Q57" s="2"/>
      <c r="R57" s="7">
        <f t="shared" si="40"/>
        <v>1.7016365143254157E-4</v>
      </c>
      <c r="S57" s="2"/>
      <c r="T57" s="6">
        <v>225</v>
      </c>
      <c r="U57" s="2"/>
      <c r="V57" s="7">
        <f t="shared" si="41"/>
        <v>3.7008027616870532E-4</v>
      </c>
      <c r="W57" s="2"/>
      <c r="X57" s="6">
        <f t="shared" si="42"/>
        <v>-123.42</v>
      </c>
      <c r="Y57" s="2"/>
      <c r="Z57" s="7">
        <f t="shared" si="43"/>
        <v>-0.54853333333333332</v>
      </c>
    </row>
    <row r="58" spans="1:26" s="27" customFormat="1" outlineLevel="1" collapsed="1" x14ac:dyDescent="0.25">
      <c r="A58" s="26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36.270000000000003</v>
      </c>
      <c r="E58" s="1"/>
      <c r="F58" s="5">
        <f t="shared" si="36"/>
        <v>8.3219223342315292E-4</v>
      </c>
      <c r="G58" s="1"/>
      <c r="H58" s="1">
        <f>SUM(OSRRefH22_7x_0)</f>
        <v>80</v>
      </c>
      <c r="I58" s="1"/>
      <c r="J58" s="5">
        <f t="shared" si="37"/>
        <v>8.6858334057152782E-4</v>
      </c>
      <c r="K58" s="1"/>
      <c r="L58" s="1">
        <f t="shared" si="38"/>
        <v>-43.73</v>
      </c>
      <c r="M58" s="1"/>
      <c r="N58" s="5">
        <f t="shared" si="39"/>
        <v>-0.54662499999999992</v>
      </c>
      <c r="O58" s="13"/>
      <c r="P58" s="1">
        <f>SUM(OSRRefP22_7x_0)</f>
        <v>901.58</v>
      </c>
      <c r="Q58" s="1"/>
      <c r="R58" s="5">
        <f t="shared" si="40"/>
        <v>1.5102987286724832E-3</v>
      </c>
      <c r="S58" s="1"/>
      <c r="T58" s="1">
        <f>SUM(OSRRefT22_7x_0)</f>
        <v>720</v>
      </c>
      <c r="U58" s="1"/>
      <c r="V58" s="5">
        <f t="shared" si="41"/>
        <v>1.184256883739857E-3</v>
      </c>
      <c r="W58" s="1"/>
      <c r="X58" s="1">
        <f t="shared" si="42"/>
        <v>181.58000000000004</v>
      </c>
      <c r="Y58" s="1"/>
      <c r="Z58" s="5">
        <f t="shared" si="43"/>
        <v>0.2521944444444445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6">
        <v>36.270000000000003</v>
      </c>
      <c r="E59" s="2"/>
      <c r="F59" s="7">
        <f t="shared" si="36"/>
        <v>8.3219223342315292E-4</v>
      </c>
      <c r="G59" s="2"/>
      <c r="H59" s="6">
        <v>80</v>
      </c>
      <c r="I59" s="2"/>
      <c r="J59" s="7">
        <f t="shared" si="37"/>
        <v>8.6858334057152782E-4</v>
      </c>
      <c r="K59" s="2"/>
      <c r="L59" s="6">
        <f t="shared" si="38"/>
        <v>-43.73</v>
      </c>
      <c r="M59" s="2"/>
      <c r="N59" s="7">
        <f t="shared" si="39"/>
        <v>-0.54662499999999992</v>
      </c>
      <c r="O59" s="11"/>
      <c r="P59" s="6">
        <v>901.58</v>
      </c>
      <c r="Q59" s="2"/>
      <c r="R59" s="7">
        <f t="shared" si="40"/>
        <v>1.5102987286724832E-3</v>
      </c>
      <c r="S59" s="2"/>
      <c r="T59" s="6">
        <v>720</v>
      </c>
      <c r="U59" s="2"/>
      <c r="V59" s="7">
        <f t="shared" si="41"/>
        <v>1.184256883739857E-3</v>
      </c>
      <c r="W59" s="2"/>
      <c r="X59" s="6">
        <f t="shared" si="42"/>
        <v>181.58000000000004</v>
      </c>
      <c r="Y59" s="2"/>
      <c r="Z59" s="7">
        <f t="shared" si="43"/>
        <v>0.2521944444444445</v>
      </c>
    </row>
    <row r="60" spans="1:26" s="27" customFormat="1" outlineLevel="1" collapsed="1" x14ac:dyDescent="0.25">
      <c r="A60" s="26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37</v>
      </c>
      <c r="E60" s="1"/>
      <c r="F60" s="5">
        <f t="shared" si="36"/>
        <v>8.4894162218518486E-4</v>
      </c>
      <c r="G60" s="1"/>
      <c r="H60" s="1">
        <f>SUM(OSRRefH22_8x_0)</f>
        <v>0</v>
      </c>
      <c r="I60" s="1"/>
      <c r="J60" s="5">
        <f t="shared" si="37"/>
        <v>0</v>
      </c>
      <c r="K60" s="1"/>
      <c r="L60" s="1">
        <f t="shared" si="38"/>
        <v>37</v>
      </c>
      <c r="M60" s="1"/>
      <c r="N60" s="5">
        <f t="shared" si="39"/>
        <v>0</v>
      </c>
      <c r="O60" s="13"/>
      <c r="P60" s="1">
        <f>SUM(OSRRefP22_8x_0)</f>
        <v>1345.73</v>
      </c>
      <c r="Q60" s="1"/>
      <c r="R60" s="5">
        <f t="shared" si="40"/>
        <v>2.2543249718676331E-3</v>
      </c>
      <c r="S60" s="1"/>
      <c r="T60" s="1">
        <f>SUM(OSRRefT22_8x_0)</f>
        <v>800</v>
      </c>
      <c r="U60" s="1"/>
      <c r="V60" s="5">
        <f t="shared" si="41"/>
        <v>1.3158409819331745E-3</v>
      </c>
      <c r="W60" s="1"/>
      <c r="X60" s="1">
        <f t="shared" si="42"/>
        <v>545.73</v>
      </c>
      <c r="Y60" s="1"/>
      <c r="Z60" s="5">
        <f t="shared" si="43"/>
        <v>0.6821625</v>
      </c>
    </row>
    <row r="61" spans="1:26" s="24" customFormat="1" hidden="1" outlineLevel="2" x14ac:dyDescent="0.25">
      <c r="A61" s="25"/>
      <c r="B61" s="11" t="str">
        <f>CONCATENATE("          ", "6279", " - ", "GENERAL EXPENSE")</f>
        <v xml:space="preserve">          6279 - GENERAL EXPENSE</v>
      </c>
      <c r="C61" s="11"/>
      <c r="D61" s="6">
        <v>37</v>
      </c>
      <c r="E61" s="2"/>
      <c r="F61" s="7">
        <f t="shared" si="36"/>
        <v>8.4894162218518486E-4</v>
      </c>
      <c r="G61" s="2"/>
      <c r="H61" s="6"/>
      <c r="I61" s="2"/>
      <c r="J61" s="7">
        <f t="shared" si="37"/>
        <v>0</v>
      </c>
      <c r="K61" s="2"/>
      <c r="L61" s="6">
        <f t="shared" si="38"/>
        <v>37</v>
      </c>
      <c r="M61" s="2"/>
      <c r="N61" s="7">
        <f t="shared" si="39"/>
        <v>0</v>
      </c>
      <c r="O61" s="11"/>
      <c r="P61" s="6">
        <v>1345.73</v>
      </c>
      <c r="Q61" s="2"/>
      <c r="R61" s="7">
        <f t="shared" si="40"/>
        <v>2.2543249718676331E-3</v>
      </c>
      <c r="S61" s="2"/>
      <c r="T61" s="6">
        <v>800</v>
      </c>
      <c r="U61" s="2"/>
      <c r="V61" s="7">
        <f t="shared" si="41"/>
        <v>1.3158409819331745E-3</v>
      </c>
      <c r="W61" s="2"/>
      <c r="X61" s="6">
        <f t="shared" si="42"/>
        <v>545.73</v>
      </c>
      <c r="Y61" s="2"/>
      <c r="Z61" s="7">
        <f t="shared" si="43"/>
        <v>0.6821625</v>
      </c>
    </row>
    <row r="62" spans="1:26" s="27" customFormat="1" outlineLevel="1" collapsed="1" x14ac:dyDescent="0.25">
      <c r="A62" s="26"/>
      <c r="B62" s="13" t="str">
        <f>CONCATENATE("     ","Insurance                                         ")</f>
        <v xml:space="preserve">     Insurance                                         </v>
      </c>
      <c r="C62" s="13"/>
      <c r="D62" s="1">
        <f>SUM(OSRRefD22_9x_0)</f>
        <v>243.54</v>
      </c>
      <c r="E62" s="1"/>
      <c r="F62" s="5">
        <f t="shared" si="36"/>
        <v>5.5878714234318897E-3</v>
      </c>
      <c r="G62" s="1"/>
      <c r="H62" s="1">
        <f>SUM(OSRRefH22_9x_0)</f>
        <v>230</v>
      </c>
      <c r="I62" s="1"/>
      <c r="J62" s="5">
        <f t="shared" si="37"/>
        <v>2.4971771041431426E-3</v>
      </c>
      <c r="K62" s="1"/>
      <c r="L62" s="1">
        <f t="shared" si="38"/>
        <v>13.539999999999992</v>
      </c>
      <c r="M62" s="1"/>
      <c r="N62" s="5">
        <f t="shared" si="39"/>
        <v>5.886956521739127E-2</v>
      </c>
      <c r="O62" s="13"/>
      <c r="P62" s="1">
        <f>SUM(OSRRefP22_9x_0)</f>
        <v>2191.86</v>
      </c>
      <c r="Q62" s="1"/>
      <c r="R62" s="5">
        <f t="shared" si="40"/>
        <v>3.6717355879989232E-3</v>
      </c>
      <c r="S62" s="1"/>
      <c r="T62" s="1">
        <f>SUM(OSRRefT22_9x_0)</f>
        <v>2070</v>
      </c>
      <c r="U62" s="1"/>
      <c r="V62" s="5">
        <f t="shared" si="41"/>
        <v>3.404738540752089E-3</v>
      </c>
      <c r="W62" s="1"/>
      <c r="X62" s="1">
        <f t="shared" si="42"/>
        <v>121.86000000000013</v>
      </c>
      <c r="Y62" s="1"/>
      <c r="Z62" s="5">
        <f t="shared" si="43"/>
        <v>5.8869565217391367E-2</v>
      </c>
    </row>
    <row r="63" spans="1:26" s="24" customFormat="1" hidden="1" outlineLevel="2" x14ac:dyDescent="0.25">
      <c r="A63" s="25"/>
      <c r="B63" s="11" t="str">
        <f>CONCATENATE("          ", "6314", " - ", "LIABILITY INSURANCE")</f>
        <v xml:space="preserve">          6314 - LIABILITY INSURANCE</v>
      </c>
      <c r="C63" s="11"/>
      <c r="D63" s="6">
        <v>243.54</v>
      </c>
      <c r="E63" s="2"/>
      <c r="F63" s="7">
        <f t="shared" si="36"/>
        <v>5.5878714234318897E-3</v>
      </c>
      <c r="G63" s="2"/>
      <c r="H63" s="6">
        <v>230</v>
      </c>
      <c r="I63" s="2"/>
      <c r="J63" s="7">
        <f t="shared" si="37"/>
        <v>2.4971771041431426E-3</v>
      </c>
      <c r="K63" s="2"/>
      <c r="L63" s="6">
        <f t="shared" si="38"/>
        <v>13.539999999999992</v>
      </c>
      <c r="M63" s="2"/>
      <c r="N63" s="7">
        <f t="shared" si="39"/>
        <v>5.886956521739127E-2</v>
      </c>
      <c r="O63" s="11"/>
      <c r="P63" s="6">
        <v>2191.86</v>
      </c>
      <c r="Q63" s="2"/>
      <c r="R63" s="7">
        <f t="shared" si="40"/>
        <v>3.6717355879989232E-3</v>
      </c>
      <c r="S63" s="2"/>
      <c r="T63" s="6">
        <v>2070</v>
      </c>
      <c r="U63" s="2"/>
      <c r="V63" s="7">
        <f t="shared" si="41"/>
        <v>3.404738540752089E-3</v>
      </c>
      <c r="W63" s="2"/>
      <c r="X63" s="6">
        <f t="shared" si="42"/>
        <v>121.86000000000013</v>
      </c>
      <c r="Y63" s="2"/>
      <c r="Z63" s="7">
        <f t="shared" si="43"/>
        <v>5.8869565217391367E-2</v>
      </c>
    </row>
    <row r="64" spans="1:26" s="27" customFormat="1" outlineLevel="1" collapsed="1" x14ac:dyDescent="0.25">
      <c r="A64" s="26"/>
      <c r="B64" s="13" t="str">
        <f>CONCATENATE("     ","Interest                                          ")</f>
        <v xml:space="preserve">     Interest                                          </v>
      </c>
      <c r="C64" s="13"/>
      <c r="D64" s="1">
        <f>SUM(OSRRefD22_10x_0)</f>
        <v>4175</v>
      </c>
      <c r="E64" s="1"/>
      <c r="F64" s="5">
        <f t="shared" si="36"/>
        <v>9.5792737097922895E-2</v>
      </c>
      <c r="G64" s="1"/>
      <c r="H64" s="1">
        <f>SUM(OSRRefH22_10x_0)</f>
        <v>4175</v>
      </c>
      <c r="I64" s="1"/>
      <c r="J64" s="5">
        <f t="shared" si="37"/>
        <v>4.5329193086076608E-2</v>
      </c>
      <c r="K64" s="1"/>
      <c r="L64" s="1">
        <f t="shared" si="38"/>
        <v>0</v>
      </c>
      <c r="M64" s="1"/>
      <c r="N64" s="5">
        <f t="shared" si="39"/>
        <v>0</v>
      </c>
      <c r="O64" s="13"/>
      <c r="P64" s="1">
        <f>SUM(OSRRefP22_10x_0)</f>
        <v>37368.950000000004</v>
      </c>
      <c r="Q64" s="1"/>
      <c r="R64" s="5">
        <f t="shared" si="40"/>
        <v>6.2599300868281901E-2</v>
      </c>
      <c r="S64" s="1"/>
      <c r="T64" s="1">
        <f>SUM(OSRRefT22_10x_0)</f>
        <v>37575</v>
      </c>
      <c r="U64" s="1"/>
      <c r="V64" s="5">
        <f t="shared" si="41"/>
        <v>6.1803406120173786E-2</v>
      </c>
      <c r="W64" s="1"/>
      <c r="X64" s="1">
        <f t="shared" si="42"/>
        <v>-206.04999999999563</v>
      </c>
      <c r="Y64" s="1"/>
      <c r="Z64" s="5">
        <f t="shared" si="43"/>
        <v>-5.4836992681302895E-3</v>
      </c>
    </row>
    <row r="65" spans="1:26" s="24" customFormat="1" hidden="1" outlineLevel="2" x14ac:dyDescent="0.25">
      <c r="A65" s="25"/>
      <c r="B65" s="11" t="str">
        <f>CONCATENATE("          ", "6401", " - ", "INTEREST EXPENSE")</f>
        <v xml:space="preserve">          6401 - INTEREST EXPENSE</v>
      </c>
      <c r="C65" s="11"/>
      <c r="D65" s="6">
        <v>4175</v>
      </c>
      <c r="E65" s="2"/>
      <c r="F65" s="7">
        <f t="shared" si="36"/>
        <v>9.5792737097922895E-2</v>
      </c>
      <c r="G65" s="2"/>
      <c r="H65" s="6">
        <v>4175</v>
      </c>
      <c r="I65" s="2"/>
      <c r="J65" s="7">
        <f t="shared" si="37"/>
        <v>4.5329193086076608E-2</v>
      </c>
      <c r="K65" s="2"/>
      <c r="L65" s="6">
        <f t="shared" si="38"/>
        <v>0</v>
      </c>
      <c r="M65" s="2"/>
      <c r="N65" s="7">
        <f t="shared" si="39"/>
        <v>0</v>
      </c>
      <c r="O65" s="11"/>
      <c r="P65" s="6">
        <v>37368.950000000004</v>
      </c>
      <c r="Q65" s="2"/>
      <c r="R65" s="7">
        <f t="shared" si="40"/>
        <v>6.2599300868281901E-2</v>
      </c>
      <c r="S65" s="2"/>
      <c r="T65" s="6">
        <v>37575</v>
      </c>
      <c r="U65" s="2"/>
      <c r="V65" s="7">
        <f t="shared" si="41"/>
        <v>6.1803406120173786E-2</v>
      </c>
      <c r="W65" s="2"/>
      <c r="X65" s="6">
        <f t="shared" si="42"/>
        <v>-206.04999999999563</v>
      </c>
      <c r="Y65" s="2"/>
      <c r="Z65" s="7">
        <f t="shared" si="43"/>
        <v>-5.4836992681302895E-3</v>
      </c>
    </row>
    <row r="66" spans="1:26" s="27" customFormat="1" outlineLevel="1" collapsed="1" x14ac:dyDescent="0.25">
      <c r="A66" s="26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108.52</v>
      </c>
      <c r="E66" s="1"/>
      <c r="F66" s="5">
        <f t="shared" si="36"/>
        <v>2.4899228335009799E-3</v>
      </c>
      <c r="G66" s="1"/>
      <c r="H66" s="1">
        <f>SUM(OSRRefH22_11x_0)</f>
        <v>200</v>
      </c>
      <c r="I66" s="1"/>
      <c r="J66" s="5">
        <f t="shared" si="37"/>
        <v>2.1714583514288194E-3</v>
      </c>
      <c r="K66" s="1"/>
      <c r="L66" s="1">
        <f t="shared" si="38"/>
        <v>-91.48</v>
      </c>
      <c r="M66" s="1"/>
      <c r="N66" s="5">
        <f t="shared" si="39"/>
        <v>-0.45740000000000003</v>
      </c>
      <c r="O66" s="13"/>
      <c r="P66" s="1">
        <f>SUM(OSRRefP22_11x_0)</f>
        <v>1046.19</v>
      </c>
      <c r="Q66" s="1"/>
      <c r="R66" s="5">
        <f t="shared" si="40"/>
        <v>1.7525448955720681E-3</v>
      </c>
      <c r="S66" s="1"/>
      <c r="T66" s="1">
        <f>SUM(OSRRefT22_11x_0)</f>
        <v>4600</v>
      </c>
      <c r="U66" s="1"/>
      <c r="V66" s="5">
        <f t="shared" si="41"/>
        <v>7.5660856461157531E-3</v>
      </c>
      <c r="W66" s="1"/>
      <c r="X66" s="1">
        <f t="shared" si="42"/>
        <v>-3553.81</v>
      </c>
      <c r="Y66" s="1"/>
      <c r="Z66" s="5">
        <f t="shared" si="43"/>
        <v>-0.77256739130434782</v>
      </c>
    </row>
    <row r="67" spans="1:26" s="24" customFormat="1" hidden="1" outlineLevel="2" x14ac:dyDescent="0.25">
      <c r="A67" s="25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36"/>
        <v>0</v>
      </c>
      <c r="G67" s="2"/>
      <c r="H67" s="6"/>
      <c r="I67" s="2"/>
      <c r="J67" s="7">
        <f t="shared" si="37"/>
        <v>0</v>
      </c>
      <c r="K67" s="2"/>
      <c r="L67" s="6">
        <f t="shared" si="38"/>
        <v>0</v>
      </c>
      <c r="M67" s="2"/>
      <c r="N67" s="7">
        <f t="shared" si="39"/>
        <v>0</v>
      </c>
      <c r="O67" s="11"/>
      <c r="P67" s="6">
        <v>437.31</v>
      </c>
      <c r="Q67" s="2"/>
      <c r="R67" s="7">
        <f t="shared" si="40"/>
        <v>7.3256808828474861E-4</v>
      </c>
      <c r="S67" s="2"/>
      <c r="T67" s="6">
        <v>0</v>
      </c>
      <c r="U67" s="2"/>
      <c r="V67" s="7">
        <f t="shared" si="41"/>
        <v>0</v>
      </c>
      <c r="W67" s="2"/>
      <c r="X67" s="6">
        <f t="shared" si="42"/>
        <v>437.31</v>
      </c>
      <c r="Y67" s="2"/>
      <c r="Z67" s="7">
        <f t="shared" si="43"/>
        <v>0</v>
      </c>
    </row>
    <row r="68" spans="1:26" s="24" customFormat="1" hidden="1" outlineLevel="2" x14ac:dyDescent="0.25">
      <c r="A68" s="25"/>
      <c r="B68" s="11" t="str">
        <f>CONCATENATE("          ", "6373", " - ", "MAINTENANCE CONTRACTS")</f>
        <v xml:space="preserve">          6373 - MAINTENANCE CONTRACTS</v>
      </c>
      <c r="C68" s="11"/>
      <c r="D68" s="6">
        <v>108.52</v>
      </c>
      <c r="E68" s="2"/>
      <c r="F68" s="7">
        <f t="shared" si="36"/>
        <v>2.4899228335009799E-3</v>
      </c>
      <c r="G68" s="2"/>
      <c r="H68" s="6"/>
      <c r="I68" s="2"/>
      <c r="J68" s="7">
        <f t="shared" si="37"/>
        <v>0</v>
      </c>
      <c r="K68" s="2"/>
      <c r="L68" s="6">
        <f t="shared" si="38"/>
        <v>108.52</v>
      </c>
      <c r="M68" s="2"/>
      <c r="N68" s="7">
        <f t="shared" si="39"/>
        <v>0</v>
      </c>
      <c r="O68" s="11"/>
      <c r="P68" s="6">
        <v>318.26</v>
      </c>
      <c r="Q68" s="2"/>
      <c r="R68" s="7">
        <f t="shared" si="40"/>
        <v>5.3313923710297968E-4</v>
      </c>
      <c r="S68" s="2"/>
      <c r="T68" s="6"/>
      <c r="U68" s="2"/>
      <c r="V68" s="7">
        <f t="shared" si="41"/>
        <v>0</v>
      </c>
      <c r="W68" s="2"/>
      <c r="X68" s="6">
        <f t="shared" si="42"/>
        <v>318.26</v>
      </c>
      <c r="Y68" s="2"/>
      <c r="Z68" s="7">
        <f t="shared" si="43"/>
        <v>0</v>
      </c>
    </row>
    <row r="69" spans="1:26" s="24" customFormat="1" hidden="1" outlineLevel="2" x14ac:dyDescent="0.25">
      <c r="A69" s="25"/>
      <c r="B69" s="11" t="str">
        <f>CONCATENATE("          ", "6375", " - ", "OUTSIDE REPAIRS &amp; MAINTENANCE")</f>
        <v xml:space="preserve">          6375 - OUTSIDE REPAIRS &amp; MAINTENANCE</v>
      </c>
      <c r="C69" s="11"/>
      <c r="D69" s="6"/>
      <c r="E69" s="2"/>
      <c r="F69" s="7">
        <f t="shared" si="36"/>
        <v>0</v>
      </c>
      <c r="G69" s="2"/>
      <c r="H69" s="6">
        <v>200</v>
      </c>
      <c r="I69" s="2"/>
      <c r="J69" s="7">
        <f t="shared" si="37"/>
        <v>2.1714583514288194E-3</v>
      </c>
      <c r="K69" s="2"/>
      <c r="L69" s="6">
        <f t="shared" si="38"/>
        <v>-200</v>
      </c>
      <c r="M69" s="2"/>
      <c r="N69" s="7">
        <f t="shared" si="39"/>
        <v>-1</v>
      </c>
      <c r="O69" s="11"/>
      <c r="P69" s="6">
        <v>290.62</v>
      </c>
      <c r="Q69" s="2"/>
      <c r="R69" s="7">
        <f t="shared" si="40"/>
        <v>4.8683757018433979E-4</v>
      </c>
      <c r="S69" s="2"/>
      <c r="T69" s="6">
        <v>4600</v>
      </c>
      <c r="U69" s="2"/>
      <c r="V69" s="7">
        <f t="shared" si="41"/>
        <v>7.5660856461157531E-3</v>
      </c>
      <c r="W69" s="2"/>
      <c r="X69" s="6">
        <f t="shared" si="42"/>
        <v>-4309.38</v>
      </c>
      <c r="Y69" s="2"/>
      <c r="Z69" s="7">
        <f t="shared" si="43"/>
        <v>-0.93682173913043476</v>
      </c>
    </row>
    <row r="70" spans="1:26" s="27" customFormat="1" outlineLevel="1" collapsed="1" x14ac:dyDescent="0.25">
      <c r="A70" s="26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SUM(OSRRefD22_12x_0)</f>
        <v>446.35</v>
      </c>
      <c r="E70" s="1"/>
      <c r="F70" s="5">
        <f t="shared" ref="F70:F74" si="44">IF(D$12=0,0,D70/D$12)</f>
        <v>1.0241218731415062E-2</v>
      </c>
      <c r="G70" s="1"/>
      <c r="H70" s="1">
        <f>SUM(OSRRefH22_12x_0)</f>
        <v>400</v>
      </c>
      <c r="I70" s="1"/>
      <c r="J70" s="5">
        <f t="shared" ref="J70:J74" si="45">IF(H$12=0,0,H70/H$12)</f>
        <v>4.3429167028576389E-3</v>
      </c>
      <c r="K70" s="1"/>
      <c r="L70" s="1">
        <f t="shared" ref="L70:L74" si="46">+D70-H70</f>
        <v>46.350000000000023</v>
      </c>
      <c r="M70" s="1"/>
      <c r="N70" s="5">
        <f t="shared" ref="N70:N74" si="47">IF(H70=0,0,L70/H70)</f>
        <v>0.11587500000000006</v>
      </c>
      <c r="O70" s="13"/>
      <c r="P70" s="1">
        <f>SUM(OSRRefP22_12x_0)</f>
        <v>4998.24</v>
      </c>
      <c r="Q70" s="1"/>
      <c r="R70" s="5">
        <f t="shared" ref="R70:R74" si="48">IF(P$12=0,0,P70/P$12)</f>
        <v>8.3728959355797057E-3</v>
      </c>
      <c r="S70" s="1"/>
      <c r="T70" s="1">
        <f>SUM(OSRRefT22_12x_0)</f>
        <v>3465</v>
      </c>
      <c r="U70" s="1"/>
      <c r="V70" s="5">
        <f t="shared" ref="V70:V74" si="49">IF(T$12=0,0,T70/T$12)</f>
        <v>5.6992362529980616E-3</v>
      </c>
      <c r="W70" s="1"/>
      <c r="X70" s="1">
        <f t="shared" ref="X70:X74" si="50">+P70-T70</f>
        <v>1533.2399999999998</v>
      </c>
      <c r="Y70" s="1"/>
      <c r="Z70" s="5">
        <f t="shared" ref="Z70:Z74" si="51">IF(T70=0,0,X70/T70)</f>
        <v>0.44249350649350644</v>
      </c>
    </row>
    <row r="71" spans="1:26" s="24" customFormat="1" hidden="1" outlineLevel="2" x14ac:dyDescent="0.25">
      <c r="A71" s="25"/>
      <c r="B71" s="11" t="str">
        <f>CONCATENATE("          ", "6281", " - ", "STORAGE FEE")</f>
        <v xml:space="preserve">          6281 - STORAGE FEE</v>
      </c>
      <c r="C71" s="11"/>
      <c r="D71" s="6"/>
      <c r="E71" s="2"/>
      <c r="F71" s="7">
        <f t="shared" si="44"/>
        <v>0</v>
      </c>
      <c r="G71" s="2"/>
      <c r="H71" s="6"/>
      <c r="I71" s="2"/>
      <c r="J71" s="7">
        <f t="shared" si="45"/>
        <v>0</v>
      </c>
      <c r="K71" s="2"/>
      <c r="L71" s="6">
        <f t="shared" si="46"/>
        <v>0</v>
      </c>
      <c r="M71" s="2"/>
      <c r="N71" s="7">
        <f t="shared" si="47"/>
        <v>0</v>
      </c>
      <c r="O71" s="11"/>
      <c r="P71" s="6"/>
      <c r="Q71" s="2"/>
      <c r="R71" s="7">
        <f t="shared" si="48"/>
        <v>0</v>
      </c>
      <c r="S71" s="2"/>
      <c r="T71" s="6">
        <v>0</v>
      </c>
      <c r="U71" s="2"/>
      <c r="V71" s="7">
        <f t="shared" si="49"/>
        <v>0</v>
      </c>
      <c r="W71" s="2"/>
      <c r="X71" s="6">
        <f t="shared" si="50"/>
        <v>0</v>
      </c>
      <c r="Y71" s="2"/>
      <c r="Z71" s="7">
        <f t="shared" si="51"/>
        <v>0</v>
      </c>
    </row>
    <row r="72" spans="1:26" s="24" customFormat="1" hidden="1" outlineLevel="2" x14ac:dyDescent="0.25">
      <c r="A72" s="25"/>
      <c r="B72" s="11" t="str">
        <f>CONCATENATE("          ", "6282", " - ", "JANITORIAL/EXTERMINATOR EXPENS")</f>
        <v xml:space="preserve">          6282 - JANITORIAL/EXTERMINATOR EXPENS</v>
      </c>
      <c r="C72" s="11"/>
      <c r="D72" s="6">
        <v>157.35</v>
      </c>
      <c r="E72" s="2"/>
      <c r="F72" s="7">
        <f t="shared" si="44"/>
        <v>3.6102963311037523E-3</v>
      </c>
      <c r="G72" s="2"/>
      <c r="H72" s="6">
        <v>160</v>
      </c>
      <c r="I72" s="2"/>
      <c r="J72" s="7">
        <f t="shared" si="45"/>
        <v>1.7371666811430556E-3</v>
      </c>
      <c r="K72" s="2"/>
      <c r="L72" s="6">
        <f t="shared" si="46"/>
        <v>-2.6500000000000057</v>
      </c>
      <c r="M72" s="2"/>
      <c r="N72" s="7">
        <f t="shared" si="47"/>
        <v>-1.6562500000000036E-2</v>
      </c>
      <c r="O72" s="11"/>
      <c r="P72" s="6">
        <v>1573.5</v>
      </c>
      <c r="Q72" s="2"/>
      <c r="R72" s="7">
        <f t="shared" si="48"/>
        <v>2.6358781800463102E-3</v>
      </c>
      <c r="S72" s="2"/>
      <c r="T72" s="6">
        <v>1440</v>
      </c>
      <c r="U72" s="2"/>
      <c r="V72" s="7">
        <f t="shared" si="49"/>
        <v>2.3685137674797139E-3</v>
      </c>
      <c r="W72" s="2"/>
      <c r="X72" s="6">
        <f t="shared" si="50"/>
        <v>133.5</v>
      </c>
      <c r="Y72" s="2"/>
      <c r="Z72" s="7">
        <f t="shared" si="51"/>
        <v>9.2708333333333337E-2</v>
      </c>
    </row>
    <row r="73" spans="1:26" s="24" customFormat="1" hidden="1" outlineLevel="2" x14ac:dyDescent="0.25">
      <c r="A73" s="25"/>
      <c r="B73" s="11" t="str">
        <f>CONCATENATE("          ", "6284", " - ", "TRASH REMOVAL EXPENSE")</f>
        <v xml:space="preserve">          6284 - TRASH REMOVAL EXPENSE</v>
      </c>
      <c r="C73" s="11"/>
      <c r="D73" s="6">
        <v>289</v>
      </c>
      <c r="E73" s="2"/>
      <c r="F73" s="7">
        <f t="shared" si="44"/>
        <v>6.6309224003113093E-3</v>
      </c>
      <c r="G73" s="2"/>
      <c r="H73" s="6">
        <v>150</v>
      </c>
      <c r="I73" s="2"/>
      <c r="J73" s="7">
        <f t="shared" si="45"/>
        <v>1.6285937635716148E-3</v>
      </c>
      <c r="K73" s="2"/>
      <c r="L73" s="6">
        <f t="shared" si="46"/>
        <v>139</v>
      </c>
      <c r="M73" s="2"/>
      <c r="N73" s="7">
        <f t="shared" si="47"/>
        <v>0.92666666666666664</v>
      </c>
      <c r="O73" s="11"/>
      <c r="P73" s="6">
        <v>2600</v>
      </c>
      <c r="Q73" s="2"/>
      <c r="R73" s="7">
        <f t="shared" si="48"/>
        <v>4.3554390010298099E-3</v>
      </c>
      <c r="S73" s="2"/>
      <c r="T73" s="6">
        <v>1350</v>
      </c>
      <c r="U73" s="2"/>
      <c r="V73" s="7">
        <f t="shared" si="49"/>
        <v>2.2204816570122318E-3</v>
      </c>
      <c r="W73" s="2"/>
      <c r="X73" s="6">
        <f t="shared" si="50"/>
        <v>1250</v>
      </c>
      <c r="Y73" s="2"/>
      <c r="Z73" s="7">
        <f t="shared" si="51"/>
        <v>0.92592592592592593</v>
      </c>
    </row>
    <row r="74" spans="1:26" s="24" customFormat="1" hidden="1" outlineLevel="2" x14ac:dyDescent="0.25">
      <c r="A74" s="25"/>
      <c r="B74" s="11" t="str">
        <f>CONCATENATE("          ", "6286", " - ", "LAUNDRY EXPENSE")</f>
        <v xml:space="preserve">          6286 - LAUNDRY EXPENSE</v>
      </c>
      <c r="C74" s="11"/>
      <c r="D74" s="6"/>
      <c r="E74" s="2"/>
      <c r="F74" s="7">
        <f t="shared" si="44"/>
        <v>0</v>
      </c>
      <c r="G74" s="2"/>
      <c r="H74" s="6">
        <v>90</v>
      </c>
      <c r="I74" s="2"/>
      <c r="J74" s="7">
        <f t="shared" si="45"/>
        <v>9.7715625814296888E-4</v>
      </c>
      <c r="K74" s="2"/>
      <c r="L74" s="6">
        <f t="shared" si="46"/>
        <v>-90</v>
      </c>
      <c r="M74" s="2"/>
      <c r="N74" s="7">
        <f t="shared" si="47"/>
        <v>-1</v>
      </c>
      <c r="O74" s="11"/>
      <c r="P74" s="6">
        <v>824.74</v>
      </c>
      <c r="Q74" s="2"/>
      <c r="R74" s="7">
        <f t="shared" si="48"/>
        <v>1.3815787545035868E-3</v>
      </c>
      <c r="S74" s="2"/>
      <c r="T74" s="6">
        <v>675</v>
      </c>
      <c r="U74" s="2"/>
      <c r="V74" s="7">
        <f t="shared" si="49"/>
        <v>1.1102408285061159E-3</v>
      </c>
      <c r="W74" s="2"/>
      <c r="X74" s="6">
        <f t="shared" si="50"/>
        <v>149.74</v>
      </c>
      <c r="Y74" s="2"/>
      <c r="Z74" s="7">
        <f t="shared" si="51"/>
        <v>0.22183703703703705</v>
      </c>
    </row>
    <row r="75" spans="1:26" s="27" customFormat="1" outlineLevel="1" collapsed="1" x14ac:dyDescent="0.25">
      <c r="A75" s="26"/>
      <c r="B75" s="13" t="str">
        <f>CONCATENATE("     ","Subscriptions &amp; Dues                              ")</f>
        <v xml:space="preserve">     Subscriptions &amp; Dues                              </v>
      </c>
      <c r="C75" s="13"/>
      <c r="D75" s="1">
        <f>SUM(OSRRefD22_13x_0)</f>
        <v>0</v>
      </c>
      <c r="E75" s="1"/>
      <c r="F75" s="5">
        <f t="shared" ref="F75:F84" si="52">IF(D$12=0,0,D75/D$12)</f>
        <v>0</v>
      </c>
      <c r="G75" s="1"/>
      <c r="H75" s="1">
        <f>SUM(OSRRefH22_13x_0)</f>
        <v>180</v>
      </c>
      <c r="I75" s="1"/>
      <c r="J75" s="5">
        <f t="shared" ref="J75:J84" si="53">IF(H$12=0,0,H75/H$12)</f>
        <v>1.9543125162859378E-3</v>
      </c>
      <c r="K75" s="1"/>
      <c r="L75" s="1">
        <f t="shared" ref="L75:L84" si="54">+D75-H75</f>
        <v>-180</v>
      </c>
      <c r="M75" s="1"/>
      <c r="N75" s="5">
        <f t="shared" ref="N75:N84" si="55">IF(H75=0,0,L75/H75)</f>
        <v>-1</v>
      </c>
      <c r="O75" s="13"/>
      <c r="P75" s="1">
        <f>SUM(OSRRefP22_13x_0)</f>
        <v>1411.2</v>
      </c>
      <c r="Q75" s="1"/>
      <c r="R75" s="5">
        <f t="shared" ref="R75:R84" si="56">IF(P$12=0,0,P75/P$12)</f>
        <v>2.3639982762512571E-3</v>
      </c>
      <c r="S75" s="1"/>
      <c r="T75" s="1">
        <f>SUM(OSRRefT22_13x_0)</f>
        <v>1620</v>
      </c>
      <c r="U75" s="1"/>
      <c r="V75" s="5">
        <f t="shared" ref="V75:V84" si="57">IF(T$12=0,0,T75/T$12)</f>
        <v>2.6645779884146782E-3</v>
      </c>
      <c r="W75" s="1"/>
      <c r="X75" s="1">
        <f t="shared" ref="X75:X84" si="58">+P75-T75</f>
        <v>-208.79999999999995</v>
      </c>
      <c r="Y75" s="1"/>
      <c r="Z75" s="5">
        <f t="shared" ref="Z75:Z84" si="59">IF(T75=0,0,X75/T75)</f>
        <v>-0.12888888888888886</v>
      </c>
    </row>
    <row r="76" spans="1:26" s="24" customFormat="1" hidden="1" outlineLevel="2" x14ac:dyDescent="0.25">
      <c r="A76" s="25"/>
      <c r="B76" s="11" t="str">
        <f>CONCATENATE("          ", "6275", " - ", "SUBSCRIPTIONS")</f>
        <v xml:space="preserve">          6275 - SUBSCRIPTIONS</v>
      </c>
      <c r="C76" s="11"/>
      <c r="D76" s="6"/>
      <c r="E76" s="2"/>
      <c r="F76" s="7">
        <f t="shared" si="52"/>
        <v>0</v>
      </c>
      <c r="G76" s="2"/>
      <c r="H76" s="6">
        <v>180</v>
      </c>
      <c r="I76" s="2"/>
      <c r="J76" s="7">
        <f t="shared" si="53"/>
        <v>1.9543125162859378E-3</v>
      </c>
      <c r="K76" s="2"/>
      <c r="L76" s="6">
        <f t="shared" si="54"/>
        <v>-180</v>
      </c>
      <c r="M76" s="2"/>
      <c r="N76" s="7">
        <f t="shared" si="55"/>
        <v>-1</v>
      </c>
      <c r="O76" s="11"/>
      <c r="P76" s="6">
        <v>1411.2</v>
      </c>
      <c r="Q76" s="2"/>
      <c r="R76" s="7">
        <f t="shared" si="56"/>
        <v>2.3639982762512571E-3</v>
      </c>
      <c r="S76" s="2"/>
      <c r="T76" s="6">
        <v>1620</v>
      </c>
      <c r="U76" s="2"/>
      <c r="V76" s="7">
        <f t="shared" si="57"/>
        <v>2.6645779884146782E-3</v>
      </c>
      <c r="W76" s="2"/>
      <c r="X76" s="6">
        <f t="shared" si="58"/>
        <v>-208.79999999999995</v>
      </c>
      <c r="Y76" s="2"/>
      <c r="Z76" s="7">
        <f t="shared" si="59"/>
        <v>-0.12888888888888886</v>
      </c>
    </row>
    <row r="77" spans="1:26" s="27" customFormat="1" outlineLevel="1" collapsed="1" x14ac:dyDescent="0.25">
      <c r="A77" s="26"/>
      <c r="B77" s="13" t="str">
        <f>CONCATENATE("     ","Supplies                                          ")</f>
        <v xml:space="preserve">     Supplies                                          </v>
      </c>
      <c r="C77" s="13"/>
      <c r="D77" s="1">
        <f>SUM(OSRRefD22_14x_0)</f>
        <v>149.19</v>
      </c>
      <c r="E77" s="1"/>
      <c r="F77" s="5">
        <f t="shared" si="52"/>
        <v>3.4230702868596687E-3</v>
      </c>
      <c r="G77" s="1"/>
      <c r="H77" s="1">
        <f>SUM(OSRRefH22_14x_0)</f>
        <v>100</v>
      </c>
      <c r="I77" s="1"/>
      <c r="J77" s="5">
        <f t="shared" si="53"/>
        <v>1.0857291757144097E-3</v>
      </c>
      <c r="K77" s="1"/>
      <c r="L77" s="1">
        <f t="shared" si="54"/>
        <v>49.19</v>
      </c>
      <c r="M77" s="1"/>
      <c r="N77" s="5">
        <f t="shared" si="55"/>
        <v>0.4919</v>
      </c>
      <c r="O77" s="13"/>
      <c r="P77" s="1">
        <f>SUM(OSRRefP22_14x_0)</f>
        <v>10919.900000000001</v>
      </c>
      <c r="Q77" s="1"/>
      <c r="R77" s="5">
        <f t="shared" si="56"/>
        <v>1.8292676287440551E-2</v>
      </c>
      <c r="S77" s="1"/>
      <c r="T77" s="1">
        <f>SUM(OSRRefT22_14x_0)</f>
        <v>5410</v>
      </c>
      <c r="U77" s="1"/>
      <c r="V77" s="5">
        <f t="shared" si="57"/>
        <v>8.898374640323092E-3</v>
      </c>
      <c r="W77" s="1"/>
      <c r="X77" s="1">
        <f t="shared" si="58"/>
        <v>5509.9000000000015</v>
      </c>
      <c r="Y77" s="1"/>
      <c r="Z77" s="5">
        <f t="shared" si="59"/>
        <v>1.0184658040665437</v>
      </c>
    </row>
    <row r="78" spans="1:26" s="24" customFormat="1" hidden="1" outlineLevel="2" x14ac:dyDescent="0.25">
      <c r="A78" s="25"/>
      <c r="B78" s="11" t="str">
        <f>CONCATENATE("          ", "6234", " - ", "EXPENDABLE SUPPLIES &amp; EQUIPMEN")</f>
        <v xml:space="preserve">          6234 - EXPENDABLE SUPPLIES &amp; EQUIPMEN</v>
      </c>
      <c r="C78" s="11"/>
      <c r="D78" s="6"/>
      <c r="E78" s="2"/>
      <c r="F78" s="7">
        <f t="shared" si="52"/>
        <v>0</v>
      </c>
      <c r="G78" s="2"/>
      <c r="H78" s="6"/>
      <c r="I78" s="2"/>
      <c r="J78" s="7">
        <f t="shared" si="53"/>
        <v>0</v>
      </c>
      <c r="K78" s="2"/>
      <c r="L78" s="6">
        <f t="shared" si="54"/>
        <v>0</v>
      </c>
      <c r="M78" s="2"/>
      <c r="N78" s="7">
        <f t="shared" si="55"/>
        <v>0</v>
      </c>
      <c r="O78" s="11"/>
      <c r="P78" s="6">
        <v>28.22</v>
      </c>
      <c r="Q78" s="2"/>
      <c r="R78" s="7">
        <f t="shared" si="56"/>
        <v>4.7273264849638937E-5</v>
      </c>
      <c r="S78" s="2"/>
      <c r="T78" s="6">
        <v>3000</v>
      </c>
      <c r="U78" s="2"/>
      <c r="V78" s="7">
        <f t="shared" si="57"/>
        <v>4.9344036822494041E-3</v>
      </c>
      <c r="W78" s="2"/>
      <c r="X78" s="6">
        <f t="shared" si="58"/>
        <v>-2971.78</v>
      </c>
      <c r="Y78" s="2"/>
      <c r="Z78" s="7">
        <f t="shared" si="59"/>
        <v>-0.99059333333333344</v>
      </c>
    </row>
    <row r="79" spans="1:26" s="24" customFormat="1" hidden="1" outlineLevel="2" x14ac:dyDescent="0.25">
      <c r="A79" s="25"/>
      <c r="B79" s="11" t="str">
        <f>CONCATENATE("          ", "6237", " - ", "JANITORIAL SUPPLIES")</f>
        <v xml:space="preserve">          6237 - JANITORIAL SUPPLIES</v>
      </c>
      <c r="C79" s="11"/>
      <c r="D79" s="6"/>
      <c r="E79" s="2"/>
      <c r="F79" s="7">
        <f t="shared" si="52"/>
        <v>0</v>
      </c>
      <c r="G79" s="2"/>
      <c r="H79" s="6">
        <v>100</v>
      </c>
      <c r="I79" s="2"/>
      <c r="J79" s="7">
        <f t="shared" si="53"/>
        <v>1.0857291757144097E-3</v>
      </c>
      <c r="K79" s="2"/>
      <c r="L79" s="6">
        <f t="shared" si="54"/>
        <v>-100</v>
      </c>
      <c r="M79" s="2"/>
      <c r="N79" s="7">
        <f t="shared" si="55"/>
        <v>-1</v>
      </c>
      <c r="O79" s="11"/>
      <c r="P79" s="6">
        <v>1422.57</v>
      </c>
      <c r="Q79" s="2"/>
      <c r="R79" s="7">
        <f t="shared" si="56"/>
        <v>2.3830449460365295E-3</v>
      </c>
      <c r="S79" s="2"/>
      <c r="T79" s="6">
        <v>1300</v>
      </c>
      <c r="U79" s="2"/>
      <c r="V79" s="7">
        <f t="shared" si="57"/>
        <v>2.1382415956414085E-3</v>
      </c>
      <c r="W79" s="2"/>
      <c r="X79" s="6">
        <f t="shared" si="58"/>
        <v>122.56999999999994</v>
      </c>
      <c r="Y79" s="2"/>
      <c r="Z79" s="7">
        <f t="shared" si="59"/>
        <v>9.4284615384615342E-2</v>
      </c>
    </row>
    <row r="80" spans="1:26" s="24" customFormat="1" hidden="1" outlineLevel="2" x14ac:dyDescent="0.25">
      <c r="A80" s="25"/>
      <c r="B80" s="11" t="str">
        <f>CONCATENATE("          ", "6241", " - ", "OFFICE EXPENSE")</f>
        <v xml:space="preserve">          6241 - OFFICE EXPENSE</v>
      </c>
      <c r="C80" s="11"/>
      <c r="D80" s="6"/>
      <c r="E80" s="2"/>
      <c r="F80" s="7">
        <f t="shared" si="52"/>
        <v>0</v>
      </c>
      <c r="G80" s="2"/>
      <c r="H80" s="6"/>
      <c r="I80" s="2"/>
      <c r="J80" s="7">
        <f t="shared" si="53"/>
        <v>0</v>
      </c>
      <c r="K80" s="2"/>
      <c r="L80" s="6">
        <f t="shared" si="54"/>
        <v>0</v>
      </c>
      <c r="M80" s="2"/>
      <c r="N80" s="7">
        <f t="shared" si="55"/>
        <v>0</v>
      </c>
      <c r="O80" s="11"/>
      <c r="P80" s="6">
        <v>484.03</v>
      </c>
      <c r="Q80" s="2"/>
      <c r="R80" s="7">
        <f t="shared" si="56"/>
        <v>8.1083197679556113E-4</v>
      </c>
      <c r="S80" s="2"/>
      <c r="T80" s="6">
        <v>480</v>
      </c>
      <c r="U80" s="2"/>
      <c r="V80" s="7">
        <f t="shared" si="57"/>
        <v>7.8950458915990468E-4</v>
      </c>
      <c r="W80" s="2"/>
      <c r="X80" s="6">
        <f t="shared" si="58"/>
        <v>4.0299999999999727</v>
      </c>
      <c r="Y80" s="2"/>
      <c r="Z80" s="7">
        <f t="shared" si="59"/>
        <v>8.395833333333276E-3</v>
      </c>
    </row>
    <row r="81" spans="1:26" s="24" customFormat="1" hidden="1" outlineLevel="2" x14ac:dyDescent="0.25">
      <c r="A81" s="25"/>
      <c r="B81" s="11" t="str">
        <f>CONCATENATE("          ", "6243", " - ", "PAPER SUPPLIES")</f>
        <v xml:space="preserve">          6243 - PAPER SUPPLIES</v>
      </c>
      <c r="C81" s="11"/>
      <c r="D81" s="6">
        <v>127.44</v>
      </c>
      <c r="E81" s="2"/>
      <c r="F81" s="7">
        <f t="shared" si="52"/>
        <v>2.9240302792237828E-3</v>
      </c>
      <c r="G81" s="2"/>
      <c r="H81" s="6"/>
      <c r="I81" s="2"/>
      <c r="J81" s="7">
        <f t="shared" si="53"/>
        <v>0</v>
      </c>
      <c r="K81" s="2"/>
      <c r="L81" s="6">
        <f t="shared" si="54"/>
        <v>127.44</v>
      </c>
      <c r="M81" s="2"/>
      <c r="N81" s="7">
        <f t="shared" si="55"/>
        <v>0</v>
      </c>
      <c r="O81" s="11"/>
      <c r="P81" s="6">
        <v>1399.73</v>
      </c>
      <c r="Q81" s="2"/>
      <c r="R81" s="7">
        <f t="shared" si="56"/>
        <v>2.3447840895813293E-3</v>
      </c>
      <c r="S81" s="2"/>
      <c r="T81" s="6"/>
      <c r="U81" s="2"/>
      <c r="V81" s="7">
        <f t="shared" si="57"/>
        <v>0</v>
      </c>
      <c r="W81" s="2"/>
      <c r="X81" s="6">
        <f t="shared" si="58"/>
        <v>1399.73</v>
      </c>
      <c r="Y81" s="2"/>
      <c r="Z81" s="7">
        <f t="shared" si="59"/>
        <v>0</v>
      </c>
    </row>
    <row r="82" spans="1:26" s="24" customFormat="1" hidden="1" outlineLevel="2" x14ac:dyDescent="0.25">
      <c r="A82" s="25"/>
      <c r="B82" s="11" t="str">
        <f>CONCATENATE("          ", "6244", " - ", "SAFETY SUPPLY EXPENSE")</f>
        <v xml:space="preserve">          6244 - SAFETY SUPPLY EXPENSE</v>
      </c>
      <c r="C82" s="11"/>
      <c r="D82" s="6"/>
      <c r="E82" s="2"/>
      <c r="F82" s="7">
        <f t="shared" si="52"/>
        <v>0</v>
      </c>
      <c r="G82" s="2"/>
      <c r="H82" s="6"/>
      <c r="I82" s="2"/>
      <c r="J82" s="7">
        <f t="shared" si="53"/>
        <v>0</v>
      </c>
      <c r="K82" s="2"/>
      <c r="L82" s="6">
        <f t="shared" si="54"/>
        <v>0</v>
      </c>
      <c r="M82" s="2"/>
      <c r="N82" s="7">
        <f t="shared" si="55"/>
        <v>0</v>
      </c>
      <c r="O82" s="11"/>
      <c r="P82" s="6"/>
      <c r="Q82" s="2"/>
      <c r="R82" s="7">
        <f t="shared" si="56"/>
        <v>0</v>
      </c>
      <c r="S82" s="2"/>
      <c r="T82" s="6">
        <v>30</v>
      </c>
      <c r="U82" s="2"/>
      <c r="V82" s="7">
        <f t="shared" si="57"/>
        <v>4.9344036822494043E-5</v>
      </c>
      <c r="W82" s="2"/>
      <c r="X82" s="6">
        <f t="shared" si="58"/>
        <v>-30</v>
      </c>
      <c r="Y82" s="2"/>
      <c r="Z82" s="7">
        <f t="shared" si="59"/>
        <v>-1</v>
      </c>
    </row>
    <row r="83" spans="1:26" s="24" customFormat="1" hidden="1" outlineLevel="2" x14ac:dyDescent="0.25">
      <c r="A83" s="25"/>
      <c r="B83" s="11" t="str">
        <f>CONCATENATE("          ", "6247", " - ", "STORE SUPPLIES")</f>
        <v xml:space="preserve">          6247 - STORE SUPPLIES</v>
      </c>
      <c r="C83" s="11"/>
      <c r="D83" s="6">
        <v>21.75</v>
      </c>
      <c r="E83" s="2"/>
      <c r="F83" s="7">
        <f t="shared" si="52"/>
        <v>4.990400076358857E-4</v>
      </c>
      <c r="G83" s="2"/>
      <c r="H83" s="6"/>
      <c r="I83" s="2"/>
      <c r="J83" s="7">
        <f t="shared" si="53"/>
        <v>0</v>
      </c>
      <c r="K83" s="2"/>
      <c r="L83" s="6">
        <f t="shared" si="54"/>
        <v>21.75</v>
      </c>
      <c r="M83" s="2"/>
      <c r="N83" s="7">
        <f t="shared" si="55"/>
        <v>0</v>
      </c>
      <c r="O83" s="11"/>
      <c r="P83" s="6">
        <v>7585.35</v>
      </c>
      <c r="Q83" s="2"/>
      <c r="R83" s="7">
        <f t="shared" si="56"/>
        <v>1.2706742010177489E-2</v>
      </c>
      <c r="S83" s="2"/>
      <c r="T83" s="6"/>
      <c r="U83" s="2"/>
      <c r="V83" s="7">
        <f t="shared" si="57"/>
        <v>0</v>
      </c>
      <c r="W83" s="2"/>
      <c r="X83" s="6">
        <f t="shared" si="58"/>
        <v>7585.35</v>
      </c>
      <c r="Y83" s="2"/>
      <c r="Z83" s="7">
        <f t="shared" si="59"/>
        <v>0</v>
      </c>
    </row>
    <row r="84" spans="1:26" s="24" customFormat="1" hidden="1" outlineLevel="2" x14ac:dyDescent="0.25">
      <c r="A84" s="25"/>
      <c r="B84" s="11" t="str">
        <f>CONCATENATE("          ", "6248", " - ", "UNIFORMS")</f>
        <v xml:space="preserve">          6248 - UNIFORMS</v>
      </c>
      <c r="C84" s="11"/>
      <c r="D84" s="6"/>
      <c r="E84" s="2"/>
      <c r="F84" s="7">
        <f t="shared" si="52"/>
        <v>0</v>
      </c>
      <c r="G84" s="2"/>
      <c r="H84" s="6"/>
      <c r="I84" s="2"/>
      <c r="J84" s="7">
        <f t="shared" si="53"/>
        <v>0</v>
      </c>
      <c r="K84" s="2"/>
      <c r="L84" s="6">
        <f t="shared" si="54"/>
        <v>0</v>
      </c>
      <c r="M84" s="2"/>
      <c r="N84" s="7">
        <f t="shared" si="55"/>
        <v>0</v>
      </c>
      <c r="O84" s="11"/>
      <c r="P84" s="6"/>
      <c r="Q84" s="2"/>
      <c r="R84" s="7">
        <f t="shared" si="56"/>
        <v>0</v>
      </c>
      <c r="S84" s="2"/>
      <c r="T84" s="6">
        <v>600</v>
      </c>
      <c r="U84" s="2"/>
      <c r="V84" s="7">
        <f t="shared" si="57"/>
        <v>9.8688073644988077E-4</v>
      </c>
      <c r="W84" s="2"/>
      <c r="X84" s="6">
        <f t="shared" si="58"/>
        <v>-600</v>
      </c>
      <c r="Y84" s="2"/>
      <c r="Z84" s="7">
        <f t="shared" si="59"/>
        <v>-1</v>
      </c>
    </row>
    <row r="85" spans="1:26" s="27" customFormat="1" outlineLevel="1" collapsed="1" x14ac:dyDescent="0.25">
      <c r="A85" s="26"/>
      <c r="B85" s="13" t="str">
        <f>CONCATENATE("     ","Telephone/Data Lines                              ")</f>
        <v xml:space="preserve">     Telephone/Data Lines                              </v>
      </c>
      <c r="C85" s="13"/>
      <c r="D85" s="1">
        <f>SUM(OSRRefD22_15x_0)</f>
        <v>135.37</v>
      </c>
      <c r="E85" s="1"/>
      <c r="F85" s="5">
        <f t="shared" ref="F85:F92" si="60">IF(D$12=0,0,D85/D$12)</f>
        <v>3.1059791187894184E-3</v>
      </c>
      <c r="G85" s="1"/>
      <c r="H85" s="1">
        <f>SUM(OSRRefH22_15x_0)</f>
        <v>40</v>
      </c>
      <c r="I85" s="1"/>
      <c r="J85" s="5">
        <f t="shared" ref="J85:J92" si="61">IF(H$12=0,0,H85/H$12)</f>
        <v>4.3429167028576391E-4</v>
      </c>
      <c r="K85" s="1"/>
      <c r="L85" s="1">
        <f t="shared" ref="L85:L92" si="62">+D85-H85</f>
        <v>95.37</v>
      </c>
      <c r="M85" s="1"/>
      <c r="N85" s="5">
        <f t="shared" ref="N85:N92" si="63">IF(H85=0,0,L85/H85)</f>
        <v>2.3842500000000002</v>
      </c>
      <c r="O85" s="13"/>
      <c r="P85" s="1">
        <f>SUM(OSRRefP22_15x_0)</f>
        <v>546.07000000000005</v>
      </c>
      <c r="Q85" s="1"/>
      <c r="R85" s="5">
        <f t="shared" ref="R85:R92" si="64">IF(P$12=0,0,P85/P$12)</f>
        <v>9.1475945203551873E-4</v>
      </c>
      <c r="S85" s="1"/>
      <c r="T85" s="1">
        <f>SUM(OSRRefT22_15x_0)</f>
        <v>360</v>
      </c>
      <c r="U85" s="1"/>
      <c r="V85" s="5">
        <f t="shared" ref="V85:V92" si="65">IF(T$12=0,0,T85/T$12)</f>
        <v>5.9212844186992848E-4</v>
      </c>
      <c r="W85" s="1"/>
      <c r="X85" s="1">
        <f t="shared" ref="X85:X92" si="66">+P85-T85</f>
        <v>186.07000000000005</v>
      </c>
      <c r="Y85" s="1"/>
      <c r="Z85" s="5">
        <f t="shared" ref="Z85:Z92" si="67">IF(T85=0,0,X85/T85)</f>
        <v>0.51686111111111122</v>
      </c>
    </row>
    <row r="86" spans="1:26" s="24" customFormat="1" hidden="1" outlineLevel="2" x14ac:dyDescent="0.25">
      <c r="A86" s="25"/>
      <c r="B86" s="11" t="str">
        <f>CONCATENATE("          ", "6309", " - ", "TELEPHONE")</f>
        <v xml:space="preserve">          6309 - TELEPHONE</v>
      </c>
      <c r="C86" s="11"/>
      <c r="D86" s="6">
        <v>135.37</v>
      </c>
      <c r="E86" s="2"/>
      <c r="F86" s="7">
        <f t="shared" si="60"/>
        <v>3.1059791187894184E-3</v>
      </c>
      <c r="G86" s="2"/>
      <c r="H86" s="6">
        <v>40</v>
      </c>
      <c r="I86" s="2"/>
      <c r="J86" s="7">
        <f t="shared" si="61"/>
        <v>4.3429167028576391E-4</v>
      </c>
      <c r="K86" s="2"/>
      <c r="L86" s="6">
        <f t="shared" si="62"/>
        <v>95.37</v>
      </c>
      <c r="M86" s="2"/>
      <c r="N86" s="7">
        <f t="shared" si="63"/>
        <v>2.3842500000000002</v>
      </c>
      <c r="O86" s="11"/>
      <c r="P86" s="6">
        <v>546.07000000000005</v>
      </c>
      <c r="Q86" s="2"/>
      <c r="R86" s="7">
        <f t="shared" si="64"/>
        <v>9.1475945203551873E-4</v>
      </c>
      <c r="S86" s="2"/>
      <c r="T86" s="6">
        <v>360</v>
      </c>
      <c r="U86" s="2"/>
      <c r="V86" s="7">
        <f t="shared" si="65"/>
        <v>5.9212844186992848E-4</v>
      </c>
      <c r="W86" s="2"/>
      <c r="X86" s="6">
        <f t="shared" si="66"/>
        <v>186.07000000000005</v>
      </c>
      <c r="Y86" s="2"/>
      <c r="Z86" s="7">
        <f t="shared" si="67"/>
        <v>0.51686111111111122</v>
      </c>
    </row>
    <row r="87" spans="1:26" s="27" customFormat="1" outlineLevel="1" collapsed="1" x14ac:dyDescent="0.25">
      <c r="A87" s="26"/>
      <c r="B87" s="13" t="str">
        <f>CONCATENATE("     ","Training                                          ")</f>
        <v xml:space="preserve">     Training                                          </v>
      </c>
      <c r="C87" s="13"/>
      <c r="D87" s="1">
        <f>SUM(OSRRefD22_16x_0)</f>
        <v>0</v>
      </c>
      <c r="E87" s="1"/>
      <c r="F87" s="5">
        <f t="shared" si="60"/>
        <v>0</v>
      </c>
      <c r="G87" s="1"/>
      <c r="H87" s="1">
        <f>SUM(OSRRefH22_16x_0)</f>
        <v>0</v>
      </c>
      <c r="I87" s="1"/>
      <c r="J87" s="5">
        <f t="shared" si="61"/>
        <v>0</v>
      </c>
      <c r="K87" s="1"/>
      <c r="L87" s="1">
        <f t="shared" si="62"/>
        <v>0</v>
      </c>
      <c r="M87" s="1"/>
      <c r="N87" s="5">
        <f t="shared" si="63"/>
        <v>0</v>
      </c>
      <c r="O87" s="13"/>
      <c r="P87" s="1">
        <f>SUM(OSRRefP22_16x_0)</f>
        <v>14</v>
      </c>
      <c r="Q87" s="1"/>
      <c r="R87" s="5">
        <f t="shared" si="64"/>
        <v>2.3452363851698979E-5</v>
      </c>
      <c r="S87" s="1"/>
      <c r="T87" s="1">
        <f>SUM(OSRRefT22_16x_0)</f>
        <v>200</v>
      </c>
      <c r="U87" s="1"/>
      <c r="V87" s="5">
        <f t="shared" si="65"/>
        <v>3.2896024548329363E-4</v>
      </c>
      <c r="W87" s="1"/>
      <c r="X87" s="1">
        <f t="shared" si="66"/>
        <v>-186</v>
      </c>
      <c r="Y87" s="1"/>
      <c r="Z87" s="5">
        <f t="shared" si="67"/>
        <v>-0.93</v>
      </c>
    </row>
    <row r="88" spans="1:26" s="24" customFormat="1" hidden="1" outlineLevel="2" x14ac:dyDescent="0.25">
      <c r="A88" s="25"/>
      <c r="B88" s="11" t="str">
        <f>CONCATENATE("          ", "6376", " - ", "TRAINING")</f>
        <v xml:space="preserve">          6376 - TRAINING</v>
      </c>
      <c r="C88" s="11"/>
      <c r="D88" s="6"/>
      <c r="E88" s="2"/>
      <c r="F88" s="7">
        <f t="shared" si="60"/>
        <v>0</v>
      </c>
      <c r="G88" s="2"/>
      <c r="H88" s="6"/>
      <c r="I88" s="2"/>
      <c r="J88" s="7">
        <f t="shared" si="61"/>
        <v>0</v>
      </c>
      <c r="K88" s="2"/>
      <c r="L88" s="6">
        <f t="shared" si="62"/>
        <v>0</v>
      </c>
      <c r="M88" s="2"/>
      <c r="N88" s="7">
        <f t="shared" si="63"/>
        <v>0</v>
      </c>
      <c r="O88" s="11"/>
      <c r="P88" s="6">
        <v>14</v>
      </c>
      <c r="Q88" s="2"/>
      <c r="R88" s="7">
        <f t="shared" si="64"/>
        <v>2.3452363851698979E-5</v>
      </c>
      <c r="S88" s="2"/>
      <c r="T88" s="6">
        <v>200</v>
      </c>
      <c r="U88" s="2"/>
      <c r="V88" s="7">
        <f t="shared" si="65"/>
        <v>3.2896024548329363E-4</v>
      </c>
      <c r="W88" s="2"/>
      <c r="X88" s="6">
        <f t="shared" si="66"/>
        <v>-186</v>
      </c>
      <c r="Y88" s="2"/>
      <c r="Z88" s="7">
        <f t="shared" si="67"/>
        <v>-0.93</v>
      </c>
    </row>
    <row r="89" spans="1:26" s="27" customFormat="1" outlineLevel="1" collapsed="1" x14ac:dyDescent="0.25">
      <c r="A89" s="26"/>
      <c r="B89" s="13" t="str">
        <f>CONCATENATE("     ","Travel                                            ")</f>
        <v xml:space="preserve">     Travel                                            </v>
      </c>
      <c r="C89" s="13"/>
      <c r="D89" s="1">
        <f>SUM(OSRRefD22_17x_0)</f>
        <v>0</v>
      </c>
      <c r="E89" s="1"/>
      <c r="F89" s="5">
        <f t="shared" si="60"/>
        <v>0</v>
      </c>
      <c r="G89" s="1"/>
      <c r="H89" s="1">
        <f>SUM(OSRRefH22_17x_0)</f>
        <v>0</v>
      </c>
      <c r="I89" s="1"/>
      <c r="J89" s="5">
        <f t="shared" si="61"/>
        <v>0</v>
      </c>
      <c r="K89" s="1"/>
      <c r="L89" s="1">
        <f t="shared" si="62"/>
        <v>0</v>
      </c>
      <c r="M89" s="1"/>
      <c r="N89" s="5">
        <f t="shared" si="63"/>
        <v>0</v>
      </c>
      <c r="O89" s="13"/>
      <c r="P89" s="1">
        <f>SUM(OSRRefP22_17x_0)</f>
        <v>0</v>
      </c>
      <c r="Q89" s="1"/>
      <c r="R89" s="5">
        <f t="shared" si="64"/>
        <v>0</v>
      </c>
      <c r="S89" s="1"/>
      <c r="T89" s="1">
        <f>SUM(OSRRefT22_17x_0)</f>
        <v>1000</v>
      </c>
      <c r="U89" s="1"/>
      <c r="V89" s="5">
        <f t="shared" si="65"/>
        <v>1.644801227416468E-3</v>
      </c>
      <c r="W89" s="1"/>
      <c r="X89" s="1">
        <f t="shared" si="66"/>
        <v>-1000</v>
      </c>
      <c r="Y89" s="1"/>
      <c r="Z89" s="5">
        <f t="shared" si="67"/>
        <v>-1</v>
      </c>
    </row>
    <row r="90" spans="1:26" s="24" customFormat="1" hidden="1" outlineLevel="2" x14ac:dyDescent="0.25">
      <c r="A90" s="25"/>
      <c r="B90" s="11" t="str">
        <f>CONCATENATE("          ", "6292", " - ", "TRAVEL/CONFERENCE")</f>
        <v xml:space="preserve">          6292 - TRAVEL/CONFERENCE</v>
      </c>
      <c r="C90" s="11"/>
      <c r="D90" s="6"/>
      <c r="E90" s="2"/>
      <c r="F90" s="7">
        <f t="shared" si="60"/>
        <v>0</v>
      </c>
      <c r="G90" s="2"/>
      <c r="H90" s="6"/>
      <c r="I90" s="2"/>
      <c r="J90" s="7">
        <f t="shared" si="61"/>
        <v>0</v>
      </c>
      <c r="K90" s="2"/>
      <c r="L90" s="6">
        <f t="shared" si="62"/>
        <v>0</v>
      </c>
      <c r="M90" s="2"/>
      <c r="N90" s="7">
        <f t="shared" si="63"/>
        <v>0</v>
      </c>
      <c r="O90" s="11"/>
      <c r="P90" s="6"/>
      <c r="Q90" s="2"/>
      <c r="R90" s="7">
        <f t="shared" si="64"/>
        <v>0</v>
      </c>
      <c r="S90" s="2"/>
      <c r="T90" s="6">
        <v>1000</v>
      </c>
      <c r="U90" s="2"/>
      <c r="V90" s="7">
        <f t="shared" si="65"/>
        <v>1.644801227416468E-3</v>
      </c>
      <c r="W90" s="2"/>
      <c r="X90" s="6">
        <f t="shared" si="66"/>
        <v>-1000</v>
      </c>
      <c r="Y90" s="2"/>
      <c r="Z90" s="7">
        <f t="shared" si="67"/>
        <v>-1</v>
      </c>
    </row>
    <row r="91" spans="1:26" s="27" customFormat="1" outlineLevel="1" collapsed="1" x14ac:dyDescent="0.25">
      <c r="A91" s="26"/>
      <c r="B91" s="13" t="str">
        <f>CONCATENATE("     ","Utilities                                         ")</f>
        <v xml:space="preserve">     Utilities                                         </v>
      </c>
      <c r="C91" s="13"/>
      <c r="D91" s="1">
        <f>SUM(OSRRefD22_18x_0)</f>
        <v>878</v>
      </c>
      <c r="E91" s="1"/>
      <c r="F91" s="5">
        <f t="shared" si="60"/>
        <v>2.0145155250772765E-2</v>
      </c>
      <c r="G91" s="1"/>
      <c r="H91" s="1">
        <f>SUM(OSRRefH22_18x_0)</f>
        <v>1100</v>
      </c>
      <c r="I91" s="1"/>
      <c r="J91" s="5">
        <f t="shared" si="61"/>
        <v>1.1943020932858508E-2</v>
      </c>
      <c r="K91" s="1"/>
      <c r="L91" s="1">
        <f t="shared" si="62"/>
        <v>-222</v>
      </c>
      <c r="M91" s="1"/>
      <c r="N91" s="5">
        <f t="shared" si="63"/>
        <v>-0.20181818181818181</v>
      </c>
      <c r="O91" s="13"/>
      <c r="P91" s="1">
        <f>SUM(OSRRefP22_18x_0)</f>
        <v>7650</v>
      </c>
      <c r="Q91" s="1"/>
      <c r="R91" s="5">
        <f t="shared" si="64"/>
        <v>1.2815041676106941E-2</v>
      </c>
      <c r="S91" s="1"/>
      <c r="T91" s="1">
        <f>SUM(OSRRefT22_18x_0)</f>
        <v>9900</v>
      </c>
      <c r="U91" s="1"/>
      <c r="V91" s="5">
        <f t="shared" si="65"/>
        <v>1.6283532151423034E-2</v>
      </c>
      <c r="W91" s="1"/>
      <c r="X91" s="1">
        <f t="shared" si="66"/>
        <v>-2250</v>
      </c>
      <c r="Y91" s="1"/>
      <c r="Z91" s="5">
        <f t="shared" si="67"/>
        <v>-0.22727272727272727</v>
      </c>
    </row>
    <row r="92" spans="1:26" s="24" customFormat="1" hidden="1" outlineLevel="2" x14ac:dyDescent="0.25">
      <c r="A92" s="25"/>
      <c r="B92" s="11" t="str">
        <f>CONCATENATE("          ", "6274", " - ", "UTILITIES")</f>
        <v xml:space="preserve">          6274 - UTILITIES</v>
      </c>
      <c r="C92" s="11"/>
      <c r="D92" s="6">
        <v>878</v>
      </c>
      <c r="E92" s="2"/>
      <c r="F92" s="7">
        <f t="shared" si="60"/>
        <v>2.0145155250772765E-2</v>
      </c>
      <c r="G92" s="2"/>
      <c r="H92" s="6">
        <v>1100</v>
      </c>
      <c r="I92" s="2"/>
      <c r="J92" s="7">
        <f t="shared" si="61"/>
        <v>1.1943020932858508E-2</v>
      </c>
      <c r="K92" s="2"/>
      <c r="L92" s="6">
        <f t="shared" si="62"/>
        <v>-222</v>
      </c>
      <c r="M92" s="2"/>
      <c r="N92" s="7">
        <f t="shared" si="63"/>
        <v>-0.20181818181818181</v>
      </c>
      <c r="O92" s="11"/>
      <c r="P92" s="6">
        <v>7650</v>
      </c>
      <c r="Q92" s="2"/>
      <c r="R92" s="7">
        <f t="shared" si="64"/>
        <v>1.2815041676106941E-2</v>
      </c>
      <c r="S92" s="2"/>
      <c r="T92" s="6">
        <v>9900</v>
      </c>
      <c r="U92" s="2"/>
      <c r="V92" s="7">
        <f t="shared" si="65"/>
        <v>1.6283532151423034E-2</v>
      </c>
      <c r="W92" s="2"/>
      <c r="X92" s="6">
        <f t="shared" si="66"/>
        <v>-2250</v>
      </c>
      <c r="Y92" s="2"/>
      <c r="Z92" s="7">
        <f t="shared" si="67"/>
        <v>-0.22727272727272727</v>
      </c>
    </row>
    <row r="93" spans="1:26" s="56" customFormat="1" x14ac:dyDescent="0.25">
      <c r="A93" s="36"/>
      <c r="B93" s="36"/>
      <c r="C93" s="36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6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x14ac:dyDescent="0.25">
      <c r="A94" s="10"/>
      <c r="B94" s="29" t="s">
        <v>0</v>
      </c>
      <c r="C94" s="10"/>
      <c r="D94" s="4">
        <f>SUM(0)</f>
        <v>0</v>
      </c>
      <c r="E94" s="4"/>
      <c r="F94" s="12">
        <f>IF(D$12=0,0,D94/D$12)</f>
        <v>0</v>
      </c>
      <c r="G94" s="4"/>
      <c r="H94" s="4">
        <f>SUM(0)</f>
        <v>0</v>
      </c>
      <c r="I94" s="4"/>
      <c r="J94" s="12">
        <f>IF(H$12=0,0,H94/H$12)</f>
        <v>0</v>
      </c>
      <c r="K94" s="4"/>
      <c r="L94" s="4">
        <f>+D94-H94</f>
        <v>0</v>
      </c>
      <c r="M94" s="4"/>
      <c r="N94" s="12">
        <f>IF(H94=0,0,L94/H94)</f>
        <v>0</v>
      </c>
      <c r="O94" s="10"/>
      <c r="P94" s="4">
        <f>SUM(0)</f>
        <v>0</v>
      </c>
      <c r="Q94" s="4"/>
      <c r="R94" s="12">
        <f>IF(P$12=0,0,P94/P$12)</f>
        <v>0</v>
      </c>
      <c r="S94" s="4"/>
      <c r="T94" s="4">
        <f>SUM(0)</f>
        <v>0</v>
      </c>
      <c r="U94" s="4"/>
      <c r="V94" s="12">
        <f>IF(T$12=0,0,T94/T$12)</f>
        <v>0</v>
      </c>
      <c r="W94" s="4"/>
      <c r="X94" s="4">
        <f>+P94-T94</f>
        <v>0</v>
      </c>
      <c r="Y94" s="4"/>
      <c r="Z94" s="12">
        <f>IF(T94=0,0,X94/T94)</f>
        <v>0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10"/>
      <c r="B96" s="28" t="s">
        <v>3</v>
      </c>
      <c r="C96" s="28"/>
      <c r="D96" s="20">
        <f>+D22-D24+D94</f>
        <v>-10127.029999999992</v>
      </c>
      <c r="E96" s="14"/>
      <c r="F96" s="22">
        <f>IF(D$12=0,0,D96/D$12)</f>
        <v>-0.23235830475994665</v>
      </c>
      <c r="G96" s="14"/>
      <c r="H96" s="20">
        <f>+H22-H24+H94</f>
        <v>14931.167667200003</v>
      </c>
      <c r="I96" s="14"/>
      <c r="J96" s="22">
        <f>IF(H$12=0,0,H96/H$12)</f>
        <v>0.16211204363762707</v>
      </c>
      <c r="K96" s="16"/>
      <c r="L96" s="20">
        <f>+D96-H96</f>
        <v>-25058.197667199995</v>
      </c>
      <c r="M96" s="16"/>
      <c r="N96" s="22">
        <f>IF(H96=0,0,L96/H96)</f>
        <v>-1.6782476913876276</v>
      </c>
      <c r="O96" s="29"/>
      <c r="P96" s="20">
        <f>+P22-P24+P94</f>
        <v>41420.270000000077</v>
      </c>
      <c r="Q96" s="14"/>
      <c r="R96" s="22">
        <f>IF(P$12=0,0,P96/P$12)</f>
        <v>6.9385945919686665E-2</v>
      </c>
      <c r="S96" s="14"/>
      <c r="T96" s="20">
        <f>+T22-T24+T94</f>
        <v>43560.265595649951</v>
      </c>
      <c r="U96" s="14"/>
      <c r="V96" s="22">
        <f>IF(T$12=0,0,T96/T$12)</f>
        <v>7.1647978318312391E-2</v>
      </c>
      <c r="W96" s="16"/>
      <c r="X96" s="20">
        <f>+P96-T96</f>
        <v>-2139.9955956498743</v>
      </c>
      <c r="Y96" s="16"/>
      <c r="Z96" s="22">
        <f>IF(T96=0,0,X96/T96)</f>
        <v>-4.912723938633607E-2</v>
      </c>
    </row>
    <row r="97" spans="1:26" x14ac:dyDescent="0.25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52"/>
      <c r="B98" s="10" t="s">
        <v>14</v>
      </c>
      <c r="C98" s="10"/>
      <c r="D98" s="4">
        <v>7565.7</v>
      </c>
      <c r="E98" s="4"/>
      <c r="F98" s="12">
        <f>IF(D$12=0,0,D98/D$12)</f>
        <v>0.17359020624233656</v>
      </c>
      <c r="G98" s="4"/>
      <c r="H98" s="4">
        <v>9033</v>
      </c>
      <c r="I98" s="4"/>
      <c r="J98" s="12">
        <f>IF(H$12=0,0,H98/H$12)</f>
        <v>9.8073916442282638E-2</v>
      </c>
      <c r="K98" s="4"/>
      <c r="L98" s="4">
        <f>+D98-H98</f>
        <v>-1467.3000000000002</v>
      </c>
      <c r="M98" s="4"/>
      <c r="N98" s="12">
        <f>IF(H98=0,0,L98/H98)</f>
        <v>-0.16243772832945866</v>
      </c>
      <c r="O98" s="10"/>
      <c r="P98" s="4">
        <v>63965.149999999994</v>
      </c>
      <c r="Q98" s="4"/>
      <c r="R98" s="12">
        <f>IF(P$12=0,0,P98/P$12)</f>
        <v>0.10715242654489306</v>
      </c>
      <c r="S98" s="4"/>
      <c r="T98" s="4">
        <v>71068</v>
      </c>
      <c r="U98" s="4"/>
      <c r="V98" s="12">
        <f>IF(T$12=0,0,T98/T$12)</f>
        <v>0.11689273363003355</v>
      </c>
      <c r="W98" s="4"/>
      <c r="X98" s="4">
        <f>+P98-T98</f>
        <v>-7102.8500000000058</v>
      </c>
      <c r="Y98" s="4"/>
      <c r="Z98" s="12">
        <f>IF(T98=0,0,X98/T98)</f>
        <v>-9.9944419429279077E-2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8" t="s">
        <v>4</v>
      </c>
      <c r="C100" s="28"/>
      <c r="D100" s="31">
        <f>+D96-D98</f>
        <v>-17692.729999999992</v>
      </c>
      <c r="E100" s="14"/>
      <c r="F100" s="34">
        <f>IF(D$12=0,0,D100/D$12)</f>
        <v>-0.40594851100228324</v>
      </c>
      <c r="G100" s="14"/>
      <c r="H100" s="31">
        <f>+H96-H98</f>
        <v>5898.1676672000031</v>
      </c>
      <c r="I100" s="14"/>
      <c r="J100" s="34">
        <f>IF(H$12=0,0,H100/H$12)</f>
        <v>6.4038127195344421E-2</v>
      </c>
      <c r="K100" s="16"/>
      <c r="L100" s="31">
        <f>D100-H100</f>
        <v>-23590.897667199995</v>
      </c>
      <c r="M100" s="16"/>
      <c r="N100" s="34">
        <f>IF(H100=0,0,L100/H100)</f>
        <v>-3.9996993978977784</v>
      </c>
      <c r="O100" s="29"/>
      <c r="P100" s="31">
        <f>+P96-P98</f>
        <v>-22544.879999999917</v>
      </c>
      <c r="Q100" s="14"/>
      <c r="R100" s="34">
        <f>IF(P$12=0,0,P100/P$12)</f>
        <v>-3.7766480625206378E-2</v>
      </c>
      <c r="S100" s="14"/>
      <c r="T100" s="31">
        <f>+T96-T98</f>
        <v>-27507.734404350049</v>
      </c>
      <c r="U100" s="14"/>
      <c r="V100" s="34">
        <f>IF(T$12=0,0,T100/T$12)</f>
        <v>-4.5244755311721167E-2</v>
      </c>
      <c r="W100" s="16"/>
      <c r="X100" s="31">
        <f>P100-T100</f>
        <v>4962.8544043501315</v>
      </c>
      <c r="Y100" s="16"/>
      <c r="Z100" s="34">
        <f>IF(T100=0,0,X100/T100)</f>
        <v>-0.18041669049870243</v>
      </c>
    </row>
    <row r="101" spans="1:26" ht="15.75" thickTop="1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8" t="s">
        <v>5</v>
      </c>
      <c r="C103" s="28"/>
      <c r="D103" s="32">
        <f>SUM(D100:D102)</f>
        <v>-17692.729999999992</v>
      </c>
      <c r="E103" s="14"/>
      <c r="F103" s="35">
        <f>IF(D$12=0,0,D103/D$12)</f>
        <v>-0.40594851100228324</v>
      </c>
      <c r="G103" s="14"/>
      <c r="H103" s="32">
        <f>SUM(H100:H102)</f>
        <v>5898.1676672000031</v>
      </c>
      <c r="I103" s="14"/>
      <c r="J103" s="35">
        <f>IF(H$12=0,0,H103/H$12)</f>
        <v>6.4038127195344421E-2</v>
      </c>
      <c r="K103" s="16"/>
      <c r="L103" s="32">
        <f>+D103-H103</f>
        <v>-23590.897667199995</v>
      </c>
      <c r="M103" s="16"/>
      <c r="N103" s="35">
        <f>IF(H103=0,0,L103/H103)</f>
        <v>-3.9996993978977784</v>
      </c>
      <c r="O103" s="29"/>
      <c r="P103" s="32">
        <f>SUM(P100:P102)</f>
        <v>-22544.879999999917</v>
      </c>
      <c r="Q103" s="14"/>
      <c r="R103" s="35">
        <f>IF(P$12=0,0,P103/P$12)</f>
        <v>-3.7766480625206378E-2</v>
      </c>
      <c r="S103" s="14"/>
      <c r="T103" s="32">
        <f>SUM(T100:T102)</f>
        <v>-27507.734404350049</v>
      </c>
      <c r="U103" s="14"/>
      <c r="V103" s="35">
        <f>IF(T$12=0,0,T103/T$12)</f>
        <v>-4.5244755311721167E-2</v>
      </c>
      <c r="W103" s="16"/>
      <c r="X103" s="32">
        <f>+P103-T103</f>
        <v>4962.8544043501315</v>
      </c>
      <c r="Y103" s="16"/>
      <c r="Z103" s="35">
        <f>IF(T103=0,0,X103/T103)</f>
        <v>-0.18041669049870243</v>
      </c>
    </row>
    <row r="104" spans="1:26" ht="15.75" thickTop="1" x14ac:dyDescent="0.25">
      <c r="A104" s="9"/>
      <c r="C104" s="9"/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  <row r="105" spans="1:26" x14ac:dyDescent="0.25">
      <c r="A105" s="9"/>
      <c r="B105" s="57">
        <v>43934.466618136576</v>
      </c>
      <c r="D105" s="18"/>
      <c r="E105" s="18"/>
      <c r="G105" s="18"/>
      <c r="H105" s="18"/>
      <c r="I105" s="18"/>
      <c r="J105" s="42"/>
      <c r="K105" s="18"/>
      <c r="L105" s="18"/>
      <c r="M105" s="18"/>
      <c r="P105" s="18"/>
      <c r="Q105" s="18"/>
      <c r="R105" s="42"/>
      <c r="S105" s="18"/>
      <c r="T105" s="18"/>
      <c r="U105" s="18"/>
      <c r="V105" s="42"/>
      <c r="W105" s="18"/>
      <c r="X105" s="18"/>
    </row>
    <row r="106" spans="1:26" x14ac:dyDescent="0.25">
      <c r="A106" s="9"/>
      <c r="B106" s="62" t="s">
        <v>314</v>
      </c>
      <c r="D106" s="18"/>
      <c r="E106" s="18"/>
      <c r="G106" s="18"/>
      <c r="H106" s="18"/>
      <c r="I106" s="18"/>
      <c r="J106" s="42"/>
      <c r="K106" s="18"/>
      <c r="L106" s="18"/>
      <c r="M106" s="18"/>
      <c r="P106" s="18"/>
      <c r="Q106" s="18"/>
      <c r="R106" s="42"/>
      <c r="S106" s="18"/>
      <c r="T106" s="18"/>
      <c r="U106" s="18"/>
      <c r="V106" s="42"/>
      <c r="W106" s="18"/>
      <c r="X106" s="18"/>
    </row>
    <row r="107" spans="1:26" x14ac:dyDescent="0.25">
      <c r="A107" s="9"/>
      <c r="B107" s="60"/>
      <c r="D107" s="18"/>
      <c r="E107" s="18"/>
      <c r="G107" s="18"/>
      <c r="H107" s="18"/>
      <c r="I107" s="18"/>
      <c r="J107" s="42"/>
      <c r="K107" s="18"/>
      <c r="L107" s="18"/>
      <c r="M107" s="18"/>
      <c r="P107" s="18"/>
      <c r="Q107" s="18"/>
      <c r="R107" s="42"/>
      <c r="S107" s="18"/>
      <c r="T107" s="18"/>
      <c r="U107" s="18"/>
      <c r="V107" s="42"/>
      <c r="W107" s="18"/>
      <c r="X107" s="18"/>
    </row>
    <row r="108" spans="1:26" x14ac:dyDescent="0.25">
      <c r="D108" s="18"/>
      <c r="E108" s="18"/>
      <c r="G108" s="18"/>
      <c r="H108" s="18"/>
      <c r="I108" s="18"/>
      <c r="J108" s="42"/>
      <c r="K108" s="18"/>
      <c r="L108" s="18"/>
      <c r="M108" s="18"/>
      <c r="P108" s="18"/>
      <c r="Q108" s="18"/>
      <c r="R108" s="42"/>
      <c r="S108" s="18"/>
      <c r="T108" s="18"/>
      <c r="U108" s="18"/>
      <c r="V108" s="42"/>
      <c r="W108" s="18"/>
      <c r="X108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","327", " - ", "C-Store Vending Machine(s)")</f>
        <v>Department 327 - C-Store Vending Machine(s)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2209</v>
      </c>
      <c r="I12" s="4"/>
      <c r="J12" s="12"/>
      <c r="K12" s="4"/>
      <c r="L12" s="4">
        <f t="shared" ref="L12:L14" si="0">+D12-H12</f>
        <v>-2209</v>
      </c>
      <c r="M12" s="4"/>
      <c r="N12" s="12">
        <f t="shared" ref="N12:N14" si="1">IF(H12=0,0,L12/H12)</f>
        <v>-1</v>
      </c>
      <c r="O12" s="10"/>
      <c r="P12" s="4">
        <f>SUM(OSRRefP13x_0)</f>
        <v>12812.5</v>
      </c>
      <c r="Q12" s="4"/>
      <c r="R12" s="12"/>
      <c r="S12" s="4"/>
      <c r="T12" s="4">
        <f>SUM(OSRRefT13x_0)</f>
        <v>12402</v>
      </c>
      <c r="U12" s="4"/>
      <c r="V12" s="12"/>
      <c r="W12" s="4"/>
      <c r="X12" s="4">
        <f t="shared" ref="X12:X14" si="2">+P12-T12</f>
        <v>410.5</v>
      </c>
      <c r="Y12" s="4"/>
      <c r="Z12" s="12">
        <f t="shared" ref="Z12:Z14" si="3">IF(T12=0,0,X12/T12)</f>
        <v>3.3099500080632158E-2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 t="shared" ref="D13:D14" si="4">0</f>
        <v>0</v>
      </c>
      <c r="E13" s="2"/>
      <c r="F13" s="19"/>
      <c r="G13" s="2"/>
      <c r="H13" s="2">
        <v>2209</v>
      </c>
      <c r="I13" s="2"/>
      <c r="J13" s="19"/>
      <c r="K13" s="2"/>
      <c r="L13" s="2">
        <f t="shared" si="0"/>
        <v>-2209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12402</v>
      </c>
      <c r="U13" s="2"/>
      <c r="V13" s="19"/>
      <c r="W13" s="2"/>
      <c r="X13" s="2">
        <f t="shared" si="2"/>
        <v>-12402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--12812.5</f>
        <v>12812.5</v>
      </c>
      <c r="Q14" s="2"/>
      <c r="R14" s="19"/>
      <c r="S14" s="2"/>
      <c r="T14" s="2"/>
      <c r="U14" s="2"/>
      <c r="V14" s="19"/>
      <c r="W14" s="2"/>
      <c r="X14" s="2">
        <f t="shared" si="2"/>
        <v>12812.5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8" si="5">IF(D$12=0,0,D16/D$12)</f>
        <v>0</v>
      </c>
      <c r="G16" s="4"/>
      <c r="H16" s="4">
        <f>SUM(OSRRefH16x_0)</f>
        <v>1105</v>
      </c>
      <c r="I16" s="4"/>
      <c r="J16" s="12">
        <f t="shared" ref="J16:J18" si="6">IF(H$12=0,0,H16/H$12)</f>
        <v>0.50022634676324129</v>
      </c>
      <c r="K16" s="4"/>
      <c r="L16" s="4">
        <f t="shared" ref="L16:L18" si="7">+D16-H16</f>
        <v>-1105</v>
      </c>
      <c r="M16" s="4"/>
      <c r="N16" s="12">
        <f t="shared" ref="N16:N18" si="8">IF(H16=0,0,L16/H16)</f>
        <v>-1</v>
      </c>
      <c r="O16" s="10"/>
      <c r="P16" s="4">
        <f>SUM(OSRRefP16x_0)</f>
        <v>3256.12</v>
      </c>
      <c r="Q16" s="4"/>
      <c r="R16" s="12">
        <f t="shared" ref="R16:R18" si="9">IF(P$12=0,0,P16/P$12)</f>
        <v>0.25413619512195124</v>
      </c>
      <c r="S16" s="4"/>
      <c r="T16" s="4">
        <f>SUM(OSRRefT16x_0)</f>
        <v>6200</v>
      </c>
      <c r="U16" s="4"/>
      <c r="V16" s="12">
        <f t="shared" ref="V16:V18" si="10">IF(T$12=0,0,T16/T$12)</f>
        <v>0.49991936784389612</v>
      </c>
      <c r="W16" s="4"/>
      <c r="X16" s="4">
        <f t="shared" ref="X16:X18" si="11">+P16-T16</f>
        <v>-2943.88</v>
      </c>
      <c r="Y16" s="4"/>
      <c r="Z16" s="12">
        <f t="shared" ref="Z16:Z18" si="12">IF(T16=0,0,X16/T16)</f>
        <v>-0.47481935483870968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5"/>
        <v>0</v>
      </c>
      <c r="G17" s="2"/>
      <c r="H17" s="2">
        <v>1105</v>
      </c>
      <c r="I17" s="2"/>
      <c r="J17" s="19">
        <f t="shared" si="6"/>
        <v>0.50022634676324129</v>
      </c>
      <c r="K17" s="2"/>
      <c r="L17" s="2">
        <f t="shared" si="7"/>
        <v>-1105</v>
      </c>
      <c r="M17" s="2"/>
      <c r="N17" s="19">
        <f t="shared" si="8"/>
        <v>-1</v>
      </c>
      <c r="O17" s="11"/>
      <c r="P17" s="2"/>
      <c r="Q17" s="2"/>
      <c r="R17" s="19">
        <f t="shared" si="9"/>
        <v>0</v>
      </c>
      <c r="S17" s="2"/>
      <c r="T17" s="2">
        <v>6200</v>
      </c>
      <c r="U17" s="2"/>
      <c r="V17" s="19">
        <f t="shared" si="10"/>
        <v>0.49991936784389612</v>
      </c>
      <c r="W17" s="2"/>
      <c r="X17" s="2">
        <f t="shared" si="11"/>
        <v>-6200</v>
      </c>
      <c r="Y17" s="2"/>
      <c r="Z17" s="19">
        <f t="shared" si="12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5"/>
        <v>0</v>
      </c>
      <c r="G18" s="2"/>
      <c r="H18" s="2"/>
      <c r="I18" s="2"/>
      <c r="J18" s="19">
        <f t="shared" si="6"/>
        <v>0</v>
      </c>
      <c r="K18" s="2"/>
      <c r="L18" s="2">
        <f t="shared" si="7"/>
        <v>0</v>
      </c>
      <c r="M18" s="2"/>
      <c r="N18" s="19">
        <f t="shared" si="8"/>
        <v>0</v>
      </c>
      <c r="O18" s="11"/>
      <c r="P18" s="2">
        <v>3256.12</v>
      </c>
      <c r="Q18" s="2"/>
      <c r="R18" s="19">
        <f t="shared" si="9"/>
        <v>0.25413619512195124</v>
      </c>
      <c r="S18" s="2"/>
      <c r="T18" s="2"/>
      <c r="U18" s="2"/>
      <c r="V18" s="19">
        <f t="shared" si="10"/>
        <v>0</v>
      </c>
      <c r="W18" s="2"/>
      <c r="X18" s="2">
        <f t="shared" si="11"/>
        <v>3256.12</v>
      </c>
      <c r="Y18" s="2"/>
      <c r="Z18" s="19">
        <f t="shared" si="12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1104</v>
      </c>
      <c r="I20" s="14"/>
      <c r="J20" s="22">
        <f>IF(H$12=0,0,H20/H$12)</f>
        <v>0.49977365323675871</v>
      </c>
      <c r="K20" s="16"/>
      <c r="L20" s="20">
        <f>+D20-H20</f>
        <v>-1104</v>
      </c>
      <c r="M20" s="16"/>
      <c r="N20" s="22">
        <f>IF(H20=0,0,L20/H20)</f>
        <v>-1</v>
      </c>
      <c r="O20" s="29"/>
      <c r="P20" s="20">
        <f>P12-P16</f>
        <v>9556.380000000001</v>
      </c>
      <c r="Q20" s="14"/>
      <c r="R20" s="22">
        <f>IF(P$12=0,0,P20/P$12)</f>
        <v>0.74586380487804882</v>
      </c>
      <c r="S20" s="14"/>
      <c r="T20" s="20">
        <f>T12-T16</f>
        <v>6202</v>
      </c>
      <c r="U20" s="14"/>
      <c r="V20" s="22">
        <f>IF(T$12=0,0,T20/T$12)</f>
        <v>0.50008063215610388</v>
      </c>
      <c r="W20" s="16"/>
      <c r="X20" s="20">
        <f>+P20-T20</f>
        <v>3354.380000000001</v>
      </c>
      <c r="Y20" s="16"/>
      <c r="Z20" s="22">
        <f>IF(T20=0,0,X20/T20)</f>
        <v>0.54085456304417945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160.88</v>
      </c>
      <c r="E22" s="21"/>
      <c r="F22" s="30">
        <f t="shared" ref="F22:F28" si="13">IF(D$12=0,0,D22/D$12)</f>
        <v>0</v>
      </c>
      <c r="G22" s="21"/>
      <c r="H22" s="21">
        <f>SUM(OSRRefH22x_0)</f>
        <v>190</v>
      </c>
      <c r="I22" s="21"/>
      <c r="J22" s="30">
        <f t="shared" ref="J22:J28" si="14">IF(H$12=0,0,H22/H$12)</f>
        <v>8.6011770031688542E-2</v>
      </c>
      <c r="K22" s="4"/>
      <c r="L22" s="21">
        <f t="shared" ref="L22:L28" si="15">+D22-H22</f>
        <v>-29.120000000000005</v>
      </c>
      <c r="M22" s="4"/>
      <c r="N22" s="30">
        <f t="shared" ref="N22:N28" si="16">IF(H22=0,0,L22/H22)</f>
        <v>-0.15326315789473688</v>
      </c>
      <c r="O22" s="10"/>
      <c r="P22" s="21">
        <f>SUM(OSRRefP22x_0)</f>
        <v>1569.51</v>
      </c>
      <c r="Q22" s="21"/>
      <c r="R22" s="30">
        <f t="shared" ref="R22:R28" si="17">IF(P$12=0,0,P22/P$12)</f>
        <v>0.12249834146341464</v>
      </c>
      <c r="S22" s="21"/>
      <c r="T22" s="21">
        <f>SUM(OSRRefT22x_0)</f>
        <v>1066</v>
      </c>
      <c r="U22" s="21"/>
      <c r="V22" s="30">
        <f t="shared" ref="V22:V28" si="18">IF(T$12=0,0,T22/T$12)</f>
        <v>8.5953878406708595E-2</v>
      </c>
      <c r="W22" s="4"/>
      <c r="X22" s="21">
        <f t="shared" ref="X22:X28" si="19">+P22-T22</f>
        <v>503.51</v>
      </c>
      <c r="Y22" s="4"/>
      <c r="Z22" s="30">
        <f t="shared" ref="Z22:Z28" si="20">IF(T22=0,0,X22/T22)</f>
        <v>0.47233583489681052</v>
      </c>
    </row>
    <row r="23" spans="1:26" s="27" customFormat="1" outlineLevel="1" collapsed="1" x14ac:dyDescent="0.25">
      <c r="A23" s="26"/>
      <c r="B23" s="13" t="str">
        <f>CONCATENATE("     ","Bank/card Fees                                    ")</f>
        <v xml:space="preserve">     Bank/card Fees                                    </v>
      </c>
      <c r="C23" s="13"/>
      <c r="D23" s="1">
        <f>SUM(OSRRefD22_0x_0)</f>
        <v>160.88</v>
      </c>
      <c r="E23" s="1"/>
      <c r="F23" s="5">
        <f t="shared" si="13"/>
        <v>0</v>
      </c>
      <c r="G23" s="1"/>
      <c r="H23" s="1">
        <f>SUM(OSRRefH22_0x_0)</f>
        <v>190</v>
      </c>
      <c r="I23" s="1"/>
      <c r="J23" s="5">
        <f t="shared" si="14"/>
        <v>8.6011770031688542E-2</v>
      </c>
      <c r="K23" s="1"/>
      <c r="L23" s="1">
        <f t="shared" si="15"/>
        <v>-29.120000000000005</v>
      </c>
      <c r="M23" s="1"/>
      <c r="N23" s="5">
        <f t="shared" si="16"/>
        <v>-0.15326315789473688</v>
      </c>
      <c r="O23" s="13"/>
      <c r="P23" s="1">
        <f>SUM(OSRRefP22_0x_0)</f>
        <v>1249.06</v>
      </c>
      <c r="Q23" s="1"/>
      <c r="R23" s="5">
        <f t="shared" si="17"/>
        <v>9.7487609756097562E-2</v>
      </c>
      <c r="S23" s="1"/>
      <c r="T23" s="1">
        <f>SUM(OSRRefT22_0x_0)</f>
        <v>1066</v>
      </c>
      <c r="U23" s="1"/>
      <c r="V23" s="5">
        <f t="shared" si="18"/>
        <v>8.5953878406708595E-2</v>
      </c>
      <c r="W23" s="1"/>
      <c r="X23" s="1">
        <f t="shared" si="19"/>
        <v>183.05999999999995</v>
      </c>
      <c r="Y23" s="1"/>
      <c r="Z23" s="5">
        <f t="shared" si="20"/>
        <v>0.17172607879924948</v>
      </c>
    </row>
    <row r="24" spans="1:26" s="24" customFormat="1" hidden="1" outlineLevel="2" x14ac:dyDescent="0.25">
      <c r="A24" s="25"/>
      <c r="B24" s="11" t="str">
        <f>CONCATENATE("          ", "6381", " - ", "BANK/CREDIT CARD FEES")</f>
        <v xml:space="preserve">          6381 - BANK/CREDIT CARD FEES</v>
      </c>
      <c r="C24" s="11"/>
      <c r="D24" s="6">
        <v>160.88</v>
      </c>
      <c r="E24" s="2"/>
      <c r="F24" s="7">
        <f t="shared" si="13"/>
        <v>0</v>
      </c>
      <c r="G24" s="2"/>
      <c r="H24" s="6">
        <v>190</v>
      </c>
      <c r="I24" s="2"/>
      <c r="J24" s="7">
        <f t="shared" si="14"/>
        <v>8.6011770031688542E-2</v>
      </c>
      <c r="K24" s="2"/>
      <c r="L24" s="6">
        <f t="shared" si="15"/>
        <v>-29.120000000000005</v>
      </c>
      <c r="M24" s="2"/>
      <c r="N24" s="7">
        <f t="shared" si="16"/>
        <v>-0.15326315789473688</v>
      </c>
      <c r="O24" s="11"/>
      <c r="P24" s="6">
        <v>1249.06</v>
      </c>
      <c r="Q24" s="2"/>
      <c r="R24" s="7">
        <f t="shared" si="17"/>
        <v>9.7487609756097562E-2</v>
      </c>
      <c r="S24" s="2"/>
      <c r="T24" s="6">
        <v>1066</v>
      </c>
      <c r="U24" s="2"/>
      <c r="V24" s="7">
        <f t="shared" si="18"/>
        <v>8.5953878406708595E-2</v>
      </c>
      <c r="W24" s="2"/>
      <c r="X24" s="6">
        <f t="shared" si="19"/>
        <v>183.05999999999995</v>
      </c>
      <c r="Y24" s="2"/>
      <c r="Z24" s="7">
        <f t="shared" si="20"/>
        <v>0.17172607879924948</v>
      </c>
    </row>
    <row r="25" spans="1:26" s="27" customFormat="1" outlineLevel="1" collapsed="1" x14ac:dyDescent="0.25">
      <c r="A25" s="26"/>
      <c r="B25" s="13" t="str">
        <f>CONCATENATE("     ","General                                           ")</f>
        <v xml:space="preserve">     General                                           </v>
      </c>
      <c r="C25" s="13"/>
      <c r="D25" s="1">
        <f>SUM(OSRRefD22_1x_0)</f>
        <v>0</v>
      </c>
      <c r="E25" s="1"/>
      <c r="F25" s="5">
        <f t="shared" si="13"/>
        <v>0</v>
      </c>
      <c r="G25" s="1"/>
      <c r="H25" s="1">
        <f>SUM(OSRRefH22_1x_0)</f>
        <v>0</v>
      </c>
      <c r="I25" s="1"/>
      <c r="J25" s="5">
        <f t="shared" si="14"/>
        <v>0</v>
      </c>
      <c r="K25" s="1"/>
      <c r="L25" s="1">
        <f t="shared" si="15"/>
        <v>0</v>
      </c>
      <c r="M25" s="1"/>
      <c r="N25" s="5">
        <f t="shared" si="16"/>
        <v>0</v>
      </c>
      <c r="O25" s="13"/>
      <c r="P25" s="1">
        <f>SUM(OSRRefP22_1x_0)</f>
        <v>23.45</v>
      </c>
      <c r="Q25" s="1"/>
      <c r="R25" s="5">
        <f t="shared" si="17"/>
        <v>1.8302439024390244E-3</v>
      </c>
      <c r="S25" s="1"/>
      <c r="T25" s="1">
        <f>SUM(OSRRefT22_1x_0)</f>
        <v>0</v>
      </c>
      <c r="U25" s="1"/>
      <c r="V25" s="5">
        <f t="shared" si="18"/>
        <v>0</v>
      </c>
      <c r="W25" s="1"/>
      <c r="X25" s="1">
        <f t="shared" si="19"/>
        <v>23.45</v>
      </c>
      <c r="Y25" s="1"/>
      <c r="Z25" s="5">
        <f t="shared" si="20"/>
        <v>0</v>
      </c>
    </row>
    <row r="26" spans="1:26" s="24" customFormat="1" hidden="1" outlineLevel="2" x14ac:dyDescent="0.25">
      <c r="A26" s="25"/>
      <c r="B26" s="11" t="str">
        <f>CONCATENATE("          ", "6279", " - ", "GENERAL EXPENSE")</f>
        <v xml:space="preserve">          6279 - GENERAL EXPENSE</v>
      </c>
      <c r="C26" s="11"/>
      <c r="D26" s="6"/>
      <c r="E26" s="2"/>
      <c r="F26" s="7">
        <f t="shared" si="13"/>
        <v>0</v>
      </c>
      <c r="G26" s="2"/>
      <c r="H26" s="6"/>
      <c r="I26" s="2"/>
      <c r="J26" s="7">
        <f t="shared" si="14"/>
        <v>0</v>
      </c>
      <c r="K26" s="2"/>
      <c r="L26" s="6">
        <f t="shared" si="15"/>
        <v>0</v>
      </c>
      <c r="M26" s="2"/>
      <c r="N26" s="7">
        <f t="shared" si="16"/>
        <v>0</v>
      </c>
      <c r="O26" s="11"/>
      <c r="P26" s="6">
        <v>23.45</v>
      </c>
      <c r="Q26" s="2"/>
      <c r="R26" s="7">
        <f t="shared" si="17"/>
        <v>1.8302439024390244E-3</v>
      </c>
      <c r="S26" s="2"/>
      <c r="T26" s="6"/>
      <c r="U26" s="2"/>
      <c r="V26" s="7">
        <f t="shared" si="18"/>
        <v>0</v>
      </c>
      <c r="W26" s="2"/>
      <c r="X26" s="6">
        <f t="shared" si="19"/>
        <v>23.45</v>
      </c>
      <c r="Y26" s="2"/>
      <c r="Z26" s="7">
        <f t="shared" si="20"/>
        <v>0</v>
      </c>
    </row>
    <row r="27" spans="1:26" s="27" customFormat="1" outlineLevel="1" collapsed="1" x14ac:dyDescent="0.25">
      <c r="A27" s="26"/>
      <c r="B27" s="13" t="str">
        <f>CONCATENATE("     ","Supplies                                          ")</f>
        <v xml:space="preserve">     Supplies                                          </v>
      </c>
      <c r="C27" s="13"/>
      <c r="D27" s="1">
        <f>SUM(OSRRefD22_2x_0)</f>
        <v>0</v>
      </c>
      <c r="E27" s="1"/>
      <c r="F27" s="5">
        <f t="shared" si="13"/>
        <v>0</v>
      </c>
      <c r="G27" s="1"/>
      <c r="H27" s="1">
        <f>SUM(OSRRefH22_2x_0)</f>
        <v>0</v>
      </c>
      <c r="I27" s="1"/>
      <c r="J27" s="5">
        <f t="shared" si="14"/>
        <v>0</v>
      </c>
      <c r="K27" s="1"/>
      <c r="L27" s="1">
        <f t="shared" si="15"/>
        <v>0</v>
      </c>
      <c r="M27" s="1"/>
      <c r="N27" s="5">
        <f t="shared" si="16"/>
        <v>0</v>
      </c>
      <c r="O27" s="13"/>
      <c r="P27" s="1">
        <f>SUM(OSRRefP22_2x_0)</f>
        <v>297</v>
      </c>
      <c r="Q27" s="1"/>
      <c r="R27" s="5">
        <f t="shared" si="17"/>
        <v>2.3180487804878049E-2</v>
      </c>
      <c r="S27" s="1"/>
      <c r="T27" s="1">
        <f>SUM(OSRRefT22_2x_0)</f>
        <v>0</v>
      </c>
      <c r="U27" s="1"/>
      <c r="V27" s="5">
        <f t="shared" si="18"/>
        <v>0</v>
      </c>
      <c r="W27" s="1"/>
      <c r="X27" s="1">
        <f t="shared" si="19"/>
        <v>297</v>
      </c>
      <c r="Y27" s="1"/>
      <c r="Z27" s="5">
        <f t="shared" si="20"/>
        <v>0</v>
      </c>
    </row>
    <row r="28" spans="1:26" s="24" customFormat="1" hidden="1" outlineLevel="2" x14ac:dyDescent="0.25">
      <c r="A28" s="25"/>
      <c r="B28" s="11" t="str">
        <f>CONCATENATE("          ", "6247", " - ", "STORE SUPPLIES")</f>
        <v xml:space="preserve">          6247 - STORE SUPPLIES</v>
      </c>
      <c r="C28" s="11"/>
      <c r="D28" s="6"/>
      <c r="E28" s="2"/>
      <c r="F28" s="7">
        <f t="shared" si="13"/>
        <v>0</v>
      </c>
      <c r="G28" s="2"/>
      <c r="H28" s="6"/>
      <c r="I28" s="2"/>
      <c r="J28" s="7">
        <f t="shared" si="14"/>
        <v>0</v>
      </c>
      <c r="K28" s="2"/>
      <c r="L28" s="6">
        <f t="shared" si="15"/>
        <v>0</v>
      </c>
      <c r="M28" s="2"/>
      <c r="N28" s="7">
        <f t="shared" si="16"/>
        <v>0</v>
      </c>
      <c r="O28" s="11"/>
      <c r="P28" s="6">
        <v>297</v>
      </c>
      <c r="Q28" s="2"/>
      <c r="R28" s="7">
        <f t="shared" si="17"/>
        <v>2.3180487804878049E-2</v>
      </c>
      <c r="S28" s="2"/>
      <c r="T28" s="6"/>
      <c r="U28" s="2"/>
      <c r="V28" s="7">
        <f t="shared" si="18"/>
        <v>0</v>
      </c>
      <c r="W28" s="2"/>
      <c r="X28" s="6">
        <f t="shared" si="19"/>
        <v>297</v>
      </c>
      <c r="Y28" s="2"/>
      <c r="Z28" s="7">
        <f t="shared" si="20"/>
        <v>0</v>
      </c>
    </row>
    <row r="29" spans="1:26" s="56" customFormat="1" x14ac:dyDescent="0.25">
      <c r="A29" s="36"/>
      <c r="B29" s="36"/>
      <c r="C29" s="36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9" t="s">
        <v>0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8" t="s">
        <v>3</v>
      </c>
      <c r="C32" s="28"/>
      <c r="D32" s="20">
        <f>+D20-D22+D30</f>
        <v>-160.88</v>
      </c>
      <c r="E32" s="14"/>
      <c r="F32" s="22">
        <f>IF(D$12=0,0,D32/D$12)</f>
        <v>0</v>
      </c>
      <c r="G32" s="14"/>
      <c r="H32" s="20">
        <f>+H20-H22+H30</f>
        <v>914</v>
      </c>
      <c r="I32" s="14"/>
      <c r="J32" s="22">
        <f>IF(H$12=0,0,H32/H$12)</f>
        <v>0.41376188320507018</v>
      </c>
      <c r="K32" s="16"/>
      <c r="L32" s="20">
        <f>+D32-H32</f>
        <v>-1074.8800000000001</v>
      </c>
      <c r="M32" s="16"/>
      <c r="N32" s="22">
        <f>IF(H32=0,0,L32/H32)</f>
        <v>-1.1760175054704596</v>
      </c>
      <c r="O32" s="29"/>
      <c r="P32" s="20">
        <f>+P20-P22+P30</f>
        <v>7986.8700000000008</v>
      </c>
      <c r="Q32" s="14"/>
      <c r="R32" s="22">
        <f>IF(P$12=0,0,P32/P$12)</f>
        <v>0.62336546341463417</v>
      </c>
      <c r="S32" s="14"/>
      <c r="T32" s="20">
        <f>+T20-T22+T30</f>
        <v>5136</v>
      </c>
      <c r="U32" s="14"/>
      <c r="V32" s="22">
        <f>IF(T$12=0,0,T32/T$12)</f>
        <v>0.41412675374939528</v>
      </c>
      <c r="W32" s="16"/>
      <c r="X32" s="20">
        <f>+P32-T32</f>
        <v>2850.8700000000008</v>
      </c>
      <c r="Y32" s="16"/>
      <c r="Z32" s="22">
        <f>IF(T32=0,0,X32/T32)</f>
        <v>0.55507593457943938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52"/>
      <c r="B34" s="10" t="s">
        <v>14</v>
      </c>
      <c r="C34" s="10"/>
      <c r="D34" s="4">
        <v>67.040000000000006</v>
      </c>
      <c r="E34" s="4"/>
      <c r="F34" s="12">
        <f>IF(D$12=0,0,D34/D$12)</f>
        <v>0</v>
      </c>
      <c r="G34" s="4"/>
      <c r="H34" s="4">
        <v>224</v>
      </c>
      <c r="I34" s="4"/>
      <c r="J34" s="12">
        <f>IF(H$12=0,0,H34/H$12)</f>
        <v>0.10140334993209597</v>
      </c>
      <c r="K34" s="4"/>
      <c r="L34" s="4">
        <f>+D34-H34</f>
        <v>-156.95999999999998</v>
      </c>
      <c r="M34" s="4"/>
      <c r="N34" s="12">
        <f>IF(H34=0,0,L34/H34)</f>
        <v>-0.70071428571428562</v>
      </c>
      <c r="O34" s="10"/>
      <c r="P34" s="4">
        <v>1372.89</v>
      </c>
      <c r="Q34" s="4"/>
      <c r="R34" s="12">
        <f>IF(P$12=0,0,P34/P$12)</f>
        <v>0.10715239024390244</v>
      </c>
      <c r="S34" s="4"/>
      <c r="T34" s="4">
        <v>1450</v>
      </c>
      <c r="U34" s="4"/>
      <c r="V34" s="12">
        <f>IF(T$12=0,0,T34/T$12)</f>
        <v>0.11691662635058861</v>
      </c>
      <c r="W34" s="4"/>
      <c r="X34" s="4">
        <f>+P34-T34</f>
        <v>-77.1099999999999</v>
      </c>
      <c r="Y34" s="4"/>
      <c r="Z34" s="12">
        <f>IF(T34=0,0,X34/T34)</f>
        <v>-5.3179310344827514E-2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4</v>
      </c>
      <c r="C36" s="28"/>
      <c r="D36" s="31">
        <f>+D32-D34</f>
        <v>-227.92000000000002</v>
      </c>
      <c r="E36" s="14"/>
      <c r="F36" s="34">
        <f>IF(D$12=0,0,D36/D$12)</f>
        <v>0</v>
      </c>
      <c r="G36" s="14"/>
      <c r="H36" s="31">
        <f>+H32-H34</f>
        <v>690</v>
      </c>
      <c r="I36" s="14"/>
      <c r="J36" s="34">
        <f>IF(H$12=0,0,H36/H$12)</f>
        <v>0.31235853327297419</v>
      </c>
      <c r="K36" s="16"/>
      <c r="L36" s="31">
        <f>D36-H36</f>
        <v>-917.92000000000007</v>
      </c>
      <c r="M36" s="16"/>
      <c r="N36" s="34">
        <f>IF(H36=0,0,L36/H36)</f>
        <v>-1.3303188405797102</v>
      </c>
      <c r="O36" s="29"/>
      <c r="P36" s="31">
        <f>+P32-P34</f>
        <v>6613.9800000000005</v>
      </c>
      <c r="Q36" s="14"/>
      <c r="R36" s="34">
        <f>IF(P$12=0,0,P36/P$12)</f>
        <v>0.51621307317073173</v>
      </c>
      <c r="S36" s="14"/>
      <c r="T36" s="31">
        <f>+T32-T34</f>
        <v>3686</v>
      </c>
      <c r="U36" s="14"/>
      <c r="V36" s="34">
        <f>IF(T$12=0,0,T36/T$12)</f>
        <v>0.29721012739880664</v>
      </c>
      <c r="W36" s="16"/>
      <c r="X36" s="31">
        <f>P36-T36</f>
        <v>2927.9800000000005</v>
      </c>
      <c r="Y36" s="16"/>
      <c r="Z36" s="34">
        <f>IF(T36=0,0,X36/T36)</f>
        <v>0.79435160065111243</v>
      </c>
    </row>
    <row r="37" spans="1:26" ht="15.75" thickTop="1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8" t="s">
        <v>5</v>
      </c>
      <c r="C39" s="28"/>
      <c r="D39" s="32">
        <f>SUM(D36:D38)</f>
        <v>-227.92000000000002</v>
      </c>
      <c r="E39" s="14"/>
      <c r="F39" s="35">
        <f>IF(D$12=0,0,D39/D$12)</f>
        <v>0</v>
      </c>
      <c r="G39" s="14"/>
      <c r="H39" s="32">
        <f>SUM(H36:H38)</f>
        <v>690</v>
      </c>
      <c r="I39" s="14"/>
      <c r="J39" s="35">
        <f>IF(H$12=0,0,H39/H$12)</f>
        <v>0.31235853327297419</v>
      </c>
      <c r="K39" s="16"/>
      <c r="L39" s="32">
        <f>+D39-H39</f>
        <v>-917.92000000000007</v>
      </c>
      <c r="M39" s="16"/>
      <c r="N39" s="35">
        <f>IF(H39=0,0,L39/H39)</f>
        <v>-1.3303188405797102</v>
      </c>
      <c r="O39" s="29"/>
      <c r="P39" s="32">
        <f>SUM(P36:P38)</f>
        <v>6613.9800000000005</v>
      </c>
      <c r="Q39" s="14"/>
      <c r="R39" s="35">
        <f>IF(P$12=0,0,P39/P$12)</f>
        <v>0.51621307317073173</v>
      </c>
      <c r="S39" s="14"/>
      <c r="T39" s="32">
        <f>SUM(T36:T38)</f>
        <v>3686</v>
      </c>
      <c r="U39" s="14"/>
      <c r="V39" s="35">
        <f>IF(T$12=0,0,T39/T$12)</f>
        <v>0.29721012739880664</v>
      </c>
      <c r="W39" s="16"/>
      <c r="X39" s="32">
        <f>+P39-T39</f>
        <v>2927.9800000000005</v>
      </c>
      <c r="Y39" s="16"/>
      <c r="Z39" s="35">
        <f>IF(T39=0,0,X39/T39)</f>
        <v>0.79435160065111243</v>
      </c>
    </row>
    <row r="40" spans="1:26" ht="15.75" thickTop="1" x14ac:dyDescent="0.25">
      <c r="A40" s="9"/>
      <c r="C40" s="9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57">
        <v>43934.466647997688</v>
      </c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A42" s="9"/>
      <c r="B42" s="62" t="s">
        <v>314</v>
      </c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  <row r="43" spans="1:26" x14ac:dyDescent="0.25">
      <c r="A43" s="9"/>
      <c r="B43" s="60"/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  <row r="44" spans="1:26" x14ac:dyDescent="0.25">
      <c r="D44" s="18"/>
      <c r="E44" s="18"/>
      <c r="G44" s="18"/>
      <c r="H44" s="18"/>
      <c r="I44" s="18"/>
      <c r="J44" s="42"/>
      <c r="K44" s="18"/>
      <c r="L44" s="18"/>
      <c r="M44" s="18"/>
      <c r="P44" s="18"/>
      <c r="Q44" s="18"/>
      <c r="R44" s="42"/>
      <c r="S44" s="18"/>
      <c r="T44" s="18"/>
      <c r="U44" s="18"/>
      <c r="V44" s="42"/>
      <c r="W44" s="18"/>
      <c r="X44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5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310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1294897.4699999997</v>
      </c>
      <c r="E12" s="4"/>
      <c r="F12" s="12"/>
      <c r="G12" s="4"/>
      <c r="H12" s="4">
        <f>SUM(OSRRefH13x_0)</f>
        <v>2171401</v>
      </c>
      <c r="I12" s="4"/>
      <c r="J12" s="12"/>
      <c r="K12" s="4"/>
      <c r="L12" s="4">
        <f t="shared" ref="L12:L24" si="0">+D12-H12</f>
        <v>-876503.53000000026</v>
      </c>
      <c r="M12" s="4"/>
      <c r="N12" s="12">
        <f t="shared" ref="N12:N24" si="1">IF(H12=0,0,L12/H12)</f>
        <v>-0.40365806684255939</v>
      </c>
      <c r="O12" s="10"/>
      <c r="P12" s="4">
        <f>SUM(OSRRefP13x_0)</f>
        <v>13664786.280000001</v>
      </c>
      <c r="Q12" s="4"/>
      <c r="R12" s="12"/>
      <c r="S12" s="4"/>
      <c r="T12" s="4">
        <f>SUM(OSRRefT13x_0)</f>
        <v>15029427</v>
      </c>
      <c r="U12" s="4"/>
      <c r="V12" s="12"/>
      <c r="W12" s="4"/>
      <c r="X12" s="4">
        <f t="shared" ref="X12:X24" si="2">+P12-T12</f>
        <v>-1364640.7199999988</v>
      </c>
      <c r="Y12" s="4"/>
      <c r="Z12" s="12">
        <f t="shared" ref="Z12:Z24" si="3">IF(T12=0,0,X12/T12)</f>
        <v>-9.0797920639289764E-2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446240</v>
      </c>
      <c r="I13" s="2"/>
      <c r="J13" s="19"/>
      <c r="K13" s="2"/>
      <c r="L13" s="2">
        <f t="shared" si="0"/>
        <v>-446240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2827827</v>
      </c>
      <c r="U13" s="2"/>
      <c r="V13" s="19"/>
      <c r="W13" s="2"/>
      <c r="X13" s="2">
        <f t="shared" si="2"/>
        <v>-2827827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--28468.23</f>
        <v>28468.23</v>
      </c>
      <c r="E14" s="2"/>
      <c r="F14" s="19"/>
      <c r="G14" s="2"/>
      <c r="H14" s="2"/>
      <c r="I14" s="2"/>
      <c r="J14" s="19"/>
      <c r="K14" s="2"/>
      <c r="L14" s="2">
        <f t="shared" si="0"/>
        <v>28468.23</v>
      </c>
      <c r="M14" s="2"/>
      <c r="N14" s="19">
        <f t="shared" si="1"/>
        <v>0</v>
      </c>
      <c r="O14" s="11"/>
      <c r="P14" s="2">
        <f>--454738.68</f>
        <v>454738.68</v>
      </c>
      <c r="Q14" s="2"/>
      <c r="R14" s="19"/>
      <c r="S14" s="2"/>
      <c r="T14" s="2"/>
      <c r="U14" s="2"/>
      <c r="V14" s="19"/>
      <c r="W14" s="2"/>
      <c r="X14" s="2">
        <f t="shared" si="2"/>
        <v>454738.68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"4052", " - ", "TAXABLE SALES-FOOD")</f>
        <v xml:space="preserve">          4052 - TAXABLE SALES-FOOD</v>
      </c>
      <c r="C15" s="11"/>
      <c r="D15" s="2">
        <f>--48334.99</f>
        <v>48334.99</v>
      </c>
      <c r="E15" s="2"/>
      <c r="F15" s="19"/>
      <c r="G15" s="2"/>
      <c r="H15" s="2"/>
      <c r="I15" s="2"/>
      <c r="J15" s="19"/>
      <c r="K15" s="2"/>
      <c r="L15" s="2">
        <f t="shared" si="0"/>
        <v>48334.99</v>
      </c>
      <c r="M15" s="2"/>
      <c r="N15" s="19">
        <f t="shared" si="1"/>
        <v>0</v>
      </c>
      <c r="O15" s="11"/>
      <c r="P15" s="2">
        <f>--836487.29</f>
        <v>836487.29</v>
      </c>
      <c r="Q15" s="2"/>
      <c r="R15" s="19"/>
      <c r="S15" s="2"/>
      <c r="T15" s="2"/>
      <c r="U15" s="2"/>
      <c r="V15" s="19"/>
      <c r="W15" s="2"/>
      <c r="X15" s="2">
        <f t="shared" si="2"/>
        <v>836487.29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"4053", " - ", "TAXABLE SALES-FOOD")</f>
        <v xml:space="preserve">          4053 - TAXABLE SALES-FOOD</v>
      </c>
      <c r="C16" s="11"/>
      <c r="D16" s="2">
        <f>--34924.26</f>
        <v>34924.26</v>
      </c>
      <c r="E16" s="2"/>
      <c r="F16" s="19"/>
      <c r="G16" s="2"/>
      <c r="H16" s="2"/>
      <c r="I16" s="2"/>
      <c r="J16" s="19"/>
      <c r="K16" s="2"/>
      <c r="L16" s="2">
        <f t="shared" si="0"/>
        <v>34924.26</v>
      </c>
      <c r="M16" s="2"/>
      <c r="N16" s="19">
        <f t="shared" si="1"/>
        <v>0</v>
      </c>
      <c r="O16" s="11"/>
      <c r="P16" s="2">
        <f>--279880.13</f>
        <v>279880.13</v>
      </c>
      <c r="Q16" s="2"/>
      <c r="R16" s="19"/>
      <c r="S16" s="2"/>
      <c r="T16" s="2"/>
      <c r="U16" s="2"/>
      <c r="V16" s="19"/>
      <c r="W16" s="2"/>
      <c r="X16" s="2">
        <f t="shared" si="2"/>
        <v>279880.13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"4055", " - ", "TAXABLE SALES-FOOD")</f>
        <v xml:space="preserve">          4055 - TAXABLE SALES-FOOD</v>
      </c>
      <c r="C17" s="11"/>
      <c r="D17" s="2">
        <f>--24162.83</f>
        <v>24162.83</v>
      </c>
      <c r="E17" s="2"/>
      <c r="F17" s="19"/>
      <c r="G17" s="2"/>
      <c r="H17" s="2"/>
      <c r="I17" s="2"/>
      <c r="J17" s="19"/>
      <c r="K17" s="2"/>
      <c r="L17" s="2">
        <f t="shared" si="0"/>
        <v>24162.83</v>
      </c>
      <c r="M17" s="2"/>
      <c r="N17" s="19">
        <f t="shared" si="1"/>
        <v>0</v>
      </c>
      <c r="O17" s="11"/>
      <c r="P17" s="2">
        <f>--382379.53</f>
        <v>382379.53</v>
      </c>
      <c r="Q17" s="2"/>
      <c r="R17" s="19"/>
      <c r="S17" s="2"/>
      <c r="T17" s="2"/>
      <c r="U17" s="2"/>
      <c r="V17" s="19"/>
      <c r="W17" s="2"/>
      <c r="X17" s="2">
        <f t="shared" si="2"/>
        <v>382379.53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>--6106.33</f>
        <v>6106.33</v>
      </c>
      <c r="E18" s="2"/>
      <c r="F18" s="19"/>
      <c r="G18" s="2"/>
      <c r="H18" s="2"/>
      <c r="I18" s="2"/>
      <c r="J18" s="19"/>
      <c r="K18" s="2"/>
      <c r="L18" s="2">
        <f t="shared" si="0"/>
        <v>6106.33</v>
      </c>
      <c r="M18" s="2"/>
      <c r="N18" s="19">
        <f t="shared" si="1"/>
        <v>0</v>
      </c>
      <c r="O18" s="11"/>
      <c r="P18" s="2">
        <f>--117077.57</f>
        <v>117077.57</v>
      </c>
      <c r="Q18" s="2"/>
      <c r="R18" s="19"/>
      <c r="S18" s="2"/>
      <c r="T18" s="2"/>
      <c r="U18" s="2"/>
      <c r="V18" s="19"/>
      <c r="W18" s="2"/>
      <c r="X18" s="2">
        <f t="shared" si="2"/>
        <v>117077.57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19"/>
      <c r="G19" s="2"/>
      <c r="H19" s="2">
        <v>1725161</v>
      </c>
      <c r="I19" s="2"/>
      <c r="J19" s="19"/>
      <c r="K19" s="2"/>
      <c r="L19" s="2">
        <f t="shared" si="0"/>
        <v>-1725161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12201600</v>
      </c>
      <c r="U19" s="2"/>
      <c r="V19" s="19"/>
      <c r="W19" s="2"/>
      <c r="X19" s="2">
        <f t="shared" si="2"/>
        <v>-12201600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"4151", " - ", "NON-TAXABLE SALES-FOOD")</f>
        <v xml:space="preserve">          4151 - NON-TAXABLE SALES-FOOD</v>
      </c>
      <c r="C20" s="11"/>
      <c r="D20" s="2">
        <f>--1060464.01</f>
        <v>1060464.01</v>
      </c>
      <c r="E20" s="2"/>
      <c r="F20" s="19"/>
      <c r="G20" s="2"/>
      <c r="H20" s="2"/>
      <c r="I20" s="2"/>
      <c r="J20" s="19"/>
      <c r="K20" s="2"/>
      <c r="L20" s="2">
        <f t="shared" si="0"/>
        <v>1060464.01</v>
      </c>
      <c r="M20" s="2"/>
      <c r="N20" s="19">
        <f t="shared" si="1"/>
        <v>0</v>
      </c>
      <c r="O20" s="11"/>
      <c r="P20" s="2">
        <f>--10076312.49</f>
        <v>10076312.49</v>
      </c>
      <c r="Q20" s="2"/>
      <c r="R20" s="19"/>
      <c r="S20" s="2"/>
      <c r="T20" s="2"/>
      <c r="U20" s="2"/>
      <c r="V20" s="19"/>
      <c r="W20" s="2"/>
      <c r="X20" s="2">
        <f t="shared" si="2"/>
        <v>10076312.49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"4152", " - ", "NON-TAXABLE SALES-FOOD")</f>
        <v xml:space="preserve">          4152 - NON-TAXABLE SALES-FOOD</v>
      </c>
      <c r="C21" s="11"/>
      <c r="D21" s="2">
        <f>--3688.2</f>
        <v>3688.2</v>
      </c>
      <c r="E21" s="2"/>
      <c r="F21" s="19"/>
      <c r="G21" s="2"/>
      <c r="H21" s="2"/>
      <c r="I21" s="2"/>
      <c r="J21" s="19"/>
      <c r="K21" s="2"/>
      <c r="L21" s="2">
        <f t="shared" si="0"/>
        <v>3688.2</v>
      </c>
      <c r="M21" s="2"/>
      <c r="N21" s="19">
        <f t="shared" si="1"/>
        <v>0</v>
      </c>
      <c r="O21" s="11"/>
      <c r="P21" s="2">
        <f>--51415.27</f>
        <v>51415.27</v>
      </c>
      <c r="Q21" s="2"/>
      <c r="R21" s="19"/>
      <c r="S21" s="2"/>
      <c r="T21" s="2"/>
      <c r="U21" s="2"/>
      <c r="V21" s="19"/>
      <c r="W21" s="2"/>
      <c r="X21" s="2">
        <f t="shared" si="2"/>
        <v>51415.27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"4153", " - ", "NON-TAXABLE SALES-FOOD")</f>
        <v xml:space="preserve">          4153 - NON-TAXABLE SALES-FOOD</v>
      </c>
      <c r="C22" s="11"/>
      <c r="D22" s="2">
        <f>--11350.59</f>
        <v>11350.59</v>
      </c>
      <c r="E22" s="2"/>
      <c r="F22" s="19"/>
      <c r="G22" s="2"/>
      <c r="H22" s="2"/>
      <c r="I22" s="2"/>
      <c r="J22" s="19"/>
      <c r="K22" s="2"/>
      <c r="L22" s="2">
        <f t="shared" si="0"/>
        <v>11350.59</v>
      </c>
      <c r="M22" s="2"/>
      <c r="N22" s="19">
        <f t="shared" si="1"/>
        <v>0</v>
      </c>
      <c r="O22" s="11"/>
      <c r="P22" s="2">
        <f>--300518.02</f>
        <v>300518.02</v>
      </c>
      <c r="Q22" s="2"/>
      <c r="R22" s="19"/>
      <c r="S22" s="2"/>
      <c r="T22" s="2"/>
      <c r="U22" s="2"/>
      <c r="V22" s="19"/>
      <c r="W22" s="2"/>
      <c r="X22" s="2">
        <f t="shared" si="2"/>
        <v>300518.02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"4155", " - ", "NON-TAXABLE SALES-FOOD")</f>
        <v xml:space="preserve">          4155 - NON-TAXABLE SALES-FOOD</v>
      </c>
      <c r="C23" s="11"/>
      <c r="D23" s="2">
        <f>--43938.14</f>
        <v>43938.14</v>
      </c>
      <c r="E23" s="2"/>
      <c r="F23" s="19"/>
      <c r="G23" s="2"/>
      <c r="H23" s="2"/>
      <c r="I23" s="2"/>
      <c r="J23" s="19"/>
      <c r="K23" s="2"/>
      <c r="L23" s="2">
        <f t="shared" si="0"/>
        <v>43938.14</v>
      </c>
      <c r="M23" s="2"/>
      <c r="N23" s="19">
        <f t="shared" si="1"/>
        <v>0</v>
      </c>
      <c r="O23" s="11"/>
      <c r="P23" s="2">
        <f>--691123.63</f>
        <v>691123.63</v>
      </c>
      <c r="Q23" s="2"/>
      <c r="R23" s="19"/>
      <c r="S23" s="2"/>
      <c r="T23" s="2"/>
      <c r="U23" s="2"/>
      <c r="V23" s="19"/>
      <c r="W23" s="2"/>
      <c r="X23" s="2">
        <f t="shared" si="2"/>
        <v>691123.63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"4158", " - ", "NON-TAXABLE SALES-FOOD")</f>
        <v xml:space="preserve">          4158 - NON-TAXABLE SALES-FOOD</v>
      </c>
      <c r="C24" s="11"/>
      <c r="D24" s="2">
        <f>--33459.89</f>
        <v>33459.89</v>
      </c>
      <c r="E24" s="2"/>
      <c r="F24" s="19"/>
      <c r="G24" s="2"/>
      <c r="H24" s="2"/>
      <c r="I24" s="2"/>
      <c r="J24" s="19"/>
      <c r="K24" s="2"/>
      <c r="L24" s="2">
        <f t="shared" si="0"/>
        <v>33459.89</v>
      </c>
      <c r="M24" s="2"/>
      <c r="N24" s="19">
        <f t="shared" si="1"/>
        <v>0</v>
      </c>
      <c r="O24" s="11"/>
      <c r="P24" s="2">
        <f>--474853.67</f>
        <v>474853.67</v>
      </c>
      <c r="Q24" s="2"/>
      <c r="R24" s="19"/>
      <c r="S24" s="2"/>
      <c r="T24" s="2"/>
      <c r="U24" s="2"/>
      <c r="V24" s="19"/>
      <c r="W24" s="2"/>
      <c r="X24" s="2">
        <f t="shared" si="2"/>
        <v>474853.67</v>
      </c>
      <c r="Y24" s="2"/>
      <c r="Z24" s="19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9" t="s">
        <v>8</v>
      </c>
      <c r="C26" s="10"/>
      <c r="D26" s="4">
        <f>SUM(OSRRefD16x_0)</f>
        <v>326274.43</v>
      </c>
      <c r="E26" s="4"/>
      <c r="F26" s="12">
        <f t="shared" ref="F26:F29" si="4">IF(D$12=0,0,D26/D$12)</f>
        <v>0.25196931614979529</v>
      </c>
      <c r="G26" s="4"/>
      <c r="H26" s="4">
        <f>SUM(OSRRefH16x_0)</f>
        <v>604165.16</v>
      </c>
      <c r="I26" s="4"/>
      <c r="J26" s="12">
        <f t="shared" ref="J26:J29" si="5">IF(H$12=0,0,H26/H$12)</f>
        <v>0.27823748814705346</v>
      </c>
      <c r="K26" s="4"/>
      <c r="L26" s="4">
        <f t="shared" ref="L26:L29" si="6">+D26-H26</f>
        <v>-277890.73000000004</v>
      </c>
      <c r="M26" s="4"/>
      <c r="N26" s="12">
        <f t="shared" ref="N26:N29" si="7">IF(H26=0,0,L26/H26)</f>
        <v>-0.459958217385458</v>
      </c>
      <c r="O26" s="10"/>
      <c r="P26" s="4">
        <f>SUM(OSRRefP16x_0)</f>
        <v>3706559.85</v>
      </c>
      <c r="Q26" s="4"/>
      <c r="R26" s="12">
        <f t="shared" ref="R26:R29" si="8">IF(P$12=0,0,P26/P$12)</f>
        <v>0.27124901729527817</v>
      </c>
      <c r="S26" s="4"/>
      <c r="T26" s="4">
        <f>SUM(OSRRefT16x_0)</f>
        <v>4216113.96</v>
      </c>
      <c r="U26" s="4"/>
      <c r="V26" s="12">
        <f t="shared" ref="V26:V29" si="9">IF(T$12=0,0,T26/T$12)</f>
        <v>0.28052393214990828</v>
      </c>
      <c r="W26" s="4"/>
      <c r="X26" s="4">
        <f t="shared" ref="X26:X29" si="10">+P26-T26</f>
        <v>-509554.10999999987</v>
      </c>
      <c r="Y26" s="4"/>
      <c r="Z26" s="12">
        <f t="shared" ref="Z26:Z29" si="11">IF(T26=0,0,X26/T26)</f>
        <v>-0.12085871369568006</v>
      </c>
    </row>
    <row r="27" spans="1:26" s="24" customFormat="1" hidden="1" outlineLevel="1" x14ac:dyDescent="0.25">
      <c r="A27" s="44"/>
      <c r="B27" s="11" t="str">
        <f>CONCATENATE("          ", "5000", " - ", "PURCHASES @ COST")</f>
        <v xml:space="preserve">          5000 - PURCHASES @ COST</v>
      </c>
      <c r="C27" s="11"/>
      <c r="D27" s="2"/>
      <c r="E27" s="2"/>
      <c r="F27" s="19">
        <f t="shared" si="4"/>
        <v>0</v>
      </c>
      <c r="G27" s="2"/>
      <c r="H27" s="2">
        <v>604165.16</v>
      </c>
      <c r="I27" s="2"/>
      <c r="J27" s="19">
        <f t="shared" si="5"/>
        <v>0.27823748814705346</v>
      </c>
      <c r="K27" s="2"/>
      <c r="L27" s="2">
        <f t="shared" si="6"/>
        <v>-604165.16</v>
      </c>
      <c r="M27" s="2"/>
      <c r="N27" s="19">
        <f t="shared" si="7"/>
        <v>-1</v>
      </c>
      <c r="O27" s="11"/>
      <c r="P27" s="2"/>
      <c r="Q27" s="2"/>
      <c r="R27" s="19">
        <f t="shared" si="8"/>
        <v>0</v>
      </c>
      <c r="S27" s="2"/>
      <c r="T27" s="2">
        <v>4216113.96</v>
      </c>
      <c r="U27" s="2"/>
      <c r="V27" s="19">
        <f t="shared" si="9"/>
        <v>0.28052393214990828</v>
      </c>
      <c r="W27" s="2"/>
      <c r="X27" s="2">
        <f t="shared" si="10"/>
        <v>-4216113.96</v>
      </c>
      <c r="Y27" s="2"/>
      <c r="Z27" s="19">
        <f t="shared" si="11"/>
        <v>-1</v>
      </c>
    </row>
    <row r="28" spans="1:26" s="24" customFormat="1" hidden="1" outlineLevel="1" x14ac:dyDescent="0.25">
      <c r="A28" s="44"/>
      <c r="B28" s="11" t="str">
        <f>CONCATENATE("          ", "5053", " - ", "PURCHASES @ COST-FOOD")</f>
        <v xml:space="preserve">          5053 - PURCHASES @ COST-FOOD</v>
      </c>
      <c r="C28" s="11"/>
      <c r="D28" s="2">
        <v>282468.43</v>
      </c>
      <c r="E28" s="2"/>
      <c r="F28" s="19">
        <f t="shared" si="4"/>
        <v>0.21813961069828952</v>
      </c>
      <c r="G28" s="2"/>
      <c r="H28" s="2"/>
      <c r="I28" s="2"/>
      <c r="J28" s="19">
        <f t="shared" si="5"/>
        <v>0</v>
      </c>
      <c r="K28" s="2"/>
      <c r="L28" s="2">
        <f t="shared" si="6"/>
        <v>282468.43</v>
      </c>
      <c r="M28" s="2"/>
      <c r="N28" s="19">
        <f t="shared" si="7"/>
        <v>0</v>
      </c>
      <c r="O28" s="11"/>
      <c r="P28" s="2">
        <v>3729325.12</v>
      </c>
      <c r="Q28" s="2"/>
      <c r="R28" s="19">
        <f t="shared" si="8"/>
        <v>0.27291499797975616</v>
      </c>
      <c r="S28" s="2"/>
      <c r="T28" s="2"/>
      <c r="U28" s="2"/>
      <c r="V28" s="19">
        <f t="shared" si="9"/>
        <v>0</v>
      </c>
      <c r="W28" s="2"/>
      <c r="X28" s="2">
        <f t="shared" si="10"/>
        <v>3729325.12</v>
      </c>
      <c r="Y28" s="2"/>
      <c r="Z28" s="19">
        <f t="shared" si="11"/>
        <v>0</v>
      </c>
    </row>
    <row r="29" spans="1:26" s="24" customFormat="1" hidden="1" outlineLevel="1" x14ac:dyDescent="0.25">
      <c r="A29" s="44"/>
      <c r="B29" s="11" t="str">
        <f>CONCATENATE("          ", "5059", " - ", "PURCHASES @ COST-FOOD")</f>
        <v xml:space="preserve">          5059 - PURCHASES @ COST-FOOD</v>
      </c>
      <c r="C29" s="11"/>
      <c r="D29" s="2">
        <v>43806</v>
      </c>
      <c r="E29" s="2"/>
      <c r="F29" s="19">
        <f t="shared" si="4"/>
        <v>3.3829705451505751E-2</v>
      </c>
      <c r="G29" s="2"/>
      <c r="H29" s="2"/>
      <c r="I29" s="2"/>
      <c r="J29" s="19">
        <f t="shared" si="5"/>
        <v>0</v>
      </c>
      <c r="K29" s="2"/>
      <c r="L29" s="2">
        <f t="shared" si="6"/>
        <v>43806</v>
      </c>
      <c r="M29" s="2"/>
      <c r="N29" s="19">
        <f t="shared" si="7"/>
        <v>0</v>
      </c>
      <c r="O29" s="11"/>
      <c r="P29" s="2">
        <v>-22765.27</v>
      </c>
      <c r="Q29" s="2"/>
      <c r="R29" s="19">
        <f t="shared" si="8"/>
        <v>-1.665980684478001E-3</v>
      </c>
      <c r="S29" s="2"/>
      <c r="T29" s="2"/>
      <c r="U29" s="2"/>
      <c r="V29" s="19">
        <f t="shared" si="9"/>
        <v>0</v>
      </c>
      <c r="W29" s="2"/>
      <c r="X29" s="2">
        <f t="shared" si="10"/>
        <v>-22765.27</v>
      </c>
      <c r="Y29" s="2"/>
      <c r="Z29" s="19">
        <f t="shared" si="11"/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8" t="s">
        <v>6</v>
      </c>
      <c r="C31" s="28"/>
      <c r="D31" s="20">
        <f>D12-D26</f>
        <v>968623.0399999998</v>
      </c>
      <c r="E31" s="14"/>
      <c r="F31" s="22">
        <f>IF(D$12=0,0,D31/D$12)</f>
        <v>0.74803068385020477</v>
      </c>
      <c r="G31" s="14"/>
      <c r="H31" s="20">
        <f>H12-H26</f>
        <v>1567235.8399999999</v>
      </c>
      <c r="I31" s="14"/>
      <c r="J31" s="22">
        <f>IF(H$12=0,0,H31/H$12)</f>
        <v>0.72176251185294649</v>
      </c>
      <c r="K31" s="16"/>
      <c r="L31" s="20">
        <f>+D31-H31</f>
        <v>-598612.80000000005</v>
      </c>
      <c r="M31" s="16"/>
      <c r="N31" s="22">
        <f>IF(H31=0,0,L31/H31)</f>
        <v>-0.38195451170897171</v>
      </c>
      <c r="O31" s="29"/>
      <c r="P31" s="20">
        <f>P12-P26</f>
        <v>9958226.4300000016</v>
      </c>
      <c r="Q31" s="14"/>
      <c r="R31" s="22">
        <f>IF(P$12=0,0,P31/P$12)</f>
        <v>0.72875098270472183</v>
      </c>
      <c r="S31" s="14"/>
      <c r="T31" s="20">
        <f>T12-T26</f>
        <v>10813313.039999999</v>
      </c>
      <c r="U31" s="14"/>
      <c r="V31" s="22">
        <f>IF(T$12=0,0,T31/T$12)</f>
        <v>0.71947606785009166</v>
      </c>
      <c r="W31" s="16"/>
      <c r="X31" s="20">
        <f>+P31-T31</f>
        <v>-855086.60999999754</v>
      </c>
      <c r="Y31" s="16"/>
      <c r="Z31" s="22">
        <f>IF(T31=0,0,X31/T31)</f>
        <v>-7.9077208514810329E-2</v>
      </c>
    </row>
    <row r="32" spans="1:26" x14ac:dyDescent="0.25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25">
      <c r="A33" s="10"/>
      <c r="B33" s="29" t="s">
        <v>9</v>
      </c>
      <c r="C33" s="10"/>
      <c r="D33" s="21">
        <f>SUM(OSRRefD22x_0)</f>
        <v>1121061.6700000004</v>
      </c>
      <c r="E33" s="21"/>
      <c r="F33" s="30">
        <f t="shared" ref="F33:F44" si="12">IF(D$12=0,0,D33/D$12)</f>
        <v>0.86575323218447608</v>
      </c>
      <c r="G33" s="21"/>
      <c r="H33" s="21">
        <f>SUM(OSRRefH22x_0)</f>
        <v>1080543.932960216</v>
      </c>
      <c r="I33" s="21"/>
      <c r="J33" s="30">
        <f t="shared" ref="J33:J44" si="13">IF(H$12=0,0,H33/H$12)</f>
        <v>0.49762523502578104</v>
      </c>
      <c r="K33" s="4"/>
      <c r="L33" s="21">
        <f t="shared" ref="L33:L44" si="14">+D33-H33</f>
        <v>40517.737039784435</v>
      </c>
      <c r="M33" s="4"/>
      <c r="N33" s="30">
        <f t="shared" ref="N33:N44" si="15">IF(H33=0,0,L33/H33)</f>
        <v>3.7497537863901219E-2</v>
      </c>
      <c r="O33" s="10"/>
      <c r="P33" s="21">
        <f>SUM(OSRRefP22x_0)</f>
        <v>8998912.1000000015</v>
      </c>
      <c r="Q33" s="21"/>
      <c r="R33" s="30">
        <f t="shared" ref="R33:R44" si="16">IF(P$12=0,0,P33/P$12)</f>
        <v>0.65854759200814961</v>
      </c>
      <c r="S33" s="21"/>
      <c r="T33" s="21">
        <f>SUM(OSRRefT22x_0)</f>
        <v>8699131.1080396511</v>
      </c>
      <c r="U33" s="21"/>
      <c r="V33" s="30">
        <f t="shared" ref="V33:V44" si="17">IF(T$12=0,0,T33/T$12)</f>
        <v>0.57880657113805145</v>
      </c>
      <c r="W33" s="4"/>
      <c r="X33" s="21">
        <f t="shared" ref="X33:X44" si="18">+P33-T33</f>
        <v>299780.99196035042</v>
      </c>
      <c r="Y33" s="4"/>
      <c r="Z33" s="30">
        <f t="shared" ref="Z33:Z44" si="19">IF(T33=0,0,X33/T33)</f>
        <v>3.4461026996511844E-2</v>
      </c>
    </row>
    <row r="34" spans="1:26" s="27" customFormat="1" outlineLevel="1" collapsed="1" x14ac:dyDescent="0.25">
      <c r="A34" s="26"/>
      <c r="B34" s="13" t="str">
        <f>CONCATENATE("     ","*Benefits                                         ")</f>
        <v xml:space="preserve">     *Benefits                                         </v>
      </c>
      <c r="C34" s="13"/>
      <c r="D34" s="1">
        <f>SUM(OSRRefD22_0x_0)</f>
        <v>182976.68000000005</v>
      </c>
      <c r="E34" s="1"/>
      <c r="F34" s="5">
        <f t="shared" si="12"/>
        <v>0.14130592130973899</v>
      </c>
      <c r="G34" s="1"/>
      <c r="H34" s="1">
        <f>SUM(OSRRefH22_0x_0)</f>
        <v>153282.18450636987</v>
      </c>
      <c r="I34" s="1"/>
      <c r="J34" s="5">
        <f t="shared" si="13"/>
        <v>7.0591376031589687E-2</v>
      </c>
      <c r="K34" s="1"/>
      <c r="L34" s="1">
        <f t="shared" si="14"/>
        <v>29694.49549363018</v>
      </c>
      <c r="M34" s="1"/>
      <c r="N34" s="5">
        <f t="shared" si="15"/>
        <v>0.19372437566217085</v>
      </c>
      <c r="O34" s="13"/>
      <c r="P34" s="1">
        <f>SUM(OSRRefP22_0x_0)</f>
        <v>1493396.4100000004</v>
      </c>
      <c r="Q34" s="1"/>
      <c r="R34" s="5">
        <f t="shared" si="16"/>
        <v>0.10928794489715211</v>
      </c>
      <c r="S34" s="1"/>
      <c r="T34" s="1">
        <f>SUM(OSRRefT22_0x_0)</f>
        <v>1377703.9622456497</v>
      </c>
      <c r="U34" s="1"/>
      <c r="V34" s="5">
        <f t="shared" si="17"/>
        <v>9.1667098302925965E-2</v>
      </c>
      <c r="W34" s="1"/>
      <c r="X34" s="1">
        <f t="shared" si="18"/>
        <v>115692.44775435072</v>
      </c>
      <c r="Y34" s="1"/>
      <c r="Z34" s="5">
        <f t="shared" si="19"/>
        <v>8.3974824000486059E-2</v>
      </c>
    </row>
    <row r="35" spans="1:26" s="24" customFormat="1" hidden="1" outlineLevel="2" x14ac:dyDescent="0.25">
      <c r="A35" s="25"/>
      <c r="B35" s="11" t="str">
        <f>CONCATENATE("          ", "6111", " - ", "F.I.C.A.")</f>
        <v xml:space="preserve">          6111 - F.I.C.A.</v>
      </c>
      <c r="C35" s="11"/>
      <c r="D35" s="6">
        <v>39992.700000000004</v>
      </c>
      <c r="E35" s="2"/>
      <c r="F35" s="7">
        <f t="shared" si="12"/>
        <v>3.0884839090773736E-2</v>
      </c>
      <c r="G35" s="2"/>
      <c r="H35" s="6">
        <v>23852.549995969854</v>
      </c>
      <c r="I35" s="2"/>
      <c r="J35" s="7">
        <f t="shared" si="13"/>
        <v>1.0984866450724603E-2</v>
      </c>
      <c r="K35" s="2"/>
      <c r="L35" s="6">
        <f t="shared" si="14"/>
        <v>16140.150004030151</v>
      </c>
      <c r="M35" s="2"/>
      <c r="N35" s="7">
        <f t="shared" si="15"/>
        <v>0.67666350166993483</v>
      </c>
      <c r="O35" s="11"/>
      <c r="P35" s="6">
        <v>252903.9</v>
      </c>
      <c r="Q35" s="2"/>
      <c r="R35" s="7">
        <f t="shared" si="16"/>
        <v>1.8507709876893881E-2</v>
      </c>
      <c r="S35" s="2"/>
      <c r="T35" s="6">
        <v>215561.33012566506</v>
      </c>
      <c r="U35" s="2"/>
      <c r="V35" s="7">
        <f t="shared" si="17"/>
        <v>1.4342617993730903E-2</v>
      </c>
      <c r="W35" s="2"/>
      <c r="X35" s="6">
        <f t="shared" si="18"/>
        <v>37342.569874334935</v>
      </c>
      <c r="Y35" s="2"/>
      <c r="Z35" s="7">
        <f t="shared" si="19"/>
        <v>0.17323408541117027</v>
      </c>
    </row>
    <row r="36" spans="1:26" s="24" customFormat="1" hidden="1" outlineLevel="2" x14ac:dyDescent="0.25">
      <c r="A36" s="25"/>
      <c r="B36" s="11" t="str">
        <f>CONCATENATE("          ", "6112", " - ", "COMPENSATION INSURANCE")</f>
        <v xml:space="preserve">          6112 - COMPENSATION INSURANCE</v>
      </c>
      <c r="C36" s="11"/>
      <c r="D36" s="6">
        <v>30568.220000000005</v>
      </c>
      <c r="E36" s="2"/>
      <c r="F36" s="7">
        <f t="shared" si="12"/>
        <v>2.3606672117445725E-2</v>
      </c>
      <c r="G36" s="2"/>
      <c r="H36" s="6">
        <v>20929.528604215382</v>
      </c>
      <c r="I36" s="2"/>
      <c r="J36" s="7">
        <f t="shared" si="13"/>
        <v>9.638721085702448E-3</v>
      </c>
      <c r="K36" s="2"/>
      <c r="L36" s="6">
        <f t="shared" si="14"/>
        <v>9638.6913957846227</v>
      </c>
      <c r="M36" s="2"/>
      <c r="N36" s="7">
        <f t="shared" si="15"/>
        <v>0.46053074477001404</v>
      </c>
      <c r="O36" s="11"/>
      <c r="P36" s="6">
        <v>151308.88999999998</v>
      </c>
      <c r="Q36" s="2"/>
      <c r="R36" s="7">
        <f t="shared" si="16"/>
        <v>1.1072905708116202E-2</v>
      </c>
      <c r="S36" s="2"/>
      <c r="T36" s="6">
        <v>168033.20395349999</v>
      </c>
      <c r="U36" s="2"/>
      <c r="V36" s="7">
        <f t="shared" si="17"/>
        <v>1.1180280123354003E-2</v>
      </c>
      <c r="W36" s="2"/>
      <c r="X36" s="6">
        <f t="shared" si="18"/>
        <v>-16724.313953500008</v>
      </c>
      <c r="Y36" s="2"/>
      <c r="Z36" s="7">
        <f t="shared" si="19"/>
        <v>-9.952981648869913E-2</v>
      </c>
    </row>
    <row r="37" spans="1:26" s="24" customFormat="1" hidden="1" outlineLevel="2" x14ac:dyDescent="0.25">
      <c r="A37" s="25"/>
      <c r="B37" s="11" t="str">
        <f>CONCATENATE("          ", "6113", " - ", "GROUP INSURANCE")</f>
        <v xml:space="preserve">          6113 - GROUP INSURANCE</v>
      </c>
      <c r="C37" s="11"/>
      <c r="D37" s="6">
        <v>80944.639999999999</v>
      </c>
      <c r="E37" s="2"/>
      <c r="F37" s="7">
        <f t="shared" si="12"/>
        <v>6.25104627009581E-2</v>
      </c>
      <c r="G37" s="2"/>
      <c r="H37" s="6">
        <v>67840.653846153844</v>
      </c>
      <c r="I37" s="2"/>
      <c r="J37" s="7">
        <f t="shared" si="13"/>
        <v>3.1242803077899405E-2</v>
      </c>
      <c r="K37" s="2"/>
      <c r="L37" s="6">
        <f t="shared" si="14"/>
        <v>13103.986153846156</v>
      </c>
      <c r="M37" s="2"/>
      <c r="N37" s="7">
        <f t="shared" si="15"/>
        <v>0.19315831158648353</v>
      </c>
      <c r="O37" s="11"/>
      <c r="P37" s="6">
        <v>641342.78</v>
      </c>
      <c r="Q37" s="2"/>
      <c r="R37" s="7">
        <f t="shared" si="16"/>
        <v>4.6933978099509652E-2</v>
      </c>
      <c r="S37" s="2"/>
      <c r="T37" s="6">
        <v>617825.05961538455</v>
      </c>
      <c r="U37" s="2"/>
      <c r="V37" s="7">
        <f t="shared" si="17"/>
        <v>4.1107692237061635E-2</v>
      </c>
      <c r="W37" s="2"/>
      <c r="X37" s="6">
        <f t="shared" si="18"/>
        <v>23517.720384615473</v>
      </c>
      <c r="Y37" s="2"/>
      <c r="Z37" s="7">
        <f t="shared" si="19"/>
        <v>3.8065339077142629E-2</v>
      </c>
    </row>
    <row r="38" spans="1:26" s="24" customFormat="1" hidden="1" outlineLevel="2" x14ac:dyDescent="0.25">
      <c r="A38" s="25"/>
      <c r="B38" s="11" t="str">
        <f>CONCATENATE("          ", "6114", " - ", "STATE UNEMPLOYMENT INSURANCE")</f>
        <v xml:space="preserve">          6114 - STATE UNEMPLOYMENT INSURANCE</v>
      </c>
      <c r="C38" s="11"/>
      <c r="D38" s="6">
        <v>2119.17</v>
      </c>
      <c r="E38" s="2"/>
      <c r="F38" s="7">
        <f t="shared" si="12"/>
        <v>1.6365542825564408E-3</v>
      </c>
      <c r="G38" s="2"/>
      <c r="H38" s="6">
        <v>1458.9516452</v>
      </c>
      <c r="I38" s="2"/>
      <c r="J38" s="7">
        <f t="shared" si="13"/>
        <v>6.7189415736660339E-4</v>
      </c>
      <c r="K38" s="2"/>
      <c r="L38" s="6">
        <f t="shared" si="14"/>
        <v>660.21835480000004</v>
      </c>
      <c r="M38" s="2"/>
      <c r="N38" s="7">
        <f t="shared" si="15"/>
        <v>0.45252929181864293</v>
      </c>
      <c r="O38" s="11"/>
      <c r="P38" s="6">
        <v>12427.35</v>
      </c>
      <c r="Q38" s="2"/>
      <c r="R38" s="7">
        <f t="shared" si="16"/>
        <v>9.0944342233795987E-4</v>
      </c>
      <c r="S38" s="2"/>
      <c r="T38" s="6">
        <v>11676.768876499998</v>
      </c>
      <c r="U38" s="2"/>
      <c r="V38" s="7">
        <f t="shared" si="17"/>
        <v>7.7692708288213503E-4</v>
      </c>
      <c r="W38" s="2"/>
      <c r="X38" s="6">
        <f t="shared" si="18"/>
        <v>750.58112350000192</v>
      </c>
      <c r="Y38" s="2"/>
      <c r="Z38" s="7">
        <f t="shared" si="19"/>
        <v>6.4279864698750591E-2</v>
      </c>
    </row>
    <row r="39" spans="1:26" s="24" customFormat="1" hidden="1" outlineLevel="2" x14ac:dyDescent="0.25">
      <c r="A39" s="25"/>
      <c r="B39" s="11" t="str">
        <f>CONCATENATE("          ", "6115", " - ", "P.E.R.S.")</f>
        <v xml:space="preserve">          6115 - P.E.R.S.</v>
      </c>
      <c r="C39" s="11"/>
      <c r="D39" s="6">
        <v>12389.57</v>
      </c>
      <c r="E39" s="2"/>
      <c r="F39" s="7">
        <f t="shared" si="12"/>
        <v>9.5679930550794899E-3</v>
      </c>
      <c r="G39" s="2"/>
      <c r="H39" s="6">
        <v>10432.659806830779</v>
      </c>
      <c r="I39" s="2"/>
      <c r="J39" s="7">
        <f t="shared" si="13"/>
        <v>4.804575390188537E-3</v>
      </c>
      <c r="K39" s="2"/>
      <c r="L39" s="6">
        <f t="shared" si="14"/>
        <v>1956.9101931692203</v>
      </c>
      <c r="M39" s="2"/>
      <c r="N39" s="7">
        <f t="shared" si="15"/>
        <v>0.18757538627761391</v>
      </c>
      <c r="O39" s="11"/>
      <c r="P39" s="6">
        <v>107755.98000000001</v>
      </c>
      <c r="Q39" s="2"/>
      <c r="R39" s="7">
        <f t="shared" si="16"/>
        <v>7.8856688858510264E-3</v>
      </c>
      <c r="S39" s="2"/>
      <c r="T39" s="6">
        <v>101718.43311660008</v>
      </c>
      <c r="U39" s="2"/>
      <c r="V39" s="7">
        <f t="shared" si="17"/>
        <v>6.7679515071732326E-3</v>
      </c>
      <c r="W39" s="2"/>
      <c r="X39" s="6">
        <f t="shared" si="18"/>
        <v>6037.546883399933</v>
      </c>
      <c r="Y39" s="2"/>
      <c r="Z39" s="7">
        <f t="shared" si="19"/>
        <v>5.9355484531295119E-2</v>
      </c>
    </row>
    <row r="40" spans="1:26" s="24" customFormat="1" hidden="1" outlineLevel="2" x14ac:dyDescent="0.25">
      <c r="A40" s="25"/>
      <c r="B40" s="11" t="str">
        <f>CONCATENATE("          ", "6116", " - ", "EDUCATIONAL BENEFITS")</f>
        <v xml:space="preserve">          6116 - EDUCATIONAL BENEFITS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16000</v>
      </c>
      <c r="U40" s="2"/>
      <c r="V40" s="7">
        <f t="shared" si="17"/>
        <v>1.0645781771986384E-3</v>
      </c>
      <c r="W40" s="2"/>
      <c r="X40" s="6">
        <f t="shared" si="18"/>
        <v>-16000</v>
      </c>
      <c r="Y40" s="2"/>
      <c r="Z40" s="7">
        <f t="shared" si="19"/>
        <v>-1</v>
      </c>
    </row>
    <row r="41" spans="1:26" s="24" customFormat="1" hidden="1" outlineLevel="2" x14ac:dyDescent="0.25">
      <c r="A41" s="25"/>
      <c r="B41" s="11" t="str">
        <f>CONCATENATE("          ", "6117", " - ", "RETIREMENT STAFF HOURLY")</f>
        <v xml:space="preserve">          6117 - RETIREMENT STAFF HOURLY</v>
      </c>
      <c r="C41" s="11"/>
      <c r="D41" s="6">
        <v>1047.5999999999999</v>
      </c>
      <c r="E41" s="2"/>
      <c r="F41" s="7">
        <f t="shared" si="12"/>
        <v>8.0902158222612033E-4</v>
      </c>
      <c r="G41" s="2"/>
      <c r="H41" s="6"/>
      <c r="I41" s="2"/>
      <c r="J41" s="7">
        <f t="shared" si="13"/>
        <v>0</v>
      </c>
      <c r="K41" s="2"/>
      <c r="L41" s="6">
        <f t="shared" si="14"/>
        <v>1047.5999999999999</v>
      </c>
      <c r="M41" s="2"/>
      <c r="N41" s="7">
        <f t="shared" si="15"/>
        <v>0</v>
      </c>
      <c r="O41" s="11"/>
      <c r="P41" s="6">
        <v>15378.84</v>
      </c>
      <c r="Q41" s="2"/>
      <c r="R41" s="7">
        <f t="shared" si="16"/>
        <v>1.125435823501222E-3</v>
      </c>
      <c r="S41" s="2"/>
      <c r="T41" s="6"/>
      <c r="U41" s="2"/>
      <c r="V41" s="7">
        <f t="shared" si="17"/>
        <v>0</v>
      </c>
      <c r="W41" s="2"/>
      <c r="X41" s="6">
        <f t="shared" si="18"/>
        <v>15378.84</v>
      </c>
      <c r="Y41" s="2"/>
      <c r="Z41" s="7">
        <f t="shared" si="19"/>
        <v>0</v>
      </c>
    </row>
    <row r="42" spans="1:26" s="24" customFormat="1" hidden="1" outlineLevel="2" x14ac:dyDescent="0.25">
      <c r="A42" s="25"/>
      <c r="B42" s="11" t="str">
        <f>CONCATENATE("          ", "6118", " - ", "VACATION")</f>
        <v xml:space="preserve">          6118 - VACATION</v>
      </c>
      <c r="C42" s="11"/>
      <c r="D42" s="6">
        <v>19429.57</v>
      </c>
      <c r="E42" s="2"/>
      <c r="F42" s="7">
        <f t="shared" si="12"/>
        <v>1.5004716937164148E-2</v>
      </c>
      <c r="G42" s="2"/>
      <c r="H42" s="6">
        <v>8959.3943664615381</v>
      </c>
      <c r="I42" s="2"/>
      <c r="J42" s="7">
        <f t="shared" si="13"/>
        <v>4.1260892697670944E-3</v>
      </c>
      <c r="K42" s="2"/>
      <c r="L42" s="6">
        <f t="shared" si="14"/>
        <v>10470.175633538462</v>
      </c>
      <c r="M42" s="2"/>
      <c r="N42" s="7">
        <f t="shared" si="15"/>
        <v>1.1686253786006295</v>
      </c>
      <c r="O42" s="11"/>
      <c r="P42" s="6">
        <v>146909.53</v>
      </c>
      <c r="Q42" s="2"/>
      <c r="R42" s="7">
        <f t="shared" si="16"/>
        <v>1.0750957021188039E-2</v>
      </c>
      <c r="S42" s="2"/>
      <c r="T42" s="6">
        <v>85896.128612999964</v>
      </c>
      <c r="U42" s="2"/>
      <c r="V42" s="7">
        <f t="shared" si="17"/>
        <v>5.7151965017029566E-3</v>
      </c>
      <c r="W42" s="2"/>
      <c r="X42" s="6">
        <f t="shared" si="18"/>
        <v>61013.401387000034</v>
      </c>
      <c r="Y42" s="2"/>
      <c r="Z42" s="7">
        <f t="shared" si="19"/>
        <v>0.71031608027286519</v>
      </c>
    </row>
    <row r="43" spans="1:26" s="24" customFormat="1" hidden="1" outlineLevel="2" x14ac:dyDescent="0.25">
      <c r="A43" s="25"/>
      <c r="B43" s="11" t="str">
        <f>CONCATENATE("          ", "6119", " - ", "SICK LEAVE")</f>
        <v xml:space="preserve">          6119 - SICK LEAVE</v>
      </c>
      <c r="C43" s="11"/>
      <c r="D43" s="6">
        <v>-8938.27</v>
      </c>
      <c r="E43" s="2"/>
      <c r="F43" s="7">
        <f t="shared" si="12"/>
        <v>-6.9026855076023911E-3</v>
      </c>
      <c r="G43" s="2"/>
      <c r="H43" s="6">
        <v>16583.446241538462</v>
      </c>
      <c r="I43" s="2"/>
      <c r="J43" s="7">
        <f t="shared" si="13"/>
        <v>7.6372103731823194E-3</v>
      </c>
      <c r="K43" s="2"/>
      <c r="L43" s="6">
        <f t="shared" si="14"/>
        <v>-25521.716241538463</v>
      </c>
      <c r="M43" s="2"/>
      <c r="N43" s="7">
        <f t="shared" si="15"/>
        <v>-1.5389874860637405</v>
      </c>
      <c r="O43" s="11"/>
      <c r="P43" s="6">
        <v>105827.28</v>
      </c>
      <c r="Q43" s="2"/>
      <c r="R43" s="7">
        <f t="shared" si="16"/>
        <v>7.7445250757335656E-3</v>
      </c>
      <c r="S43" s="2"/>
      <c r="T43" s="6">
        <v>131968.03794499999</v>
      </c>
      <c r="U43" s="2"/>
      <c r="V43" s="7">
        <f t="shared" si="17"/>
        <v>8.7806433302480523E-3</v>
      </c>
      <c r="W43" s="2"/>
      <c r="X43" s="6">
        <f t="shared" si="18"/>
        <v>-26140.75794499999</v>
      </c>
      <c r="Y43" s="2"/>
      <c r="Z43" s="7">
        <f t="shared" si="19"/>
        <v>-0.1980840084619172</v>
      </c>
    </row>
    <row r="44" spans="1:26" s="24" customFormat="1" hidden="1" outlineLevel="2" x14ac:dyDescent="0.25">
      <c r="A44" s="25"/>
      <c r="B44" s="11" t="str">
        <f>CONCATENATE("          ", "6156", " - ", "EMPLOYEE MEALS")</f>
        <v xml:space="preserve">          6156 - EMPLOYEE MEALS</v>
      </c>
      <c r="C44" s="11"/>
      <c r="D44" s="6">
        <v>5423.48</v>
      </c>
      <c r="E44" s="2"/>
      <c r="F44" s="7">
        <f t="shared" si="12"/>
        <v>4.1883470511375701E-3</v>
      </c>
      <c r="G44" s="2"/>
      <c r="H44" s="6">
        <v>3225</v>
      </c>
      <c r="I44" s="2"/>
      <c r="J44" s="7">
        <f t="shared" si="13"/>
        <v>1.4852162267586686E-3</v>
      </c>
      <c r="K44" s="2"/>
      <c r="L44" s="6">
        <f t="shared" si="14"/>
        <v>2198.4799999999996</v>
      </c>
      <c r="M44" s="2"/>
      <c r="N44" s="7">
        <f t="shared" si="15"/>
        <v>0.68169922480620138</v>
      </c>
      <c r="O44" s="11"/>
      <c r="P44" s="6">
        <v>59541.859999999993</v>
      </c>
      <c r="Q44" s="2"/>
      <c r="R44" s="7">
        <f t="shared" si="16"/>
        <v>4.3573209840205409E-3</v>
      </c>
      <c r="S44" s="2"/>
      <c r="T44" s="6">
        <v>29025</v>
      </c>
      <c r="U44" s="2"/>
      <c r="V44" s="7">
        <f t="shared" si="17"/>
        <v>1.931211349574405E-3</v>
      </c>
      <c r="W44" s="2"/>
      <c r="X44" s="6">
        <f t="shared" si="18"/>
        <v>30516.859999999993</v>
      </c>
      <c r="Y44" s="2"/>
      <c r="Z44" s="7">
        <f t="shared" si="19"/>
        <v>1.0513991386735571</v>
      </c>
    </row>
    <row r="45" spans="1:26" s="27" customFormat="1" outlineLevel="1" collapsed="1" x14ac:dyDescent="0.25">
      <c r="A45" s="26"/>
      <c r="B45" s="13" t="str">
        <f>CONCATENATE("     ","*Payroll                                          ")</f>
        <v xml:space="preserve">     *Payroll                                          </v>
      </c>
      <c r="C45" s="13"/>
      <c r="D45" s="1">
        <f>SUM(OSRRefD22_1x_0)</f>
        <v>642436.32000000007</v>
      </c>
      <c r="E45" s="1"/>
      <c r="F45" s="5">
        <f t="shared" ref="F45:F55" si="20">IF(D$12=0,0,D45/D$12)</f>
        <v>0.49612910279298034</v>
      </c>
      <c r="G45" s="1"/>
      <c r="H45" s="1">
        <f>SUM(OSRRefH22_1x_0)</f>
        <v>535257.68845384615</v>
      </c>
      <c r="I45" s="1"/>
      <c r="J45" s="5">
        <f t="shared" ref="J45:J55" si="21">IF(H$12=0,0,H45/H$12)</f>
        <v>0.24650338120588788</v>
      </c>
      <c r="K45" s="1"/>
      <c r="L45" s="1">
        <f t="shared" ref="L45:L55" si="22">+D45-H45</f>
        <v>107178.63154615392</v>
      </c>
      <c r="M45" s="1"/>
      <c r="N45" s="5">
        <f t="shared" ref="N45:N55" si="23">IF(H45=0,0,L45/H45)</f>
        <v>0.20023744424064568</v>
      </c>
      <c r="O45" s="13"/>
      <c r="P45" s="1">
        <f>SUM(OSRRefP22_1x_0)</f>
        <v>4457210.96</v>
      </c>
      <c r="Q45" s="1"/>
      <c r="R45" s="5">
        <f t="shared" ref="R45:R55" si="24">IF(P$12=0,0,P45/P$12)</f>
        <v>0.32618226649645043</v>
      </c>
      <c r="S45" s="1"/>
      <c r="T45" s="1">
        <f>SUM(OSRRefT22_1x_0)</f>
        <v>4260913.2857940001</v>
      </c>
      <c r="U45" s="1"/>
      <c r="V45" s="5">
        <f t="shared" ref="V45:V55" si="25">IF(T$12=0,0,T45/T$12)</f>
        <v>0.28350470618700235</v>
      </c>
      <c r="W45" s="1"/>
      <c r="X45" s="1">
        <f t="shared" ref="X45:X55" si="26">+P45-T45</f>
        <v>196297.67420599982</v>
      </c>
      <c r="Y45" s="1"/>
      <c r="Z45" s="5">
        <f t="shared" ref="Z45:Z55" si="27">IF(T45=0,0,X45/T45)</f>
        <v>4.6069389597873669E-2</v>
      </c>
    </row>
    <row r="46" spans="1:26" s="24" customFormat="1" hidden="1" outlineLevel="2" x14ac:dyDescent="0.25">
      <c r="A46" s="25"/>
      <c r="B46" s="11" t="str">
        <f>CONCATENATE("          ", "6001", " - ", "ADMINISTRATIVE SALARIES")</f>
        <v xml:space="preserve">          6001 - ADMINISTRATIVE SALARIES</v>
      </c>
      <c r="C46" s="11"/>
      <c r="D46" s="6">
        <v>18585.8</v>
      </c>
      <c r="E46" s="2"/>
      <c r="F46" s="7">
        <f t="shared" si="20"/>
        <v>1.4353105501086509E-2</v>
      </c>
      <c r="G46" s="2"/>
      <c r="H46" s="6">
        <v>20213.021076923069</v>
      </c>
      <c r="I46" s="2"/>
      <c r="J46" s="7">
        <f t="shared" si="21"/>
        <v>9.3087463241119765E-3</v>
      </c>
      <c r="K46" s="2"/>
      <c r="L46" s="6">
        <f t="shared" si="22"/>
        <v>-1627.2210769230696</v>
      </c>
      <c r="M46" s="2"/>
      <c r="N46" s="7">
        <f t="shared" si="23"/>
        <v>-8.0503605608013035E-2</v>
      </c>
      <c r="O46" s="11"/>
      <c r="P46" s="6">
        <v>224344.33000000002</v>
      </c>
      <c r="Q46" s="2"/>
      <c r="R46" s="7">
        <f t="shared" si="24"/>
        <v>1.6417697679498577E-2</v>
      </c>
      <c r="S46" s="2"/>
      <c r="T46" s="6">
        <v>197076.95549999998</v>
      </c>
      <c r="U46" s="2"/>
      <c r="V46" s="7">
        <f t="shared" si="25"/>
        <v>1.3112739128377947E-2</v>
      </c>
      <c r="W46" s="2"/>
      <c r="X46" s="6">
        <f t="shared" si="26"/>
        <v>27267.374500000034</v>
      </c>
      <c r="Y46" s="2"/>
      <c r="Z46" s="7">
        <f t="shared" si="27"/>
        <v>0.13835902036755401</v>
      </c>
    </row>
    <row r="47" spans="1:26" s="24" customFormat="1" hidden="1" outlineLevel="2" x14ac:dyDescent="0.25">
      <c r="A47" s="25"/>
      <c r="B47" s="11" t="str">
        <f>CONCATENATE("          ", "6002", " - ", "STAFF SALARIES")</f>
        <v xml:space="preserve">          6002 - STAFF SALARIES</v>
      </c>
      <c r="C47" s="11"/>
      <c r="D47" s="6">
        <v>128998.41000000002</v>
      </c>
      <c r="E47" s="2"/>
      <c r="F47" s="7">
        <f t="shared" si="20"/>
        <v>9.9620559147435853E-2</v>
      </c>
      <c r="G47" s="2"/>
      <c r="H47" s="6">
        <v>91046.740620923098</v>
      </c>
      <c r="I47" s="2"/>
      <c r="J47" s="7">
        <f t="shared" si="21"/>
        <v>4.1929952422847319E-2</v>
      </c>
      <c r="K47" s="2"/>
      <c r="L47" s="6">
        <f t="shared" si="22"/>
        <v>37951.66937907692</v>
      </c>
      <c r="M47" s="2"/>
      <c r="N47" s="7">
        <f t="shared" si="23"/>
        <v>0.41683721042898481</v>
      </c>
      <c r="O47" s="11"/>
      <c r="P47" s="6">
        <v>944040.3</v>
      </c>
      <c r="Q47" s="2"/>
      <c r="R47" s="7">
        <f t="shared" si="24"/>
        <v>6.9085624952781921E-2</v>
      </c>
      <c r="S47" s="2"/>
      <c r="T47" s="6">
        <v>887705.72105399985</v>
      </c>
      <c r="U47" s="2"/>
      <c r="V47" s="7">
        <f t="shared" si="25"/>
        <v>5.9064508650529382E-2</v>
      </c>
      <c r="W47" s="2"/>
      <c r="X47" s="6">
        <f t="shared" si="26"/>
        <v>56334.578946000198</v>
      </c>
      <c r="Y47" s="2"/>
      <c r="Z47" s="7">
        <f t="shared" si="27"/>
        <v>6.3460871784303083E-2</v>
      </c>
    </row>
    <row r="48" spans="1:26" s="24" customFormat="1" hidden="1" outlineLevel="2" x14ac:dyDescent="0.25">
      <c r="A48" s="25"/>
      <c r="B48" s="11" t="str">
        <f>CONCATENATE("          ", "6003", " - ", "STAFF HOURLY-9 MONTH")</f>
        <v xml:space="preserve">          6003 - STAFF HOURLY-9 MONTH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4" customFormat="1" hidden="1" outlineLevel="2" x14ac:dyDescent="0.25">
      <c r="A49" s="25"/>
      <c r="B49" s="11" t="str">
        <f>CONCATENATE("          ", "6004", " - ", "STAFF HOURLY")</f>
        <v xml:space="preserve">          6004 - STAFF HOURLY</v>
      </c>
      <c r="C49" s="11"/>
      <c r="D49" s="6">
        <v>127006.43999999999</v>
      </c>
      <c r="E49" s="2"/>
      <c r="F49" s="7">
        <f t="shared" si="20"/>
        <v>9.8082236580476143E-2</v>
      </c>
      <c r="G49" s="2"/>
      <c r="H49" s="6">
        <v>148273.55264000001</v>
      </c>
      <c r="I49" s="2"/>
      <c r="J49" s="7">
        <f t="shared" si="21"/>
        <v>6.8284739962816643E-2</v>
      </c>
      <c r="K49" s="2"/>
      <c r="L49" s="6">
        <f t="shared" si="22"/>
        <v>-21267.112640000021</v>
      </c>
      <c r="M49" s="2"/>
      <c r="N49" s="7">
        <f t="shared" si="23"/>
        <v>-0.14343159829477745</v>
      </c>
      <c r="O49" s="11"/>
      <c r="P49" s="6">
        <v>776972.1</v>
      </c>
      <c r="Q49" s="2"/>
      <c r="R49" s="7">
        <f t="shared" si="24"/>
        <v>5.6859440321960157E-2</v>
      </c>
      <c r="S49" s="2"/>
      <c r="T49" s="6">
        <v>1173455.9612100001</v>
      </c>
      <c r="U49" s="2"/>
      <c r="V49" s="7">
        <f t="shared" si="25"/>
        <v>7.8077225512988624E-2</v>
      </c>
      <c r="W49" s="2"/>
      <c r="X49" s="6">
        <f t="shared" si="26"/>
        <v>-396483.86121000012</v>
      </c>
      <c r="Y49" s="2"/>
      <c r="Z49" s="7">
        <f t="shared" si="27"/>
        <v>-0.33787706937137107</v>
      </c>
    </row>
    <row r="50" spans="1:26" s="24" customFormat="1" hidden="1" outlineLevel="2" x14ac:dyDescent="0.25">
      <c r="A50" s="25"/>
      <c r="B50" s="11" t="str">
        <f>CONCATENATE("          ", "6005", " - ", "TEMPORARY WAGES-HOURLY")</f>
        <v xml:space="preserve">          6005 - TEMPORARY WAGES-HOURLY</v>
      </c>
      <c r="C50" s="11"/>
      <c r="D50" s="6">
        <v>127317.61000000002</v>
      </c>
      <c r="E50" s="2"/>
      <c r="F50" s="7">
        <f t="shared" si="20"/>
        <v>9.8322541320588139E-2</v>
      </c>
      <c r="G50" s="2"/>
      <c r="H50" s="6">
        <v>60013.786415999995</v>
      </c>
      <c r="I50" s="2"/>
      <c r="J50" s="7">
        <f t="shared" si="21"/>
        <v>2.7638278888146406E-2</v>
      </c>
      <c r="K50" s="2"/>
      <c r="L50" s="6">
        <f t="shared" si="22"/>
        <v>67303.823584000027</v>
      </c>
      <c r="M50" s="2"/>
      <c r="N50" s="7">
        <f t="shared" si="23"/>
        <v>1.1214727082451919</v>
      </c>
      <c r="O50" s="11"/>
      <c r="P50" s="6">
        <v>831180.96</v>
      </c>
      <c r="Q50" s="2"/>
      <c r="R50" s="7">
        <f t="shared" si="24"/>
        <v>6.0826488096380228E-2</v>
      </c>
      <c r="S50" s="2"/>
      <c r="T50" s="6">
        <v>477759.98452999996</v>
      </c>
      <c r="U50" s="2"/>
      <c r="V50" s="7">
        <f t="shared" si="25"/>
        <v>3.1788303341837312E-2</v>
      </c>
      <c r="W50" s="2"/>
      <c r="X50" s="6">
        <f t="shared" si="26"/>
        <v>353420.97547</v>
      </c>
      <c r="Y50" s="2"/>
      <c r="Z50" s="7">
        <f t="shared" si="27"/>
        <v>0.73974587013117177</v>
      </c>
    </row>
    <row r="51" spans="1:26" s="24" customFormat="1" hidden="1" outlineLevel="2" x14ac:dyDescent="0.25">
      <c r="A51" s="25"/>
      <c r="B51" s="11" t="str">
        <f>CONCATENATE("          ", "6006", " - ", "TEMPORARY PART TIME")</f>
        <v xml:space="preserve">          6006 - TEMPORARY PART TIME</v>
      </c>
      <c r="C51" s="11"/>
      <c r="D51" s="6">
        <v>2719.34</v>
      </c>
      <c r="E51" s="2"/>
      <c r="F51" s="7">
        <f t="shared" si="20"/>
        <v>2.1000427161233085E-3</v>
      </c>
      <c r="G51" s="2"/>
      <c r="H51" s="6">
        <v>0</v>
      </c>
      <c r="I51" s="2"/>
      <c r="J51" s="7">
        <f t="shared" si="21"/>
        <v>0</v>
      </c>
      <c r="K51" s="2"/>
      <c r="L51" s="6">
        <f t="shared" si="22"/>
        <v>2719.34</v>
      </c>
      <c r="M51" s="2"/>
      <c r="N51" s="7">
        <f t="shared" si="23"/>
        <v>0</v>
      </c>
      <c r="O51" s="11"/>
      <c r="P51" s="6">
        <v>45957.26</v>
      </c>
      <c r="Q51" s="2"/>
      <c r="R51" s="7">
        <f t="shared" si="24"/>
        <v>3.3631890801880874E-3</v>
      </c>
      <c r="S51" s="2"/>
      <c r="T51" s="6">
        <v>0</v>
      </c>
      <c r="U51" s="2"/>
      <c r="V51" s="7">
        <f t="shared" si="25"/>
        <v>0</v>
      </c>
      <c r="W51" s="2"/>
      <c r="X51" s="6">
        <f t="shared" si="26"/>
        <v>45957.26</v>
      </c>
      <c r="Y51" s="2"/>
      <c r="Z51" s="7">
        <f t="shared" si="27"/>
        <v>0</v>
      </c>
    </row>
    <row r="52" spans="1:26" s="24" customFormat="1" hidden="1" outlineLevel="2" x14ac:dyDescent="0.25">
      <c r="A52" s="25"/>
      <c r="B52" s="11" t="str">
        <f>CONCATENATE("          ", "6007", " - ", "STUDENT HOURLY")</f>
        <v xml:space="preserve">          6007 - STUDENT HOURLY</v>
      </c>
      <c r="C52" s="11"/>
      <c r="D52" s="6">
        <v>201435.33</v>
      </c>
      <c r="E52" s="2"/>
      <c r="F52" s="7">
        <f t="shared" si="20"/>
        <v>0.15556083370832444</v>
      </c>
      <c r="G52" s="2"/>
      <c r="H52" s="6">
        <v>36591.862500000003</v>
      </c>
      <c r="I52" s="2"/>
      <c r="J52" s="7">
        <f t="shared" si="21"/>
        <v>1.6851729597619235E-2</v>
      </c>
      <c r="K52" s="2"/>
      <c r="L52" s="6">
        <f t="shared" si="22"/>
        <v>164843.46749999997</v>
      </c>
      <c r="M52" s="2"/>
      <c r="N52" s="7">
        <f t="shared" si="23"/>
        <v>4.5049214835675544</v>
      </c>
      <c r="O52" s="11"/>
      <c r="P52" s="6">
        <v>1425807.02</v>
      </c>
      <c r="Q52" s="2"/>
      <c r="R52" s="7">
        <f t="shared" si="24"/>
        <v>0.10434169922487803</v>
      </c>
      <c r="S52" s="2"/>
      <c r="T52" s="6">
        <v>401326.24249999999</v>
      </c>
      <c r="U52" s="2"/>
      <c r="V52" s="7">
        <f t="shared" si="25"/>
        <v>2.6702697481414295E-2</v>
      </c>
      <c r="W52" s="2"/>
      <c r="X52" s="6">
        <f t="shared" si="26"/>
        <v>1024480.7775000001</v>
      </c>
      <c r="Y52" s="2"/>
      <c r="Z52" s="7">
        <f t="shared" si="27"/>
        <v>2.5527380694523112</v>
      </c>
    </row>
    <row r="53" spans="1:26" s="24" customFormat="1" hidden="1" outlineLevel="2" x14ac:dyDescent="0.25">
      <c r="A53" s="25"/>
      <c r="B53" s="11" t="str">
        <f>CONCATENATE("          ", "6008", " - ", "STUDENT HOURLY-FICA EXEMPT")</f>
        <v xml:space="preserve">          6008 - STUDENT HOURLY-FICA EXEMPT</v>
      </c>
      <c r="C53" s="11"/>
      <c r="D53" s="6">
        <v>36373.39</v>
      </c>
      <c r="E53" s="2"/>
      <c r="F53" s="7">
        <f t="shared" si="20"/>
        <v>2.8089783818945918E-2</v>
      </c>
      <c r="G53" s="2"/>
      <c r="H53" s="6">
        <v>179118.72520000002</v>
      </c>
      <c r="I53" s="2"/>
      <c r="J53" s="7">
        <f t="shared" si="21"/>
        <v>8.2489934010346322E-2</v>
      </c>
      <c r="K53" s="2"/>
      <c r="L53" s="6">
        <f t="shared" si="22"/>
        <v>-142745.33520000003</v>
      </c>
      <c r="M53" s="2"/>
      <c r="N53" s="7">
        <f t="shared" si="23"/>
        <v>-0.79693139307804772</v>
      </c>
      <c r="O53" s="11"/>
      <c r="P53" s="6">
        <v>208908.99000000002</v>
      </c>
      <c r="Q53" s="2"/>
      <c r="R53" s="7">
        <f t="shared" si="24"/>
        <v>1.5288127140763448E-2</v>
      </c>
      <c r="S53" s="2"/>
      <c r="T53" s="6">
        <v>1123588.4209999999</v>
      </c>
      <c r="U53" s="2"/>
      <c r="V53" s="7">
        <f t="shared" si="25"/>
        <v>7.4759232071854753E-2</v>
      </c>
      <c r="W53" s="2"/>
      <c r="X53" s="6">
        <f t="shared" si="26"/>
        <v>-914679.43099999987</v>
      </c>
      <c r="Y53" s="2"/>
      <c r="Z53" s="7">
        <f t="shared" si="27"/>
        <v>-0.81406982655261806</v>
      </c>
    </row>
    <row r="54" spans="1:26" s="24" customFormat="1" hidden="1" outlineLevel="2" x14ac:dyDescent="0.25">
      <c r="A54" s="25"/>
      <c r="B54" s="11" t="str">
        <f>CONCATENATE("          ", "6009", " - ", "TEMPORARY-SEASONAL")</f>
        <v xml:space="preserve">          6009 - TEMPORARY-SEASONAL</v>
      </c>
      <c r="C54" s="11"/>
      <c r="D54" s="6"/>
      <c r="E54" s="2"/>
      <c r="F54" s="7">
        <f t="shared" si="20"/>
        <v>0</v>
      </c>
      <c r="G54" s="2"/>
      <c r="H54" s="6">
        <v>0</v>
      </c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0</v>
      </c>
      <c r="U54" s="2"/>
      <c r="V54" s="7">
        <f t="shared" si="25"/>
        <v>0</v>
      </c>
      <c r="W54" s="2"/>
      <c r="X54" s="6">
        <f t="shared" si="26"/>
        <v>0</v>
      </c>
      <c r="Y54" s="2"/>
      <c r="Z54" s="7">
        <f t="shared" si="27"/>
        <v>0</v>
      </c>
    </row>
    <row r="55" spans="1:26" s="24" customFormat="1" hidden="1" outlineLevel="2" x14ac:dyDescent="0.25">
      <c r="A55" s="25"/>
      <c r="B55" s="11" t="str">
        <f>CONCATENATE("          ", "6010", " - ", "GRATUITY")</f>
        <v xml:space="preserve">          6010 - GRATUITY</v>
      </c>
      <c r="C55" s="11"/>
      <c r="D55" s="6"/>
      <c r="E55" s="2"/>
      <c r="F55" s="7">
        <f t="shared" si="20"/>
        <v>0</v>
      </c>
      <c r="G55" s="2"/>
      <c r="H55" s="6">
        <v>0</v>
      </c>
      <c r="I55" s="2"/>
      <c r="J55" s="7">
        <f t="shared" si="21"/>
        <v>0</v>
      </c>
      <c r="K55" s="2"/>
      <c r="L55" s="6">
        <f t="shared" si="22"/>
        <v>0</v>
      </c>
      <c r="M55" s="2"/>
      <c r="N55" s="7">
        <f t="shared" si="23"/>
        <v>0</v>
      </c>
      <c r="O55" s="11"/>
      <c r="P55" s="6"/>
      <c r="Q55" s="2"/>
      <c r="R55" s="7">
        <f t="shared" si="24"/>
        <v>0</v>
      </c>
      <c r="S55" s="2"/>
      <c r="T55" s="6">
        <v>0</v>
      </c>
      <c r="U55" s="2"/>
      <c r="V55" s="7">
        <f t="shared" si="25"/>
        <v>0</v>
      </c>
      <c r="W55" s="2"/>
      <c r="X55" s="6">
        <f t="shared" si="26"/>
        <v>0</v>
      </c>
      <c r="Y55" s="2"/>
      <c r="Z55" s="7">
        <f t="shared" si="27"/>
        <v>0</v>
      </c>
    </row>
    <row r="56" spans="1:26" s="27" customFormat="1" outlineLevel="1" collapsed="1" x14ac:dyDescent="0.25">
      <c r="A56" s="26"/>
      <c r="B56" s="13" t="str">
        <f>CONCATENATE("     ","Advertising/Promo                                 ")</f>
        <v xml:space="preserve">     Advertising/Promo                                 </v>
      </c>
      <c r="C56" s="13"/>
      <c r="D56" s="1">
        <f>SUM(OSRRefD22_2x_0)</f>
        <v>2097.8200000000002</v>
      </c>
      <c r="E56" s="1"/>
      <c r="F56" s="5">
        <f t="shared" ref="F56:F60" si="28">IF(D$12=0,0,D56/D$12)</f>
        <v>1.6200664906697213E-3</v>
      </c>
      <c r="G56" s="1"/>
      <c r="H56" s="1">
        <f>SUM(OSRRefH22_2x_0)</f>
        <v>2640</v>
      </c>
      <c r="I56" s="1"/>
      <c r="J56" s="5">
        <f t="shared" ref="J56:J60" si="29">IF(H$12=0,0,H56/H$12)</f>
        <v>1.2158049112070963E-3</v>
      </c>
      <c r="K56" s="1"/>
      <c r="L56" s="1">
        <f t="shared" ref="L56:L60" si="30">+D56-H56</f>
        <v>-542.17999999999984</v>
      </c>
      <c r="M56" s="1"/>
      <c r="N56" s="5">
        <f t="shared" ref="N56:N60" si="31">IF(H56=0,0,L56/H56)</f>
        <v>-0.20537121212121207</v>
      </c>
      <c r="O56" s="13"/>
      <c r="P56" s="1">
        <f>SUM(OSRRefP22_2x_0)</f>
        <v>36615.61</v>
      </c>
      <c r="Q56" s="1"/>
      <c r="R56" s="5">
        <f t="shared" ref="R56:R60" si="32">IF(P$12=0,0,P56/P$12)</f>
        <v>2.6795596542619326E-3</v>
      </c>
      <c r="S56" s="1"/>
      <c r="T56" s="1">
        <f>SUM(OSRRefT22_2x_0)</f>
        <v>32610</v>
      </c>
      <c r="U56" s="1"/>
      <c r="V56" s="5">
        <f t="shared" ref="V56:V60" si="33">IF(T$12=0,0,T56/T$12)</f>
        <v>2.1697433974029747E-3</v>
      </c>
      <c r="W56" s="1"/>
      <c r="X56" s="1">
        <f t="shared" ref="X56:X60" si="34">+P56-T56</f>
        <v>4005.6100000000006</v>
      </c>
      <c r="Y56" s="1"/>
      <c r="Z56" s="5">
        <f t="shared" ref="Z56:Z60" si="35">IF(T56=0,0,X56/T56)</f>
        <v>0.12283379331493409</v>
      </c>
    </row>
    <row r="57" spans="1:26" s="24" customFormat="1" hidden="1" outlineLevel="2" x14ac:dyDescent="0.25">
      <c r="A57" s="25"/>
      <c r="B57" s="11" t="str">
        <f>CONCATENATE("          ", "6362", " - ", "ADVERTISING EXPENSE")</f>
        <v xml:space="preserve">          6362 - ADVERTISING EXPENSE</v>
      </c>
      <c r="C57" s="11"/>
      <c r="D57" s="6">
        <v>2097.8200000000002</v>
      </c>
      <c r="E57" s="2"/>
      <c r="F57" s="7">
        <f t="shared" si="28"/>
        <v>1.6200664906697213E-3</v>
      </c>
      <c r="G57" s="2"/>
      <c r="H57" s="6">
        <v>2640</v>
      </c>
      <c r="I57" s="2"/>
      <c r="J57" s="7">
        <f t="shared" si="29"/>
        <v>1.2158049112070963E-3</v>
      </c>
      <c r="K57" s="2"/>
      <c r="L57" s="6">
        <f t="shared" si="30"/>
        <v>-542.17999999999984</v>
      </c>
      <c r="M57" s="2"/>
      <c r="N57" s="7">
        <f t="shared" si="31"/>
        <v>-0.20537121212121207</v>
      </c>
      <c r="O57" s="11"/>
      <c r="P57" s="6">
        <v>36615.61</v>
      </c>
      <c r="Q57" s="2"/>
      <c r="R57" s="7">
        <f t="shared" si="32"/>
        <v>2.6795596542619326E-3</v>
      </c>
      <c r="S57" s="2"/>
      <c r="T57" s="6">
        <v>32610</v>
      </c>
      <c r="U57" s="2"/>
      <c r="V57" s="7">
        <f t="shared" si="33"/>
        <v>2.1697433974029747E-3</v>
      </c>
      <c r="W57" s="2"/>
      <c r="X57" s="6">
        <f t="shared" si="34"/>
        <v>4005.6100000000006</v>
      </c>
      <c r="Y57" s="2"/>
      <c r="Z57" s="7">
        <f t="shared" si="35"/>
        <v>0.12283379331493409</v>
      </c>
    </row>
    <row r="58" spans="1:26" s="27" customFormat="1" outlineLevel="1" collapsed="1" x14ac:dyDescent="0.25">
      <c r="A58" s="26"/>
      <c r="B58" s="13" t="str">
        <f>CONCATENATE("     ","Bad Debts/Over/Short                              ")</f>
        <v xml:space="preserve">     Bad Debts/Over/Short                              </v>
      </c>
      <c r="C58" s="13"/>
      <c r="D58" s="1">
        <f>SUM(OSRRefD22_3x_0)</f>
        <v>42.97</v>
      </c>
      <c r="E58" s="1"/>
      <c r="F58" s="5">
        <f t="shared" si="28"/>
        <v>3.3184094490508198E-5</v>
      </c>
      <c r="G58" s="1"/>
      <c r="H58" s="1">
        <f>SUM(OSRRefH22_3x_0)</f>
        <v>282</v>
      </c>
      <c r="I58" s="1"/>
      <c r="J58" s="5">
        <f t="shared" si="29"/>
        <v>1.2987007006075801E-4</v>
      </c>
      <c r="K58" s="1"/>
      <c r="L58" s="1">
        <f t="shared" si="30"/>
        <v>-239.03</v>
      </c>
      <c r="M58" s="1"/>
      <c r="N58" s="5">
        <f t="shared" si="31"/>
        <v>-0.8476241134751773</v>
      </c>
      <c r="O58" s="13"/>
      <c r="P58" s="1">
        <f>SUM(OSRRefP22_3x_0)</f>
        <v>-197.1</v>
      </c>
      <c r="Q58" s="1"/>
      <c r="R58" s="5">
        <f t="shared" si="32"/>
        <v>-1.442393579828458E-5</v>
      </c>
      <c r="S58" s="1"/>
      <c r="T58" s="1">
        <f>SUM(OSRRefT22_3x_0)</f>
        <v>2275</v>
      </c>
      <c r="U58" s="1"/>
      <c r="V58" s="5">
        <f t="shared" si="33"/>
        <v>1.513697095704314E-4</v>
      </c>
      <c r="W58" s="1"/>
      <c r="X58" s="1">
        <f t="shared" si="34"/>
        <v>-2472.1</v>
      </c>
      <c r="Y58" s="1"/>
      <c r="Z58" s="5">
        <f t="shared" si="35"/>
        <v>-1.0866373626373627</v>
      </c>
    </row>
    <row r="59" spans="1:26" s="24" customFormat="1" hidden="1" outlineLevel="2" x14ac:dyDescent="0.25">
      <c r="A59" s="25"/>
      <c r="B59" s="11" t="str">
        <f>CONCATENATE("          ", "6272", " - ", "CASH (OVER/SHORT)")</f>
        <v xml:space="preserve">          6272 - CASH (OVER/SHORT)</v>
      </c>
      <c r="C59" s="11"/>
      <c r="D59" s="6">
        <v>42.97</v>
      </c>
      <c r="E59" s="2"/>
      <c r="F59" s="7">
        <f t="shared" si="28"/>
        <v>3.3184094490508198E-5</v>
      </c>
      <c r="G59" s="2"/>
      <c r="H59" s="6">
        <v>232</v>
      </c>
      <c r="I59" s="2"/>
      <c r="J59" s="7">
        <f t="shared" si="29"/>
        <v>1.0684346189395694E-4</v>
      </c>
      <c r="K59" s="2"/>
      <c r="L59" s="6">
        <f t="shared" si="30"/>
        <v>-189.03</v>
      </c>
      <c r="M59" s="2"/>
      <c r="N59" s="7">
        <f t="shared" si="31"/>
        <v>-0.8147844827586207</v>
      </c>
      <c r="O59" s="11"/>
      <c r="P59" s="6">
        <v>-197.1</v>
      </c>
      <c r="Q59" s="2"/>
      <c r="R59" s="7">
        <f t="shared" si="32"/>
        <v>-1.442393579828458E-5</v>
      </c>
      <c r="S59" s="2"/>
      <c r="T59" s="6">
        <v>1875</v>
      </c>
      <c r="U59" s="2"/>
      <c r="V59" s="7">
        <f t="shared" si="33"/>
        <v>1.2475525514046544E-4</v>
      </c>
      <c r="W59" s="2"/>
      <c r="X59" s="6">
        <f t="shared" si="34"/>
        <v>-2072.1</v>
      </c>
      <c r="Y59" s="2"/>
      <c r="Z59" s="7">
        <f t="shared" si="35"/>
        <v>-1.1051199999999999</v>
      </c>
    </row>
    <row r="60" spans="1:26" s="24" customFormat="1" hidden="1" outlineLevel="2" x14ac:dyDescent="0.25">
      <c r="A60" s="25"/>
      <c r="B60" s="11" t="str">
        <f>CONCATENATE("          ", "6342", " - ", "BAD DEBT")</f>
        <v xml:space="preserve">          6342 - BAD DEBT</v>
      </c>
      <c r="C60" s="11"/>
      <c r="D60" s="6"/>
      <c r="E60" s="2"/>
      <c r="F60" s="7">
        <f t="shared" si="28"/>
        <v>0</v>
      </c>
      <c r="G60" s="2"/>
      <c r="H60" s="6">
        <v>50</v>
      </c>
      <c r="I60" s="2"/>
      <c r="J60" s="7">
        <f t="shared" si="29"/>
        <v>2.3026608166801065E-5</v>
      </c>
      <c r="K60" s="2"/>
      <c r="L60" s="6">
        <f t="shared" si="30"/>
        <v>-50</v>
      </c>
      <c r="M60" s="2"/>
      <c r="N60" s="7">
        <f t="shared" si="31"/>
        <v>-1</v>
      </c>
      <c r="O60" s="11"/>
      <c r="P60" s="6"/>
      <c r="Q60" s="2"/>
      <c r="R60" s="7">
        <f t="shared" si="32"/>
        <v>0</v>
      </c>
      <c r="S60" s="2"/>
      <c r="T60" s="6">
        <v>400</v>
      </c>
      <c r="U60" s="2"/>
      <c r="V60" s="7">
        <f t="shared" si="33"/>
        <v>2.661445442996596E-5</v>
      </c>
      <c r="W60" s="2"/>
      <c r="X60" s="6">
        <f t="shared" si="34"/>
        <v>-400</v>
      </c>
      <c r="Y60" s="2"/>
      <c r="Z60" s="7">
        <f t="shared" si="35"/>
        <v>-1</v>
      </c>
    </row>
    <row r="61" spans="1:26" s="27" customFormat="1" outlineLevel="1" collapsed="1" x14ac:dyDescent="0.25">
      <c r="A61" s="26"/>
      <c r="B61" s="13" t="str">
        <f>CONCATENATE("     ","Bank/card Fees                                    ")</f>
        <v xml:space="preserve">     Bank/card Fees                                    </v>
      </c>
      <c r="C61" s="13"/>
      <c r="D61" s="1">
        <f>SUM(OSRRefD22_4x_0)</f>
        <v>13658.56</v>
      </c>
      <c r="E61" s="1"/>
      <c r="F61" s="5">
        <f t="shared" ref="F61:F67" si="36">IF(D$12=0,0,D61/D$12)</f>
        <v>1.0547985702682701E-2</v>
      </c>
      <c r="G61" s="1"/>
      <c r="H61" s="1">
        <f>SUM(OSRRefH22_4x_0)</f>
        <v>12202</v>
      </c>
      <c r="I61" s="1"/>
      <c r="J61" s="5">
        <f t="shared" ref="J61:J67" si="37">IF(H$12=0,0,H61/H$12)</f>
        <v>5.6194134570261324E-3</v>
      </c>
      <c r="K61" s="1"/>
      <c r="L61" s="1">
        <f t="shared" ref="L61:L67" si="38">+D61-H61</f>
        <v>1456.5599999999995</v>
      </c>
      <c r="M61" s="1"/>
      <c r="N61" s="5">
        <f t="shared" ref="N61:N67" si="39">IF(H61=0,0,L61/H61)</f>
        <v>0.11937059498442874</v>
      </c>
      <c r="O61" s="13"/>
      <c r="P61" s="1">
        <f>SUM(OSRRefP22_4x_0)</f>
        <v>149465.93000000002</v>
      </c>
      <c r="Q61" s="1"/>
      <c r="R61" s="5">
        <f t="shared" ref="R61:R67" si="40">IF(P$12=0,0,P61/P$12)</f>
        <v>1.0938036419842199E-2</v>
      </c>
      <c r="S61" s="1"/>
      <c r="T61" s="1">
        <f>SUM(OSRRefT22_4x_0)</f>
        <v>95384</v>
      </c>
      <c r="U61" s="1"/>
      <c r="V61" s="5">
        <f t="shared" ref="V61:V67" si="41">IF(T$12=0,0,T61/T$12)</f>
        <v>6.3464828033696829E-3</v>
      </c>
      <c r="W61" s="1"/>
      <c r="X61" s="1">
        <f t="shared" ref="X61:X67" si="42">+P61-T61</f>
        <v>54081.930000000022</v>
      </c>
      <c r="Y61" s="1"/>
      <c r="Z61" s="5">
        <f t="shared" ref="Z61:Z67" si="43">IF(T61=0,0,X61/T61)</f>
        <v>0.56699163381699258</v>
      </c>
    </row>
    <row r="62" spans="1:26" s="24" customFormat="1" hidden="1" outlineLevel="2" x14ac:dyDescent="0.25">
      <c r="A62" s="25"/>
      <c r="B62" s="11" t="str">
        <f>CONCATENATE("          ", "6381", " - ", "BANK/CREDIT CARD FEES")</f>
        <v xml:space="preserve">          6381 - BANK/CREDIT CARD FEES</v>
      </c>
      <c r="C62" s="11"/>
      <c r="D62" s="6">
        <v>13658.56</v>
      </c>
      <c r="E62" s="2"/>
      <c r="F62" s="7">
        <f t="shared" si="36"/>
        <v>1.0547985702682701E-2</v>
      </c>
      <c r="G62" s="2"/>
      <c r="H62" s="6">
        <v>12202</v>
      </c>
      <c r="I62" s="2"/>
      <c r="J62" s="7">
        <f t="shared" si="37"/>
        <v>5.6194134570261324E-3</v>
      </c>
      <c r="K62" s="2"/>
      <c r="L62" s="6">
        <f t="shared" si="38"/>
        <v>1456.5599999999995</v>
      </c>
      <c r="M62" s="2"/>
      <c r="N62" s="7">
        <f t="shared" si="39"/>
        <v>0.11937059498442874</v>
      </c>
      <c r="O62" s="11"/>
      <c r="P62" s="6">
        <v>149465.93000000002</v>
      </c>
      <c r="Q62" s="2"/>
      <c r="R62" s="7">
        <f t="shared" si="40"/>
        <v>1.0938036419842199E-2</v>
      </c>
      <c r="S62" s="2"/>
      <c r="T62" s="6">
        <v>95384</v>
      </c>
      <c r="U62" s="2"/>
      <c r="V62" s="7">
        <f t="shared" si="41"/>
        <v>6.3464828033696829E-3</v>
      </c>
      <c r="W62" s="2"/>
      <c r="X62" s="6">
        <f t="shared" si="42"/>
        <v>54081.930000000022</v>
      </c>
      <c r="Y62" s="2"/>
      <c r="Z62" s="7">
        <f t="shared" si="43"/>
        <v>0.56699163381699258</v>
      </c>
    </row>
    <row r="63" spans="1:26" s="27" customFormat="1" outlineLevel="1" collapsed="1" x14ac:dyDescent="0.25">
      <c r="A63" s="26"/>
      <c r="B63" s="13" t="str">
        <f>CONCATENATE("     ","Depreciation                                      ")</f>
        <v xml:space="preserve">     Depreciation                                      </v>
      </c>
      <c r="C63" s="13"/>
      <c r="D63" s="1">
        <f>SUM(OSRRefD22_5x_0)</f>
        <v>43634.63</v>
      </c>
      <c r="E63" s="1"/>
      <c r="F63" s="5">
        <f t="shared" si="36"/>
        <v>3.3697362927120403E-2</v>
      </c>
      <c r="G63" s="1"/>
      <c r="H63" s="1">
        <f>SUM(OSRRefH22_5x_0)</f>
        <v>44988</v>
      </c>
      <c r="I63" s="1"/>
      <c r="J63" s="5">
        <f t="shared" si="37"/>
        <v>2.0718420964160926E-2</v>
      </c>
      <c r="K63" s="1"/>
      <c r="L63" s="1">
        <f t="shared" si="38"/>
        <v>-1353.3700000000026</v>
      </c>
      <c r="M63" s="1"/>
      <c r="N63" s="5">
        <f t="shared" si="39"/>
        <v>-3.0082910998488543E-2</v>
      </c>
      <c r="O63" s="13"/>
      <c r="P63" s="1">
        <f>SUM(OSRRefP22_5x_0)</f>
        <v>363964.64</v>
      </c>
      <c r="Q63" s="1"/>
      <c r="R63" s="5">
        <f t="shared" si="40"/>
        <v>2.6635223745336174E-2</v>
      </c>
      <c r="S63" s="1"/>
      <c r="T63" s="1">
        <f>SUM(OSRRefT22_5x_0)</f>
        <v>386690</v>
      </c>
      <c r="U63" s="1"/>
      <c r="V63" s="5">
        <f t="shared" si="41"/>
        <v>2.5728858458808842E-2</v>
      </c>
      <c r="W63" s="1"/>
      <c r="X63" s="1">
        <f t="shared" si="42"/>
        <v>-22725.359999999986</v>
      </c>
      <c r="Y63" s="1"/>
      <c r="Z63" s="5">
        <f t="shared" si="43"/>
        <v>-5.8768936357288748E-2</v>
      </c>
    </row>
    <row r="64" spans="1:26" s="24" customFormat="1" hidden="1" outlineLevel="2" x14ac:dyDescent="0.25">
      <c r="A64" s="25"/>
      <c r="B64" s="11" t="str">
        <f>CONCATENATE("          ", "6321", " - ", "BUILDING DEPRECIATION")</f>
        <v xml:space="preserve">          6321 - BUILDING DEPRECIATION</v>
      </c>
      <c r="C64" s="11"/>
      <c r="D64" s="6">
        <v>24042.959999999999</v>
      </c>
      <c r="E64" s="2"/>
      <c r="F64" s="7">
        <f t="shared" si="36"/>
        <v>1.8567462333523597E-2</v>
      </c>
      <c r="G64" s="2"/>
      <c r="H64" s="6">
        <v>23037</v>
      </c>
      <c r="I64" s="2"/>
      <c r="J64" s="7">
        <f t="shared" si="37"/>
        <v>1.0609279446771923E-2</v>
      </c>
      <c r="K64" s="2"/>
      <c r="L64" s="6">
        <f t="shared" si="38"/>
        <v>1005.9599999999991</v>
      </c>
      <c r="M64" s="2"/>
      <c r="N64" s="7">
        <f t="shared" si="39"/>
        <v>4.3667144159395717E-2</v>
      </c>
      <c r="O64" s="11"/>
      <c r="P64" s="6">
        <v>216386.63999999998</v>
      </c>
      <c r="Q64" s="2"/>
      <c r="R64" s="7">
        <f t="shared" si="40"/>
        <v>1.5835347554370969E-2</v>
      </c>
      <c r="S64" s="2"/>
      <c r="T64" s="6">
        <v>207579</v>
      </c>
      <c r="U64" s="2"/>
      <c r="V64" s="7">
        <f t="shared" si="41"/>
        <v>1.381150459029476E-2</v>
      </c>
      <c r="W64" s="2"/>
      <c r="X64" s="6">
        <f t="shared" si="42"/>
        <v>8807.6399999999849</v>
      </c>
      <c r="Y64" s="2"/>
      <c r="Z64" s="7">
        <f t="shared" si="43"/>
        <v>4.2430303643432067E-2</v>
      </c>
    </row>
    <row r="65" spans="1:26" s="24" customFormat="1" hidden="1" outlineLevel="2" x14ac:dyDescent="0.25">
      <c r="A65" s="25"/>
      <c r="B65" s="11" t="str">
        <f>CONCATENATE("          ", "6322", " - ", "EQUIPMENT DEPRECIATION EXPENSE")</f>
        <v xml:space="preserve">          6322 - EQUIPMENT DEPRECIATION EXPENSE</v>
      </c>
      <c r="C65" s="11"/>
      <c r="D65" s="6">
        <v>19167.419999999998</v>
      </c>
      <c r="E65" s="2"/>
      <c r="F65" s="7">
        <f t="shared" si="36"/>
        <v>1.4802268476128849E-2</v>
      </c>
      <c r="G65" s="2"/>
      <c r="H65" s="6">
        <v>15301</v>
      </c>
      <c r="I65" s="2"/>
      <c r="J65" s="7">
        <f t="shared" si="37"/>
        <v>7.0466026312044619E-3</v>
      </c>
      <c r="K65" s="2"/>
      <c r="L65" s="6">
        <f t="shared" si="38"/>
        <v>3866.4199999999983</v>
      </c>
      <c r="M65" s="2"/>
      <c r="N65" s="7">
        <f t="shared" si="39"/>
        <v>0.25269067381216903</v>
      </c>
      <c r="O65" s="11"/>
      <c r="P65" s="6">
        <v>143759.75</v>
      </c>
      <c r="Q65" s="2"/>
      <c r="R65" s="7">
        <f t="shared" si="40"/>
        <v>1.0520453599073779E-2</v>
      </c>
      <c r="S65" s="2"/>
      <c r="T65" s="6">
        <v>137709</v>
      </c>
      <c r="U65" s="2"/>
      <c r="V65" s="7">
        <f t="shared" si="41"/>
        <v>9.1626247627404553E-3</v>
      </c>
      <c r="W65" s="2"/>
      <c r="X65" s="6">
        <f t="shared" si="42"/>
        <v>6050.75</v>
      </c>
      <c r="Y65" s="2"/>
      <c r="Z65" s="7">
        <f t="shared" si="43"/>
        <v>4.3938667770443474E-2</v>
      </c>
    </row>
    <row r="66" spans="1:26" s="24" customFormat="1" hidden="1" outlineLevel="2" x14ac:dyDescent="0.25">
      <c r="A66" s="25"/>
      <c r="B66" s="11" t="str">
        <f>CONCATENATE("          ", "6324", " - ", "FURNITURE + FIXT DEPRECIATION")</f>
        <v xml:space="preserve">          6324 - FURNITURE + FIXT DEPRECIATION</v>
      </c>
      <c r="C66" s="11"/>
      <c r="D66" s="6"/>
      <c r="E66" s="2"/>
      <c r="F66" s="7">
        <f t="shared" si="36"/>
        <v>0</v>
      </c>
      <c r="G66" s="2"/>
      <c r="H66" s="6">
        <v>4476</v>
      </c>
      <c r="I66" s="2"/>
      <c r="J66" s="7">
        <f t="shared" si="37"/>
        <v>2.0613419630920314E-3</v>
      </c>
      <c r="K66" s="2"/>
      <c r="L66" s="6">
        <f t="shared" si="38"/>
        <v>-4476</v>
      </c>
      <c r="M66" s="2"/>
      <c r="N66" s="7">
        <f t="shared" si="39"/>
        <v>-1</v>
      </c>
      <c r="O66" s="11"/>
      <c r="P66" s="6"/>
      <c r="Q66" s="2"/>
      <c r="R66" s="7">
        <f t="shared" si="40"/>
        <v>0</v>
      </c>
      <c r="S66" s="2"/>
      <c r="T66" s="6">
        <v>27086</v>
      </c>
      <c r="U66" s="2"/>
      <c r="V66" s="7">
        <f t="shared" si="41"/>
        <v>1.8021977817251449E-3</v>
      </c>
      <c r="W66" s="2"/>
      <c r="X66" s="6">
        <f t="shared" si="42"/>
        <v>-27086</v>
      </c>
      <c r="Y66" s="2"/>
      <c r="Z66" s="7">
        <f t="shared" si="43"/>
        <v>-1</v>
      </c>
    </row>
    <row r="67" spans="1:26" s="24" customFormat="1" hidden="1" outlineLevel="2" x14ac:dyDescent="0.25">
      <c r="A67" s="25"/>
      <c r="B67" s="11" t="str">
        <f>CONCATENATE("          ", "6326", " - ", "VEHICLES DEPRECIATION EXPENSE")</f>
        <v xml:space="preserve">          6326 - VEHICLES DEPRECIATION EXPENSE</v>
      </c>
      <c r="C67" s="11"/>
      <c r="D67" s="6">
        <v>424.25</v>
      </c>
      <c r="E67" s="2"/>
      <c r="F67" s="7">
        <f t="shared" si="36"/>
        <v>3.2763211746795681E-4</v>
      </c>
      <c r="G67" s="2"/>
      <c r="H67" s="6">
        <v>2174</v>
      </c>
      <c r="I67" s="2"/>
      <c r="J67" s="7">
        <f t="shared" si="37"/>
        <v>1.0011969230925104E-3</v>
      </c>
      <c r="K67" s="2"/>
      <c r="L67" s="6">
        <f t="shared" si="38"/>
        <v>-1749.75</v>
      </c>
      <c r="M67" s="2"/>
      <c r="N67" s="7">
        <f t="shared" si="39"/>
        <v>-0.80485280588776453</v>
      </c>
      <c r="O67" s="11"/>
      <c r="P67" s="6">
        <v>3818.25</v>
      </c>
      <c r="Q67" s="2"/>
      <c r="R67" s="7">
        <f t="shared" si="40"/>
        <v>2.7942259189142615E-4</v>
      </c>
      <c r="S67" s="2"/>
      <c r="T67" s="6">
        <v>14316</v>
      </c>
      <c r="U67" s="2"/>
      <c r="V67" s="7">
        <f t="shared" si="41"/>
        <v>9.5253132404848168E-4</v>
      </c>
      <c r="W67" s="2"/>
      <c r="X67" s="6">
        <f t="shared" si="42"/>
        <v>-10497.75</v>
      </c>
      <c r="Y67" s="2"/>
      <c r="Z67" s="7">
        <f t="shared" si="43"/>
        <v>-0.73328792958927069</v>
      </c>
    </row>
    <row r="68" spans="1:26" s="27" customFormat="1" outlineLevel="1" collapsed="1" x14ac:dyDescent="0.25">
      <c r="A68" s="26"/>
      <c r="B68" s="13" t="str">
        <f>CONCATENATE("     ","Discounts and Markdowns                           ")</f>
        <v xml:space="preserve">     Discounts and Markdowns                           </v>
      </c>
      <c r="C68" s="13"/>
      <c r="D68" s="1">
        <f>SUM(OSRRefD22_6x_0)</f>
        <v>0</v>
      </c>
      <c r="E68" s="1"/>
      <c r="F68" s="5">
        <f t="shared" ref="F68:F72" si="44">IF(D$12=0,0,D68/D$12)</f>
        <v>0</v>
      </c>
      <c r="G68" s="1"/>
      <c r="H68" s="1">
        <f>SUM(OSRRefH22_6x_0)</f>
        <v>0</v>
      </c>
      <c r="I68" s="1"/>
      <c r="J68" s="5">
        <f t="shared" ref="J68:J72" si="45">IF(H$12=0,0,H68/H$12)</f>
        <v>0</v>
      </c>
      <c r="K68" s="1"/>
      <c r="L68" s="1">
        <f t="shared" ref="L68:L72" si="46">+D68-H68</f>
        <v>0</v>
      </c>
      <c r="M68" s="1"/>
      <c r="N68" s="5">
        <f t="shared" ref="N68:N72" si="47">IF(H68=0,0,L68/H68)</f>
        <v>0</v>
      </c>
      <c r="O68" s="13"/>
      <c r="P68" s="1">
        <f>SUM(OSRRefP22_6x_0)</f>
        <v>0.09</v>
      </c>
      <c r="Q68" s="1"/>
      <c r="R68" s="5">
        <f t="shared" ref="R68:R72" si="48">IF(P$12=0,0,P68/P$12)</f>
        <v>6.5862720540112239E-9</v>
      </c>
      <c r="S68" s="1"/>
      <c r="T68" s="1">
        <f>SUM(OSRRefT22_6x_0)</f>
        <v>0</v>
      </c>
      <c r="U68" s="1"/>
      <c r="V68" s="5">
        <f t="shared" ref="V68:V72" si="49">IF(T$12=0,0,T68/T$12)</f>
        <v>0</v>
      </c>
      <c r="W68" s="1"/>
      <c r="X68" s="1">
        <f t="shared" ref="X68:X72" si="50">+P68-T68</f>
        <v>0.09</v>
      </c>
      <c r="Y68" s="1"/>
      <c r="Z68" s="5">
        <f t="shared" ref="Z68:Z72" si="51">IF(T68=0,0,X68/T68)</f>
        <v>0</v>
      </c>
    </row>
    <row r="69" spans="1:26" s="24" customFormat="1" hidden="1" outlineLevel="2" x14ac:dyDescent="0.25">
      <c r="A69" s="25"/>
      <c r="B69" s="11" t="str">
        <f>CONCATENATE("          ", "6382", " - ", "DISCOUNTS/MARK DOWNS")</f>
        <v xml:space="preserve">          6382 - DISCOUNTS/MARK DOWNS</v>
      </c>
      <c r="C69" s="11"/>
      <c r="D69" s="6"/>
      <c r="E69" s="2"/>
      <c r="F69" s="7">
        <f t="shared" si="44"/>
        <v>0</v>
      </c>
      <c r="G69" s="2"/>
      <c r="H69" s="6"/>
      <c r="I69" s="2"/>
      <c r="J69" s="7">
        <f t="shared" si="45"/>
        <v>0</v>
      </c>
      <c r="K69" s="2"/>
      <c r="L69" s="6">
        <f t="shared" si="46"/>
        <v>0</v>
      </c>
      <c r="M69" s="2"/>
      <c r="N69" s="7">
        <f t="shared" si="47"/>
        <v>0</v>
      </c>
      <c r="O69" s="11"/>
      <c r="P69" s="6">
        <v>0.09</v>
      </c>
      <c r="Q69" s="2"/>
      <c r="R69" s="7">
        <f t="shared" si="48"/>
        <v>6.5862720540112239E-9</v>
      </c>
      <c r="S69" s="2"/>
      <c r="T69" s="6"/>
      <c r="U69" s="2"/>
      <c r="V69" s="7">
        <f t="shared" si="49"/>
        <v>0</v>
      </c>
      <c r="W69" s="2"/>
      <c r="X69" s="6">
        <f t="shared" si="50"/>
        <v>0.09</v>
      </c>
      <c r="Y69" s="2"/>
      <c r="Z69" s="7">
        <f t="shared" si="51"/>
        <v>0</v>
      </c>
    </row>
    <row r="70" spans="1:26" s="27" customFormat="1" outlineLevel="1" collapsed="1" x14ac:dyDescent="0.25">
      <c r="A70" s="26"/>
      <c r="B70" s="13" t="str">
        <f>CONCATENATE("     ","Donations                                         ")</f>
        <v xml:space="preserve">     Donations                                         </v>
      </c>
      <c r="C70" s="13"/>
      <c r="D70" s="1">
        <f>SUM(OSRRefD22_7x_0)</f>
        <v>14237.58</v>
      </c>
      <c r="E70" s="1"/>
      <c r="F70" s="5">
        <f t="shared" si="44"/>
        <v>1.0995140796745864E-2</v>
      </c>
      <c r="G70" s="1"/>
      <c r="H70" s="1">
        <f>SUM(OSRRefH22_7x_0)</f>
        <v>15529</v>
      </c>
      <c r="I70" s="1"/>
      <c r="J70" s="5">
        <f t="shared" si="45"/>
        <v>7.1516039644450745E-3</v>
      </c>
      <c r="K70" s="1"/>
      <c r="L70" s="1">
        <f t="shared" si="46"/>
        <v>-1291.42</v>
      </c>
      <c r="M70" s="1"/>
      <c r="N70" s="5">
        <f t="shared" si="47"/>
        <v>-8.3161826260544788E-2</v>
      </c>
      <c r="O70" s="13"/>
      <c r="P70" s="1">
        <f>SUM(OSRRefP22_7x_0)</f>
        <v>120380.53</v>
      </c>
      <c r="Q70" s="1"/>
      <c r="R70" s="5">
        <f t="shared" si="48"/>
        <v>8.8095435620673315E-3</v>
      </c>
      <c r="S70" s="1"/>
      <c r="T70" s="1">
        <f>SUM(OSRRefT22_7x_0)</f>
        <v>114163</v>
      </c>
      <c r="U70" s="1"/>
      <c r="V70" s="5">
        <f t="shared" si="49"/>
        <v>7.5959649027205096E-3</v>
      </c>
      <c r="W70" s="1"/>
      <c r="X70" s="1">
        <f t="shared" si="50"/>
        <v>6217.5299999999988</v>
      </c>
      <c r="Y70" s="1"/>
      <c r="Z70" s="5">
        <f t="shared" si="51"/>
        <v>5.4461865928540763E-2</v>
      </c>
    </row>
    <row r="71" spans="1:26" s="24" customFormat="1" hidden="1" outlineLevel="2" x14ac:dyDescent="0.25">
      <c r="A71" s="25"/>
      <c r="B71" s="11" t="str">
        <f>CONCATENATE("          ", "6396", " - ", "COUPONS-CHARTROOM")</f>
        <v xml:space="preserve">          6396 - COUPONS-CHARTROOM</v>
      </c>
      <c r="C71" s="11"/>
      <c r="D71" s="6"/>
      <c r="E71" s="2"/>
      <c r="F71" s="7">
        <f t="shared" si="44"/>
        <v>0</v>
      </c>
      <c r="G71" s="2"/>
      <c r="H71" s="6">
        <v>100</v>
      </c>
      <c r="I71" s="2"/>
      <c r="J71" s="7">
        <f t="shared" si="45"/>
        <v>4.6053216333602129E-5</v>
      </c>
      <c r="K71" s="2"/>
      <c r="L71" s="6">
        <f t="shared" si="46"/>
        <v>-100</v>
      </c>
      <c r="M71" s="2"/>
      <c r="N71" s="7">
        <f t="shared" si="47"/>
        <v>-1</v>
      </c>
      <c r="O71" s="11"/>
      <c r="P71" s="6"/>
      <c r="Q71" s="2"/>
      <c r="R71" s="7">
        <f t="shared" si="48"/>
        <v>0</v>
      </c>
      <c r="S71" s="2"/>
      <c r="T71" s="6">
        <v>900</v>
      </c>
      <c r="U71" s="2"/>
      <c r="V71" s="7">
        <f t="shared" si="49"/>
        <v>5.9882522467423411E-5</v>
      </c>
      <c r="W71" s="2"/>
      <c r="X71" s="6">
        <f t="shared" si="50"/>
        <v>-900</v>
      </c>
      <c r="Y71" s="2"/>
      <c r="Z71" s="7">
        <f t="shared" si="51"/>
        <v>-1</v>
      </c>
    </row>
    <row r="72" spans="1:26" s="24" customFormat="1" hidden="1" outlineLevel="2" x14ac:dyDescent="0.25">
      <c r="A72" s="25"/>
      <c r="B72" s="11" t="str">
        <f>CONCATENATE("          ", "6399", " - ", "DONATION-ON CAMPUS")</f>
        <v xml:space="preserve">          6399 - DONATION-ON CAMPUS</v>
      </c>
      <c r="C72" s="11"/>
      <c r="D72" s="6">
        <v>14237.58</v>
      </c>
      <c r="E72" s="2"/>
      <c r="F72" s="7">
        <f t="shared" si="44"/>
        <v>1.0995140796745864E-2</v>
      </c>
      <c r="G72" s="2"/>
      <c r="H72" s="6">
        <v>15429</v>
      </c>
      <c r="I72" s="2"/>
      <c r="J72" s="7">
        <f t="shared" si="45"/>
        <v>7.1055507481114725E-3</v>
      </c>
      <c r="K72" s="2"/>
      <c r="L72" s="6">
        <f t="shared" si="46"/>
        <v>-1191.42</v>
      </c>
      <c r="M72" s="2"/>
      <c r="N72" s="7">
        <f t="shared" si="47"/>
        <v>-7.7219521679953343E-2</v>
      </c>
      <c r="O72" s="11"/>
      <c r="P72" s="6">
        <v>120380.53</v>
      </c>
      <c r="Q72" s="2"/>
      <c r="R72" s="7">
        <f t="shared" si="48"/>
        <v>8.8095435620673315E-3</v>
      </c>
      <c r="S72" s="2"/>
      <c r="T72" s="6">
        <v>113263</v>
      </c>
      <c r="U72" s="2"/>
      <c r="V72" s="7">
        <f t="shared" si="49"/>
        <v>7.5360823802530863E-3</v>
      </c>
      <c r="W72" s="2"/>
      <c r="X72" s="6">
        <f t="shared" si="50"/>
        <v>7117.5299999999988</v>
      </c>
      <c r="Y72" s="2"/>
      <c r="Z72" s="7">
        <f t="shared" si="51"/>
        <v>6.28407335140337E-2</v>
      </c>
    </row>
    <row r="73" spans="1:26" s="27" customFormat="1" outlineLevel="1" collapsed="1" x14ac:dyDescent="0.25">
      <c r="A73" s="26"/>
      <c r="B73" s="13" t="str">
        <f>CONCATENATE("     ","Employees' Appreciation                           ")</f>
        <v xml:space="preserve">     Employees' Appreciation                           </v>
      </c>
      <c r="C73" s="13"/>
      <c r="D73" s="1">
        <f>SUM(OSRRefD22_8x_0)</f>
        <v>186.23</v>
      </c>
      <c r="E73" s="1"/>
      <c r="F73" s="5">
        <f t="shared" ref="F73:F81" si="52">IF(D$12=0,0,D73/D$12)</f>
        <v>1.4381833644327069E-4</v>
      </c>
      <c r="G73" s="1"/>
      <c r="H73" s="1">
        <f>SUM(OSRRefH22_8x_0)</f>
        <v>830</v>
      </c>
      <c r="I73" s="1"/>
      <c r="J73" s="5">
        <f t="shared" ref="J73:J81" si="53">IF(H$12=0,0,H73/H$12)</f>
        <v>3.8224169556889769E-4</v>
      </c>
      <c r="K73" s="1"/>
      <c r="L73" s="1">
        <f t="shared" ref="L73:L81" si="54">+D73-H73</f>
        <v>-643.77</v>
      </c>
      <c r="M73" s="1"/>
      <c r="N73" s="5">
        <f t="shared" ref="N73:N81" si="55">IF(H73=0,0,L73/H73)</f>
        <v>-0.77562650602409633</v>
      </c>
      <c r="O73" s="13"/>
      <c r="P73" s="1">
        <f>SUM(OSRRefP22_8x_0)</f>
        <v>3471.24</v>
      </c>
      <c r="Q73" s="1"/>
      <c r="R73" s="5">
        <f t="shared" ref="R73:R81" si="56">IF(P$12=0,0,P73/P$12)</f>
        <v>2.5402812227517691E-4</v>
      </c>
      <c r="S73" s="1"/>
      <c r="T73" s="1">
        <f>SUM(OSRRefT22_8x_0)</f>
        <v>10320</v>
      </c>
      <c r="U73" s="1"/>
      <c r="V73" s="5">
        <f t="shared" ref="V73:V81" si="57">IF(T$12=0,0,T73/T$12)</f>
        <v>6.866529242931218E-4</v>
      </c>
      <c r="W73" s="1"/>
      <c r="X73" s="1">
        <f t="shared" ref="X73:X81" si="58">+P73-T73</f>
        <v>-6848.76</v>
      </c>
      <c r="Y73" s="1"/>
      <c r="Z73" s="5">
        <f t="shared" ref="Z73:Z81" si="59">IF(T73=0,0,X73/T73)</f>
        <v>-0.66363953488372096</v>
      </c>
    </row>
    <row r="74" spans="1:26" s="24" customFormat="1" hidden="1" outlineLevel="2" x14ac:dyDescent="0.25">
      <c r="A74" s="25"/>
      <c r="B74" s="11" t="str">
        <f>CONCATENATE("          ", "6277", " - ", "EMPLOYEE APPRECIATION")</f>
        <v xml:space="preserve">          6277 - EMPLOYEE APPRECIATION</v>
      </c>
      <c r="C74" s="11"/>
      <c r="D74" s="6">
        <v>186.23</v>
      </c>
      <c r="E74" s="2"/>
      <c r="F74" s="7">
        <f t="shared" si="52"/>
        <v>1.4381833644327069E-4</v>
      </c>
      <c r="G74" s="2"/>
      <c r="H74" s="6">
        <v>830</v>
      </c>
      <c r="I74" s="2"/>
      <c r="J74" s="7">
        <f t="shared" si="53"/>
        <v>3.8224169556889769E-4</v>
      </c>
      <c r="K74" s="2"/>
      <c r="L74" s="6">
        <f t="shared" si="54"/>
        <v>-643.77</v>
      </c>
      <c r="M74" s="2"/>
      <c r="N74" s="7">
        <f t="shared" si="55"/>
        <v>-0.77562650602409633</v>
      </c>
      <c r="O74" s="11"/>
      <c r="P74" s="6">
        <v>3471.24</v>
      </c>
      <c r="Q74" s="2"/>
      <c r="R74" s="7">
        <f t="shared" si="56"/>
        <v>2.5402812227517691E-4</v>
      </c>
      <c r="S74" s="2"/>
      <c r="T74" s="6">
        <v>10320</v>
      </c>
      <c r="U74" s="2"/>
      <c r="V74" s="7">
        <f t="shared" si="57"/>
        <v>6.866529242931218E-4</v>
      </c>
      <c r="W74" s="2"/>
      <c r="X74" s="6">
        <f t="shared" si="58"/>
        <v>-6848.76</v>
      </c>
      <c r="Y74" s="2"/>
      <c r="Z74" s="7">
        <f t="shared" si="59"/>
        <v>-0.66363953488372096</v>
      </c>
    </row>
    <row r="75" spans="1:26" s="27" customFormat="1" outlineLevel="1" collapsed="1" x14ac:dyDescent="0.25">
      <c r="A75" s="26"/>
      <c r="B75" s="13" t="str">
        <f>CONCATENATE("     ","Equipment Rental                                  ")</f>
        <v xml:space="preserve">     Equipment Rental                                  </v>
      </c>
      <c r="C75" s="13"/>
      <c r="D75" s="1">
        <f>SUM(OSRRefD22_9x_0)</f>
        <v>2622.91</v>
      </c>
      <c r="E75" s="1"/>
      <c r="F75" s="5">
        <f t="shared" si="52"/>
        <v>2.02557349965322E-3</v>
      </c>
      <c r="G75" s="1"/>
      <c r="H75" s="1">
        <f>SUM(OSRRefH22_9x_0)</f>
        <v>2465</v>
      </c>
      <c r="I75" s="1"/>
      <c r="J75" s="5">
        <f t="shared" si="53"/>
        <v>1.1352117826232925E-3</v>
      </c>
      <c r="K75" s="1"/>
      <c r="L75" s="1">
        <f t="shared" si="54"/>
        <v>157.90999999999985</v>
      </c>
      <c r="M75" s="1"/>
      <c r="N75" s="5">
        <f t="shared" si="55"/>
        <v>6.4060851926977636E-2</v>
      </c>
      <c r="O75" s="13"/>
      <c r="P75" s="1">
        <f>SUM(OSRRefP22_9x_0)</f>
        <v>28607.53</v>
      </c>
      <c r="Q75" s="1"/>
      <c r="R75" s="5">
        <f t="shared" si="56"/>
        <v>2.0935219485920856E-3</v>
      </c>
      <c r="S75" s="1"/>
      <c r="T75" s="1">
        <f>SUM(OSRRefT22_9x_0)</f>
        <v>19976</v>
      </c>
      <c r="U75" s="1"/>
      <c r="V75" s="5">
        <f t="shared" si="57"/>
        <v>1.3291258542325001E-3</v>
      </c>
      <c r="W75" s="1"/>
      <c r="X75" s="1">
        <f t="shared" si="58"/>
        <v>8631.5299999999988</v>
      </c>
      <c r="Y75" s="1"/>
      <c r="Z75" s="5">
        <f t="shared" si="59"/>
        <v>0.4320950140168201</v>
      </c>
    </row>
    <row r="76" spans="1:26" s="24" customFormat="1" hidden="1" outlineLevel="2" x14ac:dyDescent="0.25">
      <c r="A76" s="25"/>
      <c r="B76" s="11" t="str">
        <f>CONCATENATE("          ", "6351", " - ", "EQUIPMENT RENTAL")</f>
        <v xml:space="preserve">          6351 - EQUIPMENT RENTAL</v>
      </c>
      <c r="C76" s="11"/>
      <c r="D76" s="6">
        <v>2622.91</v>
      </c>
      <c r="E76" s="2"/>
      <c r="F76" s="7">
        <f t="shared" si="52"/>
        <v>2.02557349965322E-3</v>
      </c>
      <c r="G76" s="2"/>
      <c r="H76" s="6">
        <v>2465</v>
      </c>
      <c r="I76" s="2"/>
      <c r="J76" s="7">
        <f t="shared" si="53"/>
        <v>1.1352117826232925E-3</v>
      </c>
      <c r="K76" s="2"/>
      <c r="L76" s="6">
        <f t="shared" si="54"/>
        <v>157.90999999999985</v>
      </c>
      <c r="M76" s="2"/>
      <c r="N76" s="7">
        <f t="shared" si="55"/>
        <v>6.4060851926977636E-2</v>
      </c>
      <c r="O76" s="11"/>
      <c r="P76" s="6">
        <v>28607.53</v>
      </c>
      <c r="Q76" s="2"/>
      <c r="R76" s="7">
        <f t="shared" si="56"/>
        <v>2.0935219485920856E-3</v>
      </c>
      <c r="S76" s="2"/>
      <c r="T76" s="6">
        <v>19976</v>
      </c>
      <c r="U76" s="2"/>
      <c r="V76" s="7">
        <f t="shared" si="57"/>
        <v>1.3291258542325001E-3</v>
      </c>
      <c r="W76" s="2"/>
      <c r="X76" s="6">
        <f t="shared" si="58"/>
        <v>8631.5299999999988</v>
      </c>
      <c r="Y76" s="2"/>
      <c r="Z76" s="7">
        <f t="shared" si="59"/>
        <v>0.4320950140168201</v>
      </c>
    </row>
    <row r="77" spans="1:26" s="27" customFormat="1" outlineLevel="1" collapsed="1" x14ac:dyDescent="0.25">
      <c r="A77" s="26"/>
      <c r="B77" s="13" t="str">
        <f>CONCATENATE("     ","Freight out/Postage                               ")</f>
        <v xml:space="preserve">     Freight out/Postage                               </v>
      </c>
      <c r="C77" s="13"/>
      <c r="D77" s="1">
        <f>SUM(OSRRefD22_10x_0)</f>
        <v>0</v>
      </c>
      <c r="E77" s="1"/>
      <c r="F77" s="5">
        <f t="shared" si="52"/>
        <v>0</v>
      </c>
      <c r="G77" s="1"/>
      <c r="H77" s="1">
        <f>SUM(OSRRefH22_10x_0)</f>
        <v>1</v>
      </c>
      <c r="I77" s="1"/>
      <c r="J77" s="5">
        <f t="shared" si="53"/>
        <v>4.6053216333602132E-7</v>
      </c>
      <c r="K77" s="1"/>
      <c r="L77" s="1">
        <f t="shared" si="54"/>
        <v>-1</v>
      </c>
      <c r="M77" s="1"/>
      <c r="N77" s="5">
        <f t="shared" si="55"/>
        <v>-1</v>
      </c>
      <c r="O77" s="13"/>
      <c r="P77" s="1">
        <f>SUM(OSRRefP22_10x_0)</f>
        <v>0</v>
      </c>
      <c r="Q77" s="1"/>
      <c r="R77" s="5">
        <f t="shared" si="56"/>
        <v>0</v>
      </c>
      <c r="S77" s="1"/>
      <c r="T77" s="1">
        <f>SUM(OSRRefT22_10x_0)</f>
        <v>9</v>
      </c>
      <c r="U77" s="1"/>
      <c r="V77" s="5">
        <f t="shared" si="57"/>
        <v>5.9882522467423411E-7</v>
      </c>
      <c r="W77" s="1"/>
      <c r="X77" s="1">
        <f t="shared" si="58"/>
        <v>-9</v>
      </c>
      <c r="Y77" s="1"/>
      <c r="Z77" s="5">
        <f t="shared" si="59"/>
        <v>-1</v>
      </c>
    </row>
    <row r="78" spans="1:26" s="24" customFormat="1" hidden="1" outlineLevel="2" x14ac:dyDescent="0.25">
      <c r="A78" s="25"/>
      <c r="B78" s="11" t="str">
        <f>CONCATENATE("          ", "6307", " - ", "POSTAGE")</f>
        <v xml:space="preserve">          6307 - POSTAGE</v>
      </c>
      <c r="C78" s="11"/>
      <c r="D78" s="6"/>
      <c r="E78" s="2"/>
      <c r="F78" s="7">
        <f t="shared" si="52"/>
        <v>0</v>
      </c>
      <c r="G78" s="2"/>
      <c r="H78" s="6">
        <v>1</v>
      </c>
      <c r="I78" s="2"/>
      <c r="J78" s="7">
        <f t="shared" si="53"/>
        <v>4.6053216333602132E-7</v>
      </c>
      <c r="K78" s="2"/>
      <c r="L78" s="6">
        <f t="shared" si="54"/>
        <v>-1</v>
      </c>
      <c r="M78" s="2"/>
      <c r="N78" s="7">
        <f t="shared" si="55"/>
        <v>-1</v>
      </c>
      <c r="O78" s="11"/>
      <c r="P78" s="6"/>
      <c r="Q78" s="2"/>
      <c r="R78" s="7">
        <f t="shared" si="56"/>
        <v>0</v>
      </c>
      <c r="S78" s="2"/>
      <c r="T78" s="6">
        <v>9</v>
      </c>
      <c r="U78" s="2"/>
      <c r="V78" s="7">
        <f t="shared" si="57"/>
        <v>5.9882522467423411E-7</v>
      </c>
      <c r="W78" s="2"/>
      <c r="X78" s="6">
        <f t="shared" si="58"/>
        <v>-9</v>
      </c>
      <c r="Y78" s="2"/>
      <c r="Z78" s="7">
        <f t="shared" si="59"/>
        <v>-1</v>
      </c>
    </row>
    <row r="79" spans="1:26" s="27" customFormat="1" outlineLevel="1" collapsed="1" x14ac:dyDescent="0.25">
      <c r="A79" s="26"/>
      <c r="B79" s="13" t="str">
        <f>CONCATENATE("     ","General                                           ")</f>
        <v xml:space="preserve">     General                                           </v>
      </c>
      <c r="C79" s="13"/>
      <c r="D79" s="1">
        <f>SUM(OSRRefD22_11x_0)</f>
        <v>2421.3200000000002</v>
      </c>
      <c r="E79" s="1"/>
      <c r="F79" s="5">
        <f t="shared" si="52"/>
        <v>1.8698932201944921E-3</v>
      </c>
      <c r="G79" s="1"/>
      <c r="H79" s="1">
        <f>SUM(OSRRefH22_11x_0)</f>
        <v>4275</v>
      </c>
      <c r="I79" s="1"/>
      <c r="J79" s="5">
        <f t="shared" si="53"/>
        <v>1.9687749982614912E-3</v>
      </c>
      <c r="K79" s="1"/>
      <c r="L79" s="1">
        <f t="shared" si="54"/>
        <v>-1853.6799999999998</v>
      </c>
      <c r="M79" s="1"/>
      <c r="N79" s="5">
        <f t="shared" si="55"/>
        <v>-0.43360935672514617</v>
      </c>
      <c r="O79" s="13"/>
      <c r="P79" s="1">
        <f>SUM(OSRRefP22_11x_0)</f>
        <v>93195.03</v>
      </c>
      <c r="Q79" s="1"/>
      <c r="R79" s="5">
        <f t="shared" si="56"/>
        <v>6.8200869073526404E-3</v>
      </c>
      <c r="S79" s="1"/>
      <c r="T79" s="1">
        <f>SUM(OSRRefT22_11x_0)</f>
        <v>52519</v>
      </c>
      <c r="U79" s="1"/>
      <c r="V79" s="5">
        <f t="shared" si="57"/>
        <v>3.4944113305184557E-3</v>
      </c>
      <c r="W79" s="1"/>
      <c r="X79" s="1">
        <f t="shared" si="58"/>
        <v>40676.03</v>
      </c>
      <c r="Y79" s="1"/>
      <c r="Z79" s="5">
        <f t="shared" si="59"/>
        <v>0.77450122812696354</v>
      </c>
    </row>
    <row r="80" spans="1:26" s="24" customFormat="1" hidden="1" outlineLevel="2" x14ac:dyDescent="0.25">
      <c r="A80" s="25"/>
      <c r="B80" s="11" t="str">
        <f>CONCATENATE("          ", "6269", " - ", "ENTERTAINMENT")</f>
        <v xml:space="preserve">          6269 - ENTERTAINMENT</v>
      </c>
      <c r="C80" s="11"/>
      <c r="D80" s="6"/>
      <c r="E80" s="2"/>
      <c r="F80" s="7">
        <f t="shared" si="52"/>
        <v>0</v>
      </c>
      <c r="G80" s="2"/>
      <c r="H80" s="6">
        <v>900</v>
      </c>
      <c r="I80" s="2"/>
      <c r="J80" s="7">
        <f t="shared" si="53"/>
        <v>4.1447894700241916E-4</v>
      </c>
      <c r="K80" s="2"/>
      <c r="L80" s="6">
        <f t="shared" si="54"/>
        <v>-900</v>
      </c>
      <c r="M80" s="2"/>
      <c r="N80" s="7">
        <f t="shared" si="55"/>
        <v>-1</v>
      </c>
      <c r="O80" s="11"/>
      <c r="P80" s="6">
        <v>10050</v>
      </c>
      <c r="Q80" s="2"/>
      <c r="R80" s="7">
        <f t="shared" si="56"/>
        <v>7.3546704603125331E-4</v>
      </c>
      <c r="S80" s="2"/>
      <c r="T80" s="6">
        <v>6500</v>
      </c>
      <c r="U80" s="2"/>
      <c r="V80" s="7">
        <f t="shared" si="57"/>
        <v>4.3248488448694686E-4</v>
      </c>
      <c r="W80" s="2"/>
      <c r="X80" s="6">
        <f t="shared" si="58"/>
        <v>3550</v>
      </c>
      <c r="Y80" s="2"/>
      <c r="Z80" s="7">
        <f t="shared" si="59"/>
        <v>0.5461538461538461</v>
      </c>
    </row>
    <row r="81" spans="1:26" s="24" customFormat="1" hidden="1" outlineLevel="2" x14ac:dyDescent="0.25">
      <c r="A81" s="25"/>
      <c r="B81" s="11" t="str">
        <f>CONCATENATE("          ", "6279", " - ", "GENERAL EXPENSE")</f>
        <v xml:space="preserve">          6279 - GENERAL EXPENSE</v>
      </c>
      <c r="C81" s="11"/>
      <c r="D81" s="6">
        <v>2421.3200000000002</v>
      </c>
      <c r="E81" s="2"/>
      <c r="F81" s="7">
        <f t="shared" si="52"/>
        <v>1.8698932201944921E-3</v>
      </c>
      <c r="G81" s="2"/>
      <c r="H81" s="6">
        <v>3375</v>
      </c>
      <c r="I81" s="2"/>
      <c r="J81" s="7">
        <f t="shared" si="53"/>
        <v>1.554296051259072E-3</v>
      </c>
      <c r="K81" s="2"/>
      <c r="L81" s="6">
        <f t="shared" si="54"/>
        <v>-953.67999999999984</v>
      </c>
      <c r="M81" s="2"/>
      <c r="N81" s="7">
        <f t="shared" si="55"/>
        <v>-0.2825718518518518</v>
      </c>
      <c r="O81" s="11"/>
      <c r="P81" s="6">
        <v>83145.03</v>
      </c>
      <c r="Q81" s="2"/>
      <c r="R81" s="7">
        <f t="shared" si="56"/>
        <v>6.0846198613213869E-3</v>
      </c>
      <c r="S81" s="2"/>
      <c r="T81" s="6">
        <v>46019</v>
      </c>
      <c r="U81" s="2"/>
      <c r="V81" s="7">
        <f t="shared" si="57"/>
        <v>3.0619264460315086E-3</v>
      </c>
      <c r="W81" s="2"/>
      <c r="X81" s="6">
        <f t="shared" si="58"/>
        <v>37126.03</v>
      </c>
      <c r="Y81" s="2"/>
      <c r="Z81" s="7">
        <f t="shared" si="59"/>
        <v>0.80675438405875832</v>
      </c>
    </row>
    <row r="82" spans="1:26" s="27" customFormat="1" outlineLevel="1" collapsed="1" x14ac:dyDescent="0.25">
      <c r="A82" s="26"/>
      <c r="B82" s="13" t="str">
        <f>CONCATENATE("     ","Insurance                                         ")</f>
        <v xml:space="preserve">     Insurance                                         </v>
      </c>
      <c r="C82" s="13"/>
      <c r="D82" s="1">
        <f>SUM(OSRRefD22_12x_0)</f>
        <v>4246.03</v>
      </c>
      <c r="E82" s="1"/>
      <c r="F82" s="5">
        <f t="shared" ref="F82:F96" si="60">IF(D$12=0,0,D82/D$12)</f>
        <v>3.2790472592397609E-3</v>
      </c>
      <c r="G82" s="1"/>
      <c r="H82" s="1">
        <f>SUM(OSRRefH22_12x_0)</f>
        <v>4009</v>
      </c>
      <c r="I82" s="1"/>
      <c r="J82" s="5">
        <f t="shared" ref="J82:J96" si="61">IF(H$12=0,0,H82/H$12)</f>
        <v>1.8462734428141094E-3</v>
      </c>
      <c r="K82" s="1"/>
      <c r="L82" s="1">
        <f t="shared" ref="L82:L96" si="62">+D82-H82</f>
        <v>237.02999999999975</v>
      </c>
      <c r="M82" s="1"/>
      <c r="N82" s="5">
        <f t="shared" ref="N82:N96" si="63">IF(H82=0,0,L82/H82)</f>
        <v>5.9124469942629022E-2</v>
      </c>
      <c r="O82" s="13"/>
      <c r="P82" s="1">
        <f>SUM(OSRRefP22_12x_0)</f>
        <v>43975.270000000004</v>
      </c>
      <c r="Q82" s="1"/>
      <c r="R82" s="5">
        <f t="shared" ref="R82:R96" si="64">IF(P$12=0,0,P82/P$12)</f>
        <v>3.2181454652066466E-3</v>
      </c>
      <c r="S82" s="1"/>
      <c r="T82" s="1">
        <f>SUM(OSRRefT22_12x_0)</f>
        <v>36081</v>
      </c>
      <c r="U82" s="1"/>
      <c r="V82" s="5">
        <f t="shared" ref="V82:V96" si="65">IF(T$12=0,0,T82/T$12)</f>
        <v>2.4006903257190043E-3</v>
      </c>
      <c r="W82" s="1"/>
      <c r="X82" s="1">
        <f t="shared" ref="X82:X96" si="66">+P82-T82</f>
        <v>7894.2700000000041</v>
      </c>
      <c r="Y82" s="1"/>
      <c r="Z82" s="5">
        <f t="shared" ref="Z82:Z96" si="67">IF(T82=0,0,X82/T82)</f>
        <v>0.21879299354230769</v>
      </c>
    </row>
    <row r="83" spans="1:26" s="24" customFormat="1" hidden="1" outlineLevel="2" x14ac:dyDescent="0.25">
      <c r="A83" s="25"/>
      <c r="B83" s="11" t="str">
        <f>CONCATENATE("          ", "6314", " - ", "LIABILITY INSURANCE")</f>
        <v xml:space="preserve">          6314 - LIABILITY INSURANCE</v>
      </c>
      <c r="C83" s="11"/>
      <c r="D83" s="6">
        <v>4246.03</v>
      </c>
      <c r="E83" s="2"/>
      <c r="F83" s="7">
        <f t="shared" si="60"/>
        <v>3.2790472592397609E-3</v>
      </c>
      <c r="G83" s="2"/>
      <c r="H83" s="6">
        <v>4009</v>
      </c>
      <c r="I83" s="2"/>
      <c r="J83" s="7">
        <f t="shared" si="61"/>
        <v>1.8462734428141094E-3</v>
      </c>
      <c r="K83" s="2"/>
      <c r="L83" s="6">
        <f t="shared" si="62"/>
        <v>237.02999999999975</v>
      </c>
      <c r="M83" s="2"/>
      <c r="N83" s="7">
        <f t="shared" si="63"/>
        <v>5.9124469942629022E-2</v>
      </c>
      <c r="O83" s="11"/>
      <c r="P83" s="6">
        <v>43975.270000000004</v>
      </c>
      <c r="Q83" s="2"/>
      <c r="R83" s="7">
        <f t="shared" si="64"/>
        <v>3.2181454652066466E-3</v>
      </c>
      <c r="S83" s="2"/>
      <c r="T83" s="6">
        <v>36081</v>
      </c>
      <c r="U83" s="2"/>
      <c r="V83" s="7">
        <f t="shared" si="65"/>
        <v>2.4006903257190043E-3</v>
      </c>
      <c r="W83" s="2"/>
      <c r="X83" s="6">
        <f t="shared" si="66"/>
        <v>7894.2700000000041</v>
      </c>
      <c r="Y83" s="2"/>
      <c r="Z83" s="7">
        <f t="shared" si="67"/>
        <v>0.21879299354230769</v>
      </c>
    </row>
    <row r="84" spans="1:26" s="27" customFormat="1" outlineLevel="1" collapsed="1" x14ac:dyDescent="0.25">
      <c r="A84" s="26"/>
      <c r="B84" s="13" t="str">
        <f>CONCATENATE("     ","Interest                                          ")</f>
        <v xml:space="preserve">     Interest                                          </v>
      </c>
      <c r="C84" s="13"/>
      <c r="D84" s="1">
        <f>SUM(OSRRefD22_13x_0)</f>
        <v>7754</v>
      </c>
      <c r="E84" s="1"/>
      <c r="F84" s="5">
        <f t="shared" si="60"/>
        <v>5.9881188894438117E-3</v>
      </c>
      <c r="G84" s="1"/>
      <c r="H84" s="1">
        <f>SUM(OSRRefH22_13x_0)</f>
        <v>7754</v>
      </c>
      <c r="I84" s="1"/>
      <c r="J84" s="5">
        <f t="shared" si="61"/>
        <v>3.5709663945075092E-3</v>
      </c>
      <c r="K84" s="1"/>
      <c r="L84" s="1">
        <f t="shared" si="62"/>
        <v>0</v>
      </c>
      <c r="M84" s="1"/>
      <c r="N84" s="5">
        <f t="shared" si="63"/>
        <v>0</v>
      </c>
      <c r="O84" s="13"/>
      <c r="P84" s="1">
        <f>SUM(OSRRefP22_13x_0)</f>
        <v>69393.05</v>
      </c>
      <c r="Q84" s="1"/>
      <c r="R84" s="5">
        <f t="shared" si="64"/>
        <v>5.0782389550844843E-3</v>
      </c>
      <c r="S84" s="1"/>
      <c r="T84" s="1">
        <f>SUM(OSRRefT22_13x_0)</f>
        <v>69786</v>
      </c>
      <c r="U84" s="1"/>
      <c r="V84" s="5">
        <f t="shared" si="65"/>
        <v>4.6432907921240109E-3</v>
      </c>
      <c r="W84" s="1"/>
      <c r="X84" s="1">
        <f t="shared" si="66"/>
        <v>-392.94999999999709</v>
      </c>
      <c r="Y84" s="1"/>
      <c r="Z84" s="5">
        <f t="shared" si="67"/>
        <v>-5.6307855443784869E-3</v>
      </c>
    </row>
    <row r="85" spans="1:26" s="24" customFormat="1" hidden="1" outlineLevel="2" x14ac:dyDescent="0.25">
      <c r="A85" s="25"/>
      <c r="B85" s="11" t="str">
        <f>CONCATENATE("          ", "6401", " - ", "INTEREST EXPENSE")</f>
        <v xml:space="preserve">          6401 - INTEREST EXPENSE</v>
      </c>
      <c r="C85" s="11"/>
      <c r="D85" s="6">
        <v>7754</v>
      </c>
      <c r="E85" s="2"/>
      <c r="F85" s="7">
        <f t="shared" si="60"/>
        <v>5.9881188894438117E-3</v>
      </c>
      <c r="G85" s="2"/>
      <c r="H85" s="6">
        <v>7754</v>
      </c>
      <c r="I85" s="2"/>
      <c r="J85" s="7">
        <f t="shared" si="61"/>
        <v>3.5709663945075092E-3</v>
      </c>
      <c r="K85" s="2"/>
      <c r="L85" s="6">
        <f t="shared" si="62"/>
        <v>0</v>
      </c>
      <c r="M85" s="2"/>
      <c r="N85" s="7">
        <f t="shared" si="63"/>
        <v>0</v>
      </c>
      <c r="O85" s="11"/>
      <c r="P85" s="6">
        <v>69393.05</v>
      </c>
      <c r="Q85" s="2"/>
      <c r="R85" s="7">
        <f t="shared" si="64"/>
        <v>5.0782389550844843E-3</v>
      </c>
      <c r="S85" s="2"/>
      <c r="T85" s="6">
        <v>69786</v>
      </c>
      <c r="U85" s="2"/>
      <c r="V85" s="7">
        <f t="shared" si="65"/>
        <v>4.6432907921240109E-3</v>
      </c>
      <c r="W85" s="2"/>
      <c r="X85" s="6">
        <f t="shared" si="66"/>
        <v>-392.94999999999709</v>
      </c>
      <c r="Y85" s="2"/>
      <c r="Z85" s="7">
        <f t="shared" si="67"/>
        <v>-5.6307855443784869E-3</v>
      </c>
    </row>
    <row r="86" spans="1:26" s="27" customFormat="1" outlineLevel="1" collapsed="1" x14ac:dyDescent="0.25">
      <c r="A86" s="26"/>
      <c r="B86" s="13" t="str">
        <f>CONCATENATE("     ","Professional Services                             ")</f>
        <v xml:space="preserve">     Professional Services                             </v>
      </c>
      <c r="C86" s="13"/>
      <c r="D86" s="1">
        <f>SUM(OSRRefD22_14x_0)</f>
        <v>0</v>
      </c>
      <c r="E86" s="1"/>
      <c r="F86" s="5">
        <f t="shared" si="60"/>
        <v>0</v>
      </c>
      <c r="G86" s="1"/>
      <c r="H86" s="1">
        <f>SUM(OSRRefH22_14x_0)</f>
        <v>0</v>
      </c>
      <c r="I86" s="1"/>
      <c r="J86" s="5">
        <f t="shared" si="61"/>
        <v>0</v>
      </c>
      <c r="K86" s="1"/>
      <c r="L86" s="1">
        <f t="shared" si="62"/>
        <v>0</v>
      </c>
      <c r="M86" s="1"/>
      <c r="N86" s="5">
        <f t="shared" si="63"/>
        <v>0</v>
      </c>
      <c r="O86" s="13"/>
      <c r="P86" s="1">
        <f>SUM(OSRRefP22_14x_0)</f>
        <v>125</v>
      </c>
      <c r="Q86" s="1"/>
      <c r="R86" s="5">
        <f t="shared" si="64"/>
        <v>9.1476000750155895E-6</v>
      </c>
      <c r="S86" s="1"/>
      <c r="T86" s="1">
        <f>SUM(OSRRefT22_14x_0)</f>
        <v>0</v>
      </c>
      <c r="U86" s="1"/>
      <c r="V86" s="5">
        <f t="shared" si="65"/>
        <v>0</v>
      </c>
      <c r="W86" s="1"/>
      <c r="X86" s="1">
        <f t="shared" si="66"/>
        <v>125</v>
      </c>
      <c r="Y86" s="1"/>
      <c r="Z86" s="5">
        <f t="shared" si="67"/>
        <v>0</v>
      </c>
    </row>
    <row r="87" spans="1:26" s="24" customFormat="1" hidden="1" outlineLevel="2" x14ac:dyDescent="0.25">
      <c r="A87" s="25"/>
      <c r="B87" s="11" t="str">
        <f>CONCATENATE("          ", "6336", " - ", "PROFESSIONAL SERVICES")</f>
        <v xml:space="preserve">          6336 - PROFESSIONAL SERVICES</v>
      </c>
      <c r="C87" s="11"/>
      <c r="D87" s="6"/>
      <c r="E87" s="2"/>
      <c r="F87" s="7">
        <f t="shared" si="60"/>
        <v>0</v>
      </c>
      <c r="G87" s="2"/>
      <c r="H87" s="6"/>
      <c r="I87" s="2"/>
      <c r="J87" s="7">
        <f t="shared" si="61"/>
        <v>0</v>
      </c>
      <c r="K87" s="2"/>
      <c r="L87" s="6">
        <f t="shared" si="62"/>
        <v>0</v>
      </c>
      <c r="M87" s="2"/>
      <c r="N87" s="7">
        <f t="shared" si="63"/>
        <v>0</v>
      </c>
      <c r="O87" s="11"/>
      <c r="P87" s="6">
        <v>125</v>
      </c>
      <c r="Q87" s="2"/>
      <c r="R87" s="7">
        <f t="shared" si="64"/>
        <v>9.1476000750155895E-6</v>
      </c>
      <c r="S87" s="2"/>
      <c r="T87" s="6"/>
      <c r="U87" s="2"/>
      <c r="V87" s="7">
        <f t="shared" si="65"/>
        <v>0</v>
      </c>
      <c r="W87" s="2"/>
      <c r="X87" s="6">
        <f t="shared" si="66"/>
        <v>125</v>
      </c>
      <c r="Y87" s="2"/>
      <c r="Z87" s="7">
        <f t="shared" si="67"/>
        <v>0</v>
      </c>
    </row>
    <row r="88" spans="1:26" s="27" customFormat="1" outlineLevel="1" collapsed="1" x14ac:dyDescent="0.25">
      <c r="A88" s="26"/>
      <c r="B88" s="13" t="str">
        <f>CONCATENATE("     ","R/H Commissions                                   ")</f>
        <v xml:space="preserve">     R/H Commissions                                   </v>
      </c>
      <c r="C88" s="13"/>
      <c r="D88" s="1">
        <f>SUM(OSRRefD22_15x_0)</f>
        <v>76497.149999999994</v>
      </c>
      <c r="E88" s="1"/>
      <c r="F88" s="5">
        <f t="shared" si="60"/>
        <v>5.9075835556308569E-2</v>
      </c>
      <c r="G88" s="1"/>
      <c r="H88" s="1">
        <f>SUM(OSRRefH22_15x_0)</f>
        <v>100255</v>
      </c>
      <c r="I88" s="1"/>
      <c r="J88" s="5">
        <f t="shared" si="61"/>
        <v>4.6170652035252814E-2</v>
      </c>
      <c r="K88" s="1"/>
      <c r="L88" s="1">
        <f t="shared" si="62"/>
        <v>-23757.850000000006</v>
      </c>
      <c r="M88" s="1"/>
      <c r="N88" s="5">
        <f t="shared" si="63"/>
        <v>-0.23697421574983796</v>
      </c>
      <c r="O88" s="13"/>
      <c r="P88" s="1">
        <f>SUM(OSRRefP22_15x_0)</f>
        <v>702548.43</v>
      </c>
      <c r="Q88" s="1"/>
      <c r="R88" s="5">
        <f t="shared" si="64"/>
        <v>5.1413056567760677E-2</v>
      </c>
      <c r="S88" s="1"/>
      <c r="T88" s="1">
        <f>SUM(OSRRefT22_15x_0)</f>
        <v>735891</v>
      </c>
      <c r="U88" s="1"/>
      <c r="V88" s="5">
        <f t="shared" si="65"/>
        <v>4.89633437123052E-2</v>
      </c>
      <c r="W88" s="1"/>
      <c r="X88" s="1">
        <f t="shared" si="66"/>
        <v>-33342.569999999949</v>
      </c>
      <c r="Y88" s="1"/>
      <c r="Z88" s="5">
        <f t="shared" si="67"/>
        <v>-4.5309115072748478E-2</v>
      </c>
    </row>
    <row r="89" spans="1:26" s="24" customFormat="1" hidden="1" outlineLevel="2" x14ac:dyDescent="0.25">
      <c r="A89" s="25"/>
      <c r="B89" s="11" t="str">
        <f>CONCATENATE("          ", "6387", " - ", "COMMISSION DUE HOUSING")</f>
        <v xml:space="preserve">          6387 - COMMISSION DUE HOUSING</v>
      </c>
      <c r="C89" s="11"/>
      <c r="D89" s="6">
        <v>76497.149999999994</v>
      </c>
      <c r="E89" s="2"/>
      <c r="F89" s="7">
        <f t="shared" si="60"/>
        <v>5.9075835556308569E-2</v>
      </c>
      <c r="G89" s="2"/>
      <c r="H89" s="6">
        <v>100255</v>
      </c>
      <c r="I89" s="2"/>
      <c r="J89" s="7">
        <f t="shared" si="61"/>
        <v>4.6170652035252814E-2</v>
      </c>
      <c r="K89" s="2"/>
      <c r="L89" s="6">
        <f t="shared" si="62"/>
        <v>-23757.850000000006</v>
      </c>
      <c r="M89" s="2"/>
      <c r="N89" s="7">
        <f t="shared" si="63"/>
        <v>-0.23697421574983796</v>
      </c>
      <c r="O89" s="11"/>
      <c r="P89" s="6">
        <v>702548.43</v>
      </c>
      <c r="Q89" s="2"/>
      <c r="R89" s="7">
        <f t="shared" si="64"/>
        <v>5.1413056567760677E-2</v>
      </c>
      <c r="S89" s="2"/>
      <c r="T89" s="6">
        <v>735891</v>
      </c>
      <c r="U89" s="2"/>
      <c r="V89" s="7">
        <f t="shared" si="65"/>
        <v>4.89633437123052E-2</v>
      </c>
      <c r="W89" s="2"/>
      <c r="X89" s="6">
        <f t="shared" si="66"/>
        <v>-33342.569999999949</v>
      </c>
      <c r="Y89" s="2"/>
      <c r="Z89" s="7">
        <f t="shared" si="67"/>
        <v>-4.5309115072748478E-2</v>
      </c>
    </row>
    <row r="90" spans="1:26" s="27" customFormat="1" outlineLevel="1" collapsed="1" x14ac:dyDescent="0.25">
      <c r="A90" s="26"/>
      <c r="B90" s="13" t="str">
        <f>CONCATENATE("     ","Rent                                              ")</f>
        <v xml:space="preserve">     Rent                                              </v>
      </c>
      <c r="C90" s="13"/>
      <c r="D90" s="1">
        <f>SUM(OSRRefD22_16x_0)</f>
        <v>1850</v>
      </c>
      <c r="E90" s="1"/>
      <c r="F90" s="5">
        <f t="shared" si="60"/>
        <v>1.4286845428773602E-3</v>
      </c>
      <c r="G90" s="1"/>
      <c r="H90" s="1">
        <f>SUM(OSRRefH22_16x_0)</f>
        <v>1850</v>
      </c>
      <c r="I90" s="1"/>
      <c r="J90" s="5">
        <f t="shared" si="61"/>
        <v>8.5198450217163942E-4</v>
      </c>
      <c r="K90" s="1"/>
      <c r="L90" s="1">
        <f t="shared" si="62"/>
        <v>0</v>
      </c>
      <c r="M90" s="1"/>
      <c r="N90" s="5">
        <f t="shared" si="63"/>
        <v>0</v>
      </c>
      <c r="O90" s="13"/>
      <c r="P90" s="1">
        <f>SUM(OSRRefP22_16x_0)</f>
        <v>16650</v>
      </c>
      <c r="Q90" s="1"/>
      <c r="R90" s="5">
        <f t="shared" si="64"/>
        <v>1.2184603299920764E-3</v>
      </c>
      <c r="S90" s="1"/>
      <c r="T90" s="1">
        <f>SUM(OSRRefT22_16x_0)</f>
        <v>16650</v>
      </c>
      <c r="U90" s="1"/>
      <c r="V90" s="5">
        <f t="shared" si="65"/>
        <v>1.1078266656473332E-3</v>
      </c>
      <c r="W90" s="1"/>
      <c r="X90" s="1">
        <f t="shared" si="66"/>
        <v>0</v>
      </c>
      <c r="Y90" s="1"/>
      <c r="Z90" s="5">
        <f t="shared" si="67"/>
        <v>0</v>
      </c>
    </row>
    <row r="91" spans="1:26" s="24" customFormat="1" hidden="1" outlineLevel="2" x14ac:dyDescent="0.25">
      <c r="A91" s="25"/>
      <c r="B91" s="11" t="str">
        <f>CONCATENATE("          ", "6273", " - ", "RENT")</f>
        <v xml:space="preserve">          6273 - RENT</v>
      </c>
      <c r="C91" s="11"/>
      <c r="D91" s="6">
        <v>1850</v>
      </c>
      <c r="E91" s="2"/>
      <c r="F91" s="7">
        <f t="shared" si="60"/>
        <v>1.4286845428773602E-3</v>
      </c>
      <c r="G91" s="2"/>
      <c r="H91" s="6">
        <v>1850</v>
      </c>
      <c r="I91" s="2"/>
      <c r="J91" s="7">
        <f t="shared" si="61"/>
        <v>8.5198450217163942E-4</v>
      </c>
      <c r="K91" s="2"/>
      <c r="L91" s="6">
        <f t="shared" si="62"/>
        <v>0</v>
      </c>
      <c r="M91" s="2"/>
      <c r="N91" s="7">
        <f t="shared" si="63"/>
        <v>0</v>
      </c>
      <c r="O91" s="11"/>
      <c r="P91" s="6">
        <v>16650</v>
      </c>
      <c r="Q91" s="2"/>
      <c r="R91" s="7">
        <f t="shared" si="64"/>
        <v>1.2184603299920764E-3</v>
      </c>
      <c r="S91" s="2"/>
      <c r="T91" s="6">
        <v>16650</v>
      </c>
      <c r="U91" s="2"/>
      <c r="V91" s="7">
        <f t="shared" si="65"/>
        <v>1.1078266656473332E-3</v>
      </c>
      <c r="W91" s="2"/>
      <c r="X91" s="6">
        <f t="shared" si="66"/>
        <v>0</v>
      </c>
      <c r="Y91" s="2"/>
      <c r="Z91" s="7">
        <f t="shared" si="67"/>
        <v>0</v>
      </c>
    </row>
    <row r="92" spans="1:26" s="27" customFormat="1" outlineLevel="1" collapsed="1" x14ac:dyDescent="0.25">
      <c r="A92" s="26"/>
      <c r="B92" s="13" t="str">
        <f>CONCATENATE("     ","Repair and Maintenance                            ")</f>
        <v xml:space="preserve">     Repair and Maintenance                            </v>
      </c>
      <c r="C92" s="13"/>
      <c r="D92" s="1">
        <f>SUM(OSRRefD22_17x_0)</f>
        <v>12563.869999999999</v>
      </c>
      <c r="E92" s="1"/>
      <c r="F92" s="5">
        <f t="shared" si="60"/>
        <v>9.7025983068759897E-3</v>
      </c>
      <c r="G92" s="1"/>
      <c r="H92" s="1">
        <f>SUM(OSRRefH22_17x_0)</f>
        <v>18505</v>
      </c>
      <c r="I92" s="1"/>
      <c r="J92" s="5">
        <f t="shared" si="61"/>
        <v>8.5221476825330742E-3</v>
      </c>
      <c r="K92" s="1"/>
      <c r="L92" s="1">
        <f t="shared" si="62"/>
        <v>-5941.130000000001</v>
      </c>
      <c r="M92" s="1"/>
      <c r="N92" s="5">
        <f t="shared" si="63"/>
        <v>-0.32105539043501763</v>
      </c>
      <c r="O92" s="13"/>
      <c r="P92" s="1">
        <f>SUM(OSRRefP22_17x_0)</f>
        <v>267332.63</v>
      </c>
      <c r="Q92" s="1"/>
      <c r="R92" s="5">
        <f t="shared" si="64"/>
        <v>1.9563615889936919E-2</v>
      </c>
      <c r="S92" s="1"/>
      <c r="T92" s="1">
        <f>SUM(OSRRefT22_17x_0)</f>
        <v>231387</v>
      </c>
      <c r="U92" s="1"/>
      <c r="V92" s="5">
        <f t="shared" si="65"/>
        <v>1.5395596917966334E-2</v>
      </c>
      <c r="W92" s="1"/>
      <c r="X92" s="1">
        <f t="shared" si="66"/>
        <v>35945.630000000005</v>
      </c>
      <c r="Y92" s="1"/>
      <c r="Z92" s="5">
        <f t="shared" si="67"/>
        <v>0.15534852865545604</v>
      </c>
    </row>
    <row r="93" spans="1:26" s="24" customFormat="1" hidden="1" outlineLevel="2" x14ac:dyDescent="0.25">
      <c r="A93" s="25"/>
      <c r="B93" s="11" t="str">
        <f>CONCATENATE("          ", "6371", " - ", "COMPUTER SOFTWARE MAINTENANCE")</f>
        <v xml:space="preserve">          6371 - COMPUTER SOFTWARE MAINTENANCE</v>
      </c>
      <c r="C93" s="11"/>
      <c r="D93" s="6"/>
      <c r="E93" s="2"/>
      <c r="F93" s="7">
        <f t="shared" si="60"/>
        <v>0</v>
      </c>
      <c r="G93" s="2"/>
      <c r="H93" s="6">
        <v>1547</v>
      </c>
      <c r="I93" s="2"/>
      <c r="J93" s="7">
        <f t="shared" si="61"/>
        <v>7.1244325668082492E-4</v>
      </c>
      <c r="K93" s="2"/>
      <c r="L93" s="6">
        <f t="shared" si="62"/>
        <v>-1547</v>
      </c>
      <c r="M93" s="2"/>
      <c r="N93" s="7">
        <f t="shared" si="63"/>
        <v>-1</v>
      </c>
      <c r="O93" s="11"/>
      <c r="P93" s="6">
        <v>73995.62</v>
      </c>
      <c r="Q93" s="2"/>
      <c r="R93" s="7">
        <f t="shared" si="64"/>
        <v>5.4150587125025998E-3</v>
      </c>
      <c r="S93" s="2"/>
      <c r="T93" s="6">
        <v>24873</v>
      </c>
      <c r="U93" s="2"/>
      <c r="V93" s="7">
        <f t="shared" si="65"/>
        <v>1.6549533125913582E-3</v>
      </c>
      <c r="W93" s="2"/>
      <c r="X93" s="6">
        <f t="shared" si="66"/>
        <v>49122.619999999995</v>
      </c>
      <c r="Y93" s="2"/>
      <c r="Z93" s="7">
        <f t="shared" si="67"/>
        <v>1.9749374824106458</v>
      </c>
    </row>
    <row r="94" spans="1:26" s="24" customFormat="1" hidden="1" outlineLevel="2" x14ac:dyDescent="0.25">
      <c r="A94" s="25"/>
      <c r="B94" s="11" t="str">
        <f>CONCATENATE("          ", "6372", " - ", "COMPUTER HARDWARE MAINTENANCE")</f>
        <v xml:space="preserve">          6372 - COMPUTER HARDWARE MAINTENANCE</v>
      </c>
      <c r="C94" s="11"/>
      <c r="D94" s="6"/>
      <c r="E94" s="2"/>
      <c r="F94" s="7">
        <f t="shared" si="60"/>
        <v>0</v>
      </c>
      <c r="G94" s="2"/>
      <c r="H94" s="6">
        <v>70</v>
      </c>
      <c r="I94" s="2"/>
      <c r="J94" s="7">
        <f t="shared" si="61"/>
        <v>3.2237251433521494E-5</v>
      </c>
      <c r="K94" s="2"/>
      <c r="L94" s="6">
        <f t="shared" si="62"/>
        <v>-70</v>
      </c>
      <c r="M94" s="2"/>
      <c r="N94" s="7">
        <f t="shared" si="63"/>
        <v>-1</v>
      </c>
      <c r="O94" s="11"/>
      <c r="P94" s="6">
        <v>-0.01</v>
      </c>
      <c r="Q94" s="2"/>
      <c r="R94" s="7">
        <f t="shared" si="64"/>
        <v>-7.3180800600124711E-10</v>
      </c>
      <c r="S94" s="2"/>
      <c r="T94" s="6">
        <v>410</v>
      </c>
      <c r="U94" s="2"/>
      <c r="V94" s="7">
        <f t="shared" si="65"/>
        <v>2.7279815790715109E-5</v>
      </c>
      <c r="W94" s="2"/>
      <c r="X94" s="6">
        <f t="shared" si="66"/>
        <v>-410.01</v>
      </c>
      <c r="Y94" s="2"/>
      <c r="Z94" s="7">
        <f t="shared" si="67"/>
        <v>-1.0000243902439023</v>
      </c>
    </row>
    <row r="95" spans="1:26" s="24" customFormat="1" hidden="1" outlineLevel="2" x14ac:dyDescent="0.25">
      <c r="A95" s="25"/>
      <c r="B95" s="11" t="str">
        <f>CONCATENATE("          ", "6373", " - ", "MAINTENANCE CONTRACTS")</f>
        <v xml:space="preserve">          6373 - MAINTENANCE CONTRACTS</v>
      </c>
      <c r="C95" s="11"/>
      <c r="D95" s="6">
        <v>7924.47</v>
      </c>
      <c r="E95" s="2"/>
      <c r="F95" s="7">
        <f t="shared" si="60"/>
        <v>6.1197663781055976E-3</v>
      </c>
      <c r="G95" s="2"/>
      <c r="H95" s="6">
        <v>2478</v>
      </c>
      <c r="I95" s="2"/>
      <c r="J95" s="7">
        <f t="shared" si="61"/>
        <v>1.1411987007466607E-3</v>
      </c>
      <c r="K95" s="2"/>
      <c r="L95" s="6">
        <f t="shared" si="62"/>
        <v>5446.47</v>
      </c>
      <c r="M95" s="2"/>
      <c r="N95" s="7">
        <f t="shared" si="63"/>
        <v>2.1979297820823245</v>
      </c>
      <c r="O95" s="11"/>
      <c r="P95" s="6">
        <v>80376.989999999991</v>
      </c>
      <c r="Q95" s="2"/>
      <c r="R95" s="7">
        <f t="shared" si="64"/>
        <v>5.8820524780282173E-3</v>
      </c>
      <c r="S95" s="2"/>
      <c r="T95" s="6">
        <v>26489</v>
      </c>
      <c r="U95" s="2"/>
      <c r="V95" s="7">
        <f t="shared" si="65"/>
        <v>1.7624757084884208E-3</v>
      </c>
      <c r="W95" s="2"/>
      <c r="X95" s="6">
        <f t="shared" si="66"/>
        <v>53887.989999999991</v>
      </c>
      <c r="Y95" s="2"/>
      <c r="Z95" s="7">
        <f t="shared" si="67"/>
        <v>2.034353505228585</v>
      </c>
    </row>
    <row r="96" spans="1:26" s="24" customFormat="1" hidden="1" outlineLevel="2" x14ac:dyDescent="0.25">
      <c r="A96" s="25"/>
      <c r="B96" s="11" t="str">
        <f>CONCATENATE("          ", "6375", " - ", "OUTSIDE REPAIRS &amp; MAINTENANCE")</f>
        <v xml:space="preserve">          6375 - OUTSIDE REPAIRS &amp; MAINTENANCE</v>
      </c>
      <c r="C96" s="11"/>
      <c r="D96" s="6">
        <v>4639.3999999999996</v>
      </c>
      <c r="E96" s="2"/>
      <c r="F96" s="7">
        <f t="shared" si="60"/>
        <v>3.5828319287703916E-3</v>
      </c>
      <c r="G96" s="2"/>
      <c r="H96" s="6">
        <v>14410</v>
      </c>
      <c r="I96" s="2"/>
      <c r="J96" s="7">
        <f t="shared" si="61"/>
        <v>6.6362684736720667E-3</v>
      </c>
      <c r="K96" s="2"/>
      <c r="L96" s="6">
        <f t="shared" si="62"/>
        <v>-9770.6</v>
      </c>
      <c r="M96" s="2"/>
      <c r="N96" s="7">
        <f t="shared" si="63"/>
        <v>-0.67804302567661345</v>
      </c>
      <c r="O96" s="11"/>
      <c r="P96" s="6">
        <v>112960.03</v>
      </c>
      <c r="Q96" s="2"/>
      <c r="R96" s="7">
        <f t="shared" si="64"/>
        <v>8.2665054312141047E-3</v>
      </c>
      <c r="S96" s="2"/>
      <c r="T96" s="6">
        <v>179615</v>
      </c>
      <c r="U96" s="2"/>
      <c r="V96" s="7">
        <f t="shared" si="65"/>
        <v>1.195088808109584E-2</v>
      </c>
      <c r="W96" s="2"/>
      <c r="X96" s="6">
        <f t="shared" si="66"/>
        <v>-66654.97</v>
      </c>
      <c r="Y96" s="2"/>
      <c r="Z96" s="7">
        <f t="shared" si="67"/>
        <v>-0.37109912869192441</v>
      </c>
    </row>
    <row r="97" spans="1:26" s="27" customFormat="1" outlineLevel="1" collapsed="1" x14ac:dyDescent="0.25">
      <c r="A97" s="26"/>
      <c r="B97" s="13" t="str">
        <f>CONCATENATE("     ","Royalty &amp; Commissions                             ")</f>
        <v xml:space="preserve">     Royalty &amp; Commissions                             </v>
      </c>
      <c r="C97" s="13"/>
      <c r="D97" s="1">
        <f>SUM(OSRRefD22_18x_0)</f>
        <v>16959.82</v>
      </c>
      <c r="E97" s="1"/>
      <c r="F97" s="5">
        <f t="shared" ref="F97:F101" si="68">IF(D$12=0,0,D97/D$12)</f>
        <v>1.3097423072422872E-2</v>
      </c>
      <c r="G97" s="1"/>
      <c r="H97" s="1">
        <f>SUM(OSRRefH22_18x_0)</f>
        <v>64600</v>
      </c>
      <c r="I97" s="1"/>
      <c r="J97" s="5">
        <f t="shared" ref="J97:J101" si="69">IF(H$12=0,0,H97/H$12)</f>
        <v>2.9750377751506976E-2</v>
      </c>
      <c r="K97" s="1"/>
      <c r="L97" s="1">
        <f t="shared" ref="L97:L101" si="70">+D97-H97</f>
        <v>-47640.18</v>
      </c>
      <c r="M97" s="1"/>
      <c r="N97" s="5">
        <f t="shared" ref="N97:N101" si="71">IF(H97=0,0,L97/H97)</f>
        <v>-0.73746408668730645</v>
      </c>
      <c r="O97" s="13"/>
      <c r="P97" s="1">
        <f>SUM(OSRRefP22_18x_0)</f>
        <v>233763.46999999997</v>
      </c>
      <c r="Q97" s="1"/>
      <c r="R97" s="5">
        <f t="shared" ref="R97:R101" si="72">IF(P$12=0,0,P97/P$12)</f>
        <v>1.7106997885663233E-2</v>
      </c>
      <c r="S97" s="1"/>
      <c r="T97" s="1">
        <f>SUM(OSRRefT22_18x_0)</f>
        <v>279701</v>
      </c>
      <c r="U97" s="1"/>
      <c r="V97" s="5">
        <f t="shared" ref="V97:V101" si="73">IF(T$12=0,0,T97/T$12)</f>
        <v>1.8610223796289772E-2</v>
      </c>
      <c r="W97" s="1"/>
      <c r="X97" s="1">
        <f t="shared" ref="X97:X101" si="74">+P97-T97</f>
        <v>-45937.530000000028</v>
      </c>
      <c r="Y97" s="1"/>
      <c r="Z97" s="5">
        <f t="shared" ref="Z97:Z101" si="75">IF(T97=0,0,X97/T97)</f>
        <v>-0.16423798985345076</v>
      </c>
    </row>
    <row r="98" spans="1:26" s="24" customFormat="1" hidden="1" outlineLevel="2" x14ac:dyDescent="0.25">
      <c r="A98" s="25"/>
      <c r="B98" s="11" t="str">
        <f>CONCATENATE("          ", "6252", " - ", "ROYALTY DUE CSTV")</f>
        <v xml:space="preserve">          6252 - ROYALTY DUE CSTV</v>
      </c>
      <c r="C98" s="11"/>
      <c r="D98" s="6"/>
      <c r="E98" s="2"/>
      <c r="F98" s="7">
        <f t="shared" si="68"/>
        <v>0</v>
      </c>
      <c r="G98" s="2"/>
      <c r="H98" s="6">
        <v>15000</v>
      </c>
      <c r="I98" s="2"/>
      <c r="J98" s="7">
        <f t="shared" si="69"/>
        <v>6.9079824500403193E-3</v>
      </c>
      <c r="K98" s="2"/>
      <c r="L98" s="6">
        <f t="shared" si="70"/>
        <v>-15000</v>
      </c>
      <c r="M98" s="2"/>
      <c r="N98" s="7">
        <f t="shared" si="71"/>
        <v>-1</v>
      </c>
      <c r="O98" s="11"/>
      <c r="P98" s="6"/>
      <c r="Q98" s="2"/>
      <c r="R98" s="7">
        <f t="shared" si="72"/>
        <v>0</v>
      </c>
      <c r="S98" s="2"/>
      <c r="T98" s="6">
        <v>20400</v>
      </c>
      <c r="U98" s="2"/>
      <c r="V98" s="7">
        <f t="shared" si="73"/>
        <v>1.3573371759282638E-3</v>
      </c>
      <c r="W98" s="2"/>
      <c r="X98" s="6">
        <f t="shared" si="74"/>
        <v>-20400</v>
      </c>
      <c r="Y98" s="2"/>
      <c r="Z98" s="7">
        <f t="shared" si="75"/>
        <v>-1</v>
      </c>
    </row>
    <row r="99" spans="1:26" s="24" customFormat="1" hidden="1" outlineLevel="2" x14ac:dyDescent="0.25">
      <c r="A99" s="25"/>
      <c r="B99" s="11" t="str">
        <f>CONCATENATE("          ", "6253", " - ", "ROYALTY DUE ATHLETICS-LRG")</f>
        <v xml:space="preserve">          6253 - ROYALTY DUE ATHLETICS-LRG</v>
      </c>
      <c r="C99" s="11"/>
      <c r="D99" s="6"/>
      <c r="E99" s="2"/>
      <c r="F99" s="7">
        <f t="shared" si="68"/>
        <v>0</v>
      </c>
      <c r="G99" s="2"/>
      <c r="H99" s="6">
        <v>32000</v>
      </c>
      <c r="I99" s="2"/>
      <c r="J99" s="7">
        <f t="shared" si="69"/>
        <v>1.4737029226752681E-2</v>
      </c>
      <c r="K99" s="2"/>
      <c r="L99" s="6">
        <f t="shared" si="70"/>
        <v>-32000</v>
      </c>
      <c r="M99" s="2"/>
      <c r="N99" s="7">
        <f t="shared" si="71"/>
        <v>-1</v>
      </c>
      <c r="O99" s="11"/>
      <c r="P99" s="6"/>
      <c r="Q99" s="2"/>
      <c r="R99" s="7">
        <f t="shared" si="72"/>
        <v>0</v>
      </c>
      <c r="S99" s="2"/>
      <c r="T99" s="6">
        <v>123000</v>
      </c>
      <c r="U99" s="2"/>
      <c r="V99" s="7">
        <f t="shared" si="73"/>
        <v>8.1839447372145328E-3</v>
      </c>
      <c r="W99" s="2"/>
      <c r="X99" s="6">
        <f t="shared" si="74"/>
        <v>-123000</v>
      </c>
      <c r="Y99" s="2"/>
      <c r="Z99" s="7">
        <f t="shared" si="75"/>
        <v>-1</v>
      </c>
    </row>
    <row r="100" spans="1:26" s="24" customFormat="1" hidden="1" outlineLevel="2" x14ac:dyDescent="0.25">
      <c r="A100" s="25"/>
      <c r="B100" s="11" t="str">
        <f>CONCATENATE("          ", "6254", " - ", "ROYALTY &amp; COMMISSIONS")</f>
        <v xml:space="preserve">          6254 - ROYALTY &amp; COMMISSIONS</v>
      </c>
      <c r="C100" s="11"/>
      <c r="D100" s="6">
        <v>10002.02</v>
      </c>
      <c r="E100" s="2"/>
      <c r="F100" s="7">
        <f t="shared" si="68"/>
        <v>7.7241791197568731E-3</v>
      </c>
      <c r="G100" s="2"/>
      <c r="H100" s="6"/>
      <c r="I100" s="2"/>
      <c r="J100" s="7">
        <f t="shared" si="69"/>
        <v>0</v>
      </c>
      <c r="K100" s="2"/>
      <c r="L100" s="6">
        <f t="shared" si="70"/>
        <v>10002.02</v>
      </c>
      <c r="M100" s="2"/>
      <c r="N100" s="7">
        <f t="shared" si="71"/>
        <v>0</v>
      </c>
      <c r="O100" s="11"/>
      <c r="P100" s="6">
        <v>129093.51</v>
      </c>
      <c r="Q100" s="2"/>
      <c r="R100" s="7">
        <f t="shared" si="72"/>
        <v>9.4471664140802058E-3</v>
      </c>
      <c r="S100" s="2"/>
      <c r="T100" s="6">
        <v>6117</v>
      </c>
      <c r="U100" s="2"/>
      <c r="V100" s="7">
        <f t="shared" si="73"/>
        <v>4.0700154437025443E-4</v>
      </c>
      <c r="W100" s="2"/>
      <c r="X100" s="6">
        <f t="shared" si="74"/>
        <v>122976.51</v>
      </c>
      <c r="Y100" s="2"/>
      <c r="Z100" s="7">
        <f t="shared" si="75"/>
        <v>20.104055909759687</v>
      </c>
    </row>
    <row r="101" spans="1:26" s="24" customFormat="1" hidden="1" outlineLevel="2" x14ac:dyDescent="0.25">
      <c r="A101" s="25"/>
      <c r="B101" s="11" t="str">
        <f>CONCATENATE("          ", "6259", " - ", "ROYALTY &amp; COMMISSIONS")</f>
        <v xml:space="preserve">          6259 - ROYALTY &amp; COMMISSIONS</v>
      </c>
      <c r="C101" s="11"/>
      <c r="D101" s="6">
        <v>6957.8</v>
      </c>
      <c r="E101" s="2"/>
      <c r="F101" s="7">
        <f t="shared" si="68"/>
        <v>5.3732439526659988E-3</v>
      </c>
      <c r="G101" s="2"/>
      <c r="H101" s="6">
        <v>17600</v>
      </c>
      <c r="I101" s="2"/>
      <c r="J101" s="7">
        <f t="shared" si="69"/>
        <v>8.1053660747139756E-3</v>
      </c>
      <c r="K101" s="2"/>
      <c r="L101" s="6">
        <f t="shared" si="70"/>
        <v>-10642.2</v>
      </c>
      <c r="M101" s="2"/>
      <c r="N101" s="7">
        <f t="shared" si="71"/>
        <v>-0.60467045454545454</v>
      </c>
      <c r="O101" s="11"/>
      <c r="P101" s="6">
        <v>104669.95999999999</v>
      </c>
      <c r="Q101" s="2"/>
      <c r="R101" s="7">
        <f t="shared" si="72"/>
        <v>7.6598314715830285E-3</v>
      </c>
      <c r="S101" s="2"/>
      <c r="T101" s="6">
        <v>130184</v>
      </c>
      <c r="U101" s="2"/>
      <c r="V101" s="7">
        <f t="shared" si="73"/>
        <v>8.6619403387767219E-3</v>
      </c>
      <c r="W101" s="2"/>
      <c r="X101" s="6">
        <f t="shared" si="74"/>
        <v>-25514.040000000008</v>
      </c>
      <c r="Y101" s="2"/>
      <c r="Z101" s="7">
        <f t="shared" si="75"/>
        <v>-0.19598445277453458</v>
      </c>
    </row>
    <row r="102" spans="1:26" s="27" customFormat="1" outlineLevel="1" collapsed="1" x14ac:dyDescent="0.25">
      <c r="A102" s="26"/>
      <c r="B102" s="13" t="str">
        <f>CONCATENATE("     ","Services                                          ")</f>
        <v xml:space="preserve">     Services                                          </v>
      </c>
      <c r="C102" s="13"/>
      <c r="D102" s="1">
        <f>SUM(OSRRefD22_19x_0)</f>
        <v>48094.879999999997</v>
      </c>
      <c r="E102" s="1"/>
      <c r="F102" s="5">
        <f t="shared" ref="F102:F107" si="76">IF(D$12=0,0,D102/D$12)</f>
        <v>3.7141844133806216E-2</v>
      </c>
      <c r="G102" s="1"/>
      <c r="H102" s="1">
        <f>SUM(OSRRefH22_19x_0)</f>
        <v>42658</v>
      </c>
      <c r="I102" s="1"/>
      <c r="J102" s="5">
        <f t="shared" ref="J102:J107" si="77">IF(H$12=0,0,H102/H$12)</f>
        <v>1.9645381023587996E-2</v>
      </c>
      <c r="K102" s="1"/>
      <c r="L102" s="1">
        <f t="shared" ref="L102:L107" si="78">+D102-H102</f>
        <v>5436.8799999999974</v>
      </c>
      <c r="M102" s="1"/>
      <c r="N102" s="5">
        <f t="shared" ref="N102:N107" si="79">IF(H102=0,0,L102/H102)</f>
        <v>0.12745276384265547</v>
      </c>
      <c r="O102" s="13"/>
      <c r="P102" s="1">
        <f>SUM(OSRRefP22_19x_0)</f>
        <v>378221.94</v>
      </c>
      <c r="Q102" s="1"/>
      <c r="R102" s="5">
        <f t="shared" ref="R102:R107" si="80">IF(P$12=0,0,P102/P$12)</f>
        <v>2.7678584373732332E-2</v>
      </c>
      <c r="S102" s="1"/>
      <c r="T102" s="1">
        <f>SUM(OSRRefT22_19x_0)</f>
        <v>374727</v>
      </c>
      <c r="U102" s="1"/>
      <c r="V102" s="5">
        <f t="shared" ref="V102:V107" si="81">IF(T$12=0,0,T102/T$12)</f>
        <v>2.4932886662944635E-2</v>
      </c>
      <c r="W102" s="1"/>
      <c r="X102" s="1">
        <f t="shared" ref="X102:X107" si="82">+P102-T102</f>
        <v>3494.9400000000023</v>
      </c>
      <c r="Y102" s="1"/>
      <c r="Z102" s="5">
        <f t="shared" ref="Z102:Z107" si="83">IF(T102=0,0,X102/T102)</f>
        <v>9.3266297864845662E-3</v>
      </c>
    </row>
    <row r="103" spans="1:26" s="24" customFormat="1" hidden="1" outlineLevel="2" x14ac:dyDescent="0.25">
      <c r="A103" s="25"/>
      <c r="B103" s="11" t="str">
        <f>CONCATENATE("          ", "6282", " - ", "JANITORIAL/EXTERMINATOR EXPENS")</f>
        <v xml:space="preserve">          6282 - JANITORIAL/EXTERMINATOR EXPENS</v>
      </c>
      <c r="C103" s="11"/>
      <c r="D103" s="6">
        <v>2617.14</v>
      </c>
      <c r="E103" s="2"/>
      <c r="F103" s="7">
        <f t="shared" si="76"/>
        <v>2.0211175484032727E-3</v>
      </c>
      <c r="G103" s="2"/>
      <c r="H103" s="6">
        <v>2985</v>
      </c>
      <c r="I103" s="2"/>
      <c r="J103" s="7">
        <f t="shared" si="77"/>
        <v>1.3746885075580236E-3</v>
      </c>
      <c r="K103" s="2"/>
      <c r="L103" s="6">
        <f t="shared" si="78"/>
        <v>-367.86000000000013</v>
      </c>
      <c r="M103" s="2"/>
      <c r="N103" s="7">
        <f t="shared" si="79"/>
        <v>-0.12323618090452265</v>
      </c>
      <c r="O103" s="11"/>
      <c r="P103" s="6">
        <v>27959.969999999998</v>
      </c>
      <c r="Q103" s="2"/>
      <c r="R103" s="7">
        <f t="shared" si="80"/>
        <v>2.0461329893554686E-3</v>
      </c>
      <c r="S103" s="2"/>
      <c r="T103" s="6">
        <v>26650</v>
      </c>
      <c r="U103" s="2"/>
      <c r="V103" s="7">
        <f t="shared" si="81"/>
        <v>1.773188026396482E-3</v>
      </c>
      <c r="W103" s="2"/>
      <c r="X103" s="6">
        <f t="shared" si="82"/>
        <v>1309.9699999999975</v>
      </c>
      <c r="Y103" s="2"/>
      <c r="Z103" s="7">
        <f t="shared" si="83"/>
        <v>4.9154596622889214E-2</v>
      </c>
    </row>
    <row r="104" spans="1:26" s="24" customFormat="1" hidden="1" outlineLevel="2" x14ac:dyDescent="0.25">
      <c r="A104" s="25"/>
      <c r="B104" s="11" t="str">
        <f>CONCATENATE("          ", "6283", " - ", "PLANT SERVICE")</f>
        <v xml:space="preserve">          6283 - PLANT SERVICE</v>
      </c>
      <c r="C104" s="11"/>
      <c r="D104" s="6">
        <v>399.56</v>
      </c>
      <c r="E104" s="2"/>
      <c r="F104" s="7">
        <f t="shared" si="76"/>
        <v>3.0856497078490705E-4</v>
      </c>
      <c r="G104" s="2"/>
      <c r="H104" s="6">
        <v>185</v>
      </c>
      <c r="I104" s="2"/>
      <c r="J104" s="7">
        <f t="shared" si="77"/>
        <v>8.5198450217163944E-5</v>
      </c>
      <c r="K104" s="2"/>
      <c r="L104" s="6">
        <f t="shared" si="78"/>
        <v>214.56</v>
      </c>
      <c r="M104" s="2"/>
      <c r="N104" s="7">
        <f t="shared" si="79"/>
        <v>1.1597837837837839</v>
      </c>
      <c r="O104" s="11"/>
      <c r="P104" s="6">
        <v>1398.46</v>
      </c>
      <c r="Q104" s="2"/>
      <c r="R104" s="7">
        <f t="shared" si="80"/>
        <v>1.023404224072504E-4</v>
      </c>
      <c r="S104" s="2"/>
      <c r="T104" s="6">
        <v>1630</v>
      </c>
      <c r="U104" s="2"/>
      <c r="V104" s="7">
        <f t="shared" si="81"/>
        <v>1.0845390180211128E-4</v>
      </c>
      <c r="W104" s="2"/>
      <c r="X104" s="6">
        <f t="shared" si="82"/>
        <v>-231.53999999999996</v>
      </c>
      <c r="Y104" s="2"/>
      <c r="Z104" s="7">
        <f t="shared" si="83"/>
        <v>-0.14204907975460121</v>
      </c>
    </row>
    <row r="105" spans="1:26" s="24" customFormat="1" hidden="1" outlineLevel="2" x14ac:dyDescent="0.25">
      <c r="A105" s="25"/>
      <c r="B105" s="11" t="str">
        <f>CONCATENATE("          ", "6284", " - ", "TRASH REMOVAL EXPENSE")</f>
        <v xml:space="preserve">          6284 - TRASH REMOVAL EXPENSE</v>
      </c>
      <c r="C105" s="11"/>
      <c r="D105" s="6">
        <v>5130</v>
      </c>
      <c r="E105" s="2"/>
      <c r="F105" s="7">
        <f t="shared" si="76"/>
        <v>3.9617036243031669E-3</v>
      </c>
      <c r="G105" s="2"/>
      <c r="H105" s="6">
        <v>4065</v>
      </c>
      <c r="I105" s="2"/>
      <c r="J105" s="7">
        <f t="shared" si="77"/>
        <v>1.8720632439609265E-3</v>
      </c>
      <c r="K105" s="2"/>
      <c r="L105" s="6">
        <f t="shared" si="78"/>
        <v>1065</v>
      </c>
      <c r="M105" s="2"/>
      <c r="N105" s="7">
        <f t="shared" si="79"/>
        <v>0.26199261992619927</v>
      </c>
      <c r="O105" s="11"/>
      <c r="P105" s="6">
        <v>38283</v>
      </c>
      <c r="Q105" s="2"/>
      <c r="R105" s="7">
        <f t="shared" si="80"/>
        <v>2.8015805893745744E-3</v>
      </c>
      <c r="S105" s="2"/>
      <c r="T105" s="6">
        <v>36535</v>
      </c>
      <c r="U105" s="2"/>
      <c r="V105" s="7">
        <f t="shared" si="81"/>
        <v>2.4308977314970157E-3</v>
      </c>
      <c r="W105" s="2"/>
      <c r="X105" s="6">
        <f t="shared" si="82"/>
        <v>1748</v>
      </c>
      <c r="Y105" s="2"/>
      <c r="Z105" s="7">
        <f t="shared" si="83"/>
        <v>4.7844532639934309E-2</v>
      </c>
    </row>
    <row r="106" spans="1:26" s="24" customFormat="1" hidden="1" outlineLevel="2" x14ac:dyDescent="0.25">
      <c r="A106" s="25"/>
      <c r="B106" s="11" t="str">
        <f>CONCATENATE("          ", "6285", " - ", "JANITORIAL SERVICES")</f>
        <v xml:space="preserve">          6285 - JANITORIAL SERVICES</v>
      </c>
      <c r="C106" s="11"/>
      <c r="D106" s="6">
        <v>34404.870000000003</v>
      </c>
      <c r="E106" s="2"/>
      <c r="F106" s="7">
        <f t="shared" si="76"/>
        <v>2.65695707938946E-2</v>
      </c>
      <c r="G106" s="2"/>
      <c r="H106" s="6">
        <v>25731</v>
      </c>
      <c r="I106" s="2"/>
      <c r="J106" s="7">
        <f t="shared" si="77"/>
        <v>1.1849953094799165E-2</v>
      </c>
      <c r="K106" s="2"/>
      <c r="L106" s="6">
        <f t="shared" si="78"/>
        <v>8673.8700000000026</v>
      </c>
      <c r="M106" s="2"/>
      <c r="N106" s="7">
        <f t="shared" si="79"/>
        <v>0.33709805293226081</v>
      </c>
      <c r="O106" s="11"/>
      <c r="P106" s="6">
        <v>242940.69</v>
      </c>
      <c r="Q106" s="2"/>
      <c r="R106" s="7">
        <f t="shared" si="80"/>
        <v>1.7778594192546713E-2</v>
      </c>
      <c r="S106" s="2"/>
      <c r="T106" s="6">
        <v>230201</v>
      </c>
      <c r="U106" s="2"/>
      <c r="V106" s="7">
        <f t="shared" si="81"/>
        <v>1.5316685060581484E-2</v>
      </c>
      <c r="W106" s="2"/>
      <c r="X106" s="6">
        <f t="shared" si="82"/>
        <v>12739.690000000002</v>
      </c>
      <c r="Y106" s="2"/>
      <c r="Z106" s="7">
        <f t="shared" si="83"/>
        <v>5.5341592781960124E-2</v>
      </c>
    </row>
    <row r="107" spans="1:26" s="24" customFormat="1" hidden="1" outlineLevel="2" x14ac:dyDescent="0.25">
      <c r="A107" s="25"/>
      <c r="B107" s="11" t="str">
        <f>CONCATENATE("          ", "6286", " - ", "LAUNDRY EXPENSE")</f>
        <v xml:space="preserve">          6286 - LAUNDRY EXPENSE</v>
      </c>
      <c r="C107" s="11"/>
      <c r="D107" s="6">
        <v>5543.31</v>
      </c>
      <c r="E107" s="2"/>
      <c r="F107" s="7">
        <f t="shared" si="76"/>
        <v>4.2808871964202704E-3</v>
      </c>
      <c r="G107" s="2"/>
      <c r="H107" s="6">
        <v>9692</v>
      </c>
      <c r="I107" s="2"/>
      <c r="J107" s="7">
        <f t="shared" si="77"/>
        <v>4.4634777270527188E-3</v>
      </c>
      <c r="K107" s="2"/>
      <c r="L107" s="6">
        <f t="shared" si="78"/>
        <v>-4148.6899999999996</v>
      </c>
      <c r="M107" s="2"/>
      <c r="N107" s="7">
        <f t="shared" si="79"/>
        <v>-0.42805303342963263</v>
      </c>
      <c r="O107" s="11"/>
      <c r="P107" s="6">
        <v>67639.820000000007</v>
      </c>
      <c r="Q107" s="2"/>
      <c r="R107" s="7">
        <f t="shared" si="80"/>
        <v>4.9499361800483281E-3</v>
      </c>
      <c r="S107" s="2"/>
      <c r="T107" s="6">
        <v>79711</v>
      </c>
      <c r="U107" s="2"/>
      <c r="V107" s="7">
        <f t="shared" si="81"/>
        <v>5.3036619426675416E-3</v>
      </c>
      <c r="W107" s="2"/>
      <c r="X107" s="6">
        <f t="shared" si="82"/>
        <v>-12071.179999999993</v>
      </c>
      <c r="Y107" s="2"/>
      <c r="Z107" s="7">
        <f t="shared" si="83"/>
        <v>-0.15143681549597915</v>
      </c>
    </row>
    <row r="108" spans="1:26" s="27" customFormat="1" outlineLevel="1" collapsed="1" x14ac:dyDescent="0.25">
      <c r="A108" s="26"/>
      <c r="B108" s="13" t="str">
        <f>CONCATENATE("     ","Subscriptions &amp; Dues                              ")</f>
        <v xml:space="preserve">     Subscriptions &amp; Dues                              </v>
      </c>
      <c r="C108" s="13"/>
      <c r="D108" s="1">
        <f>SUM(OSRRefD22_20x_0)</f>
        <v>161.99</v>
      </c>
      <c r="E108" s="1"/>
      <c r="F108" s="5">
        <f t="shared" ref="F108:F110" si="84">IF(D$12=0,0,D108/D$12)</f>
        <v>1.2509870762200196E-4</v>
      </c>
      <c r="G108" s="1"/>
      <c r="H108" s="1">
        <f>SUM(OSRRefH22_20x_0)</f>
        <v>394</v>
      </c>
      <c r="I108" s="1"/>
      <c r="J108" s="5">
        <f t="shared" ref="J108:J110" si="85">IF(H$12=0,0,H108/H$12)</f>
        <v>1.8144967235439241E-4</v>
      </c>
      <c r="K108" s="1"/>
      <c r="L108" s="1">
        <f t="shared" ref="L108:L110" si="86">+D108-H108</f>
        <v>-232.01</v>
      </c>
      <c r="M108" s="1"/>
      <c r="N108" s="5">
        <f t="shared" ref="N108:N110" si="87">IF(H108=0,0,L108/H108)</f>
        <v>-0.5888578680203046</v>
      </c>
      <c r="O108" s="13"/>
      <c r="P108" s="1">
        <f>SUM(OSRRefP22_20x_0)</f>
        <v>7296.3</v>
      </c>
      <c r="Q108" s="1"/>
      <c r="R108" s="5">
        <f t="shared" ref="R108:R110" si="88">IF(P$12=0,0,P108/P$12)</f>
        <v>5.3394907541868999E-4</v>
      </c>
      <c r="S108" s="1"/>
      <c r="T108" s="1">
        <f>SUM(OSRRefT22_20x_0)</f>
        <v>3671</v>
      </c>
      <c r="U108" s="1"/>
      <c r="V108" s="5">
        <f t="shared" ref="V108:V110" si="89">IF(T$12=0,0,T108/T$12)</f>
        <v>2.4425415553101261E-4</v>
      </c>
      <c r="W108" s="1"/>
      <c r="X108" s="1">
        <f t="shared" ref="X108:X110" si="90">+P108-T108</f>
        <v>3625.3</v>
      </c>
      <c r="Y108" s="1"/>
      <c r="Z108" s="5">
        <f t="shared" ref="Z108:Z110" si="91">IF(T108=0,0,X108/T108)</f>
        <v>0.98755107600108971</v>
      </c>
    </row>
    <row r="109" spans="1:26" s="24" customFormat="1" hidden="1" outlineLevel="2" x14ac:dyDescent="0.25">
      <c r="A109" s="25"/>
      <c r="B109" s="11" t="str">
        <f>CONCATENATE("          ", "6258", " - ", "MEMBERSHIP DUES")</f>
        <v xml:space="preserve">          6258 - MEMBERSHIP DUES</v>
      </c>
      <c r="C109" s="11"/>
      <c r="D109" s="6"/>
      <c r="E109" s="2"/>
      <c r="F109" s="7">
        <f t="shared" si="84"/>
        <v>0</v>
      </c>
      <c r="G109" s="2"/>
      <c r="H109" s="6"/>
      <c r="I109" s="2"/>
      <c r="J109" s="7">
        <f t="shared" si="85"/>
        <v>0</v>
      </c>
      <c r="K109" s="2"/>
      <c r="L109" s="6">
        <f t="shared" si="86"/>
        <v>0</v>
      </c>
      <c r="M109" s="2"/>
      <c r="N109" s="7">
        <f t="shared" si="87"/>
        <v>0</v>
      </c>
      <c r="O109" s="11"/>
      <c r="P109" s="6">
        <v>3730</v>
      </c>
      <c r="Q109" s="2"/>
      <c r="R109" s="7">
        <f t="shared" si="88"/>
        <v>2.7296438623846515E-4</v>
      </c>
      <c r="S109" s="2"/>
      <c r="T109" s="6">
        <v>300</v>
      </c>
      <c r="U109" s="2"/>
      <c r="V109" s="7">
        <f t="shared" si="89"/>
        <v>1.996084082247447E-5</v>
      </c>
      <c r="W109" s="2"/>
      <c r="X109" s="6">
        <f t="shared" si="90"/>
        <v>3430</v>
      </c>
      <c r="Y109" s="2"/>
      <c r="Z109" s="7">
        <f t="shared" si="91"/>
        <v>11.433333333333334</v>
      </c>
    </row>
    <row r="110" spans="1:26" s="24" customFormat="1" hidden="1" outlineLevel="2" x14ac:dyDescent="0.25">
      <c r="A110" s="25"/>
      <c r="B110" s="11" t="str">
        <f>CONCATENATE("          ", "6275", " - ", "SUBSCRIPTIONS")</f>
        <v xml:space="preserve">          6275 - SUBSCRIPTIONS</v>
      </c>
      <c r="C110" s="11"/>
      <c r="D110" s="6">
        <v>161.99</v>
      </c>
      <c r="E110" s="2"/>
      <c r="F110" s="7">
        <f t="shared" si="84"/>
        <v>1.2509870762200196E-4</v>
      </c>
      <c r="G110" s="2"/>
      <c r="H110" s="6">
        <v>394</v>
      </c>
      <c r="I110" s="2"/>
      <c r="J110" s="7">
        <f t="shared" si="85"/>
        <v>1.8144967235439241E-4</v>
      </c>
      <c r="K110" s="2"/>
      <c r="L110" s="6">
        <f t="shared" si="86"/>
        <v>-232.01</v>
      </c>
      <c r="M110" s="2"/>
      <c r="N110" s="7">
        <f t="shared" si="87"/>
        <v>-0.5888578680203046</v>
      </c>
      <c r="O110" s="11"/>
      <c r="P110" s="6">
        <v>3566.3</v>
      </c>
      <c r="Q110" s="2"/>
      <c r="R110" s="7">
        <f t="shared" si="88"/>
        <v>2.6098468918022479E-4</v>
      </c>
      <c r="S110" s="2"/>
      <c r="T110" s="6">
        <v>3371</v>
      </c>
      <c r="U110" s="2"/>
      <c r="V110" s="7">
        <f t="shared" si="89"/>
        <v>2.2429331470853812E-4</v>
      </c>
      <c r="W110" s="2"/>
      <c r="X110" s="6">
        <f t="shared" si="90"/>
        <v>195.30000000000018</v>
      </c>
      <c r="Y110" s="2"/>
      <c r="Z110" s="7">
        <f t="shared" si="91"/>
        <v>5.79353307623851E-2</v>
      </c>
    </row>
    <row r="111" spans="1:26" s="27" customFormat="1" outlineLevel="1" collapsed="1" x14ac:dyDescent="0.25">
      <c r="A111" s="26"/>
      <c r="B111" s="13" t="str">
        <f>CONCATENATE("     ","Supplies                                          ")</f>
        <v xml:space="preserve">     Supplies                                          </v>
      </c>
      <c r="C111" s="13"/>
      <c r="D111" s="1">
        <f>SUM(OSRRefD22_21x_0)</f>
        <v>28561.989999999998</v>
      </c>
      <c r="E111" s="1"/>
      <c r="F111" s="5">
        <f t="shared" ref="F111:F121" si="92">IF(D$12=0,0,D111/D$12)</f>
        <v>2.2057337095577154E-2</v>
      </c>
      <c r="G111" s="1"/>
      <c r="H111" s="1">
        <f>SUM(OSRRefH22_21x_0)</f>
        <v>38823.06</v>
      </c>
      <c r="I111" s="1"/>
      <c r="J111" s="5">
        <f t="shared" ref="J111:J121" si="93">IF(H$12=0,0,H111/H$12)</f>
        <v>1.7879267809124154E-2</v>
      </c>
      <c r="K111" s="1"/>
      <c r="L111" s="1">
        <f t="shared" ref="L111:L121" si="94">+D111-H111</f>
        <v>-10261.07</v>
      </c>
      <c r="M111" s="1"/>
      <c r="N111" s="5">
        <f t="shared" ref="N111:N121" si="95">IF(H111=0,0,L111/H111)</f>
        <v>-0.2643034835481799</v>
      </c>
      <c r="O111" s="13"/>
      <c r="P111" s="1">
        <f>SUM(OSRRefP22_21x_0)</f>
        <v>351882.14999999997</v>
      </c>
      <c r="Q111" s="1"/>
      <c r="R111" s="5">
        <f t="shared" ref="R111:R121" si="96">IF(P$12=0,0,P111/P$12)</f>
        <v>2.5751017453893171E-2</v>
      </c>
      <c r="S111" s="1"/>
      <c r="T111" s="1">
        <f>SUM(OSRRefT22_21x_0)</f>
        <v>356069.86000000004</v>
      </c>
      <c r="U111" s="1"/>
      <c r="V111" s="5">
        <f t="shared" ref="V111:V121" si="97">IF(T$12=0,0,T111/T$12)</f>
        <v>2.3691512657135899E-2</v>
      </c>
      <c r="W111" s="1"/>
      <c r="X111" s="1">
        <f t="shared" ref="X111:X121" si="98">+P111-T111</f>
        <v>-4187.7100000000792</v>
      </c>
      <c r="Y111" s="1"/>
      <c r="Z111" s="5">
        <f t="shared" ref="Z111:Z121" si="99">IF(T111=0,0,X111/T111)</f>
        <v>-1.17609224212352E-2</v>
      </c>
    </row>
    <row r="112" spans="1:26" s="24" customFormat="1" hidden="1" outlineLevel="2" x14ac:dyDescent="0.25">
      <c r="A112" s="25"/>
      <c r="B112" s="11" t="str">
        <f>CONCATENATE("          ", "6234", " - ", "EXPENDABLE SUPPLIES &amp; EQUIPMEN")</f>
        <v xml:space="preserve">          6234 - EXPENDABLE SUPPLIES &amp; EQUIPMEN</v>
      </c>
      <c r="C112" s="11"/>
      <c r="D112" s="6">
        <v>972.3</v>
      </c>
      <c r="E112" s="2"/>
      <c r="F112" s="7">
        <f t="shared" si="92"/>
        <v>7.508702600214364E-4</v>
      </c>
      <c r="G112" s="2"/>
      <c r="H112" s="6">
        <v>1700</v>
      </c>
      <c r="I112" s="2"/>
      <c r="J112" s="7">
        <f t="shared" si="93"/>
        <v>7.8290467767123625E-4</v>
      </c>
      <c r="K112" s="2"/>
      <c r="L112" s="6">
        <f t="shared" si="94"/>
        <v>-727.7</v>
      </c>
      <c r="M112" s="2"/>
      <c r="N112" s="7">
        <f t="shared" si="95"/>
        <v>-0.42805882352941177</v>
      </c>
      <c r="O112" s="11"/>
      <c r="P112" s="6">
        <v>14662.76</v>
      </c>
      <c r="Q112" s="2"/>
      <c r="R112" s="7">
        <f t="shared" si="96"/>
        <v>1.0730325158074846E-3</v>
      </c>
      <c r="S112" s="2"/>
      <c r="T112" s="6">
        <v>7150</v>
      </c>
      <c r="U112" s="2"/>
      <c r="V112" s="7">
        <f t="shared" si="97"/>
        <v>4.7573337293564151E-4</v>
      </c>
      <c r="W112" s="2"/>
      <c r="X112" s="6">
        <f t="shared" si="98"/>
        <v>7512.76</v>
      </c>
      <c r="Y112" s="2"/>
      <c r="Z112" s="7">
        <f t="shared" si="99"/>
        <v>1.0507356643356645</v>
      </c>
    </row>
    <row r="113" spans="1:26" s="24" customFormat="1" hidden="1" outlineLevel="2" x14ac:dyDescent="0.25">
      <c r="A113" s="25"/>
      <c r="B113" s="11" t="str">
        <f>CONCATENATE("          ", "6237", " - ", "JANITORIAL SUPPLIES")</f>
        <v xml:space="preserve">          6237 - JANITORIAL SUPPLIES</v>
      </c>
      <c r="C113" s="11"/>
      <c r="D113" s="6">
        <v>12166.52</v>
      </c>
      <c r="E113" s="2"/>
      <c r="F113" s="7">
        <f t="shared" si="92"/>
        <v>9.395740034923385E-3</v>
      </c>
      <c r="G113" s="2"/>
      <c r="H113" s="6">
        <v>13866</v>
      </c>
      <c r="I113" s="2"/>
      <c r="J113" s="7">
        <f t="shared" si="93"/>
        <v>6.3857389768172713E-3</v>
      </c>
      <c r="K113" s="2"/>
      <c r="L113" s="6">
        <f t="shared" si="94"/>
        <v>-1699.4799999999996</v>
      </c>
      <c r="M113" s="2"/>
      <c r="N113" s="7">
        <f t="shared" si="95"/>
        <v>-0.12256454637242171</v>
      </c>
      <c r="O113" s="11"/>
      <c r="P113" s="6">
        <v>120092.34</v>
      </c>
      <c r="Q113" s="2"/>
      <c r="R113" s="7">
        <f t="shared" si="96"/>
        <v>8.7884535871423797E-3</v>
      </c>
      <c r="S113" s="2"/>
      <c r="T113" s="6">
        <v>125969</v>
      </c>
      <c r="U113" s="2"/>
      <c r="V113" s="7">
        <f t="shared" si="97"/>
        <v>8.3814905252209554E-3</v>
      </c>
      <c r="W113" s="2"/>
      <c r="X113" s="6">
        <f t="shared" si="98"/>
        <v>-5876.6600000000035</v>
      </c>
      <c r="Y113" s="2"/>
      <c r="Z113" s="7">
        <f t="shared" si="99"/>
        <v>-4.6651636513745473E-2</v>
      </c>
    </row>
    <row r="114" spans="1:26" s="24" customFormat="1" hidden="1" outlineLevel="2" x14ac:dyDescent="0.25">
      <c r="A114" s="25"/>
      <c r="B114" s="11" t="str">
        <f>CONCATENATE("          ", "6239", " - ", "KITCHEN SUPPLIES")</f>
        <v xml:space="preserve">          6239 - KITCHEN SUPPLIES</v>
      </c>
      <c r="C114" s="11"/>
      <c r="D114" s="6">
        <v>1734.97</v>
      </c>
      <c r="E114" s="2"/>
      <c r="F114" s="7">
        <f t="shared" si="92"/>
        <v>1.3398512547869912E-3</v>
      </c>
      <c r="G114" s="2"/>
      <c r="H114" s="6">
        <v>6729.44</v>
      </c>
      <c r="I114" s="2"/>
      <c r="J114" s="7">
        <f t="shared" si="93"/>
        <v>3.0991235612399552E-3</v>
      </c>
      <c r="K114" s="2"/>
      <c r="L114" s="6">
        <f t="shared" si="94"/>
        <v>-4994.4699999999993</v>
      </c>
      <c r="M114" s="2"/>
      <c r="N114" s="7">
        <f t="shared" si="95"/>
        <v>-0.74218211322190253</v>
      </c>
      <c r="O114" s="11"/>
      <c r="P114" s="6">
        <v>71933.84</v>
      </c>
      <c r="Q114" s="2"/>
      <c r="R114" s="7">
        <f t="shared" si="96"/>
        <v>5.2641760014412748E-3</v>
      </c>
      <c r="S114" s="2"/>
      <c r="T114" s="6">
        <v>67554.150000000009</v>
      </c>
      <c r="U114" s="2"/>
      <c r="V114" s="7">
        <f t="shared" si="97"/>
        <v>4.4947921168252128E-3</v>
      </c>
      <c r="W114" s="2"/>
      <c r="X114" s="6">
        <f t="shared" si="98"/>
        <v>4379.6899999999878</v>
      </c>
      <c r="Y114" s="2"/>
      <c r="Z114" s="7">
        <f t="shared" si="99"/>
        <v>6.4832286395432218E-2</v>
      </c>
    </row>
    <row r="115" spans="1:26" s="24" customFormat="1" hidden="1" outlineLevel="2" x14ac:dyDescent="0.25">
      <c r="A115" s="25"/>
      <c r="B115" s="11" t="str">
        <f>CONCATENATE("          ", "6241", " - ", "OFFICE EXPENSE")</f>
        <v xml:space="preserve">          6241 - OFFICE EXPENSE</v>
      </c>
      <c r="C115" s="11"/>
      <c r="D115" s="6">
        <v>2219.81</v>
      </c>
      <c r="E115" s="2"/>
      <c r="F115" s="7">
        <f t="shared" si="92"/>
        <v>1.7142747216889692E-3</v>
      </c>
      <c r="G115" s="2"/>
      <c r="H115" s="6">
        <v>2326.5700000000002</v>
      </c>
      <c r="I115" s="2"/>
      <c r="J115" s="7">
        <f t="shared" si="93"/>
        <v>1.0714603152526872E-3</v>
      </c>
      <c r="K115" s="2"/>
      <c r="L115" s="6">
        <f t="shared" si="94"/>
        <v>-106.76000000000022</v>
      </c>
      <c r="M115" s="2"/>
      <c r="N115" s="7">
        <f t="shared" si="95"/>
        <v>-4.5887293311613321E-2</v>
      </c>
      <c r="O115" s="11"/>
      <c r="P115" s="6">
        <v>45108.68</v>
      </c>
      <c r="Q115" s="2"/>
      <c r="R115" s="7">
        <f t="shared" si="96"/>
        <v>3.3010893164148337E-3</v>
      </c>
      <c r="S115" s="2"/>
      <c r="T115" s="6">
        <v>20545.82</v>
      </c>
      <c r="U115" s="2"/>
      <c r="V115" s="7">
        <f t="shared" si="97"/>
        <v>1.3670394752907081E-3</v>
      </c>
      <c r="W115" s="2"/>
      <c r="X115" s="6">
        <f t="shared" si="98"/>
        <v>24562.86</v>
      </c>
      <c r="Y115" s="2"/>
      <c r="Z115" s="7">
        <f t="shared" si="99"/>
        <v>1.1955161682522284</v>
      </c>
    </row>
    <row r="116" spans="1:26" s="24" customFormat="1" hidden="1" outlineLevel="2" x14ac:dyDescent="0.25">
      <c r="A116" s="25"/>
      <c r="B116" s="11" t="str">
        <f>CONCATENATE("          ", "6243", " - ", "PAPER SUPPLIES")</f>
        <v xml:space="preserve">          6243 - PAPER SUPPLIES</v>
      </c>
      <c r="C116" s="11"/>
      <c r="D116" s="6">
        <v>8490.39</v>
      </c>
      <c r="E116" s="2"/>
      <c r="F116" s="7">
        <f t="shared" si="92"/>
        <v>6.5568048410813567E-3</v>
      </c>
      <c r="G116" s="2"/>
      <c r="H116" s="6">
        <v>11259</v>
      </c>
      <c r="I116" s="2"/>
      <c r="J116" s="7">
        <f t="shared" si="93"/>
        <v>5.1851316270002641E-3</v>
      </c>
      <c r="K116" s="2"/>
      <c r="L116" s="6">
        <f t="shared" si="94"/>
        <v>-2768.6100000000006</v>
      </c>
      <c r="M116" s="2"/>
      <c r="N116" s="7">
        <f t="shared" si="95"/>
        <v>-0.24590194511057825</v>
      </c>
      <c r="O116" s="11"/>
      <c r="P116" s="6">
        <v>85964.59</v>
      </c>
      <c r="Q116" s="2"/>
      <c r="R116" s="7">
        <f t="shared" si="96"/>
        <v>6.2909575194614745E-3</v>
      </c>
      <c r="S116" s="2"/>
      <c r="T116" s="6">
        <v>95361.52</v>
      </c>
      <c r="U116" s="2"/>
      <c r="V116" s="7">
        <f t="shared" si="97"/>
        <v>6.3449870710307185E-3</v>
      </c>
      <c r="W116" s="2"/>
      <c r="X116" s="6">
        <f t="shared" si="98"/>
        <v>-9396.9300000000076</v>
      </c>
      <c r="Y116" s="2"/>
      <c r="Z116" s="7">
        <f t="shared" si="99"/>
        <v>-9.8540061022517333E-2</v>
      </c>
    </row>
    <row r="117" spans="1:26" s="24" customFormat="1" hidden="1" outlineLevel="2" x14ac:dyDescent="0.25">
      <c r="A117" s="25"/>
      <c r="B117" s="11" t="str">
        <f>CONCATENATE("          ", "6244", " - ", "SAFETY SUPPLY EXPENSE")</f>
        <v xml:space="preserve">          6244 - SAFETY SUPPLY EXPENSE</v>
      </c>
      <c r="C117" s="11"/>
      <c r="D117" s="6"/>
      <c r="E117" s="2"/>
      <c r="F117" s="7">
        <f t="shared" si="92"/>
        <v>0</v>
      </c>
      <c r="G117" s="2"/>
      <c r="H117" s="6">
        <v>235</v>
      </c>
      <c r="I117" s="2"/>
      <c r="J117" s="7">
        <f t="shared" si="93"/>
        <v>1.0822505838396501E-4</v>
      </c>
      <c r="K117" s="2"/>
      <c r="L117" s="6">
        <f t="shared" si="94"/>
        <v>-235</v>
      </c>
      <c r="M117" s="2"/>
      <c r="N117" s="7">
        <f t="shared" si="95"/>
        <v>-1</v>
      </c>
      <c r="O117" s="11"/>
      <c r="P117" s="6"/>
      <c r="Q117" s="2"/>
      <c r="R117" s="7">
        <f t="shared" si="96"/>
        <v>0</v>
      </c>
      <c r="S117" s="2"/>
      <c r="T117" s="6">
        <v>2115</v>
      </c>
      <c r="U117" s="2"/>
      <c r="V117" s="7">
        <f t="shared" si="97"/>
        <v>1.4072392779844502E-4</v>
      </c>
      <c r="W117" s="2"/>
      <c r="X117" s="6">
        <f t="shared" si="98"/>
        <v>-2115</v>
      </c>
      <c r="Y117" s="2"/>
      <c r="Z117" s="7">
        <f t="shared" si="99"/>
        <v>-1</v>
      </c>
    </row>
    <row r="118" spans="1:26" s="24" customFormat="1" hidden="1" outlineLevel="2" x14ac:dyDescent="0.25">
      <c r="A118" s="25"/>
      <c r="B118" s="11" t="str">
        <f>CONCATENATE("          ", "6245", " - ", "PRINTING")</f>
        <v xml:space="preserve">          6245 - PRINTING</v>
      </c>
      <c r="C118" s="11"/>
      <c r="D118" s="6"/>
      <c r="E118" s="2"/>
      <c r="F118" s="7">
        <f t="shared" si="92"/>
        <v>0</v>
      </c>
      <c r="G118" s="2"/>
      <c r="H118" s="6">
        <v>746.82</v>
      </c>
      <c r="I118" s="2"/>
      <c r="J118" s="7">
        <f t="shared" si="93"/>
        <v>3.4393463022260745E-4</v>
      </c>
      <c r="K118" s="2"/>
      <c r="L118" s="6">
        <f t="shared" si="94"/>
        <v>-746.82</v>
      </c>
      <c r="M118" s="2"/>
      <c r="N118" s="7">
        <f t="shared" si="95"/>
        <v>-1</v>
      </c>
      <c r="O118" s="11"/>
      <c r="P118" s="6">
        <v>1882.72</v>
      </c>
      <c r="Q118" s="2"/>
      <c r="R118" s="7">
        <f t="shared" si="96"/>
        <v>1.3777895690586679E-4</v>
      </c>
      <c r="S118" s="2"/>
      <c r="T118" s="6">
        <v>4016.82</v>
      </c>
      <c r="U118" s="2"/>
      <c r="V118" s="7">
        <f t="shared" si="97"/>
        <v>2.6726368210843967E-4</v>
      </c>
      <c r="W118" s="2"/>
      <c r="X118" s="6">
        <f t="shared" si="98"/>
        <v>-2134.1000000000004</v>
      </c>
      <c r="Y118" s="2"/>
      <c r="Z118" s="7">
        <f t="shared" si="99"/>
        <v>-0.53129092167435943</v>
      </c>
    </row>
    <row r="119" spans="1:26" s="24" customFormat="1" hidden="1" outlineLevel="2" x14ac:dyDescent="0.25">
      <c r="A119" s="25"/>
      <c r="B119" s="11" t="str">
        <f>CONCATENATE("          ", "6246", " - ", "REPLACEMENTS")</f>
        <v xml:space="preserve">          6246 - REPLACEMENTS</v>
      </c>
      <c r="C119" s="11"/>
      <c r="D119" s="6"/>
      <c r="E119" s="2"/>
      <c r="F119" s="7">
        <f t="shared" si="92"/>
        <v>0</v>
      </c>
      <c r="G119" s="2"/>
      <c r="H119" s="6">
        <v>1000</v>
      </c>
      <c r="I119" s="2"/>
      <c r="J119" s="7">
        <f t="shared" si="93"/>
        <v>4.6053216333602129E-4</v>
      </c>
      <c r="K119" s="2"/>
      <c r="L119" s="6">
        <f t="shared" si="94"/>
        <v>-1000</v>
      </c>
      <c r="M119" s="2"/>
      <c r="N119" s="7">
        <f t="shared" si="95"/>
        <v>-1</v>
      </c>
      <c r="O119" s="11"/>
      <c r="P119" s="6">
        <v>25.87</v>
      </c>
      <c r="Q119" s="2"/>
      <c r="R119" s="7">
        <f t="shared" si="96"/>
        <v>1.8931873115252262E-6</v>
      </c>
      <c r="S119" s="2"/>
      <c r="T119" s="6">
        <v>3400</v>
      </c>
      <c r="U119" s="2"/>
      <c r="V119" s="7">
        <f t="shared" si="97"/>
        <v>2.2622286265471065E-4</v>
      </c>
      <c r="W119" s="2"/>
      <c r="X119" s="6">
        <f t="shared" si="98"/>
        <v>-3374.13</v>
      </c>
      <c r="Y119" s="2"/>
      <c r="Z119" s="7">
        <f t="shared" si="99"/>
        <v>-0.99239117647058828</v>
      </c>
    </row>
    <row r="120" spans="1:26" s="24" customFormat="1" hidden="1" outlineLevel="2" x14ac:dyDescent="0.25">
      <c r="A120" s="25"/>
      <c r="B120" s="11" t="str">
        <f>CONCATENATE("          ", "6247", " - ", "STORE SUPPLIES")</f>
        <v xml:space="preserve">          6247 - STORE SUPPLIES</v>
      </c>
      <c r="C120" s="11"/>
      <c r="D120" s="6">
        <v>1025.3399999999999</v>
      </c>
      <c r="E120" s="2"/>
      <c r="F120" s="7">
        <f t="shared" si="92"/>
        <v>7.9183103199668785E-4</v>
      </c>
      <c r="G120" s="2"/>
      <c r="H120" s="6">
        <v>585.23</v>
      </c>
      <c r="I120" s="2"/>
      <c r="J120" s="7">
        <f t="shared" si="93"/>
        <v>2.6951723794913976E-4</v>
      </c>
      <c r="K120" s="2"/>
      <c r="L120" s="6">
        <f t="shared" si="94"/>
        <v>440.1099999999999</v>
      </c>
      <c r="M120" s="2"/>
      <c r="N120" s="7">
        <f t="shared" si="95"/>
        <v>0.75202911675751394</v>
      </c>
      <c r="O120" s="11"/>
      <c r="P120" s="6">
        <v>7614.26</v>
      </c>
      <c r="Q120" s="2"/>
      <c r="R120" s="7">
        <f t="shared" si="96"/>
        <v>5.5721764277750563E-4</v>
      </c>
      <c r="S120" s="2"/>
      <c r="T120" s="6">
        <v>4782.55</v>
      </c>
      <c r="U120" s="2"/>
      <c r="V120" s="7">
        <f t="shared" si="97"/>
        <v>3.1821239758508428E-4</v>
      </c>
      <c r="W120" s="2"/>
      <c r="X120" s="6">
        <f t="shared" si="98"/>
        <v>2831.71</v>
      </c>
      <c r="Y120" s="2"/>
      <c r="Z120" s="7">
        <f t="shared" si="99"/>
        <v>0.59209208476649489</v>
      </c>
    </row>
    <row r="121" spans="1:26" s="24" customFormat="1" hidden="1" outlineLevel="2" x14ac:dyDescent="0.25">
      <c r="A121" s="25"/>
      <c r="B121" s="11" t="str">
        <f>CONCATENATE("          ", "6248", " - ", "UNIFORMS")</f>
        <v xml:space="preserve">          6248 - UNIFORMS</v>
      </c>
      <c r="C121" s="11"/>
      <c r="D121" s="6">
        <v>1952.66</v>
      </c>
      <c r="E121" s="2"/>
      <c r="F121" s="7">
        <f t="shared" si="92"/>
        <v>1.5079649510783277E-3</v>
      </c>
      <c r="G121" s="2"/>
      <c r="H121" s="6">
        <v>375</v>
      </c>
      <c r="I121" s="2"/>
      <c r="J121" s="7">
        <f t="shared" si="93"/>
        <v>1.72699561251008E-4</v>
      </c>
      <c r="K121" s="2"/>
      <c r="L121" s="6">
        <f t="shared" si="94"/>
        <v>1577.66</v>
      </c>
      <c r="M121" s="2"/>
      <c r="N121" s="7">
        <f t="shared" si="95"/>
        <v>4.2070933333333338</v>
      </c>
      <c r="O121" s="11"/>
      <c r="P121" s="6">
        <v>4597.09</v>
      </c>
      <c r="Q121" s="2"/>
      <c r="R121" s="7">
        <f t="shared" si="96"/>
        <v>3.3641872663082734E-4</v>
      </c>
      <c r="S121" s="2"/>
      <c r="T121" s="6">
        <v>25175</v>
      </c>
      <c r="U121" s="2"/>
      <c r="V121" s="7">
        <f t="shared" si="97"/>
        <v>1.6750472256859825E-3</v>
      </c>
      <c r="W121" s="2"/>
      <c r="X121" s="6">
        <f t="shared" si="98"/>
        <v>-20577.91</v>
      </c>
      <c r="Y121" s="2"/>
      <c r="Z121" s="7">
        <f t="shared" si="99"/>
        <v>-0.81739463753723929</v>
      </c>
    </row>
    <row r="122" spans="1:26" s="27" customFormat="1" outlineLevel="1" collapsed="1" x14ac:dyDescent="0.25">
      <c r="A122" s="26"/>
      <c r="B122" s="13" t="str">
        <f>CONCATENATE("     ","Telephone/Data Lines                              ")</f>
        <v xml:space="preserve">     Telephone/Data Lines                              </v>
      </c>
      <c r="C122" s="13"/>
      <c r="D122" s="1">
        <f>SUM(OSRRefD22_22x_0)</f>
        <v>2984.87</v>
      </c>
      <c r="E122" s="1"/>
      <c r="F122" s="5">
        <f t="shared" ref="F122:F124" si="100">IF(D$12=0,0,D122/D$12)</f>
        <v>2.3051014224315385E-3</v>
      </c>
      <c r="G122" s="1"/>
      <c r="H122" s="1">
        <f>SUM(OSRRefH22_22x_0)</f>
        <v>2804</v>
      </c>
      <c r="I122" s="1"/>
      <c r="J122" s="5">
        <f t="shared" ref="J122:J124" si="101">IF(H$12=0,0,H122/H$12)</f>
        <v>1.2913321859942038E-3</v>
      </c>
      <c r="K122" s="1"/>
      <c r="L122" s="1">
        <f t="shared" ref="L122:L124" si="102">+D122-H122</f>
        <v>180.86999999999989</v>
      </c>
      <c r="M122" s="1"/>
      <c r="N122" s="5">
        <f t="shared" ref="N122:N124" si="103">IF(H122=0,0,L122/H122)</f>
        <v>6.4504279600570577E-2</v>
      </c>
      <c r="O122" s="13"/>
      <c r="P122" s="1">
        <f>SUM(OSRRefP22_22x_0)</f>
        <v>23077.599999999999</v>
      </c>
      <c r="Q122" s="1"/>
      <c r="R122" s="5">
        <f t="shared" ref="R122:R124" si="104">IF(P$12=0,0,P122/P$12)</f>
        <v>1.688837243929438E-3</v>
      </c>
      <c r="S122" s="1"/>
      <c r="T122" s="1">
        <f>SUM(OSRRefT22_22x_0)</f>
        <v>24367</v>
      </c>
      <c r="U122" s="1"/>
      <c r="V122" s="5">
        <f t="shared" ref="V122:V124" si="105">IF(T$12=0,0,T122/T$12)</f>
        <v>1.6212860277374514E-3</v>
      </c>
      <c r="W122" s="1"/>
      <c r="X122" s="1">
        <f t="shared" ref="X122:X124" si="106">+P122-T122</f>
        <v>-1289.4000000000015</v>
      </c>
      <c r="Y122" s="1"/>
      <c r="Z122" s="5">
        <f t="shared" ref="Z122:Z124" si="107">IF(T122=0,0,X122/T122)</f>
        <v>-5.2915828784832003E-2</v>
      </c>
    </row>
    <row r="123" spans="1:26" s="24" customFormat="1" hidden="1" outlineLevel="2" x14ac:dyDescent="0.25">
      <c r="A123" s="25"/>
      <c r="B123" s="11" t="str">
        <f>CONCATENATE("          ", "6303", " - ", "DATA PHONE LINES")</f>
        <v xml:space="preserve">          6303 - DATA PHONE LINES</v>
      </c>
      <c r="C123" s="11"/>
      <c r="D123" s="6"/>
      <c r="E123" s="2"/>
      <c r="F123" s="7">
        <f t="shared" si="100"/>
        <v>0</v>
      </c>
      <c r="G123" s="2"/>
      <c r="H123" s="6">
        <v>696</v>
      </c>
      <c r="I123" s="2"/>
      <c r="J123" s="7">
        <f t="shared" si="101"/>
        <v>3.2053038568187085E-4</v>
      </c>
      <c r="K123" s="2"/>
      <c r="L123" s="6">
        <f t="shared" si="102"/>
        <v>-696</v>
      </c>
      <c r="M123" s="2"/>
      <c r="N123" s="7">
        <f t="shared" si="103"/>
        <v>-1</v>
      </c>
      <c r="O123" s="11"/>
      <c r="P123" s="6"/>
      <c r="Q123" s="2"/>
      <c r="R123" s="7">
        <f t="shared" si="104"/>
        <v>0</v>
      </c>
      <c r="S123" s="2"/>
      <c r="T123" s="6">
        <v>5470</v>
      </c>
      <c r="U123" s="2"/>
      <c r="V123" s="7">
        <f t="shared" si="105"/>
        <v>3.639526643297845E-4</v>
      </c>
      <c r="W123" s="2"/>
      <c r="X123" s="6">
        <f t="shared" si="106"/>
        <v>-5470</v>
      </c>
      <c r="Y123" s="2"/>
      <c r="Z123" s="7">
        <f t="shared" si="107"/>
        <v>-1</v>
      </c>
    </row>
    <row r="124" spans="1:26" s="24" customFormat="1" hidden="1" outlineLevel="2" x14ac:dyDescent="0.25">
      <c r="A124" s="25"/>
      <c r="B124" s="11" t="str">
        <f>CONCATENATE("          ", "6309", " - ", "TELEPHONE")</f>
        <v xml:space="preserve">          6309 - TELEPHONE</v>
      </c>
      <c r="C124" s="11"/>
      <c r="D124" s="6">
        <v>2984.87</v>
      </c>
      <c r="E124" s="2"/>
      <c r="F124" s="7">
        <f t="shared" si="100"/>
        <v>2.3051014224315385E-3</v>
      </c>
      <c r="G124" s="2"/>
      <c r="H124" s="6">
        <v>2108</v>
      </c>
      <c r="I124" s="2"/>
      <c r="J124" s="7">
        <f t="shared" si="101"/>
        <v>9.7080180031233288E-4</v>
      </c>
      <c r="K124" s="2"/>
      <c r="L124" s="6">
        <f t="shared" si="102"/>
        <v>876.86999999999989</v>
      </c>
      <c r="M124" s="2"/>
      <c r="N124" s="7">
        <f t="shared" si="103"/>
        <v>0.41597248576850088</v>
      </c>
      <c r="O124" s="11"/>
      <c r="P124" s="6">
        <v>23077.599999999999</v>
      </c>
      <c r="Q124" s="2"/>
      <c r="R124" s="7">
        <f t="shared" si="104"/>
        <v>1.688837243929438E-3</v>
      </c>
      <c r="S124" s="2"/>
      <c r="T124" s="6">
        <v>18897</v>
      </c>
      <c r="U124" s="2"/>
      <c r="V124" s="7">
        <f t="shared" si="105"/>
        <v>1.2573333634076668E-3</v>
      </c>
      <c r="W124" s="2"/>
      <c r="X124" s="6">
        <f t="shared" si="106"/>
        <v>4180.5999999999985</v>
      </c>
      <c r="Y124" s="2"/>
      <c r="Z124" s="7">
        <f t="shared" si="107"/>
        <v>0.22123088320897488</v>
      </c>
    </row>
    <row r="125" spans="1:26" s="27" customFormat="1" outlineLevel="1" collapsed="1" x14ac:dyDescent="0.25">
      <c r="A125" s="26"/>
      <c r="B125" s="13" t="str">
        <f>CONCATENATE("     ","Training                                          ")</f>
        <v xml:space="preserve">     Training                                          </v>
      </c>
      <c r="C125" s="13"/>
      <c r="D125" s="1">
        <f>SUM(OSRRefD22_23x_0)</f>
        <v>100</v>
      </c>
      <c r="E125" s="1"/>
      <c r="F125" s="5">
        <f t="shared" ref="F125:F130" si="108">IF(D$12=0,0,D125/D$12)</f>
        <v>7.7226191506884334E-5</v>
      </c>
      <c r="G125" s="1"/>
      <c r="H125" s="1">
        <f>SUM(OSRRefH22_23x_0)</f>
        <v>1160</v>
      </c>
      <c r="I125" s="1"/>
      <c r="J125" s="5">
        <f t="shared" ref="J125:J130" si="109">IF(H$12=0,0,H125/H$12)</f>
        <v>5.3421730946978468E-4</v>
      </c>
      <c r="K125" s="1"/>
      <c r="L125" s="1">
        <f t="shared" ref="L125:L130" si="110">+D125-H125</f>
        <v>-1060</v>
      </c>
      <c r="M125" s="1"/>
      <c r="N125" s="5">
        <f t="shared" ref="N125:N130" si="111">IF(H125=0,0,L125/H125)</f>
        <v>-0.91379310344827591</v>
      </c>
      <c r="O125" s="13"/>
      <c r="P125" s="1">
        <f>SUM(OSRRefP22_23x_0)</f>
        <v>8401.24</v>
      </c>
      <c r="Q125" s="1"/>
      <c r="R125" s="5">
        <f t="shared" ref="R125:R130" si="112">IF(P$12=0,0,P125/P$12)</f>
        <v>6.148094692337917E-4</v>
      </c>
      <c r="S125" s="1"/>
      <c r="T125" s="1">
        <f>SUM(OSRRefT22_23x_0)</f>
        <v>22977</v>
      </c>
      <c r="U125" s="1"/>
      <c r="V125" s="5">
        <f t="shared" ref="V125:V130" si="113">IF(T$12=0,0,T125/T$12)</f>
        <v>1.5288007985933196E-3</v>
      </c>
      <c r="W125" s="1"/>
      <c r="X125" s="1">
        <f t="shared" ref="X125:X130" si="114">+P125-T125</f>
        <v>-14575.76</v>
      </c>
      <c r="Y125" s="1"/>
      <c r="Z125" s="5">
        <f t="shared" ref="Z125:Z130" si="115">IF(T125=0,0,X125/T125)</f>
        <v>-0.63436305871088483</v>
      </c>
    </row>
    <row r="126" spans="1:26" s="24" customFormat="1" hidden="1" outlineLevel="2" x14ac:dyDescent="0.25">
      <c r="A126" s="25"/>
      <c r="B126" s="11" t="str">
        <f>CONCATENATE("          ", "6376", " - ", "TRAINING")</f>
        <v xml:space="preserve">          6376 - TRAINING</v>
      </c>
      <c r="C126" s="11"/>
      <c r="D126" s="6">
        <v>100</v>
      </c>
      <c r="E126" s="2"/>
      <c r="F126" s="7">
        <f t="shared" si="108"/>
        <v>7.7226191506884334E-5</v>
      </c>
      <c r="G126" s="2"/>
      <c r="H126" s="6">
        <v>1160</v>
      </c>
      <c r="I126" s="2"/>
      <c r="J126" s="7">
        <f t="shared" si="109"/>
        <v>5.3421730946978468E-4</v>
      </c>
      <c r="K126" s="2"/>
      <c r="L126" s="6">
        <f t="shared" si="110"/>
        <v>-1060</v>
      </c>
      <c r="M126" s="2"/>
      <c r="N126" s="7">
        <f t="shared" si="111"/>
        <v>-0.91379310344827591</v>
      </c>
      <c r="O126" s="11"/>
      <c r="P126" s="6">
        <v>8401.24</v>
      </c>
      <c r="Q126" s="2"/>
      <c r="R126" s="7">
        <f t="shared" si="112"/>
        <v>6.148094692337917E-4</v>
      </c>
      <c r="S126" s="2"/>
      <c r="T126" s="6">
        <v>22977</v>
      </c>
      <c r="U126" s="2"/>
      <c r="V126" s="7">
        <f t="shared" si="113"/>
        <v>1.5288007985933196E-3</v>
      </c>
      <c r="W126" s="2"/>
      <c r="X126" s="6">
        <f t="shared" si="114"/>
        <v>-14575.76</v>
      </c>
      <c r="Y126" s="2"/>
      <c r="Z126" s="7">
        <f t="shared" si="115"/>
        <v>-0.63436305871088483</v>
      </c>
    </row>
    <row r="127" spans="1:26" s="27" customFormat="1" outlineLevel="1" collapsed="1" x14ac:dyDescent="0.25">
      <c r="A127" s="26"/>
      <c r="B127" s="13" t="str">
        <f>CONCATENATE("     ","Travel                                            ")</f>
        <v xml:space="preserve">     Travel                                            </v>
      </c>
      <c r="C127" s="13"/>
      <c r="D127" s="1">
        <f>SUM(OSRRefD22_24x_0)</f>
        <v>1389.05</v>
      </c>
      <c r="E127" s="1"/>
      <c r="F127" s="5">
        <f t="shared" si="108"/>
        <v>1.0727104131263768E-3</v>
      </c>
      <c r="G127" s="1"/>
      <c r="H127" s="1">
        <f>SUM(OSRRefH22_24x_0)</f>
        <v>3530</v>
      </c>
      <c r="I127" s="1"/>
      <c r="J127" s="5">
        <f t="shared" si="109"/>
        <v>1.6256785365761552E-3</v>
      </c>
      <c r="K127" s="1"/>
      <c r="L127" s="1">
        <f t="shared" si="110"/>
        <v>-2140.9499999999998</v>
      </c>
      <c r="M127" s="1"/>
      <c r="N127" s="5">
        <f t="shared" si="111"/>
        <v>-0.60650141643059485</v>
      </c>
      <c r="O127" s="13"/>
      <c r="P127" s="1">
        <f>SUM(OSRRefP22_24x_0)</f>
        <v>6498.15</v>
      </c>
      <c r="Q127" s="1"/>
      <c r="R127" s="5">
        <f t="shared" si="112"/>
        <v>4.7553981941970036E-4</v>
      </c>
      <c r="S127" s="1"/>
      <c r="T127" s="1">
        <f>SUM(OSRRefT22_24x_0)</f>
        <v>18210</v>
      </c>
      <c r="U127" s="1"/>
      <c r="V127" s="5">
        <f t="shared" si="113"/>
        <v>1.2116230379242002E-3</v>
      </c>
      <c r="W127" s="1"/>
      <c r="X127" s="1">
        <f t="shared" si="114"/>
        <v>-11711.85</v>
      </c>
      <c r="Y127" s="1"/>
      <c r="Z127" s="5">
        <f t="shared" si="115"/>
        <v>-0.64315485996705113</v>
      </c>
    </row>
    <row r="128" spans="1:26" s="24" customFormat="1" hidden="1" outlineLevel="2" x14ac:dyDescent="0.25">
      <c r="A128" s="25"/>
      <c r="B128" s="11" t="str">
        <f>CONCATENATE("          ", "6292", " - ", "TRAVEL/CONFERENCE")</f>
        <v xml:space="preserve">          6292 - TRAVEL/CONFERENCE</v>
      </c>
      <c r="C128" s="11"/>
      <c r="D128" s="6">
        <v>1212.73</v>
      </c>
      <c r="E128" s="2"/>
      <c r="F128" s="7">
        <f t="shared" si="108"/>
        <v>9.3654519226143843E-4</v>
      </c>
      <c r="G128" s="2"/>
      <c r="H128" s="6">
        <v>3300</v>
      </c>
      <c r="I128" s="2"/>
      <c r="J128" s="7">
        <f t="shared" si="109"/>
        <v>1.5197561390088703E-3</v>
      </c>
      <c r="K128" s="2"/>
      <c r="L128" s="6">
        <f t="shared" si="110"/>
        <v>-2087.27</v>
      </c>
      <c r="M128" s="2"/>
      <c r="N128" s="7">
        <f t="shared" si="111"/>
        <v>-0.63250606060606063</v>
      </c>
      <c r="O128" s="11"/>
      <c r="P128" s="6">
        <v>5342.86</v>
      </c>
      <c r="Q128" s="2"/>
      <c r="R128" s="7">
        <f t="shared" si="112"/>
        <v>3.9099477229438229E-4</v>
      </c>
      <c r="S128" s="2"/>
      <c r="T128" s="6">
        <v>17100</v>
      </c>
      <c r="U128" s="2"/>
      <c r="V128" s="7">
        <f t="shared" si="113"/>
        <v>1.1377679268810448E-3</v>
      </c>
      <c r="W128" s="2"/>
      <c r="X128" s="6">
        <f t="shared" si="114"/>
        <v>-11757.14</v>
      </c>
      <c r="Y128" s="2"/>
      <c r="Z128" s="7">
        <f t="shared" si="115"/>
        <v>-0.68755204678362569</v>
      </c>
    </row>
    <row r="129" spans="1:26" s="24" customFormat="1" hidden="1" outlineLevel="2" x14ac:dyDescent="0.25">
      <c r="A129" s="25"/>
      <c r="B129" s="11" t="str">
        <f>CONCATENATE("          ", "6294", " - ", "TRAVEL OPERATIONAL")</f>
        <v xml:space="preserve">          6294 - TRAVEL OPERATIONAL</v>
      </c>
      <c r="C129" s="11"/>
      <c r="D129" s="6">
        <v>11.5</v>
      </c>
      <c r="E129" s="2"/>
      <c r="F129" s="7">
        <f t="shared" si="108"/>
        <v>8.8810120232916998E-6</v>
      </c>
      <c r="G129" s="2"/>
      <c r="H129" s="6">
        <v>120</v>
      </c>
      <c r="I129" s="2"/>
      <c r="J129" s="7">
        <f t="shared" si="109"/>
        <v>5.5263859600322559E-5</v>
      </c>
      <c r="K129" s="2"/>
      <c r="L129" s="6">
        <f t="shared" si="110"/>
        <v>-108.5</v>
      </c>
      <c r="M129" s="2"/>
      <c r="N129" s="7">
        <f t="shared" si="111"/>
        <v>-0.90416666666666667</v>
      </c>
      <c r="O129" s="11"/>
      <c r="P129" s="6">
        <v>56.99</v>
      </c>
      <c r="Q129" s="2"/>
      <c r="R129" s="7">
        <f t="shared" si="112"/>
        <v>4.1705738262011077E-6</v>
      </c>
      <c r="S129" s="2"/>
      <c r="T129" s="6">
        <v>120</v>
      </c>
      <c r="U129" s="2"/>
      <c r="V129" s="7">
        <f t="shared" si="113"/>
        <v>7.9843363289897881E-6</v>
      </c>
      <c r="W129" s="2"/>
      <c r="X129" s="6">
        <f t="shared" si="114"/>
        <v>-63.01</v>
      </c>
      <c r="Y129" s="2"/>
      <c r="Z129" s="7">
        <f t="shared" si="115"/>
        <v>-0.52508333333333335</v>
      </c>
    </row>
    <row r="130" spans="1:26" s="24" customFormat="1" hidden="1" outlineLevel="2" x14ac:dyDescent="0.25">
      <c r="A130" s="25"/>
      <c r="B130" s="11" t="str">
        <f>CONCATENATE("          ", "6298", " - ", "VEHICLE MILEAGE")</f>
        <v xml:space="preserve">          6298 - VEHICLE MILEAGE</v>
      </c>
      <c r="C130" s="11"/>
      <c r="D130" s="6">
        <v>164.82</v>
      </c>
      <c r="E130" s="2"/>
      <c r="F130" s="7">
        <f t="shared" si="108"/>
        <v>1.2728420884164677E-4</v>
      </c>
      <c r="G130" s="2"/>
      <c r="H130" s="6">
        <v>110</v>
      </c>
      <c r="I130" s="2"/>
      <c r="J130" s="7">
        <f t="shared" si="109"/>
        <v>5.0658537966962341E-5</v>
      </c>
      <c r="K130" s="2"/>
      <c r="L130" s="6">
        <f t="shared" si="110"/>
        <v>54.819999999999993</v>
      </c>
      <c r="M130" s="2"/>
      <c r="N130" s="7">
        <f t="shared" si="111"/>
        <v>0.49836363636363629</v>
      </c>
      <c r="O130" s="11"/>
      <c r="P130" s="6">
        <v>1098.3</v>
      </c>
      <c r="Q130" s="2"/>
      <c r="R130" s="7">
        <f t="shared" si="112"/>
        <v>8.0374473299116967E-5</v>
      </c>
      <c r="S130" s="2"/>
      <c r="T130" s="6">
        <v>990</v>
      </c>
      <c r="U130" s="2"/>
      <c r="V130" s="7">
        <f t="shared" si="113"/>
        <v>6.5870774714165748E-5</v>
      </c>
      <c r="W130" s="2"/>
      <c r="X130" s="6">
        <f t="shared" si="114"/>
        <v>108.29999999999995</v>
      </c>
      <c r="Y130" s="2"/>
      <c r="Z130" s="7">
        <f t="shared" si="115"/>
        <v>0.10939393939393935</v>
      </c>
    </row>
    <row r="131" spans="1:26" s="27" customFormat="1" outlineLevel="1" collapsed="1" x14ac:dyDescent="0.25">
      <c r="A131" s="26"/>
      <c r="B131" s="13" t="str">
        <f>CONCATENATE("     ","Utilities                                         ")</f>
        <v xml:space="preserve">     Utilities                                         </v>
      </c>
      <c r="C131" s="13"/>
      <c r="D131" s="1">
        <f>SUM(OSRRefD22_25x_0)</f>
        <v>15583</v>
      </c>
      <c r="E131" s="1"/>
      <c r="F131" s="5">
        <f t="shared" ref="F131:F132" si="116">IF(D$12=0,0,D131/D$12)</f>
        <v>1.2034157422517787E-2</v>
      </c>
      <c r="G131" s="1"/>
      <c r="H131" s="1">
        <f>SUM(OSRRefH22_25x_0)</f>
        <v>22450</v>
      </c>
      <c r="I131" s="1"/>
      <c r="J131" s="5">
        <f t="shared" ref="J131:J132" si="117">IF(H$12=0,0,H131/H$12)</f>
        <v>1.0338947066893677E-2</v>
      </c>
      <c r="K131" s="1"/>
      <c r="L131" s="1">
        <f t="shared" ref="L131:L132" si="118">+D131-H131</f>
        <v>-6867</v>
      </c>
      <c r="M131" s="1"/>
      <c r="N131" s="5">
        <f t="shared" ref="N131:N132" si="119">IF(H131=0,0,L131/H131)</f>
        <v>-0.30587973273942093</v>
      </c>
      <c r="O131" s="13"/>
      <c r="P131" s="1">
        <f>SUM(OSRRefP22_25x_0)</f>
        <v>143636</v>
      </c>
      <c r="Q131" s="1"/>
      <c r="R131" s="5">
        <f t="shared" ref="R131:R132" si="120">IF(P$12=0,0,P131/P$12)</f>
        <v>1.0511397474999512E-2</v>
      </c>
      <c r="S131" s="1"/>
      <c r="T131" s="1">
        <f>SUM(OSRRefT22_25x_0)</f>
        <v>177050</v>
      </c>
      <c r="U131" s="1"/>
      <c r="V131" s="5">
        <f t="shared" ref="V131:V132" si="121">IF(T$12=0,0,T131/T$12)</f>
        <v>1.1780222892063683E-2</v>
      </c>
      <c r="W131" s="1"/>
      <c r="X131" s="1">
        <f t="shared" ref="X131:X132" si="122">+P131-T131</f>
        <v>-33414</v>
      </c>
      <c r="Y131" s="1"/>
      <c r="Z131" s="5">
        <f t="shared" ref="Z131:Z132" si="123">IF(T131=0,0,X131/T131)</f>
        <v>-0.18872634848912737</v>
      </c>
    </row>
    <row r="132" spans="1:26" s="24" customFormat="1" hidden="1" outlineLevel="2" x14ac:dyDescent="0.25">
      <c r="A132" s="25"/>
      <c r="B132" s="11" t="str">
        <f>CONCATENATE("          ", "6274", " - ", "UTILITIES")</f>
        <v xml:space="preserve">          6274 - UTILITIES</v>
      </c>
      <c r="C132" s="11"/>
      <c r="D132" s="6">
        <v>15583</v>
      </c>
      <c r="E132" s="2"/>
      <c r="F132" s="7">
        <f t="shared" si="116"/>
        <v>1.2034157422517787E-2</v>
      </c>
      <c r="G132" s="2"/>
      <c r="H132" s="6">
        <v>22450</v>
      </c>
      <c r="I132" s="2"/>
      <c r="J132" s="7">
        <f t="shared" si="117"/>
        <v>1.0338947066893677E-2</v>
      </c>
      <c r="K132" s="2"/>
      <c r="L132" s="6">
        <f t="shared" si="118"/>
        <v>-6867</v>
      </c>
      <c r="M132" s="2"/>
      <c r="N132" s="7">
        <f t="shared" si="119"/>
        <v>-0.30587973273942093</v>
      </c>
      <c r="O132" s="11"/>
      <c r="P132" s="6">
        <v>143636</v>
      </c>
      <c r="Q132" s="2"/>
      <c r="R132" s="7">
        <f t="shared" si="120"/>
        <v>1.0511397474999512E-2</v>
      </c>
      <c r="S132" s="2"/>
      <c r="T132" s="6">
        <v>177050</v>
      </c>
      <c r="U132" s="2"/>
      <c r="V132" s="7">
        <f t="shared" si="121"/>
        <v>1.1780222892063683E-2</v>
      </c>
      <c r="W132" s="2"/>
      <c r="X132" s="6">
        <f t="shared" si="122"/>
        <v>-33414</v>
      </c>
      <c r="Y132" s="2"/>
      <c r="Z132" s="7">
        <f t="shared" si="123"/>
        <v>-0.18872634848912737</v>
      </c>
    </row>
    <row r="133" spans="1:26" s="56" customFormat="1" x14ac:dyDescent="0.25">
      <c r="A133" s="36"/>
      <c r="B133" s="36"/>
      <c r="C133" s="36"/>
      <c r="D133" s="1"/>
      <c r="E133" s="1"/>
      <c r="F133" s="5"/>
      <c r="G133" s="1"/>
      <c r="H133" s="1"/>
      <c r="I133" s="1"/>
      <c r="J133" s="5"/>
      <c r="K133" s="1"/>
      <c r="L133" s="1"/>
      <c r="M133" s="1"/>
      <c r="N133" s="5"/>
      <c r="O133" s="36"/>
      <c r="P133" s="1"/>
      <c r="Q133" s="1"/>
      <c r="R133" s="5"/>
      <c r="S133" s="1"/>
      <c r="T133" s="1"/>
      <c r="U133" s="1"/>
      <c r="V133" s="5"/>
      <c r="W133" s="1"/>
      <c r="X133" s="1"/>
      <c r="Y133" s="1"/>
      <c r="Z133" s="5"/>
    </row>
    <row r="134" spans="1:26" s="23" customFormat="1" collapsed="1" x14ac:dyDescent="0.25">
      <c r="A134" s="10"/>
      <c r="B134" s="29" t="s">
        <v>0</v>
      </c>
      <c r="C134" s="10"/>
      <c r="D134" s="4">
        <f>SUM(OSRRefD25x_0)</f>
        <v>49428.82</v>
      </c>
      <c r="E134" s="4"/>
      <c r="F134" s="12">
        <f t="shared" ref="F134:F138" si="124">IF(D$12=0,0,D134/D$12)</f>
        <v>3.817199519279315E-2</v>
      </c>
      <c r="G134" s="4"/>
      <c r="H134" s="4">
        <f>SUM(OSRRefH25x_0)</f>
        <v>63023</v>
      </c>
      <c r="I134" s="4"/>
      <c r="J134" s="12">
        <f t="shared" ref="J134:J138" si="125">IF(H$12=0,0,H134/H$12)</f>
        <v>2.902411852992607E-2</v>
      </c>
      <c r="K134" s="4"/>
      <c r="L134" s="4">
        <f t="shared" ref="L134:L138" si="126">+D134-H134</f>
        <v>-13594.18</v>
      </c>
      <c r="M134" s="4"/>
      <c r="N134" s="12">
        <f t="shared" ref="N134:N138" si="127">IF(H134=0,0,L134/H134)</f>
        <v>-0.21570188661282388</v>
      </c>
      <c r="O134" s="10"/>
      <c r="P134" s="4">
        <f>SUM(OSRRefP25x_0)</f>
        <v>656215.76</v>
      </c>
      <c r="Q134" s="4"/>
      <c r="R134" s="12">
        <f t="shared" ref="R134:R138" si="128">IF(P$12=0,0,P134/P$12)</f>
        <v>4.8022394683219297E-2</v>
      </c>
      <c r="S134" s="4"/>
      <c r="T134" s="4">
        <f>SUM(OSRRefT25x_0)</f>
        <v>586544</v>
      </c>
      <c r="U134" s="4"/>
      <c r="V134" s="12">
        <f t="shared" ref="V134:V138" si="129">IF(T$12=0,0,T134/T$12)</f>
        <v>3.9026371397924885E-2</v>
      </c>
      <c r="W134" s="4"/>
      <c r="X134" s="4">
        <f t="shared" ref="X134:X138" si="130">+P134-T134</f>
        <v>69671.760000000009</v>
      </c>
      <c r="Y134" s="4"/>
      <c r="Z134" s="12">
        <f t="shared" ref="Z134:Z138" si="131">IF(T134=0,0,X134/T134)</f>
        <v>0.11878351837202326</v>
      </c>
    </row>
    <row r="135" spans="1:26" s="24" customFormat="1" hidden="1" outlineLevel="1" x14ac:dyDescent="0.25">
      <c r="A135" s="44"/>
      <c r="B135" s="11" t="str">
        <f>CONCATENATE("          ", "9150", " - ", "MISC. INCOME")</f>
        <v xml:space="preserve">          9150 - MISC. INCOME</v>
      </c>
      <c r="C135" s="11"/>
      <c r="D135" s="2">
        <f>--45376.64</f>
        <v>45376.639999999999</v>
      </c>
      <c r="E135" s="2"/>
      <c r="F135" s="19">
        <f t="shared" si="124"/>
        <v>3.504265090578948E-2</v>
      </c>
      <c r="G135" s="2"/>
      <c r="H135" s="2">
        <v>48466</v>
      </c>
      <c r="I135" s="2"/>
      <c r="J135" s="19">
        <f t="shared" si="125"/>
        <v>2.2320151828243609E-2</v>
      </c>
      <c r="K135" s="2"/>
      <c r="L135" s="2">
        <f t="shared" si="126"/>
        <v>-3089.3600000000006</v>
      </c>
      <c r="M135" s="2"/>
      <c r="N135" s="19">
        <f t="shared" si="127"/>
        <v>-6.3742830025172295E-2</v>
      </c>
      <c r="O135" s="11"/>
      <c r="P135" s="2">
        <f>--293259.16</f>
        <v>293259.15999999997</v>
      </c>
      <c r="Q135" s="2"/>
      <c r="R135" s="19">
        <f t="shared" si="128"/>
        <v>2.1460940112120068E-2</v>
      </c>
      <c r="S135" s="2"/>
      <c r="T135" s="2">
        <v>286443</v>
      </c>
      <c r="U135" s="2"/>
      <c r="V135" s="19">
        <f t="shared" si="129"/>
        <v>1.9058810425706847E-2</v>
      </c>
      <c r="W135" s="2"/>
      <c r="X135" s="2">
        <f t="shared" si="130"/>
        <v>6816.1599999999744</v>
      </c>
      <c r="Y135" s="2"/>
      <c r="Z135" s="19">
        <f t="shared" si="131"/>
        <v>2.3795868637041136E-2</v>
      </c>
    </row>
    <row r="136" spans="1:26" s="24" customFormat="1" hidden="1" outlineLevel="1" x14ac:dyDescent="0.25">
      <c r="A136" s="44"/>
      <c r="B136" s="11" t="str">
        <f>CONCATENATE("          ", "9151", " - ", "MISC. INCOME")</f>
        <v xml:space="preserve">          9151 - MISC. INCOME</v>
      </c>
      <c r="C136" s="11"/>
      <c r="D136" s="2">
        <f t="shared" ref="D136:D137" si="132">0</f>
        <v>0</v>
      </c>
      <c r="E136" s="2"/>
      <c r="F136" s="19">
        <f t="shared" si="124"/>
        <v>0</v>
      </c>
      <c r="G136" s="2"/>
      <c r="H136" s="2">
        <v>14557</v>
      </c>
      <c r="I136" s="2"/>
      <c r="J136" s="19">
        <f t="shared" si="125"/>
        <v>6.7039667016824626E-3</v>
      </c>
      <c r="K136" s="2"/>
      <c r="L136" s="2">
        <f t="shared" si="126"/>
        <v>-14557</v>
      </c>
      <c r="M136" s="2"/>
      <c r="N136" s="19">
        <f t="shared" si="127"/>
        <v>-1</v>
      </c>
      <c r="O136" s="11"/>
      <c r="P136" s="2">
        <f>0</f>
        <v>0</v>
      </c>
      <c r="Q136" s="2"/>
      <c r="R136" s="19">
        <f t="shared" si="128"/>
        <v>0</v>
      </c>
      <c r="S136" s="2"/>
      <c r="T136" s="2">
        <v>300101</v>
      </c>
      <c r="U136" s="2"/>
      <c r="V136" s="19">
        <f t="shared" si="129"/>
        <v>1.9967560972218037E-2</v>
      </c>
      <c r="W136" s="2"/>
      <c r="X136" s="2">
        <f t="shared" si="130"/>
        <v>-300101</v>
      </c>
      <c r="Y136" s="2"/>
      <c r="Z136" s="19">
        <f t="shared" si="131"/>
        <v>-1</v>
      </c>
    </row>
    <row r="137" spans="1:26" s="24" customFormat="1" hidden="1" outlineLevel="1" x14ac:dyDescent="0.25">
      <c r="A137" s="44"/>
      <c r="B137" s="11" t="str">
        <f>CONCATENATE("          ", "9160", " - ", "MISC. INCOME")</f>
        <v xml:space="preserve">          9160 - MISC. INCOME</v>
      </c>
      <c r="C137" s="11"/>
      <c r="D137" s="2">
        <f t="shared" si="132"/>
        <v>0</v>
      </c>
      <c r="E137" s="2"/>
      <c r="F137" s="19">
        <f t="shared" si="124"/>
        <v>0</v>
      </c>
      <c r="G137" s="2"/>
      <c r="H137" s="2"/>
      <c r="I137" s="2"/>
      <c r="J137" s="19">
        <f t="shared" si="125"/>
        <v>0</v>
      </c>
      <c r="K137" s="2"/>
      <c r="L137" s="2">
        <f t="shared" si="126"/>
        <v>0</v>
      </c>
      <c r="M137" s="2"/>
      <c r="N137" s="19">
        <f t="shared" si="127"/>
        <v>0</v>
      </c>
      <c r="O137" s="11"/>
      <c r="P137" s="2">
        <f>--130089.32</f>
        <v>130089.32</v>
      </c>
      <c r="Q137" s="2"/>
      <c r="R137" s="19">
        <f t="shared" si="128"/>
        <v>9.5200405871258154E-3</v>
      </c>
      <c r="S137" s="2"/>
      <c r="T137" s="2"/>
      <c r="U137" s="2"/>
      <c r="V137" s="19">
        <f t="shared" si="129"/>
        <v>0</v>
      </c>
      <c r="W137" s="2"/>
      <c r="X137" s="2">
        <f t="shared" si="130"/>
        <v>130089.32</v>
      </c>
      <c r="Y137" s="2"/>
      <c r="Z137" s="19">
        <f t="shared" si="131"/>
        <v>0</v>
      </c>
    </row>
    <row r="138" spans="1:26" s="24" customFormat="1" hidden="1" outlineLevel="1" x14ac:dyDescent="0.25">
      <c r="A138" s="44"/>
      <c r="B138" s="11" t="str">
        <f>CONCATENATE("          ", "9165", " - ", "OTHER INCOME")</f>
        <v xml:space="preserve">          9165 - OTHER INCOME</v>
      </c>
      <c r="C138" s="11"/>
      <c r="D138" s="2">
        <f>--4052.18</f>
        <v>4052.18</v>
      </c>
      <c r="E138" s="2"/>
      <c r="F138" s="19">
        <f t="shared" si="124"/>
        <v>3.1293442870036657E-3</v>
      </c>
      <c r="G138" s="2"/>
      <c r="H138" s="2"/>
      <c r="I138" s="2"/>
      <c r="J138" s="19">
        <f t="shared" si="125"/>
        <v>0</v>
      </c>
      <c r="K138" s="2"/>
      <c r="L138" s="2">
        <f t="shared" si="126"/>
        <v>4052.18</v>
      </c>
      <c r="M138" s="2"/>
      <c r="N138" s="19">
        <f t="shared" si="127"/>
        <v>0</v>
      </c>
      <c r="O138" s="11"/>
      <c r="P138" s="2">
        <f>--232867.28</f>
        <v>232867.28</v>
      </c>
      <c r="Q138" s="2"/>
      <c r="R138" s="19">
        <f t="shared" si="128"/>
        <v>1.7041413983973408E-2</v>
      </c>
      <c r="S138" s="2"/>
      <c r="T138" s="2"/>
      <c r="U138" s="2"/>
      <c r="V138" s="19">
        <f t="shared" si="129"/>
        <v>0</v>
      </c>
      <c r="W138" s="2"/>
      <c r="X138" s="2">
        <f t="shared" si="130"/>
        <v>232867.28</v>
      </c>
      <c r="Y138" s="2"/>
      <c r="Z138" s="19">
        <f t="shared" si="131"/>
        <v>0</v>
      </c>
    </row>
    <row r="139" spans="1:26" x14ac:dyDescent="0.25">
      <c r="A139" s="9"/>
      <c r="B139" s="10"/>
      <c r="C139" s="10"/>
      <c r="D139" s="3"/>
      <c r="E139" s="3"/>
      <c r="F139" s="8"/>
      <c r="G139" s="3"/>
      <c r="H139" s="3"/>
      <c r="I139" s="3"/>
      <c r="J139" s="8"/>
      <c r="K139" s="3"/>
      <c r="L139" s="3"/>
      <c r="M139" s="3"/>
      <c r="N139" s="8"/>
      <c r="O139" s="10"/>
      <c r="P139" s="3"/>
      <c r="Q139" s="3"/>
      <c r="R139" s="8"/>
      <c r="S139" s="3"/>
      <c r="T139" s="3"/>
      <c r="U139" s="3"/>
      <c r="V139" s="8"/>
      <c r="W139" s="3"/>
      <c r="X139" s="3"/>
      <c r="Y139" s="3"/>
      <c r="Z139" s="8"/>
    </row>
    <row r="140" spans="1:26" s="23" customFormat="1" x14ac:dyDescent="0.25">
      <c r="A140" s="10"/>
      <c r="B140" s="28" t="s">
        <v>3</v>
      </c>
      <c r="C140" s="28"/>
      <c r="D140" s="20">
        <f>+D31-D33+D134</f>
        <v>-103009.81000000058</v>
      </c>
      <c r="E140" s="14"/>
      <c r="F140" s="22">
        <f>IF(D$12=0,0,D140/D$12)</f>
        <v>-7.9550553141478145E-2</v>
      </c>
      <c r="G140" s="14"/>
      <c r="H140" s="20">
        <f>+H31-H33+H134</f>
        <v>549714.9070397839</v>
      </c>
      <c r="I140" s="14"/>
      <c r="J140" s="22">
        <f>IF(H$12=0,0,H140/H$12)</f>
        <v>0.25316139535709153</v>
      </c>
      <c r="K140" s="16"/>
      <c r="L140" s="20">
        <f>+D140-H140</f>
        <v>-652724.71703978442</v>
      </c>
      <c r="M140" s="16"/>
      <c r="N140" s="22">
        <f>IF(H140=0,0,L140/H140)</f>
        <v>-1.1873876962054906</v>
      </c>
      <c r="O140" s="29"/>
      <c r="P140" s="20">
        <f>+P31-P33+P134</f>
        <v>1615530.09</v>
      </c>
      <c r="Q140" s="14"/>
      <c r="R140" s="22">
        <f>IF(P$12=0,0,P140/P$12)</f>
        <v>0.11822578537979153</v>
      </c>
      <c r="S140" s="14"/>
      <c r="T140" s="20">
        <f>+T31-T33+T134</f>
        <v>2700725.931960348</v>
      </c>
      <c r="U140" s="14"/>
      <c r="V140" s="22">
        <f>IF(T$12=0,0,T140/T$12)</f>
        <v>0.17969586810996507</v>
      </c>
      <c r="W140" s="16"/>
      <c r="X140" s="20">
        <f>+P140-T140</f>
        <v>-1085195.841960348</v>
      </c>
      <c r="Y140" s="16"/>
      <c r="Z140" s="22">
        <f>IF(T140=0,0,X140/T140)</f>
        <v>-0.40181635208451089</v>
      </c>
    </row>
    <row r="141" spans="1:26" x14ac:dyDescent="0.25">
      <c r="A141" s="9"/>
      <c r="B141" s="10"/>
      <c r="C141" s="9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s="23" customFormat="1" x14ac:dyDescent="0.25">
      <c r="A142" s="52"/>
      <c r="B142" s="10" t="s">
        <v>14</v>
      </c>
      <c r="C142" s="10"/>
      <c r="D142" s="4">
        <v>203478.7</v>
      </c>
      <c r="E142" s="4"/>
      <c r="F142" s="12">
        <f>IF(D$12=0,0,D142/D$12)</f>
        <v>0.15713885053771867</v>
      </c>
      <c r="G142" s="4"/>
      <c r="H142" s="4">
        <v>210612</v>
      </c>
      <c r="I142" s="4"/>
      <c r="J142" s="12">
        <f>IF(H$12=0,0,H142/H$12)</f>
        <v>9.6993599984526113E-2</v>
      </c>
      <c r="K142" s="4"/>
      <c r="L142" s="4">
        <f>+D142-H142</f>
        <v>-7133.2999999999884</v>
      </c>
      <c r="M142" s="4"/>
      <c r="N142" s="12">
        <f>IF(H142=0,0,L142/H142)</f>
        <v>-3.3869390158205552E-2</v>
      </c>
      <c r="O142" s="10"/>
      <c r="P142" s="4">
        <v>1464214.96</v>
      </c>
      <c r="Q142" s="4"/>
      <c r="R142" s="12">
        <f>IF(P$12=0,0,P142/P$12)</f>
        <v>0.10715242302347958</v>
      </c>
      <c r="S142" s="4"/>
      <c r="T142" s="4">
        <v>1756803</v>
      </c>
      <c r="U142" s="4"/>
      <c r="V142" s="12">
        <f>IF(T$12=0,0,T142/T$12)</f>
        <v>0.11689088346481871</v>
      </c>
      <c r="W142" s="4"/>
      <c r="X142" s="4">
        <f>+P142-T142</f>
        <v>-292588.04000000004</v>
      </c>
      <c r="Y142" s="4"/>
      <c r="Z142" s="12">
        <f>IF(T142=0,0,X142/T142)</f>
        <v>-0.16654573108083265</v>
      </c>
    </row>
    <row r="143" spans="1:26" x14ac:dyDescent="0.25">
      <c r="A143" s="9"/>
      <c r="B143" s="10"/>
      <c r="C143" s="10"/>
      <c r="D143" s="3"/>
      <c r="E143" s="3"/>
      <c r="F143" s="8"/>
      <c r="G143" s="3"/>
      <c r="H143" s="3"/>
      <c r="I143" s="3"/>
      <c r="J143" s="8"/>
      <c r="K143" s="3"/>
      <c r="L143" s="3"/>
      <c r="M143" s="3"/>
      <c r="N143" s="8"/>
      <c r="O143" s="10"/>
      <c r="P143" s="3"/>
      <c r="Q143" s="3"/>
      <c r="R143" s="8"/>
      <c r="S143" s="3"/>
      <c r="T143" s="3"/>
      <c r="U143" s="3"/>
      <c r="V143" s="8"/>
      <c r="W143" s="3"/>
      <c r="X143" s="3"/>
      <c r="Y143" s="3"/>
      <c r="Z143" s="8"/>
    </row>
    <row r="144" spans="1:26" s="23" customFormat="1" ht="15.75" thickBot="1" x14ac:dyDescent="0.3">
      <c r="A144" s="10"/>
      <c r="B144" s="28" t="s">
        <v>4</v>
      </c>
      <c r="C144" s="28"/>
      <c r="D144" s="31">
        <f>+D140-D142</f>
        <v>-306488.51000000059</v>
      </c>
      <c r="E144" s="14"/>
      <c r="F144" s="34">
        <f>IF(D$12=0,0,D144/D$12)</f>
        <v>-0.23668940367919683</v>
      </c>
      <c r="G144" s="14"/>
      <c r="H144" s="31">
        <f>+H140-H142</f>
        <v>339102.9070397839</v>
      </c>
      <c r="I144" s="14"/>
      <c r="J144" s="34">
        <f>IF(H$12=0,0,H144/H$12)</f>
        <v>0.15616779537256539</v>
      </c>
      <c r="K144" s="16"/>
      <c r="L144" s="31">
        <f>D144-H144</f>
        <v>-645591.41703978449</v>
      </c>
      <c r="M144" s="16"/>
      <c r="N144" s="34">
        <f>IF(H144=0,0,L144/H144)</f>
        <v>-1.9038215351071675</v>
      </c>
      <c r="O144" s="29"/>
      <c r="P144" s="31">
        <f>+P140-P142</f>
        <v>151315.13000000012</v>
      </c>
      <c r="Q144" s="14"/>
      <c r="R144" s="34">
        <f>IF(P$12=0,0,P144/P$12)</f>
        <v>1.1073362356311957E-2</v>
      </c>
      <c r="S144" s="14"/>
      <c r="T144" s="31">
        <f>+T140-T142</f>
        <v>943922.93196034804</v>
      </c>
      <c r="U144" s="14"/>
      <c r="V144" s="34">
        <f>IF(T$12=0,0,T144/T$12)</f>
        <v>6.2804984645146361E-2</v>
      </c>
      <c r="W144" s="16"/>
      <c r="X144" s="31">
        <f>P144-T144</f>
        <v>-792607.80196034792</v>
      </c>
      <c r="Y144" s="16"/>
      <c r="Z144" s="34">
        <f>IF(T144=0,0,X144/T144)</f>
        <v>-0.83969546148672602</v>
      </c>
    </row>
    <row r="145" spans="1:26" ht="15.75" thickTop="1" x14ac:dyDescent="0.25">
      <c r="A145" s="9"/>
      <c r="B145" s="9"/>
      <c r="C145" s="9"/>
      <c r="D145" s="3"/>
      <c r="E145" s="3"/>
      <c r="F145" s="8"/>
      <c r="G145" s="3"/>
      <c r="H145" s="3"/>
      <c r="I145" s="3"/>
      <c r="J145" s="8"/>
      <c r="K145" s="3"/>
      <c r="L145" s="3"/>
      <c r="M145" s="3"/>
      <c r="N145" s="8"/>
      <c r="P145" s="3"/>
      <c r="Q145" s="3"/>
      <c r="R145" s="8"/>
      <c r="S145" s="3"/>
      <c r="T145" s="3"/>
      <c r="U145" s="3"/>
      <c r="V145" s="8"/>
      <c r="W145" s="3"/>
      <c r="X145" s="3"/>
      <c r="Y145" s="3"/>
      <c r="Z145" s="8"/>
    </row>
    <row r="146" spans="1:26" x14ac:dyDescent="0.25">
      <c r="A146" s="9"/>
      <c r="B146" s="9"/>
      <c r="C146" s="9"/>
      <c r="D146" s="3"/>
      <c r="E146" s="3"/>
      <c r="F146" s="8"/>
      <c r="G146" s="3"/>
      <c r="H146" s="3"/>
      <c r="I146" s="3"/>
      <c r="J146" s="8"/>
      <c r="K146" s="3"/>
      <c r="L146" s="3"/>
      <c r="M146" s="3"/>
      <c r="N146" s="8"/>
      <c r="P146" s="3"/>
      <c r="Q146" s="3"/>
      <c r="R146" s="8"/>
      <c r="S146" s="3"/>
      <c r="T146" s="3"/>
      <c r="U146" s="3"/>
      <c r="V146" s="8"/>
      <c r="W146" s="3"/>
      <c r="X146" s="3"/>
      <c r="Y146" s="3"/>
      <c r="Z146" s="8"/>
    </row>
    <row r="147" spans="1:26" s="23" customFormat="1" ht="15.75" thickBot="1" x14ac:dyDescent="0.3">
      <c r="A147" s="10"/>
      <c r="B147" s="28" t="s">
        <v>5</v>
      </c>
      <c r="C147" s="28"/>
      <c r="D147" s="32">
        <f>SUM(D144:D146)</f>
        <v>-306488.51000000059</v>
      </c>
      <c r="E147" s="14"/>
      <c r="F147" s="35">
        <f>IF(D$12=0,0,D147/D$12)</f>
        <v>-0.23668940367919683</v>
      </c>
      <c r="G147" s="14"/>
      <c r="H147" s="32">
        <f>SUM(H144:H146)</f>
        <v>339102.9070397839</v>
      </c>
      <c r="I147" s="14"/>
      <c r="J147" s="35">
        <f>IF(H$12=0,0,H147/H$12)</f>
        <v>0.15616779537256539</v>
      </c>
      <c r="K147" s="16"/>
      <c r="L147" s="32">
        <f>+D147-H147</f>
        <v>-645591.41703978449</v>
      </c>
      <c r="M147" s="16"/>
      <c r="N147" s="35">
        <f>IF(H147=0,0,L147/H147)</f>
        <v>-1.9038215351071675</v>
      </c>
      <c r="O147" s="29"/>
      <c r="P147" s="32">
        <f>SUM(P144:P146)</f>
        <v>151315.13000000012</v>
      </c>
      <c r="Q147" s="14"/>
      <c r="R147" s="35">
        <f>IF(P$12=0,0,P147/P$12)</f>
        <v>1.1073362356311957E-2</v>
      </c>
      <c r="S147" s="14"/>
      <c r="T147" s="32">
        <f>SUM(T144:T146)</f>
        <v>943922.93196034804</v>
      </c>
      <c r="U147" s="14"/>
      <c r="V147" s="35">
        <f>IF(T$12=0,0,T147/T$12)</f>
        <v>6.2804984645146361E-2</v>
      </c>
      <c r="W147" s="16"/>
      <c r="X147" s="32">
        <f>+P147-T147</f>
        <v>-792607.80196034792</v>
      </c>
      <c r="Y147" s="16"/>
      <c r="Z147" s="35">
        <f>IF(T147=0,0,X147/T147)</f>
        <v>-0.83969546148672602</v>
      </c>
    </row>
    <row r="148" spans="1:26" ht="15.75" thickTop="1" x14ac:dyDescent="0.25">
      <c r="A148" s="9"/>
      <c r="C148" s="9"/>
      <c r="D148" s="18"/>
      <c r="E148" s="18"/>
      <c r="G148" s="18"/>
      <c r="H148" s="18"/>
      <c r="I148" s="18"/>
      <c r="J148" s="42"/>
      <c r="K148" s="18"/>
      <c r="L148" s="18"/>
      <c r="M148" s="18"/>
      <c r="P148" s="18"/>
      <c r="Q148" s="18"/>
      <c r="R148" s="42"/>
      <c r="S148" s="18"/>
      <c r="T148" s="18"/>
      <c r="U148" s="18"/>
      <c r="V148" s="42"/>
      <c r="W148" s="18"/>
      <c r="X148" s="18"/>
    </row>
    <row r="149" spans="1:26" x14ac:dyDescent="0.25">
      <c r="A149" s="9"/>
      <c r="B149" s="57">
        <v>43934.466023611109</v>
      </c>
      <c r="D149" s="18"/>
      <c r="E149" s="18"/>
      <c r="G149" s="18"/>
      <c r="H149" s="18"/>
      <c r="I149" s="18"/>
      <c r="J149" s="42"/>
      <c r="K149" s="18"/>
      <c r="L149" s="18"/>
      <c r="M149" s="18"/>
      <c r="P149" s="18"/>
      <c r="Q149" s="18"/>
      <c r="R149" s="42"/>
      <c r="S149" s="18"/>
      <c r="T149" s="18"/>
      <c r="U149" s="18"/>
      <c r="V149" s="42"/>
      <c r="W149" s="18"/>
      <c r="X149" s="18"/>
    </row>
    <row r="150" spans="1:26" x14ac:dyDescent="0.25">
      <c r="A150" s="9"/>
      <c r="B150" s="62" t="s">
        <v>314</v>
      </c>
      <c r="D150" s="18"/>
      <c r="E150" s="18"/>
      <c r="G150" s="18"/>
      <c r="H150" s="18"/>
      <c r="I150" s="18"/>
      <c r="J150" s="42"/>
      <c r="K150" s="18"/>
      <c r="L150" s="18"/>
      <c r="M150" s="18"/>
      <c r="P150" s="18"/>
      <c r="Q150" s="18"/>
      <c r="R150" s="42"/>
      <c r="S150" s="18"/>
      <c r="T150" s="18"/>
      <c r="U150" s="18"/>
      <c r="V150" s="42"/>
      <c r="W150" s="18"/>
      <c r="X150" s="18"/>
    </row>
    <row r="151" spans="1:26" x14ac:dyDescent="0.25">
      <c r="A151" s="9"/>
      <c r="B151" s="60"/>
      <c r="D151" s="18"/>
      <c r="E151" s="18"/>
      <c r="G151" s="18"/>
      <c r="H151" s="18"/>
      <c r="I151" s="18"/>
      <c r="J151" s="42"/>
      <c r="K151" s="18"/>
      <c r="L151" s="18"/>
      <c r="M151" s="18"/>
      <c r="P151" s="18"/>
      <c r="Q151" s="18"/>
      <c r="R151" s="42"/>
      <c r="S151" s="18"/>
      <c r="T151" s="18"/>
      <c r="U151" s="18"/>
      <c r="V151" s="42"/>
      <c r="W151" s="18"/>
      <c r="X151" s="18"/>
    </row>
    <row r="152" spans="1:26" x14ac:dyDescent="0.25">
      <c r="D152" s="18"/>
      <c r="E152" s="18"/>
      <c r="G152" s="18"/>
      <c r="H152" s="18"/>
      <c r="I152" s="18"/>
      <c r="J152" s="42"/>
      <c r="K152" s="18"/>
      <c r="L152" s="18"/>
      <c r="M152" s="18"/>
      <c r="P152" s="18"/>
      <c r="Q152" s="18"/>
      <c r="R152" s="42"/>
      <c r="S152" s="18"/>
      <c r="T152" s="18"/>
      <c r="U152" s="18"/>
      <c r="V152" s="42"/>
      <c r="W152" s="18"/>
      <c r="X152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5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313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471292.47000000003</v>
      </c>
      <c r="E12" s="4"/>
      <c r="F12" s="12"/>
      <c r="G12" s="4"/>
      <c r="H12" s="4">
        <f>SUM(OSRRefH13x_0)</f>
        <v>1281427</v>
      </c>
      <c r="I12" s="4"/>
      <c r="J12" s="12"/>
      <c r="K12" s="4"/>
      <c r="L12" s="4">
        <f t="shared" ref="L12:L30" si="0">+D12-H12</f>
        <v>-810134.53</v>
      </c>
      <c r="M12" s="4"/>
      <c r="N12" s="12">
        <f t="shared" ref="N12:N30" si="1">IF(H12=0,0,L12/H12)</f>
        <v>-0.6322127830925991</v>
      </c>
      <c r="O12" s="10"/>
      <c r="P12" s="4">
        <f>SUM(OSRRefP13x_0)</f>
        <v>6984077.9299999997</v>
      </c>
      <c r="Q12" s="4"/>
      <c r="R12" s="12"/>
      <c r="S12" s="4"/>
      <c r="T12" s="4">
        <f>SUM(OSRRefT13x_0)</f>
        <v>8370767.2000000002</v>
      </c>
      <c r="U12" s="4"/>
      <c r="V12" s="12"/>
      <c r="W12" s="4"/>
      <c r="X12" s="4">
        <f t="shared" ref="X12:X30" si="2">+P12-T12</f>
        <v>-1386689.2700000005</v>
      </c>
      <c r="Y12" s="4"/>
      <c r="Z12" s="12">
        <f t="shared" ref="Z12:Z30" si="3">IF(T12=0,0,X12/T12)</f>
        <v>-0.16565856353047309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538344</v>
      </c>
      <c r="I13" s="2"/>
      <c r="J13" s="19"/>
      <c r="K13" s="2"/>
      <c r="L13" s="2">
        <f t="shared" si="0"/>
        <v>-538344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3435803.2</v>
      </c>
      <c r="U13" s="2"/>
      <c r="V13" s="19"/>
      <c r="W13" s="2"/>
      <c r="X13" s="2">
        <f t="shared" si="2"/>
        <v>-3435803.2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>--18941.74</f>
        <v>18941.740000000002</v>
      </c>
      <c r="E14" s="2"/>
      <c r="F14" s="19"/>
      <c r="G14" s="2"/>
      <c r="H14" s="2"/>
      <c r="I14" s="2"/>
      <c r="J14" s="19"/>
      <c r="K14" s="2"/>
      <c r="L14" s="2">
        <f t="shared" si="0"/>
        <v>18941.740000000002</v>
      </c>
      <c r="M14" s="2"/>
      <c r="N14" s="19">
        <f t="shared" si="1"/>
        <v>0</v>
      </c>
      <c r="O14" s="11"/>
      <c r="P14" s="2">
        <f>--275748.11</f>
        <v>275748.11</v>
      </c>
      <c r="Q14" s="2"/>
      <c r="R14" s="19"/>
      <c r="S14" s="2"/>
      <c r="T14" s="2"/>
      <c r="U14" s="2"/>
      <c r="V14" s="19"/>
      <c r="W14" s="2"/>
      <c r="X14" s="2">
        <f t="shared" si="2"/>
        <v>275748.11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--158.53</f>
        <v>158.53</v>
      </c>
      <c r="E15" s="2"/>
      <c r="F15" s="19"/>
      <c r="G15" s="2"/>
      <c r="H15" s="2"/>
      <c r="I15" s="2"/>
      <c r="J15" s="19"/>
      <c r="K15" s="2"/>
      <c r="L15" s="2">
        <f t="shared" si="0"/>
        <v>158.53</v>
      </c>
      <c r="M15" s="2"/>
      <c r="N15" s="19">
        <f t="shared" si="1"/>
        <v>0</v>
      </c>
      <c r="O15" s="11"/>
      <c r="P15" s="2">
        <f>--3118.55</f>
        <v>3118.55</v>
      </c>
      <c r="Q15" s="2"/>
      <c r="R15" s="19"/>
      <c r="S15" s="2"/>
      <c r="T15" s="2"/>
      <c r="U15" s="2"/>
      <c r="V15" s="19"/>
      <c r="W15" s="2"/>
      <c r="X15" s="2">
        <f t="shared" si="2"/>
        <v>3118.55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--36958.41</f>
        <v>36958.410000000003</v>
      </c>
      <c r="E16" s="2"/>
      <c r="F16" s="19"/>
      <c r="G16" s="2"/>
      <c r="H16" s="2"/>
      <c r="I16" s="2"/>
      <c r="J16" s="19"/>
      <c r="K16" s="2"/>
      <c r="L16" s="2">
        <f t="shared" si="0"/>
        <v>36958.410000000003</v>
      </c>
      <c r="M16" s="2"/>
      <c r="N16" s="19">
        <f t="shared" si="1"/>
        <v>0</v>
      </c>
      <c r="O16" s="11"/>
      <c r="P16" s="2">
        <f>--604143.21</f>
        <v>604143.21</v>
      </c>
      <c r="Q16" s="2"/>
      <c r="R16" s="19"/>
      <c r="S16" s="2"/>
      <c r="T16" s="2"/>
      <c r="U16" s="2"/>
      <c r="V16" s="19"/>
      <c r="W16" s="2"/>
      <c r="X16" s="2">
        <f t="shared" si="2"/>
        <v>604143.21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"4052", " - ", "TAXABLE SALES-FOOD")</f>
        <v xml:space="preserve">          4052 - TAXABLE SALES-FOOD</v>
      </c>
      <c r="C17" s="11"/>
      <c r="D17" s="2">
        <f>--48334.99</f>
        <v>48334.99</v>
      </c>
      <c r="E17" s="2"/>
      <c r="F17" s="19"/>
      <c r="G17" s="2"/>
      <c r="H17" s="2"/>
      <c r="I17" s="2"/>
      <c r="J17" s="19"/>
      <c r="K17" s="2"/>
      <c r="L17" s="2">
        <f t="shared" si="0"/>
        <v>48334.99</v>
      </c>
      <c r="M17" s="2"/>
      <c r="N17" s="19">
        <f t="shared" si="1"/>
        <v>0</v>
      </c>
      <c r="O17" s="11"/>
      <c r="P17" s="2">
        <f>--836487.29</f>
        <v>836487.29</v>
      </c>
      <c r="Q17" s="2"/>
      <c r="R17" s="19"/>
      <c r="S17" s="2"/>
      <c r="T17" s="2"/>
      <c r="U17" s="2"/>
      <c r="V17" s="19"/>
      <c r="W17" s="2"/>
      <c r="X17" s="2">
        <f t="shared" si="2"/>
        <v>836487.29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"4053", " - ", "TAXABLE SALES-FOOD")</f>
        <v xml:space="preserve">          4053 - TAXABLE SALES-FOOD</v>
      </c>
      <c r="C18" s="11"/>
      <c r="D18" s="2">
        <f>--30950.4</f>
        <v>30950.400000000001</v>
      </c>
      <c r="E18" s="2"/>
      <c r="F18" s="19"/>
      <c r="G18" s="2"/>
      <c r="H18" s="2"/>
      <c r="I18" s="2"/>
      <c r="J18" s="19"/>
      <c r="K18" s="2"/>
      <c r="L18" s="2">
        <f t="shared" si="0"/>
        <v>30950.400000000001</v>
      </c>
      <c r="M18" s="2"/>
      <c r="N18" s="19">
        <f t="shared" si="1"/>
        <v>0</v>
      </c>
      <c r="O18" s="11"/>
      <c r="P18" s="2">
        <f>--253270.4</f>
        <v>253270.39999999999</v>
      </c>
      <c r="Q18" s="2"/>
      <c r="R18" s="19"/>
      <c r="S18" s="2"/>
      <c r="T18" s="2"/>
      <c r="U18" s="2"/>
      <c r="V18" s="19"/>
      <c r="W18" s="2"/>
      <c r="X18" s="2">
        <f t="shared" si="2"/>
        <v>253270.39999999999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"4055", " - ", "TAXABLE SALES-FOOD")</f>
        <v xml:space="preserve">          4055 - TAXABLE SALES-FOOD</v>
      </c>
      <c r="C19" s="11"/>
      <c r="D19" s="2">
        <f>--24162.83</f>
        <v>24162.83</v>
      </c>
      <c r="E19" s="2"/>
      <c r="F19" s="19"/>
      <c r="G19" s="2"/>
      <c r="H19" s="2"/>
      <c r="I19" s="2"/>
      <c r="J19" s="19"/>
      <c r="K19" s="2"/>
      <c r="L19" s="2">
        <f t="shared" si="0"/>
        <v>24162.83</v>
      </c>
      <c r="M19" s="2"/>
      <c r="N19" s="19">
        <f t="shared" si="1"/>
        <v>0</v>
      </c>
      <c r="O19" s="11"/>
      <c r="P19" s="2">
        <f>--381406.04</f>
        <v>381406.04</v>
      </c>
      <c r="Q19" s="2"/>
      <c r="R19" s="19"/>
      <c r="S19" s="2"/>
      <c r="T19" s="2"/>
      <c r="U19" s="2"/>
      <c r="V19" s="19"/>
      <c r="W19" s="2"/>
      <c r="X19" s="2">
        <f t="shared" si="2"/>
        <v>381406.04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"4058", " - ", "TAXABLE SALES-FOOD")</f>
        <v xml:space="preserve">          4058 - TAXABLE SALES-FOOD</v>
      </c>
      <c r="C20" s="11"/>
      <c r="D20" s="2">
        <f>--6106.33</f>
        <v>6106.33</v>
      </c>
      <c r="E20" s="2"/>
      <c r="F20" s="19"/>
      <c r="G20" s="2"/>
      <c r="H20" s="2"/>
      <c r="I20" s="2"/>
      <c r="J20" s="19"/>
      <c r="K20" s="2"/>
      <c r="L20" s="2">
        <f t="shared" si="0"/>
        <v>6106.33</v>
      </c>
      <c r="M20" s="2"/>
      <c r="N20" s="19">
        <f t="shared" si="1"/>
        <v>0</v>
      </c>
      <c r="O20" s="11"/>
      <c r="P20" s="2">
        <f>--117077.57</f>
        <v>117077.57</v>
      </c>
      <c r="Q20" s="2"/>
      <c r="R20" s="19"/>
      <c r="S20" s="2"/>
      <c r="T20" s="2"/>
      <c r="U20" s="2"/>
      <c r="V20" s="19"/>
      <c r="W20" s="2"/>
      <c r="X20" s="2">
        <f t="shared" si="2"/>
        <v>117077.57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743083</v>
      </c>
      <c r="I21" s="2"/>
      <c r="J21" s="19"/>
      <c r="K21" s="2"/>
      <c r="L21" s="2">
        <f t="shared" si="0"/>
        <v>-743083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4934964</v>
      </c>
      <c r="U21" s="2"/>
      <c r="V21" s="19"/>
      <c r="W21" s="2"/>
      <c r="X21" s="2">
        <f t="shared" si="2"/>
        <v>-4934964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"4132", " - ", "NON-TAXABLE SALES-JUICE")</f>
        <v xml:space="preserve">          4132 - NON-TAXABLE SALES-JUICE</v>
      </c>
      <c r="C22" s="11"/>
      <c r="D22" s="2">
        <f>--78169.44</f>
        <v>78169.440000000002</v>
      </c>
      <c r="E22" s="2"/>
      <c r="F22" s="19"/>
      <c r="G22" s="2"/>
      <c r="H22" s="2"/>
      <c r="I22" s="2"/>
      <c r="J22" s="19"/>
      <c r="K22" s="2"/>
      <c r="L22" s="2">
        <f t="shared" si="0"/>
        <v>78169.440000000002</v>
      </c>
      <c r="M22" s="2"/>
      <c r="N22" s="19">
        <f t="shared" si="1"/>
        <v>0</v>
      </c>
      <c r="O22" s="11"/>
      <c r="P22" s="2">
        <f>--1093778.1</f>
        <v>1093778.1000000001</v>
      </c>
      <c r="Q22" s="2"/>
      <c r="R22" s="19"/>
      <c r="S22" s="2"/>
      <c r="T22" s="2"/>
      <c r="U22" s="2"/>
      <c r="V22" s="19"/>
      <c r="W22" s="2"/>
      <c r="X22" s="2">
        <f t="shared" si="2"/>
        <v>1093778.1000000001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"4133", " - ", "NON-TAXABLE SALES-CANDY")</f>
        <v xml:space="preserve">          4133 - NON-TAXABLE SALES-CANDY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--1.59</f>
        <v>1.59</v>
      </c>
      <c r="Q23" s="2"/>
      <c r="R23" s="19"/>
      <c r="S23" s="2"/>
      <c r="T23" s="2"/>
      <c r="U23" s="2"/>
      <c r="V23" s="19"/>
      <c r="W23" s="2"/>
      <c r="X23" s="2">
        <f t="shared" si="2"/>
        <v>1.59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"4134", " - ", "NON-TAXABLE SALES-SODA")</f>
        <v xml:space="preserve">          4134 - NON-TAXABLE SALES-SODA</v>
      </c>
      <c r="C24" s="11"/>
      <c r="D24" s="2">
        <f>--26.93</f>
        <v>26.93</v>
      </c>
      <c r="E24" s="2"/>
      <c r="F24" s="19"/>
      <c r="G24" s="2"/>
      <c r="H24" s="2"/>
      <c r="I24" s="2"/>
      <c r="J24" s="19"/>
      <c r="K24" s="2"/>
      <c r="L24" s="2">
        <f t="shared" si="0"/>
        <v>26.93</v>
      </c>
      <c r="M24" s="2"/>
      <c r="N24" s="19">
        <f t="shared" si="1"/>
        <v>0</v>
      </c>
      <c r="O24" s="11"/>
      <c r="P24" s="2">
        <f>--35.34</f>
        <v>35.340000000000003</v>
      </c>
      <c r="Q24" s="2"/>
      <c r="R24" s="19"/>
      <c r="S24" s="2"/>
      <c r="T24" s="2"/>
      <c r="U24" s="2"/>
      <c r="V24" s="19"/>
      <c r="W24" s="2"/>
      <c r="X24" s="2">
        <f t="shared" si="2"/>
        <v>35.340000000000003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"4137", " - ", "NON-TAXABLE SALES-WATER")</f>
        <v xml:space="preserve">          4137 - NON-TAXABLE SALES-WATER</v>
      </c>
      <c r="C25" s="11"/>
      <c r="D25" s="2">
        <f>--96.9</f>
        <v>96.9</v>
      </c>
      <c r="E25" s="2"/>
      <c r="F25" s="19"/>
      <c r="G25" s="2"/>
      <c r="H25" s="2"/>
      <c r="I25" s="2"/>
      <c r="J25" s="19"/>
      <c r="K25" s="2"/>
      <c r="L25" s="2">
        <f t="shared" si="0"/>
        <v>96.9</v>
      </c>
      <c r="M25" s="2"/>
      <c r="N25" s="19">
        <f t="shared" si="1"/>
        <v>0</v>
      </c>
      <c r="O25" s="11"/>
      <c r="P25" s="2">
        <f>--1568.79</f>
        <v>1568.79</v>
      </c>
      <c r="Q25" s="2"/>
      <c r="R25" s="19"/>
      <c r="S25" s="2"/>
      <c r="T25" s="2"/>
      <c r="U25" s="2"/>
      <c r="V25" s="19"/>
      <c r="W25" s="2"/>
      <c r="X25" s="2">
        <f t="shared" si="2"/>
        <v>1568.79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"4151", " - ", "NON-TAXABLE SALES-FOOD")</f>
        <v xml:space="preserve">          4151 - NON-TAXABLE SALES-FOOD</v>
      </c>
      <c r="C26" s="11"/>
      <c r="D26" s="2">
        <f>--146603.86</f>
        <v>146603.85999999999</v>
      </c>
      <c r="E26" s="2"/>
      <c r="F26" s="19"/>
      <c r="G26" s="2"/>
      <c r="H26" s="2"/>
      <c r="I26" s="2"/>
      <c r="J26" s="19"/>
      <c r="K26" s="2"/>
      <c r="L26" s="2">
        <f t="shared" si="0"/>
        <v>146603.85999999999</v>
      </c>
      <c r="M26" s="2"/>
      <c r="N26" s="19">
        <f t="shared" si="1"/>
        <v>0</v>
      </c>
      <c r="O26" s="11"/>
      <c r="P26" s="2">
        <f>--2191470.18</f>
        <v>2191470.1800000002</v>
      </c>
      <c r="Q26" s="2"/>
      <c r="R26" s="19"/>
      <c r="S26" s="2"/>
      <c r="T26" s="2"/>
      <c r="U26" s="2"/>
      <c r="V26" s="19"/>
      <c r="W26" s="2"/>
      <c r="X26" s="2">
        <f t="shared" si="2"/>
        <v>2191470.1800000002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"4152", " - ", "NON-TAXABLE SALES-FOOD")</f>
        <v xml:space="preserve">          4152 - NON-TAXABLE SALES-FOOD</v>
      </c>
      <c r="C27" s="11"/>
      <c r="D27" s="2">
        <f>--3688.2</f>
        <v>3688.2</v>
      </c>
      <c r="E27" s="2"/>
      <c r="F27" s="19"/>
      <c r="G27" s="2"/>
      <c r="H27" s="2"/>
      <c r="I27" s="2"/>
      <c r="J27" s="19"/>
      <c r="K27" s="2"/>
      <c r="L27" s="2">
        <f t="shared" si="0"/>
        <v>3688.2</v>
      </c>
      <c r="M27" s="2"/>
      <c r="N27" s="19">
        <f t="shared" si="1"/>
        <v>0</v>
      </c>
      <c r="O27" s="11"/>
      <c r="P27" s="2">
        <f>--51415.27</f>
        <v>51415.27</v>
      </c>
      <c r="Q27" s="2"/>
      <c r="R27" s="19"/>
      <c r="S27" s="2"/>
      <c r="T27" s="2"/>
      <c r="U27" s="2"/>
      <c r="V27" s="19"/>
      <c r="W27" s="2"/>
      <c r="X27" s="2">
        <f t="shared" si="2"/>
        <v>51415.27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"4153", " - ", "NON-TAXABLE SALES-FOOD")</f>
        <v xml:space="preserve">          4153 - NON-TAXABLE SALES-FOOD</v>
      </c>
      <c r="C28" s="11"/>
      <c r="D28" s="2">
        <f>-304.12</f>
        <v>-304.12</v>
      </c>
      <c r="E28" s="2"/>
      <c r="F28" s="19"/>
      <c r="G28" s="2"/>
      <c r="H28" s="2"/>
      <c r="I28" s="2"/>
      <c r="J28" s="19"/>
      <c r="K28" s="2"/>
      <c r="L28" s="2">
        <f t="shared" si="0"/>
        <v>-304.12</v>
      </c>
      <c r="M28" s="2"/>
      <c r="N28" s="19">
        <f t="shared" si="1"/>
        <v>0</v>
      </c>
      <c r="O28" s="11"/>
      <c r="P28" s="2">
        <f>--12314.09</f>
        <v>12314.09</v>
      </c>
      <c r="Q28" s="2"/>
      <c r="R28" s="19"/>
      <c r="S28" s="2"/>
      <c r="T28" s="2"/>
      <c r="U28" s="2"/>
      <c r="V28" s="19"/>
      <c r="W28" s="2"/>
      <c r="X28" s="2">
        <f t="shared" si="2"/>
        <v>12314.09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"4155", " - ", "NON-TAXABLE SALES-FOOD")</f>
        <v xml:space="preserve">          4155 - NON-TAXABLE SALES-FOOD</v>
      </c>
      <c r="C29" s="11"/>
      <c r="D29" s="2">
        <f>--43938.14</f>
        <v>43938.14</v>
      </c>
      <c r="E29" s="2"/>
      <c r="F29" s="19"/>
      <c r="G29" s="2"/>
      <c r="H29" s="2"/>
      <c r="I29" s="2"/>
      <c r="J29" s="19"/>
      <c r="K29" s="2"/>
      <c r="L29" s="2">
        <f t="shared" si="0"/>
        <v>43938.14</v>
      </c>
      <c r="M29" s="2"/>
      <c r="N29" s="19">
        <f t="shared" si="1"/>
        <v>0</v>
      </c>
      <c r="O29" s="11"/>
      <c r="P29" s="2">
        <f>--687389.73</f>
        <v>687389.73</v>
      </c>
      <c r="Q29" s="2"/>
      <c r="R29" s="19"/>
      <c r="S29" s="2"/>
      <c r="T29" s="2"/>
      <c r="U29" s="2"/>
      <c r="V29" s="19"/>
      <c r="W29" s="2"/>
      <c r="X29" s="2">
        <f t="shared" si="2"/>
        <v>687389.73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"4158", " - ", "NON-TAXABLE SALES-FOOD")</f>
        <v xml:space="preserve">          4158 - NON-TAXABLE SALES-FOOD</v>
      </c>
      <c r="C30" s="11"/>
      <c r="D30" s="2">
        <f>--33459.89</f>
        <v>33459.89</v>
      </c>
      <c r="E30" s="2"/>
      <c r="F30" s="19"/>
      <c r="G30" s="2"/>
      <c r="H30" s="2"/>
      <c r="I30" s="2"/>
      <c r="J30" s="19"/>
      <c r="K30" s="2"/>
      <c r="L30" s="2">
        <f t="shared" si="0"/>
        <v>33459.89</v>
      </c>
      <c r="M30" s="2"/>
      <c r="N30" s="19">
        <f t="shared" si="1"/>
        <v>0</v>
      </c>
      <c r="O30" s="11"/>
      <c r="P30" s="2">
        <f>--474853.67</f>
        <v>474853.67</v>
      </c>
      <c r="Q30" s="2"/>
      <c r="R30" s="19"/>
      <c r="S30" s="2"/>
      <c r="T30" s="2"/>
      <c r="U30" s="2"/>
      <c r="V30" s="19"/>
      <c r="W30" s="2"/>
      <c r="X30" s="2">
        <f t="shared" si="2"/>
        <v>474853.67</v>
      </c>
      <c r="Y30" s="2"/>
      <c r="Z30" s="19">
        <f t="shared" si="3"/>
        <v>0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collapsed="1" x14ac:dyDescent="0.25">
      <c r="A32" s="10"/>
      <c r="B32" s="29" t="s">
        <v>8</v>
      </c>
      <c r="C32" s="10"/>
      <c r="D32" s="4">
        <f>SUM(OSRRefD16x_0)</f>
        <v>172436.92</v>
      </c>
      <c r="E32" s="4"/>
      <c r="F32" s="12">
        <f t="shared" ref="F32:F35" si="4">IF(D$12=0,0,D32/D$12)</f>
        <v>0.36588091466854966</v>
      </c>
      <c r="G32" s="4"/>
      <c r="H32" s="4">
        <f>SUM(OSRRefH16x_0)</f>
        <v>452094</v>
      </c>
      <c r="I32" s="4"/>
      <c r="J32" s="12">
        <f t="shared" ref="J32:J35" si="5">IF(H$12=0,0,H32/H$12)</f>
        <v>0.35280511492266042</v>
      </c>
      <c r="K32" s="4"/>
      <c r="L32" s="4">
        <f t="shared" ref="L32:L35" si="6">+D32-H32</f>
        <v>-279657.07999999996</v>
      </c>
      <c r="M32" s="4"/>
      <c r="N32" s="12">
        <f t="shared" ref="N32:N35" si="7">IF(H32=0,0,L32/H32)</f>
        <v>-0.61858171088313485</v>
      </c>
      <c r="O32" s="10"/>
      <c r="P32" s="4">
        <f>SUM(OSRRefP16x_0)</f>
        <v>2659774.11</v>
      </c>
      <c r="Q32" s="4"/>
      <c r="R32" s="12">
        <f t="shared" ref="R32:R35" si="8">IF(P$12=0,0,P32/P$12)</f>
        <v>0.38083396787068785</v>
      </c>
      <c r="S32" s="4"/>
      <c r="T32" s="4">
        <f>SUM(OSRRefT16x_0)</f>
        <v>3017947</v>
      </c>
      <c r="U32" s="4"/>
      <c r="V32" s="12">
        <f t="shared" ref="V32:V35" si="9">IF(T$12=0,0,T32/T$12)</f>
        <v>0.36053409775868572</v>
      </c>
      <c r="W32" s="4"/>
      <c r="X32" s="4">
        <f t="shared" ref="X32:X35" si="10">+P32-T32</f>
        <v>-358172.89000000013</v>
      </c>
      <c r="Y32" s="4"/>
      <c r="Z32" s="12">
        <f t="shared" ref="Z32:Z35" si="11">IF(T32=0,0,X32/T32)</f>
        <v>-0.1186809741854314</v>
      </c>
    </row>
    <row r="33" spans="1:26" s="24" customFormat="1" hidden="1" outlineLevel="1" x14ac:dyDescent="0.25">
      <c r="A33" s="44"/>
      <c r="B33" s="11" t="str">
        <f>CONCATENATE("          ", "5000", " - ", "PURCHASES @ COST")</f>
        <v xml:space="preserve">          5000 - PURCHASES @ COST</v>
      </c>
      <c r="C33" s="11"/>
      <c r="D33" s="2"/>
      <c r="E33" s="2"/>
      <c r="F33" s="19">
        <f t="shared" si="4"/>
        <v>0</v>
      </c>
      <c r="G33" s="2"/>
      <c r="H33" s="2">
        <v>452094</v>
      </c>
      <c r="I33" s="2"/>
      <c r="J33" s="19">
        <f t="shared" si="5"/>
        <v>0.35280511492266042</v>
      </c>
      <c r="K33" s="2"/>
      <c r="L33" s="2">
        <f t="shared" si="6"/>
        <v>-452094</v>
      </c>
      <c r="M33" s="2"/>
      <c r="N33" s="19">
        <f t="shared" si="7"/>
        <v>-1</v>
      </c>
      <c r="O33" s="11"/>
      <c r="P33" s="2"/>
      <c r="Q33" s="2"/>
      <c r="R33" s="19">
        <f t="shared" si="8"/>
        <v>0</v>
      </c>
      <c r="S33" s="2"/>
      <c r="T33" s="2">
        <v>3017947</v>
      </c>
      <c r="U33" s="2"/>
      <c r="V33" s="19">
        <f t="shared" si="9"/>
        <v>0.36053409775868572</v>
      </c>
      <c r="W33" s="2"/>
      <c r="X33" s="2">
        <f t="shared" si="10"/>
        <v>-3017947</v>
      </c>
      <c r="Y33" s="2"/>
      <c r="Z33" s="19">
        <f t="shared" si="11"/>
        <v>-1</v>
      </c>
    </row>
    <row r="34" spans="1:26" s="24" customFormat="1" hidden="1" outlineLevel="1" x14ac:dyDescent="0.25">
      <c r="A34" s="44"/>
      <c r="B34" s="11" t="str">
        <f>CONCATENATE("          ", "5053", " - ", "PURCHASES @ COST-FOOD")</f>
        <v xml:space="preserve">          5053 - PURCHASES @ COST-FOOD</v>
      </c>
      <c r="C34" s="11"/>
      <c r="D34" s="2">
        <v>194936.14</v>
      </c>
      <c r="E34" s="2"/>
      <c r="F34" s="19">
        <f t="shared" si="4"/>
        <v>0.41362031521530568</v>
      </c>
      <c r="G34" s="2"/>
      <c r="H34" s="2"/>
      <c r="I34" s="2"/>
      <c r="J34" s="19">
        <f t="shared" si="5"/>
        <v>0</v>
      </c>
      <c r="K34" s="2"/>
      <c r="L34" s="2">
        <f t="shared" si="6"/>
        <v>194936.14</v>
      </c>
      <c r="M34" s="2"/>
      <c r="N34" s="19">
        <f t="shared" si="7"/>
        <v>0</v>
      </c>
      <c r="O34" s="11"/>
      <c r="P34" s="2">
        <v>2745737.27</v>
      </c>
      <c r="Q34" s="2"/>
      <c r="R34" s="19">
        <f t="shared" si="8"/>
        <v>0.39314241586648507</v>
      </c>
      <c r="S34" s="2"/>
      <c r="T34" s="2"/>
      <c r="U34" s="2"/>
      <c r="V34" s="19">
        <f t="shared" si="9"/>
        <v>0</v>
      </c>
      <c r="W34" s="2"/>
      <c r="X34" s="2">
        <f t="shared" si="10"/>
        <v>2745737.27</v>
      </c>
      <c r="Y34" s="2"/>
      <c r="Z34" s="19">
        <f t="shared" si="11"/>
        <v>0</v>
      </c>
    </row>
    <row r="35" spans="1:26" s="24" customFormat="1" hidden="1" outlineLevel="1" x14ac:dyDescent="0.25">
      <c r="A35" s="44"/>
      <c r="B35" s="11" t="str">
        <f>CONCATENATE("          ", "5059", " - ", "PURCHASES @ COST-FOOD")</f>
        <v xml:space="preserve">          5059 - PURCHASES @ COST-FOOD</v>
      </c>
      <c r="C35" s="11"/>
      <c r="D35" s="2">
        <v>-22499.22</v>
      </c>
      <c r="E35" s="2"/>
      <c r="F35" s="19">
        <f t="shared" si="4"/>
        <v>-4.7739400546756031E-2</v>
      </c>
      <c r="G35" s="2"/>
      <c r="H35" s="2"/>
      <c r="I35" s="2"/>
      <c r="J35" s="19">
        <f t="shared" si="5"/>
        <v>0</v>
      </c>
      <c r="K35" s="2"/>
      <c r="L35" s="2">
        <f t="shared" si="6"/>
        <v>-22499.22</v>
      </c>
      <c r="M35" s="2"/>
      <c r="N35" s="19">
        <f t="shared" si="7"/>
        <v>0</v>
      </c>
      <c r="O35" s="11"/>
      <c r="P35" s="2">
        <v>-85963.16</v>
      </c>
      <c r="Q35" s="2"/>
      <c r="R35" s="19">
        <f t="shared" si="8"/>
        <v>-1.2308447995797207E-2</v>
      </c>
      <c r="S35" s="2"/>
      <c r="T35" s="2"/>
      <c r="U35" s="2"/>
      <c r="V35" s="19">
        <f t="shared" si="9"/>
        <v>0</v>
      </c>
      <c r="W35" s="2"/>
      <c r="X35" s="2">
        <f t="shared" si="10"/>
        <v>-85963.16</v>
      </c>
      <c r="Y35" s="2"/>
      <c r="Z35" s="19">
        <f t="shared" si="11"/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10"/>
      <c r="B37" s="28" t="s">
        <v>6</v>
      </c>
      <c r="C37" s="28"/>
      <c r="D37" s="20">
        <f>D12-D32</f>
        <v>298855.55000000005</v>
      </c>
      <c r="E37" s="14"/>
      <c r="F37" s="22">
        <f>IF(D$12=0,0,D37/D$12)</f>
        <v>0.63411908533145045</v>
      </c>
      <c r="G37" s="14"/>
      <c r="H37" s="20">
        <f>H12-H32</f>
        <v>829333</v>
      </c>
      <c r="I37" s="14"/>
      <c r="J37" s="22">
        <f>IF(H$12=0,0,H37/H$12)</f>
        <v>0.64719488507733958</v>
      </c>
      <c r="K37" s="16"/>
      <c r="L37" s="20">
        <f>+D37-H37</f>
        <v>-530477.44999999995</v>
      </c>
      <c r="M37" s="16"/>
      <c r="N37" s="22">
        <f>IF(H37=0,0,L37/H37)</f>
        <v>-0.63964348458339404</v>
      </c>
      <c r="O37" s="29"/>
      <c r="P37" s="20">
        <f>P12-P32</f>
        <v>4324303.82</v>
      </c>
      <c r="Q37" s="14"/>
      <c r="R37" s="22">
        <f>IF(P$12=0,0,P37/P$12)</f>
        <v>0.6191660321293122</v>
      </c>
      <c r="S37" s="14"/>
      <c r="T37" s="20">
        <f>T12-T32</f>
        <v>5352820.2</v>
      </c>
      <c r="U37" s="14"/>
      <c r="V37" s="22">
        <f>IF(T$12=0,0,T37/T$12)</f>
        <v>0.63946590224131428</v>
      </c>
      <c r="W37" s="16"/>
      <c r="X37" s="20">
        <f>+P37-T37</f>
        <v>-1028516.3799999999</v>
      </c>
      <c r="Y37" s="16"/>
      <c r="Z37" s="22">
        <f>IF(T37=0,0,X37/T37)</f>
        <v>-0.19214476510905407</v>
      </c>
    </row>
    <row r="38" spans="1:26" x14ac:dyDescent="0.25">
      <c r="A38" s="9"/>
      <c r="B38" s="10"/>
      <c r="C38" s="9"/>
      <c r="D38" s="1"/>
      <c r="E38" s="1"/>
      <c r="F38" s="5"/>
      <c r="G38" s="1"/>
      <c r="H38" s="1"/>
      <c r="I38" s="1"/>
      <c r="J38" s="5"/>
      <c r="K38" s="1"/>
      <c r="L38" s="1"/>
      <c r="M38" s="1"/>
      <c r="N38" s="5"/>
      <c r="O38" s="36"/>
      <c r="P38" s="1"/>
      <c r="Q38" s="1"/>
      <c r="R38" s="5"/>
      <c r="S38" s="1"/>
      <c r="T38" s="1"/>
      <c r="U38" s="1"/>
      <c r="V38" s="5"/>
      <c r="W38" s="1"/>
      <c r="X38" s="1"/>
      <c r="Y38" s="1"/>
      <c r="Z38" s="5"/>
    </row>
    <row r="39" spans="1:26" s="23" customFormat="1" x14ac:dyDescent="0.25">
      <c r="A39" s="10"/>
      <c r="B39" s="29" t="s">
        <v>9</v>
      </c>
      <c r="C39" s="10"/>
      <c r="D39" s="21">
        <f>SUM(OSRRefD22x_0)</f>
        <v>641161.30999999994</v>
      </c>
      <c r="E39" s="21"/>
      <c r="F39" s="30">
        <f t="shared" ref="F39:F50" si="12">IF(D$12=0,0,D39/D$12)</f>
        <v>1.3604318991135163</v>
      </c>
      <c r="G39" s="21"/>
      <c r="H39" s="21">
        <f>SUM(OSRRefH22x_0)</f>
        <v>672816.58207334322</v>
      </c>
      <c r="I39" s="21"/>
      <c r="J39" s="30">
        <f t="shared" ref="J39:J50" si="13">IF(H$12=0,0,H39/H$12)</f>
        <v>0.52505260313177671</v>
      </c>
      <c r="K39" s="4"/>
      <c r="L39" s="21">
        <f t="shared" ref="L39:L50" si="14">+D39-H39</f>
        <v>-31655.27207334328</v>
      </c>
      <c r="M39" s="4"/>
      <c r="N39" s="30">
        <f t="shared" ref="N39:N50" si="15">IF(H39=0,0,L39/H39)</f>
        <v>-4.7048888087440989E-2</v>
      </c>
      <c r="O39" s="10"/>
      <c r="P39" s="21">
        <f>SUM(OSRRefP22x_0)</f>
        <v>5424091.5</v>
      </c>
      <c r="Q39" s="21"/>
      <c r="R39" s="30">
        <f t="shared" ref="R39:R50" si="16">IF(P$12=0,0,P39/P$12)</f>
        <v>0.77663673778622921</v>
      </c>
      <c r="S39" s="21"/>
      <c r="T39" s="21">
        <f>SUM(OSRRefT22x_0)</f>
        <v>5267218.4369620522</v>
      </c>
      <c r="U39" s="21"/>
      <c r="V39" s="30">
        <f t="shared" ref="V39:V50" si="17">IF(T$12=0,0,T39/T$12)</f>
        <v>0.6292396277562291</v>
      </c>
      <c r="W39" s="4"/>
      <c r="X39" s="21">
        <f t="shared" ref="X39:X50" si="18">+P39-T39</f>
        <v>156873.06303794775</v>
      </c>
      <c r="Y39" s="4"/>
      <c r="Z39" s="30">
        <f t="shared" ref="Z39:Z50" si="19">IF(T39=0,0,X39/T39)</f>
        <v>2.9782904376456174E-2</v>
      </c>
    </row>
    <row r="40" spans="1:26" s="27" customFormat="1" outlineLevel="1" collapsed="1" x14ac:dyDescent="0.25">
      <c r="A40" s="26"/>
      <c r="B40" s="13" t="str">
        <f>CONCATENATE("     ","*Benefits                                         ")</f>
        <v xml:space="preserve">     *Benefits                                         </v>
      </c>
      <c r="C40" s="13"/>
      <c r="D40" s="1">
        <f>SUM(OSRRefD22_0x_0)</f>
        <v>84324.169999999984</v>
      </c>
      <c r="E40" s="1"/>
      <c r="F40" s="5">
        <f t="shared" si="12"/>
        <v>0.17892110603846478</v>
      </c>
      <c r="G40" s="1"/>
      <c r="H40" s="1">
        <f>SUM(OSRRefH22_0x_0)</f>
        <v>81592.440397958781</v>
      </c>
      <c r="I40" s="1"/>
      <c r="J40" s="5">
        <f t="shared" si="13"/>
        <v>6.367310849385785E-2</v>
      </c>
      <c r="K40" s="1"/>
      <c r="L40" s="1">
        <f t="shared" si="14"/>
        <v>2731.7296020412032</v>
      </c>
      <c r="M40" s="1"/>
      <c r="N40" s="5">
        <f t="shared" si="15"/>
        <v>3.3480180133324502E-2</v>
      </c>
      <c r="O40" s="13"/>
      <c r="P40" s="1">
        <f>SUM(OSRRefP22_0x_0)</f>
        <v>738464.24999999988</v>
      </c>
      <c r="Q40" s="1"/>
      <c r="R40" s="5">
        <f t="shared" si="16"/>
        <v>0.10573539662665246</v>
      </c>
      <c r="S40" s="1"/>
      <c r="T40" s="1">
        <f>SUM(OSRRefT22_0x_0)</f>
        <v>714740.88786705211</v>
      </c>
      <c r="U40" s="1"/>
      <c r="V40" s="5">
        <f t="shared" si="17"/>
        <v>8.5385350086793974E-2</v>
      </c>
      <c r="W40" s="1"/>
      <c r="X40" s="1">
        <f t="shared" si="18"/>
        <v>23723.362132947776</v>
      </c>
      <c r="Y40" s="1"/>
      <c r="Z40" s="5">
        <f t="shared" si="19"/>
        <v>3.3191555899010669E-2</v>
      </c>
    </row>
    <row r="41" spans="1:26" s="24" customFormat="1" hidden="1" outlineLevel="2" x14ac:dyDescent="0.25">
      <c r="A41" s="25"/>
      <c r="B41" s="11" t="str">
        <f>CONCATENATE("          ", "6111", " - ", "F.I.C.A.")</f>
        <v xml:space="preserve">          6111 - F.I.C.A.</v>
      </c>
      <c r="C41" s="11"/>
      <c r="D41" s="6">
        <v>24541.969999999998</v>
      </c>
      <c r="E41" s="2"/>
      <c r="F41" s="7">
        <f t="shared" si="12"/>
        <v>5.2073757936340455E-2</v>
      </c>
      <c r="G41" s="2"/>
      <c r="H41" s="6">
        <v>13361.404870857235</v>
      </c>
      <c r="I41" s="2"/>
      <c r="J41" s="7">
        <f t="shared" si="13"/>
        <v>1.0426973109554611E-2</v>
      </c>
      <c r="K41" s="2"/>
      <c r="L41" s="6">
        <f t="shared" si="14"/>
        <v>11180.565129142762</v>
      </c>
      <c r="M41" s="2"/>
      <c r="N41" s="7">
        <f t="shared" si="15"/>
        <v>0.8367806557174885</v>
      </c>
      <c r="O41" s="11"/>
      <c r="P41" s="6">
        <v>147460.26999999999</v>
      </c>
      <c r="Q41" s="2"/>
      <c r="R41" s="7">
        <f t="shared" si="16"/>
        <v>2.1113777864159657E-2</v>
      </c>
      <c r="S41" s="2"/>
      <c r="T41" s="6">
        <v>115047.81045709203</v>
      </c>
      <c r="U41" s="2"/>
      <c r="V41" s="7">
        <f t="shared" si="17"/>
        <v>1.3743998334715606E-2</v>
      </c>
      <c r="W41" s="2"/>
      <c r="X41" s="6">
        <f t="shared" si="18"/>
        <v>32412.459542907964</v>
      </c>
      <c r="Y41" s="2"/>
      <c r="Z41" s="7">
        <f t="shared" si="19"/>
        <v>0.28173034683694775</v>
      </c>
    </row>
    <row r="42" spans="1:26" s="24" customFormat="1" hidden="1" outlineLevel="2" x14ac:dyDescent="0.25">
      <c r="A42" s="25"/>
      <c r="B42" s="11" t="str">
        <f>CONCATENATE("          ", "6112", " - ", "COMPENSATION INSURANCE")</f>
        <v xml:space="preserve">          6112 - COMPENSATION INSURANCE</v>
      </c>
      <c r="C42" s="11"/>
      <c r="D42" s="6">
        <v>15941.76</v>
      </c>
      <c r="E42" s="2"/>
      <c r="F42" s="7">
        <f t="shared" si="12"/>
        <v>3.3825620001949108E-2</v>
      </c>
      <c r="G42" s="2"/>
      <c r="H42" s="6">
        <v>11207.366281679997</v>
      </c>
      <c r="I42" s="2"/>
      <c r="J42" s="7">
        <f t="shared" si="13"/>
        <v>8.7460044791314653E-3</v>
      </c>
      <c r="K42" s="2"/>
      <c r="L42" s="6">
        <f t="shared" si="14"/>
        <v>4734.3937183200032</v>
      </c>
      <c r="M42" s="2"/>
      <c r="N42" s="7">
        <f t="shared" si="15"/>
        <v>0.42243588719492731</v>
      </c>
      <c r="O42" s="11"/>
      <c r="P42" s="6">
        <v>77508.98</v>
      </c>
      <c r="Q42" s="2"/>
      <c r="R42" s="7">
        <f t="shared" si="16"/>
        <v>1.1097954630068109E-2</v>
      </c>
      <c r="S42" s="2"/>
      <c r="T42" s="6">
        <v>87217.589400919984</v>
      </c>
      <c r="U42" s="2"/>
      <c r="V42" s="7">
        <f t="shared" si="17"/>
        <v>1.0419306536313658E-2</v>
      </c>
      <c r="W42" s="2"/>
      <c r="X42" s="6">
        <f t="shared" si="18"/>
        <v>-9708.6094009199878</v>
      </c>
      <c r="Y42" s="2"/>
      <c r="Z42" s="7">
        <f t="shared" si="19"/>
        <v>-0.11131481009285474</v>
      </c>
    </row>
    <row r="43" spans="1:26" s="24" customFormat="1" hidden="1" outlineLevel="2" x14ac:dyDescent="0.25">
      <c r="A43" s="25"/>
      <c r="B43" s="11" t="str">
        <f>CONCATENATE("          ", "6113", " - ", "GROUP INSURANCE")</f>
        <v xml:space="preserve">          6113 - GROUP INSURANCE</v>
      </c>
      <c r="C43" s="11"/>
      <c r="D43" s="6">
        <v>33929.550000000003</v>
      </c>
      <c r="E43" s="2"/>
      <c r="F43" s="7">
        <f t="shared" si="12"/>
        <v>7.1992556978472413E-2</v>
      </c>
      <c r="G43" s="2"/>
      <c r="H43" s="6">
        <v>29436.961538461539</v>
      </c>
      <c r="I43" s="2"/>
      <c r="J43" s="7">
        <f t="shared" si="13"/>
        <v>2.2972015993467858E-2</v>
      </c>
      <c r="K43" s="2"/>
      <c r="L43" s="6">
        <f t="shared" si="14"/>
        <v>4492.5884615384639</v>
      </c>
      <c r="M43" s="2"/>
      <c r="N43" s="7">
        <f t="shared" si="15"/>
        <v>0.15261726165822412</v>
      </c>
      <c r="O43" s="11"/>
      <c r="P43" s="6">
        <v>259173.44</v>
      </c>
      <c r="Q43" s="2"/>
      <c r="R43" s="7">
        <f t="shared" si="16"/>
        <v>3.7109185005900991E-2</v>
      </c>
      <c r="S43" s="2"/>
      <c r="T43" s="6">
        <v>253125.67500000005</v>
      </c>
      <c r="U43" s="2"/>
      <c r="V43" s="7">
        <f t="shared" si="17"/>
        <v>3.0239244378938174E-2</v>
      </c>
      <c r="W43" s="2"/>
      <c r="X43" s="6">
        <f t="shared" si="18"/>
        <v>6047.7649999999558</v>
      </c>
      <c r="Y43" s="2"/>
      <c r="Z43" s="7">
        <f t="shared" si="19"/>
        <v>2.3892341225361491E-2</v>
      </c>
    </row>
    <row r="44" spans="1:26" s="24" customFormat="1" hidden="1" outlineLevel="2" x14ac:dyDescent="0.25">
      <c r="A44" s="25"/>
      <c r="B44" s="11" t="str">
        <f>CONCATENATE("          ", "6114", " - ", "STATE UNEMPLOYMENT INSURANCE")</f>
        <v xml:space="preserve">          6114 - STATE UNEMPLOYMENT INSURANCE</v>
      </c>
      <c r="C44" s="11"/>
      <c r="D44" s="6">
        <v>1229.68</v>
      </c>
      <c r="E44" s="2"/>
      <c r="F44" s="7">
        <f t="shared" si="12"/>
        <v>2.609165387259423E-3</v>
      </c>
      <c r="G44" s="2"/>
      <c r="H44" s="6">
        <v>897.32513096000002</v>
      </c>
      <c r="I44" s="2"/>
      <c r="J44" s="7">
        <f t="shared" si="13"/>
        <v>7.002545841159895E-4</v>
      </c>
      <c r="K44" s="2"/>
      <c r="L44" s="6">
        <f t="shared" si="14"/>
        <v>332.35486904000004</v>
      </c>
      <c r="M44" s="2"/>
      <c r="N44" s="7">
        <f t="shared" si="15"/>
        <v>0.37038399747528677</v>
      </c>
      <c r="O44" s="11"/>
      <c r="P44" s="6">
        <v>7209.81</v>
      </c>
      <c r="Q44" s="2"/>
      <c r="R44" s="7">
        <f t="shared" si="16"/>
        <v>1.0323209552159165E-3</v>
      </c>
      <c r="S44" s="2"/>
      <c r="T44" s="6">
        <v>6946.8441260400004</v>
      </c>
      <c r="U44" s="2"/>
      <c r="V44" s="7">
        <f t="shared" si="17"/>
        <v>8.2989336103386085E-4</v>
      </c>
      <c r="W44" s="2"/>
      <c r="X44" s="6">
        <f t="shared" si="18"/>
        <v>262.96587395999995</v>
      </c>
      <c r="Y44" s="2"/>
      <c r="Z44" s="7">
        <f t="shared" si="19"/>
        <v>3.7854005241643701E-2</v>
      </c>
    </row>
    <row r="45" spans="1:26" s="24" customFormat="1" hidden="1" outlineLevel="2" x14ac:dyDescent="0.25">
      <c r="A45" s="25"/>
      <c r="B45" s="11" t="str">
        <f>CONCATENATE("          ", "6115", " - ", "P.E.R.S.")</f>
        <v xml:space="preserve">          6115 - P.E.R.S.</v>
      </c>
      <c r="C45" s="11"/>
      <c r="D45" s="6">
        <v>9549.48</v>
      </c>
      <c r="E45" s="2"/>
      <c r="F45" s="7">
        <f t="shared" si="12"/>
        <v>2.0262322459766859E-2</v>
      </c>
      <c r="G45" s="2"/>
      <c r="H45" s="6">
        <v>8324.6003741538516</v>
      </c>
      <c r="I45" s="2"/>
      <c r="J45" s="7">
        <f t="shared" si="13"/>
        <v>6.4963516253004278E-3</v>
      </c>
      <c r="K45" s="2"/>
      <c r="L45" s="6">
        <f t="shared" si="14"/>
        <v>1224.879625846148</v>
      </c>
      <c r="M45" s="2"/>
      <c r="N45" s="7">
        <f t="shared" si="15"/>
        <v>0.14713975095418921</v>
      </c>
      <c r="O45" s="11"/>
      <c r="P45" s="6">
        <v>81731.239999999991</v>
      </c>
      <c r="Q45" s="2"/>
      <c r="R45" s="7">
        <f t="shared" si="16"/>
        <v>1.1702509739893466E-2</v>
      </c>
      <c r="S45" s="2"/>
      <c r="T45" s="6">
        <v>80937.123326000044</v>
      </c>
      <c r="U45" s="2"/>
      <c r="V45" s="7">
        <f t="shared" si="17"/>
        <v>9.6690209382480543E-3</v>
      </c>
      <c r="W45" s="2"/>
      <c r="X45" s="6">
        <f t="shared" si="18"/>
        <v>794.11667399994622</v>
      </c>
      <c r="Y45" s="2"/>
      <c r="Z45" s="7">
        <f t="shared" si="19"/>
        <v>9.8115258038191985E-3</v>
      </c>
    </row>
    <row r="46" spans="1:26" s="24" customFormat="1" hidden="1" outlineLevel="2" x14ac:dyDescent="0.25">
      <c r="A46" s="25"/>
      <c r="B46" s="11" t="str">
        <f>CONCATENATE("          ", "6116", " - ", "EDUCATIONAL BENEFITS")</f>
        <v xml:space="preserve">          6116 - EDUCATIONAL BENEFITS</v>
      </c>
      <c r="C46" s="11"/>
      <c r="D46" s="6"/>
      <c r="E46" s="2"/>
      <c r="F46" s="7">
        <f t="shared" si="12"/>
        <v>0</v>
      </c>
      <c r="G46" s="2"/>
      <c r="H46" s="6">
        <v>0</v>
      </c>
      <c r="I46" s="2"/>
      <c r="J46" s="7">
        <f t="shared" si="13"/>
        <v>0</v>
      </c>
      <c r="K46" s="2"/>
      <c r="L46" s="6">
        <f t="shared" si="14"/>
        <v>0</v>
      </c>
      <c r="M46" s="2"/>
      <c r="N46" s="7">
        <f t="shared" si="15"/>
        <v>0</v>
      </c>
      <c r="O46" s="11"/>
      <c r="P46" s="6"/>
      <c r="Q46" s="2"/>
      <c r="R46" s="7">
        <f t="shared" si="16"/>
        <v>0</v>
      </c>
      <c r="S46" s="2"/>
      <c r="T46" s="6">
        <v>16000</v>
      </c>
      <c r="U46" s="2"/>
      <c r="V46" s="7">
        <f t="shared" si="17"/>
        <v>1.91141380684915E-3</v>
      </c>
      <c r="W46" s="2"/>
      <c r="X46" s="6">
        <f t="shared" si="18"/>
        <v>-16000</v>
      </c>
      <c r="Y46" s="2"/>
      <c r="Z46" s="7">
        <f t="shared" si="19"/>
        <v>-1</v>
      </c>
    </row>
    <row r="47" spans="1:26" s="24" customFormat="1" hidden="1" outlineLevel="2" x14ac:dyDescent="0.25">
      <c r="A47" s="25"/>
      <c r="B47" s="11" t="str">
        <f>CONCATENATE("          ", "6117", " - ", "RETIREMENT STAFF HOURLY")</f>
        <v xml:space="preserve">          6117 - RETIREMENT STAFF HOURLY</v>
      </c>
      <c r="C47" s="11"/>
      <c r="D47" s="6">
        <v>133.72999999999999</v>
      </c>
      <c r="E47" s="2"/>
      <c r="F47" s="7">
        <f t="shared" si="12"/>
        <v>2.8375161606125382E-4</v>
      </c>
      <c r="G47" s="2"/>
      <c r="H47" s="6"/>
      <c r="I47" s="2"/>
      <c r="J47" s="7">
        <f t="shared" si="13"/>
        <v>0</v>
      </c>
      <c r="K47" s="2"/>
      <c r="L47" s="6">
        <f t="shared" si="14"/>
        <v>133.72999999999999</v>
      </c>
      <c r="M47" s="2"/>
      <c r="N47" s="7">
        <f t="shared" si="15"/>
        <v>0</v>
      </c>
      <c r="O47" s="11"/>
      <c r="P47" s="6">
        <v>846.58</v>
      </c>
      <c r="Q47" s="2"/>
      <c r="R47" s="7">
        <f t="shared" si="16"/>
        <v>1.2121571501422237E-4</v>
      </c>
      <c r="S47" s="2"/>
      <c r="T47" s="6"/>
      <c r="U47" s="2"/>
      <c r="V47" s="7">
        <f t="shared" si="17"/>
        <v>0</v>
      </c>
      <c r="W47" s="2"/>
      <c r="X47" s="6">
        <f t="shared" si="18"/>
        <v>846.58</v>
      </c>
      <c r="Y47" s="2"/>
      <c r="Z47" s="7">
        <f t="shared" si="19"/>
        <v>0</v>
      </c>
    </row>
    <row r="48" spans="1:26" s="24" customFormat="1" hidden="1" outlineLevel="2" x14ac:dyDescent="0.25">
      <c r="A48" s="25"/>
      <c r="B48" s="11" t="str">
        <f>CONCATENATE("          ", "6118", " - ", "VACATION")</f>
        <v xml:space="preserve">          6118 - VACATION</v>
      </c>
      <c r="C48" s="11"/>
      <c r="D48" s="6">
        <v>11098.44</v>
      </c>
      <c r="E48" s="2"/>
      <c r="F48" s="7">
        <f t="shared" si="12"/>
        <v>2.3548944034688268E-2</v>
      </c>
      <c r="G48" s="2"/>
      <c r="H48" s="6">
        <v>5995.0057553846127</v>
      </c>
      <c r="I48" s="2"/>
      <c r="J48" s="7">
        <f t="shared" si="13"/>
        <v>4.6783825808138996E-3</v>
      </c>
      <c r="K48" s="2"/>
      <c r="L48" s="6">
        <f t="shared" si="14"/>
        <v>5103.4342446153878</v>
      </c>
      <c r="M48" s="2"/>
      <c r="N48" s="7">
        <f t="shared" si="15"/>
        <v>0.85128095832628181</v>
      </c>
      <c r="O48" s="11"/>
      <c r="P48" s="6">
        <v>79301.84</v>
      </c>
      <c r="Q48" s="2"/>
      <c r="R48" s="7">
        <f t="shared" si="16"/>
        <v>1.1354661387634316E-2</v>
      </c>
      <c r="S48" s="2"/>
      <c r="T48" s="6">
        <v>57034.01955499997</v>
      </c>
      <c r="U48" s="2"/>
      <c r="V48" s="7">
        <f t="shared" si="17"/>
        <v>6.8134757773457098E-3</v>
      </c>
      <c r="W48" s="2"/>
      <c r="X48" s="6">
        <f t="shared" si="18"/>
        <v>22267.820445000027</v>
      </c>
      <c r="Y48" s="2"/>
      <c r="Z48" s="7">
        <f t="shared" si="19"/>
        <v>0.39043049426888737</v>
      </c>
    </row>
    <row r="49" spans="1:26" s="24" customFormat="1" hidden="1" outlineLevel="2" x14ac:dyDescent="0.25">
      <c r="A49" s="25"/>
      <c r="B49" s="11" t="str">
        <f>CONCATENATE("          ", "6119", " - ", "SICK LEAVE")</f>
        <v xml:space="preserve">          6119 - SICK LEAVE</v>
      </c>
      <c r="C49" s="11"/>
      <c r="D49" s="6">
        <v>-14376.34</v>
      </c>
      <c r="E49" s="2"/>
      <c r="F49" s="7">
        <f t="shared" si="12"/>
        <v>-3.0504073192597368E-2</v>
      </c>
      <c r="G49" s="2"/>
      <c r="H49" s="6">
        <v>10644.776446461541</v>
      </c>
      <c r="I49" s="2"/>
      <c r="J49" s="7">
        <f t="shared" si="13"/>
        <v>8.3069706245159046E-3</v>
      </c>
      <c r="K49" s="2"/>
      <c r="L49" s="6">
        <f t="shared" si="14"/>
        <v>-25021.116446461543</v>
      </c>
      <c r="M49" s="2"/>
      <c r="N49" s="7">
        <f t="shared" si="15"/>
        <v>-2.3505534918752455</v>
      </c>
      <c r="O49" s="11"/>
      <c r="P49" s="6">
        <v>55286.34</v>
      </c>
      <c r="Q49" s="2"/>
      <c r="R49" s="7">
        <f t="shared" si="16"/>
        <v>7.9160542814847995E-3</v>
      </c>
      <c r="S49" s="2"/>
      <c r="T49" s="6">
        <v>82781.826001999987</v>
      </c>
      <c r="U49" s="2"/>
      <c r="V49" s="7">
        <f t="shared" si="17"/>
        <v>9.8893953235254205E-3</v>
      </c>
      <c r="W49" s="2"/>
      <c r="X49" s="6">
        <f t="shared" si="18"/>
        <v>-27495.486001999991</v>
      </c>
      <c r="Y49" s="2"/>
      <c r="Z49" s="7">
        <f t="shared" si="19"/>
        <v>-0.33214399017165563</v>
      </c>
    </row>
    <row r="50" spans="1:26" s="24" customFormat="1" hidden="1" outlineLevel="2" x14ac:dyDescent="0.25">
      <c r="A50" s="25"/>
      <c r="B50" s="11" t="str">
        <f>CONCATENATE("          ", "6156", " - ", "EMPLOYEE MEALS")</f>
        <v xml:space="preserve">          6156 - EMPLOYEE MEALS</v>
      </c>
      <c r="C50" s="11"/>
      <c r="D50" s="6">
        <v>2275.9</v>
      </c>
      <c r="E50" s="2"/>
      <c r="F50" s="7">
        <f t="shared" si="12"/>
        <v>4.8290608165243972E-3</v>
      </c>
      <c r="G50" s="2"/>
      <c r="H50" s="6">
        <v>1725</v>
      </c>
      <c r="I50" s="2"/>
      <c r="J50" s="7">
        <f t="shared" si="13"/>
        <v>1.3461554969576887E-3</v>
      </c>
      <c r="K50" s="2"/>
      <c r="L50" s="6">
        <f t="shared" si="14"/>
        <v>550.90000000000009</v>
      </c>
      <c r="M50" s="2"/>
      <c r="N50" s="7">
        <f t="shared" si="15"/>
        <v>0.31936231884057975</v>
      </c>
      <c r="O50" s="11"/>
      <c r="P50" s="6">
        <v>29945.75</v>
      </c>
      <c r="Q50" s="2"/>
      <c r="R50" s="7">
        <f t="shared" si="16"/>
        <v>4.2877170472810002E-3</v>
      </c>
      <c r="S50" s="2"/>
      <c r="T50" s="6">
        <v>15650</v>
      </c>
      <c r="U50" s="2"/>
      <c r="V50" s="7">
        <f t="shared" si="17"/>
        <v>1.8696016298243249E-3</v>
      </c>
      <c r="W50" s="2"/>
      <c r="X50" s="6">
        <f t="shared" si="18"/>
        <v>14295.75</v>
      </c>
      <c r="Y50" s="2"/>
      <c r="Z50" s="7">
        <f t="shared" si="19"/>
        <v>0.91346645367412138</v>
      </c>
    </row>
    <row r="51" spans="1:26" s="27" customFormat="1" outlineLevel="1" collapsed="1" x14ac:dyDescent="0.25">
      <c r="A51" s="26"/>
      <c r="B51" s="13" t="str">
        <f>CONCATENATE("     ","*Payroll                                          ")</f>
        <v xml:space="preserve">     *Payroll                                          </v>
      </c>
      <c r="C51" s="13"/>
      <c r="D51" s="1">
        <f>SUM(OSRRefD22_1x_0)</f>
        <v>356036.39999999997</v>
      </c>
      <c r="E51" s="1"/>
      <c r="F51" s="5">
        <f t="shared" ref="F51:F61" si="20">IF(D$12=0,0,D51/D$12)</f>
        <v>0.75544682477103853</v>
      </c>
      <c r="G51" s="1"/>
      <c r="H51" s="1">
        <f>SUM(OSRRefH22_1x_0)</f>
        <v>327421.0816753846</v>
      </c>
      <c r="I51" s="1"/>
      <c r="J51" s="5">
        <f t="shared" ref="J51:J61" si="21">IF(H$12=0,0,H51/H$12)</f>
        <v>0.25551286314037758</v>
      </c>
      <c r="K51" s="1"/>
      <c r="L51" s="1">
        <f t="shared" ref="L51:L61" si="22">+D51-H51</f>
        <v>28615.318324615364</v>
      </c>
      <c r="M51" s="1"/>
      <c r="N51" s="5">
        <f t="shared" ref="N51:N61" si="23">IF(H51=0,0,L51/H51)</f>
        <v>8.7396077791305676E-2</v>
      </c>
      <c r="O51" s="13"/>
      <c r="P51" s="1">
        <f>SUM(OSRRefP22_1x_0)</f>
        <v>2570936.0800000005</v>
      </c>
      <c r="Q51" s="1"/>
      <c r="R51" s="5">
        <f t="shared" ref="R51:R61" si="24">IF(P$12=0,0,P51/P$12)</f>
        <v>0.36811388787009147</v>
      </c>
      <c r="S51" s="1"/>
      <c r="T51" s="1">
        <f>SUM(OSRRefT22_1x_0)</f>
        <v>2512952.6890950003</v>
      </c>
      <c r="U51" s="1"/>
      <c r="V51" s="5">
        <f t="shared" ref="V51:V61" si="25">IF(T$12=0,0,T51/T$12)</f>
        <v>0.30020577911843016</v>
      </c>
      <c r="W51" s="1"/>
      <c r="X51" s="1">
        <f t="shared" ref="X51:X61" si="26">+P51-T51</f>
        <v>57983.390905000269</v>
      </c>
      <c r="Y51" s="1"/>
      <c r="Z51" s="5">
        <f t="shared" ref="Z51:Z61" si="27">IF(T51=0,0,X51/T51)</f>
        <v>2.3073809211219994E-2</v>
      </c>
    </row>
    <row r="52" spans="1:26" s="24" customFormat="1" hidden="1" outlineLevel="2" x14ac:dyDescent="0.25">
      <c r="A52" s="25"/>
      <c r="B52" s="11" t="str">
        <f>CONCATENATE("          ", "6001", " - ", "ADMINISTRATIVE SALARIES")</f>
        <v xml:space="preserve">          6001 - ADMINISTRATIVE SALARIES</v>
      </c>
      <c r="C52" s="11"/>
      <c r="D52" s="6">
        <v>9626.26</v>
      </c>
      <c r="E52" s="2"/>
      <c r="F52" s="7">
        <f t="shared" si="20"/>
        <v>2.0425236159618675E-2</v>
      </c>
      <c r="G52" s="2"/>
      <c r="H52" s="6">
        <v>33402.792869230769</v>
      </c>
      <c r="I52" s="2"/>
      <c r="J52" s="7">
        <f t="shared" si="21"/>
        <v>2.6066871440379179E-2</v>
      </c>
      <c r="K52" s="2"/>
      <c r="L52" s="6">
        <f t="shared" si="22"/>
        <v>-23776.532869230767</v>
      </c>
      <c r="M52" s="2"/>
      <c r="N52" s="7">
        <f t="shared" si="23"/>
        <v>-0.71181272064027612</v>
      </c>
      <c r="O52" s="11"/>
      <c r="P52" s="6">
        <v>152871.47</v>
      </c>
      <c r="Q52" s="2"/>
      <c r="R52" s="7">
        <f t="shared" si="24"/>
        <v>2.1888568760572238E-2</v>
      </c>
      <c r="S52" s="2"/>
      <c r="T52" s="6">
        <v>323161.60482500005</v>
      </c>
      <c r="U52" s="2"/>
      <c r="V52" s="7">
        <f t="shared" si="25"/>
        <v>3.8605972081627124E-2</v>
      </c>
      <c r="W52" s="2"/>
      <c r="X52" s="6">
        <f t="shared" si="26"/>
        <v>-170290.13482500004</v>
      </c>
      <c r="Y52" s="2"/>
      <c r="Z52" s="7">
        <f t="shared" si="27"/>
        <v>-0.52695039349497086</v>
      </c>
    </row>
    <row r="53" spans="1:26" s="24" customFormat="1" hidden="1" outlineLevel="2" x14ac:dyDescent="0.25">
      <c r="A53" s="25"/>
      <c r="B53" s="11" t="str">
        <f>CONCATENATE("          ", "6002", " - ", "STAFF SALARIES")</f>
        <v xml:space="preserve">          6002 - STAFF SALARIES</v>
      </c>
      <c r="C53" s="11"/>
      <c r="D53" s="6">
        <v>95703.33</v>
      </c>
      <c r="E53" s="2"/>
      <c r="F53" s="7">
        <f t="shared" si="20"/>
        <v>0.20306568870069153</v>
      </c>
      <c r="G53" s="2"/>
      <c r="H53" s="6">
        <v>54927.481646153872</v>
      </c>
      <c r="I53" s="2"/>
      <c r="J53" s="7">
        <f t="shared" si="21"/>
        <v>4.2864308030152225E-2</v>
      </c>
      <c r="K53" s="2"/>
      <c r="L53" s="6">
        <f t="shared" si="22"/>
        <v>40775.84835384613</v>
      </c>
      <c r="M53" s="2"/>
      <c r="N53" s="7">
        <f t="shared" si="23"/>
        <v>0.74235787135712117</v>
      </c>
      <c r="O53" s="11"/>
      <c r="P53" s="6">
        <v>720577.18</v>
      </c>
      <c r="Q53" s="2"/>
      <c r="R53" s="7">
        <f t="shared" si="24"/>
        <v>0.10317427543366488</v>
      </c>
      <c r="S53" s="2"/>
      <c r="T53" s="6">
        <v>535542.94605000014</v>
      </c>
      <c r="U53" s="2"/>
      <c r="V53" s="7">
        <f t="shared" si="25"/>
        <v>6.3977761327539975E-2</v>
      </c>
      <c r="W53" s="2"/>
      <c r="X53" s="6">
        <f t="shared" si="26"/>
        <v>185034.23394999991</v>
      </c>
      <c r="Y53" s="2"/>
      <c r="Z53" s="7">
        <f t="shared" si="27"/>
        <v>0.34550774184359151</v>
      </c>
    </row>
    <row r="54" spans="1:26" s="24" customFormat="1" hidden="1" outlineLevel="2" x14ac:dyDescent="0.25">
      <c r="A54" s="25"/>
      <c r="B54" s="11" t="str">
        <f>CONCATENATE("          ", "6003", " - ", "STAFF HOURLY-9 MONTH")</f>
        <v xml:space="preserve">          6003 - STAFF HOURLY-9 MONTH</v>
      </c>
      <c r="C54" s="11"/>
      <c r="D54" s="6"/>
      <c r="E54" s="2"/>
      <c r="F54" s="7">
        <f t="shared" si="20"/>
        <v>0</v>
      </c>
      <c r="G54" s="2"/>
      <c r="H54" s="6">
        <v>0</v>
      </c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0</v>
      </c>
      <c r="U54" s="2"/>
      <c r="V54" s="7">
        <f t="shared" si="25"/>
        <v>0</v>
      </c>
      <c r="W54" s="2"/>
      <c r="X54" s="6">
        <f t="shared" si="26"/>
        <v>0</v>
      </c>
      <c r="Y54" s="2"/>
      <c r="Z54" s="7">
        <f t="shared" si="27"/>
        <v>0</v>
      </c>
    </row>
    <row r="55" spans="1:26" s="24" customFormat="1" hidden="1" outlineLevel="2" x14ac:dyDescent="0.25">
      <c r="A55" s="25"/>
      <c r="B55" s="11" t="str">
        <f>CONCATENATE("          ", "6004", " - ", "STAFF HOURLY")</f>
        <v xml:space="preserve">          6004 - STAFF HOURLY</v>
      </c>
      <c r="C55" s="11"/>
      <c r="D55" s="6">
        <v>40876.6</v>
      </c>
      <c r="E55" s="2"/>
      <c r="F55" s="7">
        <f t="shared" si="20"/>
        <v>8.6732979205035879E-2</v>
      </c>
      <c r="G55" s="2"/>
      <c r="H55" s="6">
        <v>75224.749599999996</v>
      </c>
      <c r="I55" s="2"/>
      <c r="J55" s="7">
        <f t="shared" si="21"/>
        <v>5.8703889960177204E-2</v>
      </c>
      <c r="K55" s="2"/>
      <c r="L55" s="6">
        <f t="shared" si="22"/>
        <v>-34348.149599999997</v>
      </c>
      <c r="M55" s="2"/>
      <c r="N55" s="7">
        <f t="shared" si="23"/>
        <v>-0.45660703136458164</v>
      </c>
      <c r="O55" s="11"/>
      <c r="P55" s="6">
        <v>214840.01</v>
      </c>
      <c r="Q55" s="2"/>
      <c r="R55" s="7">
        <f t="shared" si="24"/>
        <v>3.0761399307581899E-2</v>
      </c>
      <c r="S55" s="2"/>
      <c r="T55" s="6">
        <v>475038.45165</v>
      </c>
      <c r="U55" s="2"/>
      <c r="V55" s="7">
        <f t="shared" si="25"/>
        <v>5.6749690954253272E-2</v>
      </c>
      <c r="W55" s="2"/>
      <c r="X55" s="6">
        <f t="shared" si="26"/>
        <v>-260198.44164999999</v>
      </c>
      <c r="Y55" s="2"/>
      <c r="Z55" s="7">
        <f t="shared" si="27"/>
        <v>-0.54774185278312926</v>
      </c>
    </row>
    <row r="56" spans="1:26" s="24" customFormat="1" hidden="1" outlineLevel="2" x14ac:dyDescent="0.25">
      <c r="A56" s="25"/>
      <c r="B56" s="11" t="str">
        <f>CONCATENATE("          ", "6005", " - ", "TEMPORARY WAGES-HOURLY")</f>
        <v xml:space="preserve">          6005 - TEMPORARY WAGES-HOURLY</v>
      </c>
      <c r="C56" s="11"/>
      <c r="D56" s="6">
        <v>80742.61</v>
      </c>
      <c r="E56" s="2"/>
      <c r="F56" s="7">
        <f t="shared" si="20"/>
        <v>0.17132166359458278</v>
      </c>
      <c r="G56" s="2"/>
      <c r="H56" s="6">
        <v>32666.428200000002</v>
      </c>
      <c r="I56" s="2"/>
      <c r="J56" s="7">
        <f t="shared" si="21"/>
        <v>2.5492227181103569E-2</v>
      </c>
      <c r="K56" s="2"/>
      <c r="L56" s="6">
        <f t="shared" si="22"/>
        <v>48076.181799999998</v>
      </c>
      <c r="M56" s="2"/>
      <c r="N56" s="7">
        <f t="shared" si="23"/>
        <v>1.4717305946537489</v>
      </c>
      <c r="O56" s="11"/>
      <c r="P56" s="6">
        <v>504922.78</v>
      </c>
      <c r="Q56" s="2"/>
      <c r="R56" s="7">
        <f t="shared" si="24"/>
        <v>7.2296269466168461E-2</v>
      </c>
      <c r="S56" s="2"/>
      <c r="T56" s="6">
        <v>275357.87459999998</v>
      </c>
      <c r="U56" s="2"/>
      <c r="V56" s="7">
        <f t="shared" si="25"/>
        <v>3.2895177708442302E-2</v>
      </c>
      <c r="W56" s="2"/>
      <c r="X56" s="6">
        <f t="shared" si="26"/>
        <v>229564.90540000005</v>
      </c>
      <c r="Y56" s="2"/>
      <c r="Z56" s="7">
        <f t="shared" si="27"/>
        <v>0.83369653304260383</v>
      </c>
    </row>
    <row r="57" spans="1:26" s="24" customFormat="1" hidden="1" outlineLevel="2" x14ac:dyDescent="0.25">
      <c r="A57" s="25"/>
      <c r="B57" s="11" t="str">
        <f>CONCATENATE("          ", "6006", " - ", "TEMPORARY PART TIME")</f>
        <v xml:space="preserve">          6006 - TEMPORARY PART TIME</v>
      </c>
      <c r="C57" s="11"/>
      <c r="D57" s="6">
        <v>8334.4599999999991</v>
      </c>
      <c r="E57" s="2"/>
      <c r="F57" s="7">
        <f t="shared" si="20"/>
        <v>1.7684263022492167E-2</v>
      </c>
      <c r="G57" s="2"/>
      <c r="H57" s="6">
        <v>0</v>
      </c>
      <c r="I57" s="2"/>
      <c r="J57" s="7">
        <f t="shared" si="21"/>
        <v>0</v>
      </c>
      <c r="K57" s="2"/>
      <c r="L57" s="6">
        <f t="shared" si="22"/>
        <v>8334.4599999999991</v>
      </c>
      <c r="M57" s="2"/>
      <c r="N57" s="7">
        <f t="shared" si="23"/>
        <v>0</v>
      </c>
      <c r="O57" s="11"/>
      <c r="P57" s="6">
        <v>33612.15</v>
      </c>
      <c r="Q57" s="2"/>
      <c r="R57" s="7">
        <f t="shared" si="24"/>
        <v>4.8126825526415631E-3</v>
      </c>
      <c r="S57" s="2"/>
      <c r="T57" s="6">
        <v>0</v>
      </c>
      <c r="U57" s="2"/>
      <c r="V57" s="7">
        <f t="shared" si="25"/>
        <v>0</v>
      </c>
      <c r="W57" s="2"/>
      <c r="X57" s="6">
        <f t="shared" si="26"/>
        <v>33612.15</v>
      </c>
      <c r="Y57" s="2"/>
      <c r="Z57" s="7">
        <f t="shared" si="27"/>
        <v>0</v>
      </c>
    </row>
    <row r="58" spans="1:26" s="24" customFormat="1" hidden="1" outlineLevel="2" x14ac:dyDescent="0.25">
      <c r="A58" s="25"/>
      <c r="B58" s="11" t="str">
        <f>CONCATENATE("          ", "6007", " - ", "STUDENT HOURLY")</f>
        <v xml:space="preserve">          6007 - STUDENT HOURLY</v>
      </c>
      <c r="C58" s="11"/>
      <c r="D58" s="6">
        <v>112243.14</v>
      </c>
      <c r="E58" s="2"/>
      <c r="F58" s="7">
        <f t="shared" si="20"/>
        <v>0.23816026595969164</v>
      </c>
      <c r="G58" s="2"/>
      <c r="H58" s="6">
        <v>1530</v>
      </c>
      <c r="I58" s="2"/>
      <c r="J58" s="7">
        <f t="shared" si="21"/>
        <v>1.193981397301602E-3</v>
      </c>
      <c r="K58" s="2"/>
      <c r="L58" s="6">
        <f t="shared" si="22"/>
        <v>110713.14</v>
      </c>
      <c r="M58" s="2"/>
      <c r="N58" s="7">
        <f t="shared" si="23"/>
        <v>72.361529411764707</v>
      </c>
      <c r="O58" s="11"/>
      <c r="P58" s="6">
        <v>896818.31</v>
      </c>
      <c r="Q58" s="2"/>
      <c r="R58" s="7">
        <f t="shared" si="24"/>
        <v>0.12840897810543189</v>
      </c>
      <c r="S58" s="2"/>
      <c r="T58" s="6">
        <v>69667.943749999991</v>
      </c>
      <c r="U58" s="2"/>
      <c r="V58" s="7">
        <f t="shared" si="25"/>
        <v>8.3227668486587445E-3</v>
      </c>
      <c r="W58" s="2"/>
      <c r="X58" s="6">
        <f t="shared" si="26"/>
        <v>827150.36625000008</v>
      </c>
      <c r="Y58" s="2"/>
      <c r="Z58" s="7">
        <f t="shared" si="27"/>
        <v>11.872754120864952</v>
      </c>
    </row>
    <row r="59" spans="1:26" s="24" customFormat="1" hidden="1" outlineLevel="2" x14ac:dyDescent="0.25">
      <c r="A59" s="25"/>
      <c r="B59" s="11" t="str">
        <f>CONCATENATE("          ", "6008", " - ", "STUDENT HOURLY-FICA EXEMPT")</f>
        <v xml:space="preserve">          6008 - STUDENT HOURLY-FICA EXEMPT</v>
      </c>
      <c r="C59" s="11"/>
      <c r="D59" s="6">
        <v>8510</v>
      </c>
      <c r="E59" s="2"/>
      <c r="F59" s="7">
        <f t="shared" si="20"/>
        <v>1.8056728128925972E-2</v>
      </c>
      <c r="G59" s="2"/>
      <c r="H59" s="6">
        <v>129669.62935999999</v>
      </c>
      <c r="I59" s="2"/>
      <c r="J59" s="7">
        <f t="shared" si="21"/>
        <v>0.10119158513126381</v>
      </c>
      <c r="K59" s="2"/>
      <c r="L59" s="6">
        <f t="shared" si="22"/>
        <v>-121159.62935999999</v>
      </c>
      <c r="M59" s="2"/>
      <c r="N59" s="7">
        <f t="shared" si="23"/>
        <v>-0.93437167945954558</v>
      </c>
      <c r="O59" s="11"/>
      <c r="P59" s="6">
        <v>47294.18</v>
      </c>
      <c r="Q59" s="2"/>
      <c r="R59" s="7">
        <f t="shared" si="24"/>
        <v>6.7717142440304936E-3</v>
      </c>
      <c r="S59" s="2"/>
      <c r="T59" s="6">
        <v>834183.86821999995</v>
      </c>
      <c r="U59" s="2"/>
      <c r="V59" s="7">
        <f t="shared" si="25"/>
        <v>9.965441019790873E-2</v>
      </c>
      <c r="W59" s="2"/>
      <c r="X59" s="6">
        <f t="shared" si="26"/>
        <v>-786889.68821999989</v>
      </c>
      <c r="Y59" s="2"/>
      <c r="Z59" s="7">
        <f t="shared" si="27"/>
        <v>-0.94330484944414306</v>
      </c>
    </row>
    <row r="60" spans="1:26" s="24" customFormat="1" hidden="1" outlineLevel="2" x14ac:dyDescent="0.25">
      <c r="A60" s="25"/>
      <c r="B60" s="11" t="str">
        <f>CONCATENATE("          ", "6009", " - ", "TEMPORARY-SEASONAL")</f>
        <v xml:space="preserve">          6009 - TEMPORARY-SEASONAL</v>
      </c>
      <c r="C60" s="11"/>
      <c r="D60" s="6"/>
      <c r="E60" s="2"/>
      <c r="F60" s="7">
        <f t="shared" si="20"/>
        <v>0</v>
      </c>
      <c r="G60" s="2"/>
      <c r="H60" s="6">
        <v>0</v>
      </c>
      <c r="I60" s="2"/>
      <c r="J60" s="7">
        <f t="shared" si="21"/>
        <v>0</v>
      </c>
      <c r="K60" s="2"/>
      <c r="L60" s="6">
        <f t="shared" si="22"/>
        <v>0</v>
      </c>
      <c r="M60" s="2"/>
      <c r="N60" s="7">
        <f t="shared" si="23"/>
        <v>0</v>
      </c>
      <c r="O60" s="11"/>
      <c r="P60" s="6"/>
      <c r="Q60" s="2"/>
      <c r="R60" s="7">
        <f t="shared" si="24"/>
        <v>0</v>
      </c>
      <c r="S60" s="2"/>
      <c r="T60" s="6">
        <v>0</v>
      </c>
      <c r="U60" s="2"/>
      <c r="V60" s="7">
        <f t="shared" si="25"/>
        <v>0</v>
      </c>
      <c r="W60" s="2"/>
      <c r="X60" s="6">
        <f t="shared" si="26"/>
        <v>0</v>
      </c>
      <c r="Y60" s="2"/>
      <c r="Z60" s="7">
        <f t="shared" si="27"/>
        <v>0</v>
      </c>
    </row>
    <row r="61" spans="1:26" s="24" customFormat="1" hidden="1" outlineLevel="2" x14ac:dyDescent="0.25">
      <c r="A61" s="25"/>
      <c r="B61" s="11" t="str">
        <f>CONCATENATE("          ", "6010", " - ", "GRATUITY")</f>
        <v xml:space="preserve">          6010 - GRATUITY</v>
      </c>
      <c r="C61" s="11"/>
      <c r="D61" s="6"/>
      <c r="E61" s="2"/>
      <c r="F61" s="7">
        <f t="shared" si="20"/>
        <v>0</v>
      </c>
      <c r="G61" s="2"/>
      <c r="H61" s="6">
        <v>0</v>
      </c>
      <c r="I61" s="2"/>
      <c r="J61" s="7">
        <f t="shared" si="21"/>
        <v>0</v>
      </c>
      <c r="K61" s="2"/>
      <c r="L61" s="6">
        <f t="shared" si="22"/>
        <v>0</v>
      </c>
      <c r="M61" s="2"/>
      <c r="N61" s="7">
        <f t="shared" si="23"/>
        <v>0</v>
      </c>
      <c r="O61" s="11"/>
      <c r="P61" s="6"/>
      <c r="Q61" s="2"/>
      <c r="R61" s="7">
        <f t="shared" si="24"/>
        <v>0</v>
      </c>
      <c r="S61" s="2"/>
      <c r="T61" s="6">
        <v>0</v>
      </c>
      <c r="U61" s="2"/>
      <c r="V61" s="7">
        <f t="shared" si="25"/>
        <v>0</v>
      </c>
      <c r="W61" s="2"/>
      <c r="X61" s="6">
        <f t="shared" si="26"/>
        <v>0</v>
      </c>
      <c r="Y61" s="2"/>
      <c r="Z61" s="7">
        <f t="shared" si="27"/>
        <v>0</v>
      </c>
    </row>
    <row r="62" spans="1:26" s="27" customFormat="1" outlineLevel="1" collapsed="1" x14ac:dyDescent="0.25">
      <c r="A62" s="26"/>
      <c r="B62" s="13" t="str">
        <f>CONCATENATE("     ","Advertising/Promo                                 ")</f>
        <v xml:space="preserve">     Advertising/Promo                                 </v>
      </c>
      <c r="C62" s="13"/>
      <c r="D62" s="1">
        <f>SUM(OSRRefD22_2x_0)</f>
        <v>2134.1999999999998</v>
      </c>
      <c r="E62" s="1"/>
      <c r="F62" s="5">
        <f t="shared" ref="F62:F72" si="28">IF(D$12=0,0,D62/D$12)</f>
        <v>4.5283982576678969E-3</v>
      </c>
      <c r="G62" s="1"/>
      <c r="H62" s="1">
        <f>SUM(OSRRefH22_2x_0)</f>
        <v>1740</v>
      </c>
      <c r="I62" s="1"/>
      <c r="J62" s="5">
        <f t="shared" ref="J62:J72" si="29">IF(H$12=0,0,H62/H$12)</f>
        <v>1.3578611969312336E-3</v>
      </c>
      <c r="K62" s="1"/>
      <c r="L62" s="1">
        <f t="shared" ref="L62:L72" si="30">+D62-H62</f>
        <v>394.19999999999982</v>
      </c>
      <c r="M62" s="1"/>
      <c r="N62" s="5">
        <f t="shared" ref="N62:N72" si="31">IF(H62=0,0,L62/H62)</f>
        <v>0.22655172413793093</v>
      </c>
      <c r="O62" s="13"/>
      <c r="P62" s="1">
        <f>SUM(OSRRefP22_2x_0)</f>
        <v>31745.09</v>
      </c>
      <c r="Q62" s="1"/>
      <c r="R62" s="5">
        <f t="shared" ref="R62:R72" si="32">IF(P$12=0,0,P62/P$12)</f>
        <v>4.5453516295457493E-3</v>
      </c>
      <c r="S62" s="1"/>
      <c r="T62" s="1">
        <f>SUM(OSRRefT22_2x_0)</f>
        <v>20335</v>
      </c>
      <c r="U62" s="1"/>
      <c r="V62" s="5">
        <f t="shared" ref="V62:V72" si="33">IF(T$12=0,0,T62/T$12)</f>
        <v>2.4292874851423417E-3</v>
      </c>
      <c r="W62" s="1"/>
      <c r="X62" s="1">
        <f t="shared" ref="X62:X72" si="34">+P62-T62</f>
        <v>11410.09</v>
      </c>
      <c r="Y62" s="1"/>
      <c r="Z62" s="5">
        <f t="shared" ref="Z62:Z72" si="35">IF(T62=0,0,X62/T62)</f>
        <v>0.56110597492008851</v>
      </c>
    </row>
    <row r="63" spans="1:26" s="24" customFormat="1" hidden="1" outlineLevel="2" x14ac:dyDescent="0.25">
      <c r="A63" s="25"/>
      <c r="B63" s="11" t="str">
        <f>CONCATENATE("          ", "6362", " - ", "ADVERTISING EXPENSE")</f>
        <v xml:space="preserve">          6362 - ADVERTISING EXPENSE</v>
      </c>
      <c r="C63" s="11"/>
      <c r="D63" s="6">
        <v>2134.1999999999998</v>
      </c>
      <c r="E63" s="2"/>
      <c r="F63" s="7">
        <f t="shared" si="28"/>
        <v>4.5283982576678969E-3</v>
      </c>
      <c r="G63" s="2"/>
      <c r="H63" s="6">
        <v>1740</v>
      </c>
      <c r="I63" s="2"/>
      <c r="J63" s="7">
        <f t="shared" si="29"/>
        <v>1.3578611969312336E-3</v>
      </c>
      <c r="K63" s="2"/>
      <c r="L63" s="6">
        <f t="shared" si="30"/>
        <v>394.19999999999982</v>
      </c>
      <c r="M63" s="2"/>
      <c r="N63" s="7">
        <f t="shared" si="31"/>
        <v>0.22655172413793093</v>
      </c>
      <c r="O63" s="11"/>
      <c r="P63" s="6">
        <v>31745.09</v>
      </c>
      <c r="Q63" s="2"/>
      <c r="R63" s="7">
        <f t="shared" si="32"/>
        <v>4.5453516295457493E-3</v>
      </c>
      <c r="S63" s="2"/>
      <c r="T63" s="6">
        <v>20335</v>
      </c>
      <c r="U63" s="2"/>
      <c r="V63" s="7">
        <f t="shared" si="33"/>
        <v>2.4292874851423417E-3</v>
      </c>
      <c r="W63" s="2"/>
      <c r="X63" s="6">
        <f t="shared" si="34"/>
        <v>11410.09</v>
      </c>
      <c r="Y63" s="2"/>
      <c r="Z63" s="7">
        <f t="shared" si="35"/>
        <v>0.56110597492008851</v>
      </c>
    </row>
    <row r="64" spans="1:26" s="27" customFormat="1" outlineLevel="1" collapsed="1" x14ac:dyDescent="0.25">
      <c r="A64" s="26"/>
      <c r="B64" s="13" t="str">
        <f>CONCATENATE("     ","Bad Debts/Over/Short                              ")</f>
        <v xml:space="preserve">     Bad Debts/Over/Short                              </v>
      </c>
      <c r="C64" s="13"/>
      <c r="D64" s="1">
        <f>SUM(OSRRefD22_3x_0)</f>
        <v>-32.369999999999997</v>
      </c>
      <c r="E64" s="1"/>
      <c r="F64" s="5">
        <f t="shared" si="28"/>
        <v>-6.8683465280062708E-5</v>
      </c>
      <c r="G64" s="1"/>
      <c r="H64" s="1">
        <f>SUM(OSRRefH22_3x_0)</f>
        <v>179</v>
      </c>
      <c r="I64" s="1"/>
      <c r="J64" s="5">
        <f t="shared" si="29"/>
        <v>1.3968801968430508E-4</v>
      </c>
      <c r="K64" s="1"/>
      <c r="L64" s="1">
        <f t="shared" si="30"/>
        <v>-211.37</v>
      </c>
      <c r="M64" s="1"/>
      <c r="N64" s="5">
        <f t="shared" si="31"/>
        <v>-1.1808379888268157</v>
      </c>
      <c r="O64" s="13"/>
      <c r="P64" s="1">
        <f>SUM(OSRRefP22_3x_0)</f>
        <v>-689.57</v>
      </c>
      <c r="Q64" s="1"/>
      <c r="R64" s="5">
        <f t="shared" si="32"/>
        <v>-9.873457984166567E-5</v>
      </c>
      <c r="S64" s="1"/>
      <c r="T64" s="1">
        <f>SUM(OSRRefT22_3x_0)</f>
        <v>1416</v>
      </c>
      <c r="U64" s="1"/>
      <c r="V64" s="5">
        <f t="shared" si="33"/>
        <v>1.6916012190614977E-4</v>
      </c>
      <c r="W64" s="1"/>
      <c r="X64" s="1">
        <f t="shared" si="34"/>
        <v>-2105.5700000000002</v>
      </c>
      <c r="Y64" s="1"/>
      <c r="Z64" s="5">
        <f t="shared" si="35"/>
        <v>-1.4869844632768363</v>
      </c>
    </row>
    <row r="65" spans="1:26" s="24" customFormat="1" hidden="1" outlineLevel="2" x14ac:dyDescent="0.25">
      <c r="A65" s="25"/>
      <c r="B65" s="11" t="str">
        <f>CONCATENATE("          ", "6272", " - ", "CASH (OVER/SHORT)")</f>
        <v xml:space="preserve">          6272 - CASH (OVER/SHORT)</v>
      </c>
      <c r="C65" s="11"/>
      <c r="D65" s="6">
        <v>-32.369999999999997</v>
      </c>
      <c r="E65" s="2"/>
      <c r="F65" s="7">
        <f t="shared" si="28"/>
        <v>-6.8683465280062708E-5</v>
      </c>
      <c r="G65" s="2"/>
      <c r="H65" s="6">
        <v>179</v>
      </c>
      <c r="I65" s="2"/>
      <c r="J65" s="7">
        <f t="shared" si="29"/>
        <v>1.3968801968430508E-4</v>
      </c>
      <c r="K65" s="2"/>
      <c r="L65" s="6">
        <f t="shared" si="30"/>
        <v>-211.37</v>
      </c>
      <c r="M65" s="2"/>
      <c r="N65" s="7">
        <f t="shared" si="31"/>
        <v>-1.1808379888268157</v>
      </c>
      <c r="O65" s="11"/>
      <c r="P65" s="6">
        <v>-689.57</v>
      </c>
      <c r="Q65" s="2"/>
      <c r="R65" s="7">
        <f t="shared" si="32"/>
        <v>-9.873457984166567E-5</v>
      </c>
      <c r="S65" s="2"/>
      <c r="T65" s="6">
        <v>1416</v>
      </c>
      <c r="U65" s="2"/>
      <c r="V65" s="7">
        <f t="shared" si="33"/>
        <v>1.6916012190614977E-4</v>
      </c>
      <c r="W65" s="2"/>
      <c r="X65" s="6">
        <f t="shared" si="34"/>
        <v>-2105.5700000000002</v>
      </c>
      <c r="Y65" s="2"/>
      <c r="Z65" s="7">
        <f t="shared" si="35"/>
        <v>-1.4869844632768363</v>
      </c>
    </row>
    <row r="66" spans="1:26" s="27" customFormat="1" outlineLevel="1" collapsed="1" x14ac:dyDescent="0.25">
      <c r="A66" s="26"/>
      <c r="B66" s="13" t="str">
        <f>CONCATENATE("     ","Bank/card Fees                                    ")</f>
        <v xml:space="preserve">     Bank/card Fees                                    </v>
      </c>
      <c r="C66" s="13"/>
      <c r="D66" s="1">
        <f>SUM(OSRRefD22_4x_0)</f>
        <v>22120.27</v>
      </c>
      <c r="E66" s="1"/>
      <c r="F66" s="5">
        <f t="shared" si="28"/>
        <v>4.6935335079722362E-2</v>
      </c>
      <c r="G66" s="1"/>
      <c r="H66" s="1">
        <f>SUM(OSRRefH22_4x_0)</f>
        <v>23777</v>
      </c>
      <c r="I66" s="1"/>
      <c r="J66" s="5">
        <f t="shared" si="29"/>
        <v>1.8555095218065486E-2</v>
      </c>
      <c r="K66" s="1"/>
      <c r="L66" s="1">
        <f t="shared" si="30"/>
        <v>-1656.7299999999996</v>
      </c>
      <c r="M66" s="1"/>
      <c r="N66" s="5">
        <f t="shared" si="31"/>
        <v>-6.9677839929343469E-2</v>
      </c>
      <c r="O66" s="13"/>
      <c r="P66" s="1">
        <f>SUM(OSRRefP22_4x_0)</f>
        <v>235414.22</v>
      </c>
      <c r="Q66" s="1"/>
      <c r="R66" s="5">
        <f t="shared" si="32"/>
        <v>3.3707272793847533E-2</v>
      </c>
      <c r="S66" s="1"/>
      <c r="T66" s="1">
        <f>SUM(OSRRefT22_4x_0)</f>
        <v>173048</v>
      </c>
      <c r="U66" s="1"/>
      <c r="V66" s="5">
        <f t="shared" si="33"/>
        <v>2.0672896027976981E-2</v>
      </c>
      <c r="W66" s="1"/>
      <c r="X66" s="1">
        <f t="shared" si="34"/>
        <v>62366.22</v>
      </c>
      <c r="Y66" s="1"/>
      <c r="Z66" s="5">
        <f t="shared" si="35"/>
        <v>0.3603983865748232</v>
      </c>
    </row>
    <row r="67" spans="1:26" s="24" customFormat="1" hidden="1" outlineLevel="2" x14ac:dyDescent="0.25">
      <c r="A67" s="25"/>
      <c r="B67" s="11" t="str">
        <f>CONCATENATE("          ", "6381", " - ", "BANK/CREDIT CARD FEES")</f>
        <v xml:space="preserve">          6381 - BANK/CREDIT CARD FEES</v>
      </c>
      <c r="C67" s="11"/>
      <c r="D67" s="6">
        <v>22120.27</v>
      </c>
      <c r="E67" s="2"/>
      <c r="F67" s="7">
        <f t="shared" si="28"/>
        <v>4.6935335079722362E-2</v>
      </c>
      <c r="G67" s="2"/>
      <c r="H67" s="6">
        <v>23777</v>
      </c>
      <c r="I67" s="2"/>
      <c r="J67" s="7">
        <f t="shared" si="29"/>
        <v>1.8555095218065486E-2</v>
      </c>
      <c r="K67" s="2"/>
      <c r="L67" s="6">
        <f t="shared" si="30"/>
        <v>-1656.7299999999996</v>
      </c>
      <c r="M67" s="2"/>
      <c r="N67" s="7">
        <f t="shared" si="31"/>
        <v>-6.9677839929343469E-2</v>
      </c>
      <c r="O67" s="11"/>
      <c r="P67" s="6">
        <v>235414.22</v>
      </c>
      <c r="Q67" s="2"/>
      <c r="R67" s="7">
        <f t="shared" si="32"/>
        <v>3.3707272793847533E-2</v>
      </c>
      <c r="S67" s="2"/>
      <c r="T67" s="6">
        <v>173048</v>
      </c>
      <c r="U67" s="2"/>
      <c r="V67" s="7">
        <f t="shared" si="33"/>
        <v>2.0672896027976981E-2</v>
      </c>
      <c r="W67" s="2"/>
      <c r="X67" s="6">
        <f t="shared" si="34"/>
        <v>62366.22</v>
      </c>
      <c r="Y67" s="2"/>
      <c r="Z67" s="7">
        <f t="shared" si="35"/>
        <v>0.3603983865748232</v>
      </c>
    </row>
    <row r="68" spans="1:26" s="27" customFormat="1" outlineLevel="1" collapsed="1" x14ac:dyDescent="0.25">
      <c r="A68" s="26"/>
      <c r="B68" s="13" t="str">
        <f>CONCATENATE("     ","Depreciation                                      ")</f>
        <v xml:space="preserve">     Depreciation                                      </v>
      </c>
      <c r="C68" s="13"/>
      <c r="D68" s="1">
        <f>SUM(OSRRefD22_5x_0)</f>
        <v>52501.009999999995</v>
      </c>
      <c r="E68" s="1"/>
      <c r="F68" s="5">
        <f t="shared" si="28"/>
        <v>0.11139793937297575</v>
      </c>
      <c r="G68" s="1"/>
      <c r="H68" s="1">
        <f>SUM(OSRRefH22_5x_0)</f>
        <v>54222</v>
      </c>
      <c r="I68" s="1"/>
      <c r="J68" s="5">
        <f t="shared" si="29"/>
        <v>4.231376426437089E-2</v>
      </c>
      <c r="K68" s="1"/>
      <c r="L68" s="1">
        <f t="shared" si="30"/>
        <v>-1720.9900000000052</v>
      </c>
      <c r="M68" s="1"/>
      <c r="N68" s="5">
        <f t="shared" si="31"/>
        <v>-3.1739699752867938E-2</v>
      </c>
      <c r="O68" s="13"/>
      <c r="P68" s="1">
        <f>SUM(OSRRefP22_5x_0)</f>
        <v>440489.12</v>
      </c>
      <c r="Q68" s="1"/>
      <c r="R68" s="5">
        <f t="shared" si="32"/>
        <v>6.307047607643175E-2</v>
      </c>
      <c r="S68" s="1"/>
      <c r="T68" s="1">
        <f>SUM(OSRRefT22_5x_0)</f>
        <v>467042</v>
      </c>
      <c r="U68" s="1"/>
      <c r="V68" s="5">
        <f t="shared" si="33"/>
        <v>5.5794407948652543E-2</v>
      </c>
      <c r="W68" s="1"/>
      <c r="X68" s="1">
        <f t="shared" si="34"/>
        <v>-26552.880000000005</v>
      </c>
      <c r="Y68" s="1"/>
      <c r="Z68" s="5">
        <f t="shared" si="35"/>
        <v>-5.6853302272600763E-2</v>
      </c>
    </row>
    <row r="69" spans="1:26" s="24" customFormat="1" hidden="1" outlineLevel="2" x14ac:dyDescent="0.25">
      <c r="A69" s="25"/>
      <c r="B69" s="11" t="str">
        <f>CONCATENATE("          ", "6321", " - ", "BUILDING DEPRECIATION")</f>
        <v xml:space="preserve">          6321 - BUILDING DEPRECIATION</v>
      </c>
      <c r="C69" s="11"/>
      <c r="D69" s="6">
        <v>29123.47</v>
      </c>
      <c r="E69" s="2"/>
      <c r="F69" s="7">
        <f t="shared" si="28"/>
        <v>6.1794897762741677E-2</v>
      </c>
      <c r="G69" s="2"/>
      <c r="H69" s="6">
        <v>28118</v>
      </c>
      <c r="I69" s="2"/>
      <c r="J69" s="7">
        <f t="shared" si="29"/>
        <v>2.1942724790409443E-2</v>
      </c>
      <c r="K69" s="2"/>
      <c r="L69" s="6">
        <f t="shared" si="30"/>
        <v>1005.4700000000012</v>
      </c>
      <c r="M69" s="2"/>
      <c r="N69" s="7">
        <f t="shared" si="31"/>
        <v>3.5758944448396085E-2</v>
      </c>
      <c r="O69" s="11"/>
      <c r="P69" s="6">
        <v>262111.22999999998</v>
      </c>
      <c r="Q69" s="2"/>
      <c r="R69" s="7">
        <f t="shared" si="32"/>
        <v>3.7529826073976813E-2</v>
      </c>
      <c r="S69" s="2"/>
      <c r="T69" s="6">
        <v>253308.00000000003</v>
      </c>
      <c r="U69" s="2"/>
      <c r="V69" s="7">
        <f t="shared" si="33"/>
        <v>3.0261025536584035E-2</v>
      </c>
      <c r="W69" s="2"/>
      <c r="X69" s="6">
        <f t="shared" si="34"/>
        <v>8803.2299999999523</v>
      </c>
      <c r="Y69" s="2"/>
      <c r="Z69" s="7">
        <f t="shared" si="35"/>
        <v>3.4753067412004165E-2</v>
      </c>
    </row>
    <row r="70" spans="1:26" s="24" customFormat="1" hidden="1" outlineLevel="2" x14ac:dyDescent="0.25">
      <c r="A70" s="25"/>
      <c r="B70" s="11" t="str">
        <f>CONCATENATE("          ", "6322", " - ", "EQUIPMENT DEPRECIATION EXPENSE")</f>
        <v xml:space="preserve">          6322 - EQUIPMENT DEPRECIATION EXPENSE</v>
      </c>
      <c r="C70" s="11"/>
      <c r="D70" s="6">
        <v>22953.289999999997</v>
      </c>
      <c r="E70" s="2"/>
      <c r="F70" s="7">
        <f t="shared" si="28"/>
        <v>4.8702857484652778E-2</v>
      </c>
      <c r="G70" s="2"/>
      <c r="H70" s="6">
        <v>18476</v>
      </c>
      <c r="I70" s="2"/>
      <c r="J70" s="7">
        <f t="shared" si="29"/>
        <v>1.441830084741464E-2</v>
      </c>
      <c r="K70" s="2"/>
      <c r="L70" s="6">
        <f t="shared" si="30"/>
        <v>4477.2899999999972</v>
      </c>
      <c r="M70" s="2"/>
      <c r="N70" s="7">
        <f t="shared" si="31"/>
        <v>0.24233004979432762</v>
      </c>
      <c r="O70" s="11"/>
      <c r="P70" s="6">
        <v>174559.64</v>
      </c>
      <c r="Q70" s="2"/>
      <c r="R70" s="7">
        <f t="shared" si="32"/>
        <v>2.4993942185292887E-2</v>
      </c>
      <c r="S70" s="2"/>
      <c r="T70" s="6">
        <v>166284</v>
      </c>
      <c r="U70" s="2"/>
      <c r="V70" s="7">
        <f t="shared" si="33"/>
        <v>1.9864845841131504E-2</v>
      </c>
      <c r="W70" s="2"/>
      <c r="X70" s="6">
        <f t="shared" si="34"/>
        <v>8275.640000000014</v>
      </c>
      <c r="Y70" s="2"/>
      <c r="Z70" s="7">
        <f t="shared" si="35"/>
        <v>4.9768107574992268E-2</v>
      </c>
    </row>
    <row r="71" spans="1:26" s="24" customFormat="1" hidden="1" outlineLevel="2" x14ac:dyDescent="0.25">
      <c r="A71" s="25"/>
      <c r="B71" s="11" t="str">
        <f>CONCATENATE("          ", "6324", " - ", "FURNITURE + FIXT DEPRECIATION")</f>
        <v xml:space="preserve">          6324 - FURNITURE + FIXT DEPRECIATION</v>
      </c>
      <c r="C71" s="11"/>
      <c r="D71" s="6"/>
      <c r="E71" s="2"/>
      <c r="F71" s="7">
        <f t="shared" si="28"/>
        <v>0</v>
      </c>
      <c r="G71" s="2"/>
      <c r="H71" s="6">
        <v>5454</v>
      </c>
      <c r="I71" s="2"/>
      <c r="J71" s="7">
        <f t="shared" si="29"/>
        <v>4.2561925103810046E-3</v>
      </c>
      <c r="K71" s="2"/>
      <c r="L71" s="6">
        <f t="shared" si="30"/>
        <v>-5454</v>
      </c>
      <c r="M71" s="2"/>
      <c r="N71" s="7">
        <f t="shared" si="31"/>
        <v>-1</v>
      </c>
      <c r="O71" s="11"/>
      <c r="P71" s="6"/>
      <c r="Q71" s="2"/>
      <c r="R71" s="7">
        <f t="shared" si="32"/>
        <v>0</v>
      </c>
      <c r="S71" s="2"/>
      <c r="T71" s="6">
        <v>33134</v>
      </c>
      <c r="U71" s="2"/>
      <c r="V71" s="7">
        <f t="shared" si="33"/>
        <v>3.9582990672587335E-3</v>
      </c>
      <c r="W71" s="2"/>
      <c r="X71" s="6">
        <f t="shared" si="34"/>
        <v>-33134</v>
      </c>
      <c r="Y71" s="2"/>
      <c r="Z71" s="7">
        <f t="shared" si="35"/>
        <v>-1</v>
      </c>
    </row>
    <row r="72" spans="1:26" s="24" customFormat="1" hidden="1" outlineLevel="2" x14ac:dyDescent="0.25">
      <c r="A72" s="25"/>
      <c r="B72" s="11" t="str">
        <f>CONCATENATE("          ", "6326", " - ", "VEHICLES DEPRECIATION EXPENSE")</f>
        <v xml:space="preserve">          6326 - VEHICLES DEPRECIATION EXPENSE</v>
      </c>
      <c r="C72" s="11"/>
      <c r="D72" s="6">
        <v>424.25</v>
      </c>
      <c r="E72" s="2"/>
      <c r="F72" s="7">
        <f t="shared" si="28"/>
        <v>9.0018412558129769E-4</v>
      </c>
      <c r="G72" s="2"/>
      <c r="H72" s="6">
        <v>2174</v>
      </c>
      <c r="I72" s="2"/>
      <c r="J72" s="7">
        <f t="shared" si="29"/>
        <v>1.6965461161658059E-3</v>
      </c>
      <c r="K72" s="2"/>
      <c r="L72" s="6">
        <f t="shared" si="30"/>
        <v>-1749.75</v>
      </c>
      <c r="M72" s="2"/>
      <c r="N72" s="7">
        <f t="shared" si="31"/>
        <v>-0.80485280588776453</v>
      </c>
      <c r="O72" s="11"/>
      <c r="P72" s="6">
        <v>3818.25</v>
      </c>
      <c r="Q72" s="2"/>
      <c r="R72" s="7">
        <f t="shared" si="32"/>
        <v>5.4670781716205743E-4</v>
      </c>
      <c r="S72" s="2"/>
      <c r="T72" s="6">
        <v>14316</v>
      </c>
      <c r="U72" s="2"/>
      <c r="V72" s="7">
        <f t="shared" si="33"/>
        <v>1.7102375036782769E-3</v>
      </c>
      <c r="W72" s="2"/>
      <c r="X72" s="6">
        <f t="shared" si="34"/>
        <v>-10497.75</v>
      </c>
      <c r="Y72" s="2"/>
      <c r="Z72" s="7">
        <f t="shared" si="35"/>
        <v>-0.73328792958927069</v>
      </c>
    </row>
    <row r="73" spans="1:26" s="27" customFormat="1" outlineLevel="1" collapsed="1" x14ac:dyDescent="0.25">
      <c r="A73" s="26"/>
      <c r="B73" s="13" t="str">
        <f>CONCATENATE("     ","Discounts and Markdowns                           ")</f>
        <v xml:space="preserve">     Discounts and Markdowns                           </v>
      </c>
      <c r="C73" s="13"/>
      <c r="D73" s="1">
        <f>SUM(OSRRefD22_6x_0)</f>
        <v>5.91</v>
      </c>
      <c r="E73" s="1"/>
      <c r="F73" s="5">
        <f t="shared" ref="F73:F85" si="36">IF(D$12=0,0,D73/D$12)</f>
        <v>1.2539983929724148E-5</v>
      </c>
      <c r="G73" s="1"/>
      <c r="H73" s="1">
        <f>SUM(OSRRefH22_6x_0)</f>
        <v>0</v>
      </c>
      <c r="I73" s="1"/>
      <c r="J73" s="5">
        <f t="shared" ref="J73:J85" si="37">IF(H$12=0,0,H73/H$12)</f>
        <v>0</v>
      </c>
      <c r="K73" s="1"/>
      <c r="L73" s="1">
        <f t="shared" ref="L73:L85" si="38">+D73-H73</f>
        <v>5.91</v>
      </c>
      <c r="M73" s="1"/>
      <c r="N73" s="5">
        <f t="shared" ref="N73:N85" si="39">IF(H73=0,0,L73/H73)</f>
        <v>0</v>
      </c>
      <c r="O73" s="13"/>
      <c r="P73" s="1">
        <f>SUM(OSRRefP22_6x_0)</f>
        <v>125.96</v>
      </c>
      <c r="Q73" s="1"/>
      <c r="R73" s="5">
        <f t="shared" ref="R73:R85" si="40">IF(P$12=0,0,P73/P$12)</f>
        <v>1.8035308492040265E-5</v>
      </c>
      <c r="S73" s="1"/>
      <c r="T73" s="1">
        <f>SUM(OSRRefT22_6x_0)</f>
        <v>0</v>
      </c>
      <c r="U73" s="1"/>
      <c r="V73" s="5">
        <f t="shared" ref="V73:V85" si="41">IF(T$12=0,0,T73/T$12)</f>
        <v>0</v>
      </c>
      <c r="W73" s="1"/>
      <c r="X73" s="1">
        <f t="shared" ref="X73:X85" si="42">+P73-T73</f>
        <v>125.96</v>
      </c>
      <c r="Y73" s="1"/>
      <c r="Z73" s="5">
        <f t="shared" ref="Z73:Z85" si="43">IF(T73=0,0,X73/T73)</f>
        <v>0</v>
      </c>
    </row>
    <row r="74" spans="1:26" s="24" customFormat="1" hidden="1" outlineLevel="2" x14ac:dyDescent="0.25">
      <c r="A74" s="25"/>
      <c r="B74" s="11" t="str">
        <f>CONCATENATE("          ", "6382", " - ", "DISCOUNTS/MARK DOWNS")</f>
        <v xml:space="preserve">          6382 - DISCOUNTS/MARK DOWNS</v>
      </c>
      <c r="C74" s="11"/>
      <c r="D74" s="6">
        <v>5.91</v>
      </c>
      <c r="E74" s="2"/>
      <c r="F74" s="7">
        <f t="shared" si="36"/>
        <v>1.2539983929724148E-5</v>
      </c>
      <c r="G74" s="2"/>
      <c r="H74" s="6"/>
      <c r="I74" s="2"/>
      <c r="J74" s="7">
        <f t="shared" si="37"/>
        <v>0</v>
      </c>
      <c r="K74" s="2"/>
      <c r="L74" s="6">
        <f t="shared" si="38"/>
        <v>5.91</v>
      </c>
      <c r="M74" s="2"/>
      <c r="N74" s="7">
        <f t="shared" si="39"/>
        <v>0</v>
      </c>
      <c r="O74" s="11"/>
      <c r="P74" s="6">
        <v>125.96</v>
      </c>
      <c r="Q74" s="2"/>
      <c r="R74" s="7">
        <f t="shared" si="40"/>
        <v>1.8035308492040265E-5</v>
      </c>
      <c r="S74" s="2"/>
      <c r="T74" s="6"/>
      <c r="U74" s="2"/>
      <c r="V74" s="7">
        <f t="shared" si="41"/>
        <v>0</v>
      </c>
      <c r="W74" s="2"/>
      <c r="X74" s="6">
        <f t="shared" si="42"/>
        <v>125.96</v>
      </c>
      <c r="Y74" s="2"/>
      <c r="Z74" s="7">
        <f t="shared" si="43"/>
        <v>0</v>
      </c>
    </row>
    <row r="75" spans="1:26" s="27" customFormat="1" outlineLevel="1" collapsed="1" x14ac:dyDescent="0.25">
      <c r="A75" s="26"/>
      <c r="B75" s="13" t="str">
        <f>CONCATENATE("     ","Donations                                         ")</f>
        <v xml:space="preserve">     Donations                                         </v>
      </c>
      <c r="C75" s="13"/>
      <c r="D75" s="1">
        <f>SUM(OSRRefD22_7x_0)</f>
        <v>0</v>
      </c>
      <c r="E75" s="1"/>
      <c r="F75" s="5">
        <f t="shared" si="36"/>
        <v>0</v>
      </c>
      <c r="G75" s="1"/>
      <c r="H75" s="1">
        <f>SUM(OSRRefH22_7x_0)</f>
        <v>600</v>
      </c>
      <c r="I75" s="1"/>
      <c r="J75" s="5">
        <f t="shared" si="37"/>
        <v>4.682279989418047E-4</v>
      </c>
      <c r="K75" s="1"/>
      <c r="L75" s="1">
        <f t="shared" si="38"/>
        <v>-600</v>
      </c>
      <c r="M75" s="1"/>
      <c r="N75" s="5">
        <f t="shared" si="39"/>
        <v>-1</v>
      </c>
      <c r="O75" s="13"/>
      <c r="P75" s="1">
        <f>SUM(OSRRefP22_7x_0)</f>
        <v>236.68</v>
      </c>
      <c r="Q75" s="1"/>
      <c r="R75" s="5">
        <f t="shared" si="40"/>
        <v>3.3888510748619326E-5</v>
      </c>
      <c r="S75" s="1"/>
      <c r="T75" s="1">
        <f>SUM(OSRRefT22_7x_0)</f>
        <v>4100</v>
      </c>
      <c r="U75" s="1"/>
      <c r="V75" s="5">
        <f t="shared" si="41"/>
        <v>4.8979978800509463E-4</v>
      </c>
      <c r="W75" s="1"/>
      <c r="X75" s="1">
        <f t="shared" si="42"/>
        <v>-3863.32</v>
      </c>
      <c r="Y75" s="1"/>
      <c r="Z75" s="5">
        <f t="shared" si="43"/>
        <v>-0.94227317073170735</v>
      </c>
    </row>
    <row r="76" spans="1:26" s="24" customFormat="1" hidden="1" outlineLevel="2" x14ac:dyDescent="0.25">
      <c r="A76" s="25"/>
      <c r="B76" s="11" t="str">
        <f>CONCATENATE("          ", "6399", " - ", "DONATION-ON CAMPUS")</f>
        <v xml:space="preserve">          6399 - DONATION-ON CAMPUS</v>
      </c>
      <c r="C76" s="11"/>
      <c r="D76" s="6"/>
      <c r="E76" s="2"/>
      <c r="F76" s="7">
        <f t="shared" si="36"/>
        <v>0</v>
      </c>
      <c r="G76" s="2"/>
      <c r="H76" s="6">
        <v>600</v>
      </c>
      <c r="I76" s="2"/>
      <c r="J76" s="7">
        <f t="shared" si="37"/>
        <v>4.682279989418047E-4</v>
      </c>
      <c r="K76" s="2"/>
      <c r="L76" s="6">
        <f t="shared" si="38"/>
        <v>-600</v>
      </c>
      <c r="M76" s="2"/>
      <c r="N76" s="7">
        <f t="shared" si="39"/>
        <v>-1</v>
      </c>
      <c r="O76" s="11"/>
      <c r="P76" s="6">
        <v>236.68</v>
      </c>
      <c r="Q76" s="2"/>
      <c r="R76" s="7">
        <f t="shared" si="40"/>
        <v>3.3888510748619326E-5</v>
      </c>
      <c r="S76" s="2"/>
      <c r="T76" s="6">
        <v>4100</v>
      </c>
      <c r="U76" s="2"/>
      <c r="V76" s="7">
        <f t="shared" si="41"/>
        <v>4.8979978800509463E-4</v>
      </c>
      <c r="W76" s="2"/>
      <c r="X76" s="6">
        <f t="shared" si="42"/>
        <v>-3863.32</v>
      </c>
      <c r="Y76" s="2"/>
      <c r="Z76" s="7">
        <f t="shared" si="43"/>
        <v>-0.94227317073170735</v>
      </c>
    </row>
    <row r="77" spans="1:26" s="27" customFormat="1" outlineLevel="1" collapsed="1" x14ac:dyDescent="0.25">
      <c r="A77" s="26"/>
      <c r="B77" s="13" t="str">
        <f>CONCATENATE("     ","Employees' Appreciation                           ")</f>
        <v xml:space="preserve">     Employees' Appreciation                           </v>
      </c>
      <c r="C77" s="13"/>
      <c r="D77" s="1">
        <f>SUM(OSRRefD22_8x_0)</f>
        <v>213.24</v>
      </c>
      <c r="E77" s="1"/>
      <c r="F77" s="5">
        <f t="shared" si="36"/>
        <v>4.5245789732222967E-4</v>
      </c>
      <c r="G77" s="1"/>
      <c r="H77" s="1">
        <f>SUM(OSRRefH22_8x_0)</f>
        <v>250</v>
      </c>
      <c r="I77" s="1"/>
      <c r="J77" s="5">
        <f t="shared" si="37"/>
        <v>1.9509499955908531E-4</v>
      </c>
      <c r="K77" s="1"/>
      <c r="L77" s="1">
        <f t="shared" si="38"/>
        <v>-36.759999999999991</v>
      </c>
      <c r="M77" s="1"/>
      <c r="N77" s="5">
        <f t="shared" si="39"/>
        <v>-0.14703999999999998</v>
      </c>
      <c r="O77" s="13"/>
      <c r="P77" s="1">
        <f>SUM(OSRRefP22_8x_0)</f>
        <v>1836.65</v>
      </c>
      <c r="Q77" s="1"/>
      <c r="R77" s="5">
        <f t="shared" si="40"/>
        <v>2.629767334225608E-4</v>
      </c>
      <c r="S77" s="1"/>
      <c r="T77" s="1">
        <f>SUM(OSRRefT22_8x_0)</f>
        <v>4490</v>
      </c>
      <c r="U77" s="1"/>
      <c r="V77" s="5">
        <f t="shared" si="41"/>
        <v>5.3639049954704271E-4</v>
      </c>
      <c r="W77" s="1"/>
      <c r="X77" s="1">
        <f t="shared" si="42"/>
        <v>-2653.35</v>
      </c>
      <c r="Y77" s="1"/>
      <c r="Z77" s="5">
        <f t="shared" si="43"/>
        <v>-0.5909465478841871</v>
      </c>
    </row>
    <row r="78" spans="1:26" s="24" customFormat="1" hidden="1" outlineLevel="2" x14ac:dyDescent="0.25">
      <c r="A78" s="25"/>
      <c r="B78" s="11" t="str">
        <f>CONCATENATE("          ", "6277", " - ", "EMPLOYEE APPRECIATION")</f>
        <v xml:space="preserve">          6277 - EMPLOYEE APPRECIATION</v>
      </c>
      <c r="C78" s="11"/>
      <c r="D78" s="6">
        <v>213.24</v>
      </c>
      <c r="E78" s="2"/>
      <c r="F78" s="7">
        <f t="shared" si="36"/>
        <v>4.5245789732222967E-4</v>
      </c>
      <c r="G78" s="2"/>
      <c r="H78" s="6">
        <v>250</v>
      </c>
      <c r="I78" s="2"/>
      <c r="J78" s="7">
        <f t="shared" si="37"/>
        <v>1.9509499955908531E-4</v>
      </c>
      <c r="K78" s="2"/>
      <c r="L78" s="6">
        <f t="shared" si="38"/>
        <v>-36.759999999999991</v>
      </c>
      <c r="M78" s="2"/>
      <c r="N78" s="7">
        <f t="shared" si="39"/>
        <v>-0.14703999999999998</v>
      </c>
      <c r="O78" s="11"/>
      <c r="P78" s="6">
        <v>1836.65</v>
      </c>
      <c r="Q78" s="2"/>
      <c r="R78" s="7">
        <f t="shared" si="40"/>
        <v>2.629767334225608E-4</v>
      </c>
      <c r="S78" s="2"/>
      <c r="T78" s="6">
        <v>4490</v>
      </c>
      <c r="U78" s="2"/>
      <c r="V78" s="7">
        <f t="shared" si="41"/>
        <v>5.3639049954704271E-4</v>
      </c>
      <c r="W78" s="2"/>
      <c r="X78" s="6">
        <f t="shared" si="42"/>
        <v>-2653.35</v>
      </c>
      <c r="Y78" s="2"/>
      <c r="Z78" s="7">
        <f t="shared" si="43"/>
        <v>-0.5909465478841871</v>
      </c>
    </row>
    <row r="79" spans="1:26" s="27" customFormat="1" outlineLevel="1" collapsed="1" x14ac:dyDescent="0.25">
      <c r="A79" s="26"/>
      <c r="B79" s="13" t="str">
        <f>CONCATENATE("     ","Equipment Rental                                  ")</f>
        <v xml:space="preserve">     Equipment Rental                                  </v>
      </c>
      <c r="C79" s="13"/>
      <c r="D79" s="1">
        <f>SUM(OSRRefD22_9x_0)</f>
        <v>2216.17</v>
      </c>
      <c r="E79" s="1"/>
      <c r="F79" s="5">
        <f t="shared" si="36"/>
        <v>4.7023242276711952E-3</v>
      </c>
      <c r="G79" s="1"/>
      <c r="H79" s="1">
        <f>SUM(OSRRefH22_9x_0)</f>
        <v>1875</v>
      </c>
      <c r="I79" s="1"/>
      <c r="J79" s="5">
        <f t="shared" si="37"/>
        <v>1.4632124966931397E-3</v>
      </c>
      <c r="K79" s="1"/>
      <c r="L79" s="1">
        <f t="shared" si="38"/>
        <v>341.17000000000007</v>
      </c>
      <c r="M79" s="1"/>
      <c r="N79" s="5">
        <f t="shared" si="39"/>
        <v>0.18195733333333336</v>
      </c>
      <c r="O79" s="13"/>
      <c r="P79" s="1">
        <f>SUM(OSRRefP22_9x_0)</f>
        <v>24752.769999999997</v>
      </c>
      <c r="Q79" s="1"/>
      <c r="R79" s="5">
        <f t="shared" si="40"/>
        <v>3.544171506688786E-3</v>
      </c>
      <c r="S79" s="1"/>
      <c r="T79" s="1">
        <f>SUM(OSRRefT22_9x_0)</f>
        <v>14466</v>
      </c>
      <c r="U79" s="1"/>
      <c r="V79" s="5">
        <f t="shared" si="41"/>
        <v>1.7281570081174877E-3</v>
      </c>
      <c r="W79" s="1"/>
      <c r="X79" s="1">
        <f t="shared" si="42"/>
        <v>10286.769999999997</v>
      </c>
      <c r="Y79" s="1"/>
      <c r="Z79" s="5">
        <f t="shared" si="43"/>
        <v>0.71109982026821494</v>
      </c>
    </row>
    <row r="80" spans="1:26" s="24" customFormat="1" hidden="1" outlineLevel="2" x14ac:dyDescent="0.25">
      <c r="A80" s="25"/>
      <c r="B80" s="11" t="str">
        <f>CONCATENATE("          ", "6351", " - ", "EQUIPMENT RENTAL")</f>
        <v xml:space="preserve">          6351 - EQUIPMENT RENTAL</v>
      </c>
      <c r="C80" s="11"/>
      <c r="D80" s="6">
        <v>2216.17</v>
      </c>
      <c r="E80" s="2"/>
      <c r="F80" s="7">
        <f t="shared" si="36"/>
        <v>4.7023242276711952E-3</v>
      </c>
      <c r="G80" s="2"/>
      <c r="H80" s="6">
        <v>1875</v>
      </c>
      <c r="I80" s="2"/>
      <c r="J80" s="7">
        <f t="shared" si="37"/>
        <v>1.4632124966931397E-3</v>
      </c>
      <c r="K80" s="2"/>
      <c r="L80" s="6">
        <f t="shared" si="38"/>
        <v>341.17000000000007</v>
      </c>
      <c r="M80" s="2"/>
      <c r="N80" s="7">
        <f t="shared" si="39"/>
        <v>0.18195733333333336</v>
      </c>
      <c r="O80" s="11"/>
      <c r="P80" s="6">
        <v>24752.769999999997</v>
      </c>
      <c r="Q80" s="2"/>
      <c r="R80" s="7">
        <f t="shared" si="40"/>
        <v>3.544171506688786E-3</v>
      </c>
      <c r="S80" s="2"/>
      <c r="T80" s="6">
        <v>14466</v>
      </c>
      <c r="U80" s="2"/>
      <c r="V80" s="7">
        <f t="shared" si="41"/>
        <v>1.7281570081174877E-3</v>
      </c>
      <c r="W80" s="2"/>
      <c r="X80" s="6">
        <f t="shared" si="42"/>
        <v>10286.769999999997</v>
      </c>
      <c r="Y80" s="2"/>
      <c r="Z80" s="7">
        <f t="shared" si="43"/>
        <v>0.71109982026821494</v>
      </c>
    </row>
    <row r="81" spans="1:26" s="27" customFormat="1" outlineLevel="1" collapsed="1" x14ac:dyDescent="0.25">
      <c r="A81" s="26"/>
      <c r="B81" s="13" t="str">
        <f>CONCATENATE("     ","Freight out/Postage                               ")</f>
        <v xml:space="preserve">     Freight out/Postage                               </v>
      </c>
      <c r="C81" s="13"/>
      <c r="D81" s="1">
        <f>SUM(OSRRefD22_10x_0)</f>
        <v>56.71</v>
      </c>
      <c r="E81" s="1"/>
      <c r="F81" s="5">
        <f t="shared" si="36"/>
        <v>1.2032867828335979E-4</v>
      </c>
      <c r="G81" s="1"/>
      <c r="H81" s="1">
        <f>SUM(OSRRefH22_10x_0)</f>
        <v>0</v>
      </c>
      <c r="I81" s="1"/>
      <c r="J81" s="5">
        <f t="shared" si="37"/>
        <v>0</v>
      </c>
      <c r="K81" s="1"/>
      <c r="L81" s="1">
        <f t="shared" si="38"/>
        <v>56.71</v>
      </c>
      <c r="M81" s="1"/>
      <c r="N81" s="5">
        <f t="shared" si="39"/>
        <v>0</v>
      </c>
      <c r="O81" s="13"/>
      <c r="P81" s="1">
        <f>SUM(OSRRefP22_10x_0)</f>
        <v>311.17</v>
      </c>
      <c r="Q81" s="1"/>
      <c r="R81" s="5">
        <f t="shared" si="40"/>
        <v>4.4554199297143297E-5</v>
      </c>
      <c r="S81" s="1"/>
      <c r="T81" s="1">
        <f>SUM(OSRRefT22_10x_0)</f>
        <v>0</v>
      </c>
      <c r="U81" s="1"/>
      <c r="V81" s="5">
        <f t="shared" si="41"/>
        <v>0</v>
      </c>
      <c r="W81" s="1"/>
      <c r="X81" s="1">
        <f t="shared" si="42"/>
        <v>311.17</v>
      </c>
      <c r="Y81" s="1"/>
      <c r="Z81" s="5">
        <f t="shared" si="43"/>
        <v>0</v>
      </c>
    </row>
    <row r="82" spans="1:26" s="24" customFormat="1" hidden="1" outlineLevel="2" x14ac:dyDescent="0.25">
      <c r="A82" s="25"/>
      <c r="B82" s="11" t="str">
        <f>CONCATENATE("          ", "6305", " - ", "FREIGHT OUT")</f>
        <v xml:space="preserve">          6305 - FREIGHT OUT</v>
      </c>
      <c r="C82" s="11"/>
      <c r="D82" s="6">
        <v>56.71</v>
      </c>
      <c r="E82" s="2"/>
      <c r="F82" s="7">
        <f t="shared" si="36"/>
        <v>1.2032867828335979E-4</v>
      </c>
      <c r="G82" s="2"/>
      <c r="H82" s="6"/>
      <c r="I82" s="2"/>
      <c r="J82" s="7">
        <f t="shared" si="37"/>
        <v>0</v>
      </c>
      <c r="K82" s="2"/>
      <c r="L82" s="6">
        <f t="shared" si="38"/>
        <v>56.71</v>
      </c>
      <c r="M82" s="2"/>
      <c r="N82" s="7">
        <f t="shared" si="39"/>
        <v>0</v>
      </c>
      <c r="O82" s="11"/>
      <c r="P82" s="6">
        <v>311.17</v>
      </c>
      <c r="Q82" s="2"/>
      <c r="R82" s="7">
        <f t="shared" si="40"/>
        <v>4.4554199297143297E-5</v>
      </c>
      <c r="S82" s="2"/>
      <c r="T82" s="6"/>
      <c r="U82" s="2"/>
      <c r="V82" s="7">
        <f t="shared" si="41"/>
        <v>0</v>
      </c>
      <c r="W82" s="2"/>
      <c r="X82" s="6">
        <f t="shared" si="42"/>
        <v>311.17</v>
      </c>
      <c r="Y82" s="2"/>
      <c r="Z82" s="7">
        <f t="shared" si="43"/>
        <v>0</v>
      </c>
    </row>
    <row r="83" spans="1:26" s="27" customFormat="1" outlineLevel="1" collapsed="1" x14ac:dyDescent="0.25">
      <c r="A83" s="26"/>
      <c r="B83" s="13" t="str">
        <f>CONCATENATE("     ","General                                           ")</f>
        <v xml:space="preserve">     General                                           </v>
      </c>
      <c r="C83" s="13"/>
      <c r="D83" s="1">
        <f>SUM(OSRRefD22_11x_0)</f>
        <v>2038.5</v>
      </c>
      <c r="E83" s="1"/>
      <c r="F83" s="5">
        <f t="shared" si="36"/>
        <v>4.3253396346434308E-3</v>
      </c>
      <c r="G83" s="1"/>
      <c r="H83" s="1">
        <f>SUM(OSRRefH22_11x_0)</f>
        <v>4525</v>
      </c>
      <c r="I83" s="1"/>
      <c r="J83" s="5">
        <f t="shared" si="37"/>
        <v>3.5312194920194438E-3</v>
      </c>
      <c r="K83" s="1"/>
      <c r="L83" s="1">
        <f t="shared" si="38"/>
        <v>-2486.5</v>
      </c>
      <c r="M83" s="1"/>
      <c r="N83" s="5">
        <f t="shared" si="39"/>
        <v>-0.54950276243093921</v>
      </c>
      <c r="O83" s="13"/>
      <c r="P83" s="1">
        <f>SUM(OSRRefP22_11x_0)</f>
        <v>95049.06</v>
      </c>
      <c r="Q83" s="1"/>
      <c r="R83" s="5">
        <f t="shared" si="40"/>
        <v>1.3609392815008295E-2</v>
      </c>
      <c r="S83" s="1"/>
      <c r="T83" s="1">
        <f>SUM(OSRRefT22_11x_0)</f>
        <v>50212</v>
      </c>
      <c r="U83" s="1"/>
      <c r="V83" s="5">
        <f t="shared" si="41"/>
        <v>5.998494379344345E-3</v>
      </c>
      <c r="W83" s="1"/>
      <c r="X83" s="1">
        <f t="shared" si="42"/>
        <v>44837.06</v>
      </c>
      <c r="Y83" s="1"/>
      <c r="Z83" s="5">
        <f t="shared" si="43"/>
        <v>0.89295507050107537</v>
      </c>
    </row>
    <row r="84" spans="1:26" s="24" customFormat="1" hidden="1" outlineLevel="2" x14ac:dyDescent="0.25">
      <c r="A84" s="25"/>
      <c r="B84" s="11" t="str">
        <f>CONCATENATE("          ", "6269", " - ", "ENTERTAINMENT")</f>
        <v xml:space="preserve">          6269 - ENTERTAINMENT</v>
      </c>
      <c r="C84" s="11"/>
      <c r="D84" s="6"/>
      <c r="E84" s="2"/>
      <c r="F84" s="7">
        <f t="shared" si="36"/>
        <v>0</v>
      </c>
      <c r="G84" s="2"/>
      <c r="H84" s="6">
        <v>900</v>
      </c>
      <c r="I84" s="2"/>
      <c r="J84" s="7">
        <f t="shared" si="37"/>
        <v>7.023419984127071E-4</v>
      </c>
      <c r="K84" s="2"/>
      <c r="L84" s="6">
        <f t="shared" si="38"/>
        <v>-900</v>
      </c>
      <c r="M84" s="2"/>
      <c r="N84" s="7">
        <f t="shared" si="39"/>
        <v>-1</v>
      </c>
      <c r="O84" s="11"/>
      <c r="P84" s="6">
        <v>10050</v>
      </c>
      <c r="Q84" s="2"/>
      <c r="R84" s="7">
        <f t="shared" si="40"/>
        <v>1.4389873796840638E-3</v>
      </c>
      <c r="S84" s="2"/>
      <c r="T84" s="6">
        <v>6500</v>
      </c>
      <c r="U84" s="2"/>
      <c r="V84" s="7">
        <f t="shared" si="41"/>
        <v>7.7651185903246714E-4</v>
      </c>
      <c r="W84" s="2"/>
      <c r="X84" s="6">
        <f t="shared" si="42"/>
        <v>3550</v>
      </c>
      <c r="Y84" s="2"/>
      <c r="Z84" s="7">
        <f t="shared" si="43"/>
        <v>0.5461538461538461</v>
      </c>
    </row>
    <row r="85" spans="1:26" s="24" customFormat="1" hidden="1" outlineLevel="2" x14ac:dyDescent="0.25">
      <c r="A85" s="25"/>
      <c r="B85" s="11" t="str">
        <f>CONCATENATE("          ", "6279", " - ", "GENERAL EXPENSE")</f>
        <v xml:space="preserve">          6279 - GENERAL EXPENSE</v>
      </c>
      <c r="C85" s="11"/>
      <c r="D85" s="6">
        <v>2038.5</v>
      </c>
      <c r="E85" s="2"/>
      <c r="F85" s="7">
        <f t="shared" si="36"/>
        <v>4.3253396346434308E-3</v>
      </c>
      <c r="G85" s="2"/>
      <c r="H85" s="6">
        <v>3625</v>
      </c>
      <c r="I85" s="2"/>
      <c r="J85" s="7">
        <f t="shared" si="37"/>
        <v>2.8288774936067367E-3</v>
      </c>
      <c r="K85" s="2"/>
      <c r="L85" s="6">
        <f t="shared" si="38"/>
        <v>-1586.5</v>
      </c>
      <c r="M85" s="2"/>
      <c r="N85" s="7">
        <f t="shared" si="39"/>
        <v>-0.43765517241379309</v>
      </c>
      <c r="O85" s="11"/>
      <c r="P85" s="6">
        <v>84999.06</v>
      </c>
      <c r="Q85" s="2"/>
      <c r="R85" s="7">
        <f t="shared" si="40"/>
        <v>1.217040543532423E-2</v>
      </c>
      <c r="S85" s="2"/>
      <c r="T85" s="6">
        <v>43712</v>
      </c>
      <c r="U85" s="2"/>
      <c r="V85" s="7">
        <f t="shared" si="41"/>
        <v>5.2219825203118778E-3</v>
      </c>
      <c r="W85" s="2"/>
      <c r="X85" s="6">
        <f t="shared" si="42"/>
        <v>41287.06</v>
      </c>
      <c r="Y85" s="2"/>
      <c r="Z85" s="7">
        <f t="shared" si="43"/>
        <v>0.94452461566617862</v>
      </c>
    </row>
    <row r="86" spans="1:26" s="27" customFormat="1" outlineLevel="1" collapsed="1" x14ac:dyDescent="0.25">
      <c r="A86" s="26"/>
      <c r="B86" s="13" t="str">
        <f>CONCATENATE("     ","Insurance                                         ")</f>
        <v xml:space="preserve">     Insurance                                         </v>
      </c>
      <c r="C86" s="13"/>
      <c r="D86" s="1">
        <f>SUM(OSRRefD22_12x_0)</f>
        <v>4483.67</v>
      </c>
      <c r="E86" s="1"/>
      <c r="F86" s="5">
        <f t="shared" ref="F86:F100" si="44">IF(D$12=0,0,D86/D$12)</f>
        <v>9.5135617167827861E-3</v>
      </c>
      <c r="G86" s="1"/>
      <c r="H86" s="1">
        <f>SUM(OSRRefH22_12x_0)</f>
        <v>4234</v>
      </c>
      <c r="I86" s="1"/>
      <c r="J86" s="5">
        <f t="shared" ref="J86:J100" si="45">IF(H$12=0,0,H86/H$12)</f>
        <v>3.3041289125326687E-3</v>
      </c>
      <c r="K86" s="1"/>
      <c r="L86" s="1">
        <f t="shared" ref="L86:L100" si="46">+D86-H86</f>
        <v>249.67000000000007</v>
      </c>
      <c r="M86" s="1"/>
      <c r="N86" s="5">
        <f t="shared" ref="N86:N100" si="47">IF(H86=0,0,L86/H86)</f>
        <v>5.8967879074161567E-2</v>
      </c>
      <c r="O86" s="13"/>
      <c r="P86" s="1">
        <f>SUM(OSRRefP22_12x_0)</f>
        <v>46114.03</v>
      </c>
      <c r="Q86" s="1"/>
      <c r="R86" s="5">
        <f t="shared" ref="R86:R100" si="48">IF(P$12=0,0,P86/P$12)</f>
        <v>6.6027370344649066E-3</v>
      </c>
      <c r="S86" s="1"/>
      <c r="T86" s="1">
        <f>SUM(OSRRefT22_12x_0)</f>
        <v>38106</v>
      </c>
      <c r="U86" s="1"/>
      <c r="V86" s="5">
        <f t="shared" ref="V86:V100" si="49">IF(T$12=0,0,T86/T$12)</f>
        <v>4.5522709077371066E-3</v>
      </c>
      <c r="W86" s="1"/>
      <c r="X86" s="1">
        <f t="shared" ref="X86:X100" si="50">+P86-T86</f>
        <v>8008.0299999999988</v>
      </c>
      <c r="Y86" s="1"/>
      <c r="Z86" s="5">
        <f t="shared" ref="Z86:Z100" si="51">IF(T86=0,0,X86/T86)</f>
        <v>0.21015141972392795</v>
      </c>
    </row>
    <row r="87" spans="1:26" s="24" customFormat="1" hidden="1" outlineLevel="2" x14ac:dyDescent="0.25">
      <c r="A87" s="25"/>
      <c r="B87" s="11" t="str">
        <f>CONCATENATE("          ", "6314", " - ", "LIABILITY INSURANCE")</f>
        <v xml:space="preserve">          6314 - LIABILITY INSURANCE</v>
      </c>
      <c r="C87" s="11"/>
      <c r="D87" s="6">
        <v>4483.67</v>
      </c>
      <c r="E87" s="2"/>
      <c r="F87" s="7">
        <f t="shared" si="44"/>
        <v>9.5135617167827861E-3</v>
      </c>
      <c r="G87" s="2"/>
      <c r="H87" s="6">
        <v>4234</v>
      </c>
      <c r="I87" s="2"/>
      <c r="J87" s="7">
        <f t="shared" si="45"/>
        <v>3.3041289125326687E-3</v>
      </c>
      <c r="K87" s="2"/>
      <c r="L87" s="6">
        <f t="shared" si="46"/>
        <v>249.67000000000007</v>
      </c>
      <c r="M87" s="2"/>
      <c r="N87" s="7">
        <f t="shared" si="47"/>
        <v>5.8967879074161567E-2</v>
      </c>
      <c r="O87" s="11"/>
      <c r="P87" s="6">
        <v>46114.03</v>
      </c>
      <c r="Q87" s="2"/>
      <c r="R87" s="7">
        <f t="shared" si="48"/>
        <v>6.6027370344649066E-3</v>
      </c>
      <c r="S87" s="2"/>
      <c r="T87" s="6">
        <v>38106</v>
      </c>
      <c r="U87" s="2"/>
      <c r="V87" s="7">
        <f t="shared" si="49"/>
        <v>4.5522709077371066E-3</v>
      </c>
      <c r="W87" s="2"/>
      <c r="X87" s="6">
        <f t="shared" si="50"/>
        <v>8008.0299999999988</v>
      </c>
      <c r="Y87" s="2"/>
      <c r="Z87" s="7">
        <f t="shared" si="51"/>
        <v>0.21015141972392795</v>
      </c>
    </row>
    <row r="88" spans="1:26" s="27" customFormat="1" outlineLevel="1" collapsed="1" x14ac:dyDescent="0.25">
      <c r="A88" s="26"/>
      <c r="B88" s="13" t="str">
        <f>CONCATENATE("     ","Interest                                          ")</f>
        <v xml:space="preserve">     Interest                                          </v>
      </c>
      <c r="C88" s="13"/>
      <c r="D88" s="1">
        <f>SUM(OSRRefD22_13x_0)</f>
        <v>11929</v>
      </c>
      <c r="E88" s="1"/>
      <c r="F88" s="5">
        <f t="shared" si="44"/>
        <v>2.5311246750876371E-2</v>
      </c>
      <c r="G88" s="1"/>
      <c r="H88" s="1">
        <f>SUM(OSRRefH22_13x_0)</f>
        <v>11929</v>
      </c>
      <c r="I88" s="1"/>
      <c r="J88" s="5">
        <f t="shared" si="45"/>
        <v>9.3091529989613141E-3</v>
      </c>
      <c r="K88" s="1"/>
      <c r="L88" s="1">
        <f t="shared" si="46"/>
        <v>0</v>
      </c>
      <c r="M88" s="1"/>
      <c r="N88" s="5">
        <f t="shared" si="47"/>
        <v>0</v>
      </c>
      <c r="O88" s="13"/>
      <c r="P88" s="1">
        <f>SUM(OSRRefP22_13x_0)</f>
        <v>106762</v>
      </c>
      <c r="Q88" s="1"/>
      <c r="R88" s="5">
        <f t="shared" si="48"/>
        <v>1.5286484639784081E-2</v>
      </c>
      <c r="S88" s="1"/>
      <c r="T88" s="1">
        <f>SUM(OSRRefT22_13x_0)</f>
        <v>107361</v>
      </c>
      <c r="U88" s="1"/>
      <c r="V88" s="5">
        <f t="shared" si="49"/>
        <v>1.2825706107320724E-2</v>
      </c>
      <c r="W88" s="1"/>
      <c r="X88" s="1">
        <f t="shared" si="50"/>
        <v>-599</v>
      </c>
      <c r="Y88" s="1"/>
      <c r="Z88" s="5">
        <f t="shared" si="51"/>
        <v>-5.5793071972131403E-3</v>
      </c>
    </row>
    <row r="89" spans="1:26" s="24" customFormat="1" hidden="1" outlineLevel="2" x14ac:dyDescent="0.25">
      <c r="A89" s="25"/>
      <c r="B89" s="11" t="str">
        <f>CONCATENATE("          ", "6401", " - ", "INTEREST EXPENSE")</f>
        <v xml:space="preserve">          6401 - INTEREST EXPENSE</v>
      </c>
      <c r="C89" s="11"/>
      <c r="D89" s="6">
        <v>11929</v>
      </c>
      <c r="E89" s="2"/>
      <c r="F89" s="7">
        <f t="shared" si="44"/>
        <v>2.5311246750876371E-2</v>
      </c>
      <c r="G89" s="2"/>
      <c r="H89" s="6">
        <v>11929</v>
      </c>
      <c r="I89" s="2"/>
      <c r="J89" s="7">
        <f t="shared" si="45"/>
        <v>9.3091529989613141E-3</v>
      </c>
      <c r="K89" s="2"/>
      <c r="L89" s="6">
        <f t="shared" si="46"/>
        <v>0</v>
      </c>
      <c r="M89" s="2"/>
      <c r="N89" s="7">
        <f t="shared" si="47"/>
        <v>0</v>
      </c>
      <c r="O89" s="11"/>
      <c r="P89" s="6">
        <v>106762</v>
      </c>
      <c r="Q89" s="2"/>
      <c r="R89" s="7">
        <f t="shared" si="48"/>
        <v>1.5286484639784081E-2</v>
      </c>
      <c r="S89" s="2"/>
      <c r="T89" s="6">
        <v>107361</v>
      </c>
      <c r="U89" s="2"/>
      <c r="V89" s="7">
        <f t="shared" si="49"/>
        <v>1.2825706107320724E-2</v>
      </c>
      <c r="W89" s="2"/>
      <c r="X89" s="6">
        <f t="shared" si="50"/>
        <v>-599</v>
      </c>
      <c r="Y89" s="2"/>
      <c r="Z89" s="7">
        <f t="shared" si="51"/>
        <v>-5.5793071972131403E-3</v>
      </c>
    </row>
    <row r="90" spans="1:26" s="27" customFormat="1" outlineLevel="1" collapsed="1" x14ac:dyDescent="0.25">
      <c r="A90" s="26"/>
      <c r="B90" s="13" t="str">
        <f>CONCATENATE("     ","Professional Services                             ")</f>
        <v xml:space="preserve">     Professional Services                             </v>
      </c>
      <c r="C90" s="13"/>
      <c r="D90" s="1">
        <f>SUM(OSRRefD22_14x_0)</f>
        <v>0</v>
      </c>
      <c r="E90" s="1"/>
      <c r="F90" s="5">
        <f t="shared" si="44"/>
        <v>0</v>
      </c>
      <c r="G90" s="1"/>
      <c r="H90" s="1">
        <f>SUM(OSRRefH22_14x_0)</f>
        <v>0</v>
      </c>
      <c r="I90" s="1"/>
      <c r="J90" s="5">
        <f t="shared" si="45"/>
        <v>0</v>
      </c>
      <c r="K90" s="1"/>
      <c r="L90" s="1">
        <f t="shared" si="46"/>
        <v>0</v>
      </c>
      <c r="M90" s="1"/>
      <c r="N90" s="5">
        <f t="shared" si="47"/>
        <v>0</v>
      </c>
      <c r="O90" s="13"/>
      <c r="P90" s="1">
        <f>SUM(OSRRefP22_14x_0)</f>
        <v>125</v>
      </c>
      <c r="Q90" s="1"/>
      <c r="R90" s="5">
        <f t="shared" si="48"/>
        <v>1.7897852981145072E-5</v>
      </c>
      <c r="S90" s="1"/>
      <c r="T90" s="1">
        <f>SUM(OSRRefT22_14x_0)</f>
        <v>0</v>
      </c>
      <c r="U90" s="1"/>
      <c r="V90" s="5">
        <f t="shared" si="49"/>
        <v>0</v>
      </c>
      <c r="W90" s="1"/>
      <c r="X90" s="1">
        <f t="shared" si="50"/>
        <v>125</v>
      </c>
      <c r="Y90" s="1"/>
      <c r="Z90" s="5">
        <f t="shared" si="51"/>
        <v>0</v>
      </c>
    </row>
    <row r="91" spans="1:26" s="24" customFormat="1" hidden="1" outlineLevel="2" x14ac:dyDescent="0.25">
      <c r="A91" s="25"/>
      <c r="B91" s="11" t="str">
        <f>CONCATENATE("          ", "6336", " - ", "PROFESSIONAL SERVICES")</f>
        <v xml:space="preserve">          6336 - PROFESSIONAL SERVICES</v>
      </c>
      <c r="C91" s="11"/>
      <c r="D91" s="6"/>
      <c r="E91" s="2"/>
      <c r="F91" s="7">
        <f t="shared" si="44"/>
        <v>0</v>
      </c>
      <c r="G91" s="2"/>
      <c r="H91" s="6"/>
      <c r="I91" s="2"/>
      <c r="J91" s="7">
        <f t="shared" si="45"/>
        <v>0</v>
      </c>
      <c r="K91" s="2"/>
      <c r="L91" s="6">
        <f t="shared" si="46"/>
        <v>0</v>
      </c>
      <c r="M91" s="2"/>
      <c r="N91" s="7">
        <f t="shared" si="47"/>
        <v>0</v>
      </c>
      <c r="O91" s="11"/>
      <c r="P91" s="6">
        <v>125</v>
      </c>
      <c r="Q91" s="2"/>
      <c r="R91" s="7">
        <f t="shared" si="48"/>
        <v>1.7897852981145072E-5</v>
      </c>
      <c r="S91" s="2"/>
      <c r="T91" s="6"/>
      <c r="U91" s="2"/>
      <c r="V91" s="7">
        <f t="shared" si="49"/>
        <v>0</v>
      </c>
      <c r="W91" s="2"/>
      <c r="X91" s="6">
        <f t="shared" si="50"/>
        <v>125</v>
      </c>
      <c r="Y91" s="2"/>
      <c r="Z91" s="7">
        <f t="shared" si="51"/>
        <v>0</v>
      </c>
    </row>
    <row r="92" spans="1:26" s="27" customFormat="1" outlineLevel="1" collapsed="1" x14ac:dyDescent="0.25">
      <c r="A92" s="26"/>
      <c r="B92" s="13" t="str">
        <f>CONCATENATE("     ","R/H Commissions                                   ")</f>
        <v xml:space="preserve">     R/H Commissions                                   </v>
      </c>
      <c r="C92" s="13"/>
      <c r="D92" s="1">
        <f>SUM(OSRRefD22_15x_0)</f>
        <v>0</v>
      </c>
      <c r="E92" s="1"/>
      <c r="F92" s="5">
        <f t="shared" si="44"/>
        <v>0</v>
      </c>
      <c r="G92" s="1"/>
      <c r="H92" s="1">
        <f>SUM(OSRRefH22_15x_0)</f>
        <v>0</v>
      </c>
      <c r="I92" s="1"/>
      <c r="J92" s="5">
        <f t="shared" si="45"/>
        <v>0</v>
      </c>
      <c r="K92" s="1"/>
      <c r="L92" s="1">
        <f t="shared" si="46"/>
        <v>0</v>
      </c>
      <c r="M92" s="1"/>
      <c r="N92" s="5">
        <f t="shared" si="47"/>
        <v>0</v>
      </c>
      <c r="O92" s="13"/>
      <c r="P92" s="1">
        <f>SUM(OSRRefP22_15x_0)</f>
        <v>0</v>
      </c>
      <c r="Q92" s="1"/>
      <c r="R92" s="5">
        <f t="shared" si="48"/>
        <v>0</v>
      </c>
      <c r="S92" s="1"/>
      <c r="T92" s="1">
        <f>SUM(OSRRefT22_15x_0)</f>
        <v>0</v>
      </c>
      <c r="U92" s="1"/>
      <c r="V92" s="5">
        <f t="shared" si="49"/>
        <v>0</v>
      </c>
      <c r="W92" s="1"/>
      <c r="X92" s="1">
        <f t="shared" si="50"/>
        <v>0</v>
      </c>
      <c r="Y92" s="1"/>
      <c r="Z92" s="5">
        <f t="shared" si="51"/>
        <v>0</v>
      </c>
    </row>
    <row r="93" spans="1:26" s="24" customFormat="1" hidden="1" outlineLevel="2" x14ac:dyDescent="0.25">
      <c r="A93" s="25"/>
      <c r="B93" s="11" t="str">
        <f>CONCATENATE("          ", "6387", " - ", "COMMISSION DUE HOUSING")</f>
        <v xml:space="preserve">          6387 - COMMISSION DUE HOUSING</v>
      </c>
      <c r="C93" s="11"/>
      <c r="D93" s="6"/>
      <c r="E93" s="2"/>
      <c r="F93" s="7">
        <f t="shared" si="44"/>
        <v>0</v>
      </c>
      <c r="G93" s="2"/>
      <c r="H93" s="6"/>
      <c r="I93" s="2"/>
      <c r="J93" s="7">
        <f t="shared" si="45"/>
        <v>0</v>
      </c>
      <c r="K93" s="2"/>
      <c r="L93" s="6">
        <f t="shared" si="46"/>
        <v>0</v>
      </c>
      <c r="M93" s="2"/>
      <c r="N93" s="7">
        <f t="shared" si="47"/>
        <v>0</v>
      </c>
      <c r="O93" s="11"/>
      <c r="P93" s="6"/>
      <c r="Q93" s="2"/>
      <c r="R93" s="7">
        <f t="shared" si="48"/>
        <v>0</v>
      </c>
      <c r="S93" s="2"/>
      <c r="T93" s="6">
        <v>0</v>
      </c>
      <c r="U93" s="2"/>
      <c r="V93" s="7">
        <f t="shared" si="49"/>
        <v>0</v>
      </c>
      <c r="W93" s="2"/>
      <c r="X93" s="6">
        <f t="shared" si="50"/>
        <v>0</v>
      </c>
      <c r="Y93" s="2"/>
      <c r="Z93" s="7">
        <f t="shared" si="51"/>
        <v>0</v>
      </c>
    </row>
    <row r="94" spans="1:26" s="27" customFormat="1" outlineLevel="1" collapsed="1" x14ac:dyDescent="0.25">
      <c r="A94" s="26"/>
      <c r="B94" s="13" t="str">
        <f>CONCATENATE("     ","Rent                                              ")</f>
        <v xml:space="preserve">     Rent                                              </v>
      </c>
      <c r="C94" s="13"/>
      <c r="D94" s="1">
        <f>SUM(OSRRefD22_16x_0)</f>
        <v>3000</v>
      </c>
      <c r="E94" s="1"/>
      <c r="F94" s="5">
        <f t="shared" si="44"/>
        <v>6.3654740760021051E-3</v>
      </c>
      <c r="G94" s="1"/>
      <c r="H94" s="1">
        <f>SUM(OSRRefH22_16x_0)</f>
        <v>3000</v>
      </c>
      <c r="I94" s="1"/>
      <c r="J94" s="5">
        <f t="shared" si="45"/>
        <v>2.3411399947090238E-3</v>
      </c>
      <c r="K94" s="1"/>
      <c r="L94" s="1">
        <f t="shared" si="46"/>
        <v>0</v>
      </c>
      <c r="M94" s="1"/>
      <c r="N94" s="5">
        <f t="shared" si="47"/>
        <v>0</v>
      </c>
      <c r="O94" s="13"/>
      <c r="P94" s="1">
        <f>SUM(OSRRefP22_16x_0)</f>
        <v>27000</v>
      </c>
      <c r="Q94" s="1"/>
      <c r="R94" s="5">
        <f t="shared" si="48"/>
        <v>3.8659362439273357E-3</v>
      </c>
      <c r="S94" s="1"/>
      <c r="T94" s="1">
        <f>SUM(OSRRefT22_16x_0)</f>
        <v>27000</v>
      </c>
      <c r="U94" s="1"/>
      <c r="V94" s="5">
        <f t="shared" si="49"/>
        <v>3.2255107990579405E-3</v>
      </c>
      <c r="W94" s="1"/>
      <c r="X94" s="1">
        <f t="shared" si="50"/>
        <v>0</v>
      </c>
      <c r="Y94" s="1"/>
      <c r="Z94" s="5">
        <f t="shared" si="51"/>
        <v>0</v>
      </c>
    </row>
    <row r="95" spans="1:26" s="24" customFormat="1" hidden="1" outlineLevel="2" x14ac:dyDescent="0.25">
      <c r="A95" s="25"/>
      <c r="B95" s="11" t="str">
        <f>CONCATENATE("          ", "6273", " - ", "RENT")</f>
        <v xml:space="preserve">          6273 - RENT</v>
      </c>
      <c r="C95" s="11"/>
      <c r="D95" s="6">
        <v>3000</v>
      </c>
      <c r="E95" s="2"/>
      <c r="F95" s="7">
        <f t="shared" si="44"/>
        <v>6.3654740760021051E-3</v>
      </c>
      <c r="G95" s="2"/>
      <c r="H95" s="6">
        <v>3000</v>
      </c>
      <c r="I95" s="2"/>
      <c r="J95" s="7">
        <f t="shared" si="45"/>
        <v>2.3411399947090238E-3</v>
      </c>
      <c r="K95" s="2"/>
      <c r="L95" s="6">
        <f t="shared" si="46"/>
        <v>0</v>
      </c>
      <c r="M95" s="2"/>
      <c r="N95" s="7">
        <f t="shared" si="47"/>
        <v>0</v>
      </c>
      <c r="O95" s="11"/>
      <c r="P95" s="6">
        <v>27000</v>
      </c>
      <c r="Q95" s="2"/>
      <c r="R95" s="7">
        <f t="shared" si="48"/>
        <v>3.8659362439273357E-3</v>
      </c>
      <c r="S95" s="2"/>
      <c r="T95" s="6">
        <v>27000</v>
      </c>
      <c r="U95" s="2"/>
      <c r="V95" s="7">
        <f t="shared" si="49"/>
        <v>3.2255107990579405E-3</v>
      </c>
      <c r="W95" s="2"/>
      <c r="X95" s="6">
        <f t="shared" si="50"/>
        <v>0</v>
      </c>
      <c r="Y95" s="2"/>
      <c r="Z95" s="7">
        <f t="shared" si="51"/>
        <v>0</v>
      </c>
    </row>
    <row r="96" spans="1:26" s="27" customFormat="1" outlineLevel="1" collapsed="1" x14ac:dyDescent="0.25">
      <c r="A96" s="26"/>
      <c r="B96" s="13" t="str">
        <f>CONCATENATE("     ","Repair and Maintenance                            ")</f>
        <v xml:space="preserve">     Repair and Maintenance                            </v>
      </c>
      <c r="C96" s="13"/>
      <c r="D96" s="1">
        <f>SUM(OSRRefD22_17x_0)</f>
        <v>12382.65</v>
      </c>
      <c r="E96" s="1"/>
      <c r="F96" s="5">
        <f t="shared" si="44"/>
        <v>2.6273812522402486E-2</v>
      </c>
      <c r="G96" s="1"/>
      <c r="H96" s="1">
        <f>SUM(OSRRefH22_17x_0)</f>
        <v>17712</v>
      </c>
      <c r="I96" s="1"/>
      <c r="J96" s="5">
        <f t="shared" si="45"/>
        <v>1.3822090528762076E-2</v>
      </c>
      <c r="K96" s="1"/>
      <c r="L96" s="1">
        <f t="shared" si="46"/>
        <v>-5329.35</v>
      </c>
      <c r="M96" s="1"/>
      <c r="N96" s="5">
        <f t="shared" si="47"/>
        <v>-0.30088922764227644</v>
      </c>
      <c r="O96" s="13"/>
      <c r="P96" s="1">
        <f>SUM(OSRRefP22_17x_0)</f>
        <v>219872.14</v>
      </c>
      <c r="Q96" s="1"/>
      <c r="R96" s="5">
        <f t="shared" si="48"/>
        <v>3.1481913890957974E-2</v>
      </c>
      <c r="S96" s="1"/>
      <c r="T96" s="1">
        <f>SUM(OSRRefT22_17x_0)</f>
        <v>210907</v>
      </c>
      <c r="U96" s="1"/>
      <c r="V96" s="5">
        <f t="shared" si="49"/>
        <v>2.5195659485070854E-2</v>
      </c>
      <c r="W96" s="1"/>
      <c r="X96" s="1">
        <f t="shared" si="50"/>
        <v>8965.140000000014</v>
      </c>
      <c r="Y96" s="1"/>
      <c r="Z96" s="5">
        <f t="shared" si="51"/>
        <v>4.2507550721408077E-2</v>
      </c>
    </row>
    <row r="97" spans="1:26" s="24" customFormat="1" hidden="1" outlineLevel="2" x14ac:dyDescent="0.25">
      <c r="A97" s="25"/>
      <c r="B97" s="11" t="str">
        <f>CONCATENATE("          ", "6371", " - ", "COMPUTER SOFTWARE MAINTENANCE")</f>
        <v xml:space="preserve">          6371 - COMPUTER SOFTWARE MAINTENANCE</v>
      </c>
      <c r="C97" s="11"/>
      <c r="D97" s="6"/>
      <c r="E97" s="2"/>
      <c r="F97" s="7">
        <f t="shared" si="44"/>
        <v>0</v>
      </c>
      <c r="G97" s="2"/>
      <c r="H97" s="6">
        <v>50</v>
      </c>
      <c r="I97" s="2"/>
      <c r="J97" s="7">
        <f t="shared" si="45"/>
        <v>3.901899991181706E-5</v>
      </c>
      <c r="K97" s="2"/>
      <c r="L97" s="6">
        <f t="shared" si="46"/>
        <v>-50</v>
      </c>
      <c r="M97" s="2"/>
      <c r="N97" s="7">
        <f t="shared" si="47"/>
        <v>-1</v>
      </c>
      <c r="O97" s="11"/>
      <c r="P97" s="6">
        <v>12244.62</v>
      </c>
      <c r="Q97" s="2"/>
      <c r="R97" s="7">
        <f t="shared" si="48"/>
        <v>1.7532192685599088E-3</v>
      </c>
      <c r="S97" s="2"/>
      <c r="T97" s="6">
        <v>2400</v>
      </c>
      <c r="U97" s="2"/>
      <c r="V97" s="7">
        <f t="shared" si="49"/>
        <v>2.8671207102737252E-4</v>
      </c>
      <c r="W97" s="2"/>
      <c r="X97" s="6">
        <f t="shared" si="50"/>
        <v>9844.6200000000008</v>
      </c>
      <c r="Y97" s="2"/>
      <c r="Z97" s="7">
        <f t="shared" si="51"/>
        <v>4.1019250000000005</v>
      </c>
    </row>
    <row r="98" spans="1:26" s="24" customFormat="1" hidden="1" outlineLevel="2" x14ac:dyDescent="0.25">
      <c r="A98" s="25"/>
      <c r="B98" s="11" t="str">
        <f>CONCATENATE("          ", "6372", " - ", "COMPUTER HARDWARE MAINTENANCE")</f>
        <v xml:space="preserve">          6372 - COMPUTER HARDWARE MAINTENANCE</v>
      </c>
      <c r="C98" s="11"/>
      <c r="D98" s="6"/>
      <c r="E98" s="2"/>
      <c r="F98" s="7">
        <f t="shared" si="44"/>
        <v>0</v>
      </c>
      <c r="G98" s="2"/>
      <c r="H98" s="6"/>
      <c r="I98" s="2"/>
      <c r="J98" s="7">
        <f t="shared" si="45"/>
        <v>0</v>
      </c>
      <c r="K98" s="2"/>
      <c r="L98" s="6">
        <f t="shared" si="46"/>
        <v>0</v>
      </c>
      <c r="M98" s="2"/>
      <c r="N98" s="7">
        <f t="shared" si="47"/>
        <v>0</v>
      </c>
      <c r="O98" s="11"/>
      <c r="P98" s="6">
        <v>-0.01</v>
      </c>
      <c r="Q98" s="2"/>
      <c r="R98" s="7">
        <f t="shared" si="48"/>
        <v>-1.4318282384916058E-9</v>
      </c>
      <c r="S98" s="2"/>
      <c r="T98" s="6">
        <v>200</v>
      </c>
      <c r="U98" s="2"/>
      <c r="V98" s="7">
        <f t="shared" si="49"/>
        <v>2.3892672585614374E-5</v>
      </c>
      <c r="W98" s="2"/>
      <c r="X98" s="6">
        <f t="shared" si="50"/>
        <v>-200.01</v>
      </c>
      <c r="Y98" s="2"/>
      <c r="Z98" s="7">
        <f t="shared" si="51"/>
        <v>-1.0000499999999999</v>
      </c>
    </row>
    <row r="99" spans="1:26" s="24" customFormat="1" hidden="1" outlineLevel="2" x14ac:dyDescent="0.25">
      <c r="A99" s="25"/>
      <c r="B99" s="11" t="str">
        <f>CONCATENATE("          ", "6373", " - ", "MAINTENANCE CONTRACTS")</f>
        <v xml:space="preserve">          6373 - MAINTENANCE CONTRACTS</v>
      </c>
      <c r="C99" s="11"/>
      <c r="D99" s="6">
        <v>8004.29</v>
      </c>
      <c r="E99" s="2"/>
      <c r="F99" s="7">
        <f t="shared" si="44"/>
        <v>1.6983700163934298E-2</v>
      </c>
      <c r="G99" s="2"/>
      <c r="H99" s="6">
        <v>2448</v>
      </c>
      <c r="I99" s="2"/>
      <c r="J99" s="7">
        <f t="shared" si="45"/>
        <v>1.9103702356825633E-3</v>
      </c>
      <c r="K99" s="2"/>
      <c r="L99" s="6">
        <f t="shared" si="46"/>
        <v>5556.29</v>
      </c>
      <c r="M99" s="2"/>
      <c r="N99" s="7">
        <f t="shared" si="47"/>
        <v>2.2697263071895426</v>
      </c>
      <c r="O99" s="11"/>
      <c r="P99" s="6">
        <v>80539.78</v>
      </c>
      <c r="Q99" s="2"/>
      <c r="R99" s="7">
        <f t="shared" si="48"/>
        <v>1.1531913132590147E-2</v>
      </c>
      <c r="S99" s="2"/>
      <c r="T99" s="6">
        <v>20919</v>
      </c>
      <c r="U99" s="2"/>
      <c r="V99" s="7">
        <f t="shared" si="49"/>
        <v>2.4990540890923356E-3</v>
      </c>
      <c r="W99" s="2"/>
      <c r="X99" s="6">
        <f t="shared" si="50"/>
        <v>59620.78</v>
      </c>
      <c r="Y99" s="2"/>
      <c r="Z99" s="7">
        <f t="shared" si="51"/>
        <v>2.8500779195946269</v>
      </c>
    </row>
    <row r="100" spans="1:26" s="24" customFormat="1" hidden="1" outlineLevel="2" x14ac:dyDescent="0.25">
      <c r="A100" s="25"/>
      <c r="B100" s="11" t="str">
        <f>CONCATENATE("          ", "6375", " - ", "OUTSIDE REPAIRS &amp; MAINTENANCE")</f>
        <v xml:space="preserve">          6375 - OUTSIDE REPAIRS &amp; MAINTENANCE</v>
      </c>
      <c r="C100" s="11"/>
      <c r="D100" s="6">
        <v>4378.3599999999997</v>
      </c>
      <c r="E100" s="2"/>
      <c r="F100" s="7">
        <f t="shared" si="44"/>
        <v>9.2901123584681923E-3</v>
      </c>
      <c r="G100" s="2"/>
      <c r="H100" s="6">
        <v>15214</v>
      </c>
      <c r="I100" s="2"/>
      <c r="J100" s="7">
        <f t="shared" si="45"/>
        <v>1.1872701293167694E-2</v>
      </c>
      <c r="K100" s="2"/>
      <c r="L100" s="6">
        <f t="shared" si="46"/>
        <v>-10835.64</v>
      </c>
      <c r="M100" s="2"/>
      <c r="N100" s="7">
        <f t="shared" si="47"/>
        <v>-0.71221506507164445</v>
      </c>
      <c r="O100" s="11"/>
      <c r="P100" s="6">
        <v>127087.75</v>
      </c>
      <c r="Q100" s="2"/>
      <c r="R100" s="7">
        <f t="shared" si="48"/>
        <v>1.8196782921636158E-2</v>
      </c>
      <c r="S100" s="2"/>
      <c r="T100" s="6">
        <v>187388</v>
      </c>
      <c r="U100" s="2"/>
      <c r="V100" s="7">
        <f t="shared" si="49"/>
        <v>2.2386000652365533E-2</v>
      </c>
      <c r="W100" s="2"/>
      <c r="X100" s="6">
        <f t="shared" si="50"/>
        <v>-60300.25</v>
      </c>
      <c r="Y100" s="2"/>
      <c r="Z100" s="7">
        <f t="shared" si="51"/>
        <v>-0.32179355134800519</v>
      </c>
    </row>
    <row r="101" spans="1:26" s="27" customFormat="1" outlineLevel="1" collapsed="1" x14ac:dyDescent="0.25">
      <c r="A101" s="26"/>
      <c r="B101" s="13" t="str">
        <f>CONCATENATE("     ","Royalty &amp; Commissions                             ")</f>
        <v xml:space="preserve">     Royalty &amp; Commissions                             </v>
      </c>
      <c r="C101" s="13"/>
      <c r="D101" s="1">
        <f>SUM(OSRRefD22_18x_0)</f>
        <v>26181.17</v>
      </c>
      <c r="E101" s="1"/>
      <c r="F101" s="5">
        <f t="shared" ref="F101:F105" si="52">IF(D$12=0,0,D101/D$12)</f>
        <v>5.5551852971468009E-2</v>
      </c>
      <c r="G101" s="1"/>
      <c r="H101" s="1">
        <f>SUM(OSRRefH22_18x_0)</f>
        <v>67816</v>
      </c>
      <c r="I101" s="1"/>
      <c r="J101" s="5">
        <f t="shared" ref="J101:J105" si="53">IF(H$12=0,0,H101/H$12)</f>
        <v>5.2922249960395712E-2</v>
      </c>
      <c r="K101" s="1"/>
      <c r="L101" s="1">
        <f t="shared" ref="L101:L105" si="54">+D101-H101</f>
        <v>-41634.83</v>
      </c>
      <c r="M101" s="1"/>
      <c r="N101" s="5">
        <f t="shared" ref="N101:N105" si="55">IF(H101=0,0,L101/H101)</f>
        <v>-0.6139381561873305</v>
      </c>
      <c r="O101" s="13"/>
      <c r="P101" s="1">
        <f>SUM(OSRRefP22_18x_0)</f>
        <v>258319.61</v>
      </c>
      <c r="Q101" s="1"/>
      <c r="R101" s="5">
        <f t="shared" ref="R101:R105" si="56">IF(P$12=0,0,P101/P$12)</f>
        <v>3.6986931215413854E-2</v>
      </c>
      <c r="S101" s="1"/>
      <c r="T101" s="1">
        <f>SUM(OSRRefT22_18x_0)</f>
        <v>303400</v>
      </c>
      <c r="U101" s="1"/>
      <c r="V101" s="5">
        <f t="shared" ref="V101:V105" si="57">IF(T$12=0,0,T101/T$12)</f>
        <v>3.6245184312377006E-2</v>
      </c>
      <c r="W101" s="1"/>
      <c r="X101" s="1">
        <f t="shared" ref="X101:X105" si="58">+P101-T101</f>
        <v>-45080.390000000014</v>
      </c>
      <c r="Y101" s="1"/>
      <c r="Z101" s="5">
        <f t="shared" ref="Z101:Z105" si="59">IF(T101=0,0,X101/T101)</f>
        <v>-0.14858401450230724</v>
      </c>
    </row>
    <row r="102" spans="1:26" s="24" customFormat="1" hidden="1" outlineLevel="2" x14ac:dyDescent="0.25">
      <c r="A102" s="25"/>
      <c r="B102" s="11" t="str">
        <f>CONCATENATE("          ", "6252", " - ", "ROYALTY DUE CSTV")</f>
        <v xml:space="preserve">          6252 - ROYALTY DUE CSTV</v>
      </c>
      <c r="C102" s="11"/>
      <c r="D102" s="6"/>
      <c r="E102" s="2"/>
      <c r="F102" s="7">
        <f t="shared" si="52"/>
        <v>0</v>
      </c>
      <c r="G102" s="2"/>
      <c r="H102" s="6">
        <v>15000</v>
      </c>
      <c r="I102" s="2"/>
      <c r="J102" s="7">
        <f t="shared" si="53"/>
        <v>1.1705699973545118E-2</v>
      </c>
      <c r="K102" s="2"/>
      <c r="L102" s="6">
        <f t="shared" si="54"/>
        <v>-15000</v>
      </c>
      <c r="M102" s="2"/>
      <c r="N102" s="7">
        <f t="shared" si="55"/>
        <v>-1</v>
      </c>
      <c r="O102" s="11"/>
      <c r="P102" s="6"/>
      <c r="Q102" s="2"/>
      <c r="R102" s="7">
        <f t="shared" si="56"/>
        <v>0</v>
      </c>
      <c r="S102" s="2"/>
      <c r="T102" s="6">
        <v>20400</v>
      </c>
      <c r="U102" s="2"/>
      <c r="V102" s="7">
        <f t="shared" si="57"/>
        <v>2.4370526037326662E-3</v>
      </c>
      <c r="W102" s="2"/>
      <c r="X102" s="6">
        <f t="shared" si="58"/>
        <v>-20400</v>
      </c>
      <c r="Y102" s="2"/>
      <c r="Z102" s="7">
        <f t="shared" si="59"/>
        <v>-1</v>
      </c>
    </row>
    <row r="103" spans="1:26" s="24" customFormat="1" hidden="1" outlineLevel="2" x14ac:dyDescent="0.25">
      <c r="A103" s="25"/>
      <c r="B103" s="11" t="str">
        <f>CONCATENATE("          ", "6253", " - ", "ROYALTY DUE ATHLETICS-LRG")</f>
        <v xml:space="preserve">          6253 - ROYALTY DUE ATHLETICS-LRG</v>
      </c>
      <c r="C103" s="11"/>
      <c r="D103" s="6"/>
      <c r="E103" s="2"/>
      <c r="F103" s="7">
        <f t="shared" si="52"/>
        <v>0</v>
      </c>
      <c r="G103" s="2"/>
      <c r="H103" s="6">
        <v>32000</v>
      </c>
      <c r="I103" s="2"/>
      <c r="J103" s="7">
        <f t="shared" si="53"/>
        <v>2.4972159943562919E-2</v>
      </c>
      <c r="K103" s="2"/>
      <c r="L103" s="6">
        <f t="shared" si="54"/>
        <v>-32000</v>
      </c>
      <c r="M103" s="2"/>
      <c r="N103" s="7">
        <f t="shared" si="55"/>
        <v>-1</v>
      </c>
      <c r="O103" s="11"/>
      <c r="P103" s="6"/>
      <c r="Q103" s="2"/>
      <c r="R103" s="7">
        <f t="shared" si="56"/>
        <v>0</v>
      </c>
      <c r="S103" s="2"/>
      <c r="T103" s="6">
        <v>123000</v>
      </c>
      <c r="U103" s="2"/>
      <c r="V103" s="7">
        <f t="shared" si="57"/>
        <v>1.4693993640152839E-2</v>
      </c>
      <c r="W103" s="2"/>
      <c r="X103" s="6">
        <f t="shared" si="58"/>
        <v>-123000</v>
      </c>
      <c r="Y103" s="2"/>
      <c r="Z103" s="7">
        <f t="shared" si="59"/>
        <v>-1</v>
      </c>
    </row>
    <row r="104" spans="1:26" s="24" customFormat="1" hidden="1" outlineLevel="2" x14ac:dyDescent="0.25">
      <c r="A104" s="25"/>
      <c r="B104" s="11" t="str">
        <f>CONCATENATE("          ", "6254", " - ", "ROYALTY &amp; COMMISSIONS")</f>
        <v xml:space="preserve">          6254 - ROYALTY &amp; COMMISSIONS</v>
      </c>
      <c r="C104" s="11"/>
      <c r="D104" s="6">
        <v>19223.37</v>
      </c>
      <c r="E104" s="2"/>
      <c r="F104" s="7">
        <f t="shared" si="52"/>
        <v>4.0788621129465526E-2</v>
      </c>
      <c r="G104" s="2"/>
      <c r="H104" s="6"/>
      <c r="I104" s="2"/>
      <c r="J104" s="7">
        <f t="shared" si="53"/>
        <v>0</v>
      </c>
      <c r="K104" s="2"/>
      <c r="L104" s="6">
        <f t="shared" si="54"/>
        <v>19223.37</v>
      </c>
      <c r="M104" s="2"/>
      <c r="N104" s="7">
        <f t="shared" si="55"/>
        <v>0</v>
      </c>
      <c r="O104" s="11"/>
      <c r="P104" s="6">
        <v>153649.65</v>
      </c>
      <c r="Q104" s="2"/>
      <c r="R104" s="7">
        <f t="shared" si="56"/>
        <v>2.1999990770435175E-2</v>
      </c>
      <c r="S104" s="2"/>
      <c r="T104" s="6">
        <v>6117</v>
      </c>
      <c r="U104" s="2"/>
      <c r="V104" s="7">
        <f t="shared" si="57"/>
        <v>7.3075739103101568E-4</v>
      </c>
      <c r="W104" s="2"/>
      <c r="X104" s="6">
        <f t="shared" si="58"/>
        <v>147532.65</v>
      </c>
      <c r="Y104" s="2"/>
      <c r="Z104" s="7">
        <f t="shared" si="59"/>
        <v>24.118464933791074</v>
      </c>
    </row>
    <row r="105" spans="1:26" s="24" customFormat="1" hidden="1" outlineLevel="2" x14ac:dyDescent="0.25">
      <c r="A105" s="25"/>
      <c r="B105" s="11" t="str">
        <f>CONCATENATE("          ", "6259", " - ", "ROYALTY &amp; COMMISSIONS")</f>
        <v xml:space="preserve">          6259 - ROYALTY &amp; COMMISSIONS</v>
      </c>
      <c r="C105" s="11"/>
      <c r="D105" s="6">
        <v>6957.8</v>
      </c>
      <c r="E105" s="2"/>
      <c r="F105" s="7">
        <f t="shared" si="52"/>
        <v>1.4763231842002483E-2</v>
      </c>
      <c r="G105" s="2"/>
      <c r="H105" s="6">
        <v>20816</v>
      </c>
      <c r="I105" s="2"/>
      <c r="J105" s="7">
        <f t="shared" si="53"/>
        <v>1.624439004328768E-2</v>
      </c>
      <c r="K105" s="2"/>
      <c r="L105" s="6">
        <f t="shared" si="54"/>
        <v>-13858.2</v>
      </c>
      <c r="M105" s="2"/>
      <c r="N105" s="7">
        <f t="shared" si="55"/>
        <v>-0.66574750192159882</v>
      </c>
      <c r="O105" s="11"/>
      <c r="P105" s="6">
        <v>104669.95999999999</v>
      </c>
      <c r="Q105" s="2"/>
      <c r="R105" s="7">
        <f t="shared" si="56"/>
        <v>1.4986940444978683E-2</v>
      </c>
      <c r="S105" s="2"/>
      <c r="T105" s="6">
        <v>153883</v>
      </c>
      <c r="U105" s="2"/>
      <c r="V105" s="7">
        <f t="shared" si="57"/>
        <v>1.8383380677460485E-2</v>
      </c>
      <c r="W105" s="2"/>
      <c r="X105" s="6">
        <f t="shared" si="58"/>
        <v>-49213.040000000008</v>
      </c>
      <c r="Y105" s="2"/>
      <c r="Z105" s="7">
        <f t="shared" si="59"/>
        <v>-0.31980816594425643</v>
      </c>
    </row>
    <row r="106" spans="1:26" s="27" customFormat="1" outlineLevel="1" collapsed="1" x14ac:dyDescent="0.25">
      <c r="A106" s="26"/>
      <c r="B106" s="13" t="str">
        <f>CONCATENATE("     ","Services                                          ")</f>
        <v xml:space="preserve">     Services                                          </v>
      </c>
      <c r="C106" s="13"/>
      <c r="D106" s="1">
        <f>SUM(OSRRefD22_19x_0)</f>
        <v>27167.65</v>
      </c>
      <c r="E106" s="1"/>
      <c r="F106" s="5">
        <f t="shared" ref="F106:F112" si="60">IF(D$12=0,0,D106/D$12)</f>
        <v>5.7644990593632865E-2</v>
      </c>
      <c r="G106" s="1"/>
      <c r="H106" s="1">
        <f>SUM(OSRRefH22_19x_0)</f>
        <v>24149</v>
      </c>
      <c r="I106" s="1"/>
      <c r="J106" s="5">
        <f t="shared" ref="J106:J112" si="61">IF(H$12=0,0,H106/H$12)</f>
        <v>1.8845396577409405E-2</v>
      </c>
      <c r="K106" s="1"/>
      <c r="L106" s="1">
        <f t="shared" ref="L106:L112" si="62">+D106-H106</f>
        <v>3018.6500000000015</v>
      </c>
      <c r="M106" s="1"/>
      <c r="N106" s="5">
        <f t="shared" ref="N106:N112" si="63">IF(H106=0,0,L106/H106)</f>
        <v>0.1250010352395545</v>
      </c>
      <c r="O106" s="13"/>
      <c r="P106" s="1">
        <f>SUM(OSRRefP22_19x_0)</f>
        <v>222974.89</v>
      </c>
      <c r="Q106" s="1"/>
      <c r="R106" s="5">
        <f t="shared" ref="R106:R112" si="64">IF(P$12=0,0,P106/P$12)</f>
        <v>3.1926174397655958E-2</v>
      </c>
      <c r="S106" s="1"/>
      <c r="T106" s="1">
        <f>SUM(OSRRefT22_19x_0)</f>
        <v>210393</v>
      </c>
      <c r="U106" s="1"/>
      <c r="V106" s="5">
        <f t="shared" ref="V106:V112" si="65">IF(T$12=0,0,T106/T$12)</f>
        <v>2.5134255316525824E-2</v>
      </c>
      <c r="W106" s="1"/>
      <c r="X106" s="1">
        <f t="shared" ref="X106:X112" si="66">+P106-T106</f>
        <v>12581.890000000014</v>
      </c>
      <c r="Y106" s="1"/>
      <c r="Z106" s="5">
        <f t="shared" ref="Z106:Z112" si="67">IF(T106=0,0,X106/T106)</f>
        <v>5.9801847019625244E-2</v>
      </c>
    </row>
    <row r="107" spans="1:26" s="24" customFormat="1" hidden="1" outlineLevel="2" x14ac:dyDescent="0.25">
      <c r="A107" s="25"/>
      <c r="B107" s="11" t="str">
        <f>CONCATENATE("          ", "6281", " - ", "STORAGE FEE")</f>
        <v xml:space="preserve">          6281 - STORAGE FEE</v>
      </c>
      <c r="C107" s="11"/>
      <c r="D107" s="6"/>
      <c r="E107" s="2"/>
      <c r="F107" s="7">
        <f t="shared" si="60"/>
        <v>0</v>
      </c>
      <c r="G107" s="2"/>
      <c r="H107" s="6"/>
      <c r="I107" s="2"/>
      <c r="J107" s="7">
        <f t="shared" si="61"/>
        <v>0</v>
      </c>
      <c r="K107" s="2"/>
      <c r="L107" s="6">
        <f t="shared" si="62"/>
        <v>0</v>
      </c>
      <c r="M107" s="2"/>
      <c r="N107" s="7">
        <f t="shared" si="63"/>
        <v>0</v>
      </c>
      <c r="O107" s="11"/>
      <c r="P107" s="6"/>
      <c r="Q107" s="2"/>
      <c r="R107" s="7">
        <f t="shared" si="64"/>
        <v>0</v>
      </c>
      <c r="S107" s="2"/>
      <c r="T107" s="6">
        <v>0</v>
      </c>
      <c r="U107" s="2"/>
      <c r="V107" s="7">
        <f t="shared" si="65"/>
        <v>0</v>
      </c>
      <c r="W107" s="2"/>
      <c r="X107" s="6">
        <f t="shared" si="66"/>
        <v>0</v>
      </c>
      <c r="Y107" s="2"/>
      <c r="Z107" s="7">
        <f t="shared" si="67"/>
        <v>0</v>
      </c>
    </row>
    <row r="108" spans="1:26" s="24" customFormat="1" hidden="1" outlineLevel="2" x14ac:dyDescent="0.25">
      <c r="A108" s="25"/>
      <c r="B108" s="11" t="str">
        <f>CONCATENATE("          ", "6282", " - ", "JANITORIAL/EXTERMINATOR EXPENS")</f>
        <v xml:space="preserve">          6282 - JANITORIAL/EXTERMINATOR EXPENS</v>
      </c>
      <c r="C108" s="11"/>
      <c r="D108" s="6">
        <v>1747.89</v>
      </c>
      <c r="E108" s="2"/>
      <c r="F108" s="7">
        <f t="shared" si="60"/>
        <v>3.7087161609011066E-3</v>
      </c>
      <c r="G108" s="2"/>
      <c r="H108" s="6">
        <v>1919</v>
      </c>
      <c r="I108" s="2"/>
      <c r="J108" s="7">
        <f t="shared" si="61"/>
        <v>1.4975492166155388E-3</v>
      </c>
      <c r="K108" s="2"/>
      <c r="L108" s="6">
        <f t="shared" si="62"/>
        <v>-171.1099999999999</v>
      </c>
      <c r="M108" s="2"/>
      <c r="N108" s="7">
        <f t="shared" si="63"/>
        <v>-8.9166232412714902E-2</v>
      </c>
      <c r="O108" s="11"/>
      <c r="P108" s="6">
        <v>18683.830000000002</v>
      </c>
      <c r="Q108" s="2"/>
      <c r="R108" s="7">
        <f t="shared" si="64"/>
        <v>2.6752035397176622E-3</v>
      </c>
      <c r="S108" s="2"/>
      <c r="T108" s="6">
        <v>16290</v>
      </c>
      <c r="U108" s="2"/>
      <c r="V108" s="7">
        <f t="shared" si="65"/>
        <v>1.9460581820982907E-3</v>
      </c>
      <c r="W108" s="2"/>
      <c r="X108" s="6">
        <f t="shared" si="66"/>
        <v>2393.8300000000017</v>
      </c>
      <c r="Y108" s="2"/>
      <c r="Z108" s="7">
        <f t="shared" si="67"/>
        <v>0.14695089011663609</v>
      </c>
    </row>
    <row r="109" spans="1:26" s="24" customFormat="1" hidden="1" outlineLevel="2" x14ac:dyDescent="0.25">
      <c r="A109" s="25"/>
      <c r="B109" s="11" t="str">
        <f>CONCATENATE("          ", "6283", " - ", "PLANT SERVICE")</f>
        <v xml:space="preserve">          6283 - PLANT SERVICE</v>
      </c>
      <c r="C109" s="11"/>
      <c r="D109" s="6">
        <v>399.56</v>
      </c>
      <c r="E109" s="2"/>
      <c r="F109" s="7">
        <f t="shared" si="60"/>
        <v>8.4779627393580042E-4</v>
      </c>
      <c r="G109" s="2"/>
      <c r="H109" s="6">
        <v>185</v>
      </c>
      <c r="I109" s="2"/>
      <c r="J109" s="7">
        <f t="shared" si="61"/>
        <v>1.4437029967372312E-4</v>
      </c>
      <c r="K109" s="2"/>
      <c r="L109" s="6">
        <f t="shared" si="62"/>
        <v>214.56</v>
      </c>
      <c r="M109" s="2"/>
      <c r="N109" s="7">
        <f t="shared" si="63"/>
        <v>1.1597837837837839</v>
      </c>
      <c r="O109" s="11"/>
      <c r="P109" s="6">
        <v>1398.46</v>
      </c>
      <c r="Q109" s="2"/>
      <c r="R109" s="7">
        <f t="shared" si="64"/>
        <v>2.002354518400971E-4</v>
      </c>
      <c r="S109" s="2"/>
      <c r="T109" s="6">
        <v>1630</v>
      </c>
      <c r="U109" s="2"/>
      <c r="V109" s="7">
        <f t="shared" si="65"/>
        <v>1.9472528157275714E-4</v>
      </c>
      <c r="W109" s="2"/>
      <c r="X109" s="6">
        <f t="shared" si="66"/>
        <v>-231.53999999999996</v>
      </c>
      <c r="Y109" s="2"/>
      <c r="Z109" s="7">
        <f t="shared" si="67"/>
        <v>-0.14204907975460121</v>
      </c>
    </row>
    <row r="110" spans="1:26" s="24" customFormat="1" hidden="1" outlineLevel="2" x14ac:dyDescent="0.25">
      <c r="A110" s="25"/>
      <c r="B110" s="11" t="str">
        <f>CONCATENATE("          ", "6284", " - ", "TRASH REMOVAL EXPENSE")</f>
        <v xml:space="preserve">          6284 - TRASH REMOVAL EXPENSE</v>
      </c>
      <c r="C110" s="11"/>
      <c r="D110" s="6">
        <v>5419</v>
      </c>
      <c r="E110" s="2"/>
      <c r="F110" s="7">
        <f t="shared" si="60"/>
        <v>1.1498168005951803E-2</v>
      </c>
      <c r="G110" s="2"/>
      <c r="H110" s="6">
        <v>3665</v>
      </c>
      <c r="I110" s="2"/>
      <c r="J110" s="7">
        <f t="shared" si="61"/>
        <v>2.8600926935361906E-3</v>
      </c>
      <c r="K110" s="2"/>
      <c r="L110" s="6">
        <f t="shared" si="62"/>
        <v>1754</v>
      </c>
      <c r="M110" s="2"/>
      <c r="N110" s="7">
        <f t="shared" si="63"/>
        <v>0.47858117326057298</v>
      </c>
      <c r="O110" s="11"/>
      <c r="P110" s="6">
        <v>40883</v>
      </c>
      <c r="Q110" s="2"/>
      <c r="R110" s="7">
        <f t="shared" si="64"/>
        <v>5.8537433874252323E-3</v>
      </c>
      <c r="S110" s="2"/>
      <c r="T110" s="6">
        <v>32985</v>
      </c>
      <c r="U110" s="2"/>
      <c r="V110" s="7">
        <f t="shared" si="65"/>
        <v>3.9404990261824504E-3</v>
      </c>
      <c r="W110" s="2"/>
      <c r="X110" s="6">
        <f t="shared" si="66"/>
        <v>7898</v>
      </c>
      <c r="Y110" s="2"/>
      <c r="Z110" s="7">
        <f t="shared" si="67"/>
        <v>0.23944217068364407</v>
      </c>
    </row>
    <row r="111" spans="1:26" s="24" customFormat="1" hidden="1" outlineLevel="2" x14ac:dyDescent="0.25">
      <c r="A111" s="25"/>
      <c r="B111" s="11" t="str">
        <f>CONCATENATE("          ", "6285", " - ", "JANITORIAL SERVICES")</f>
        <v xml:space="preserve">          6285 - JANITORIAL SERVICES</v>
      </c>
      <c r="C111" s="11"/>
      <c r="D111" s="6">
        <v>18067.37</v>
      </c>
      <c r="E111" s="2"/>
      <c r="F111" s="7">
        <f t="shared" si="60"/>
        <v>3.8335791785512718E-2</v>
      </c>
      <c r="G111" s="2"/>
      <c r="H111" s="6">
        <v>13398</v>
      </c>
      <c r="I111" s="2"/>
      <c r="J111" s="7">
        <f t="shared" si="61"/>
        <v>1.04555312163705E-2</v>
      </c>
      <c r="K111" s="2"/>
      <c r="L111" s="6">
        <f t="shared" si="62"/>
        <v>4669.369999999999</v>
      </c>
      <c r="M111" s="2"/>
      <c r="N111" s="7">
        <f t="shared" si="63"/>
        <v>0.34851246454694723</v>
      </c>
      <c r="O111" s="11"/>
      <c r="P111" s="6">
        <v>128941.35</v>
      </c>
      <c r="Q111" s="2"/>
      <c r="R111" s="7">
        <f t="shared" si="64"/>
        <v>1.8462186603922962E-2</v>
      </c>
      <c r="S111" s="2"/>
      <c r="T111" s="6">
        <v>120702.00000000001</v>
      </c>
      <c r="U111" s="2"/>
      <c r="V111" s="7">
        <f t="shared" si="65"/>
        <v>1.4419466832144132E-2</v>
      </c>
      <c r="W111" s="2"/>
      <c r="X111" s="6">
        <f t="shared" si="66"/>
        <v>8239.3499999999913</v>
      </c>
      <c r="Y111" s="2"/>
      <c r="Z111" s="7">
        <f t="shared" si="67"/>
        <v>6.8261917780981174E-2</v>
      </c>
    </row>
    <row r="112" spans="1:26" s="24" customFormat="1" hidden="1" outlineLevel="2" x14ac:dyDescent="0.25">
      <c r="A112" s="25"/>
      <c r="B112" s="11" t="str">
        <f>CONCATENATE("          ", "6286", " - ", "LAUNDRY EXPENSE")</f>
        <v xml:space="preserve">          6286 - LAUNDRY EXPENSE</v>
      </c>
      <c r="C112" s="11"/>
      <c r="D112" s="6">
        <v>1533.83</v>
      </c>
      <c r="E112" s="2"/>
      <c r="F112" s="7">
        <f t="shared" si="60"/>
        <v>3.2545183673314362E-3</v>
      </c>
      <c r="G112" s="2"/>
      <c r="H112" s="6">
        <v>4982</v>
      </c>
      <c r="I112" s="2"/>
      <c r="J112" s="7">
        <f t="shared" si="61"/>
        <v>3.8878531512134521E-3</v>
      </c>
      <c r="K112" s="2"/>
      <c r="L112" s="6">
        <f t="shared" si="62"/>
        <v>-3448.17</v>
      </c>
      <c r="M112" s="2"/>
      <c r="N112" s="7">
        <f t="shared" si="63"/>
        <v>-0.69212565234845447</v>
      </c>
      <c r="O112" s="11"/>
      <c r="P112" s="6">
        <v>33068.25</v>
      </c>
      <c r="Q112" s="2"/>
      <c r="R112" s="7">
        <f t="shared" si="64"/>
        <v>4.7348054147500042E-3</v>
      </c>
      <c r="S112" s="2"/>
      <c r="T112" s="6">
        <v>38786</v>
      </c>
      <c r="U112" s="2"/>
      <c r="V112" s="7">
        <f t="shared" si="65"/>
        <v>4.6335059945281955E-3</v>
      </c>
      <c r="W112" s="2"/>
      <c r="X112" s="6">
        <f t="shared" si="66"/>
        <v>-5717.75</v>
      </c>
      <c r="Y112" s="2"/>
      <c r="Z112" s="7">
        <f t="shared" si="67"/>
        <v>-0.14741788274119527</v>
      </c>
    </row>
    <row r="113" spans="1:26" s="27" customFormat="1" outlineLevel="1" collapsed="1" x14ac:dyDescent="0.25">
      <c r="A113" s="26"/>
      <c r="B113" s="13" t="str">
        <f>CONCATENATE("     ","Subscriptions &amp; Dues                              ")</f>
        <v xml:space="preserve">     Subscriptions &amp; Dues                              </v>
      </c>
      <c r="C113" s="13"/>
      <c r="D113" s="1">
        <f>SUM(OSRRefD22_20x_0)</f>
        <v>161.99</v>
      </c>
      <c r="E113" s="1"/>
      <c r="F113" s="5">
        <f t="shared" ref="F113:F115" si="68">IF(D$12=0,0,D113/D$12)</f>
        <v>3.4371438185719366E-4</v>
      </c>
      <c r="G113" s="1"/>
      <c r="H113" s="1">
        <f>SUM(OSRRefH22_20x_0)</f>
        <v>574</v>
      </c>
      <c r="I113" s="1"/>
      <c r="J113" s="5">
        <f t="shared" ref="J113:J115" si="69">IF(H$12=0,0,H113/H$12)</f>
        <v>4.4793811898765983E-4</v>
      </c>
      <c r="K113" s="1"/>
      <c r="L113" s="1">
        <f t="shared" ref="L113:L115" si="70">+D113-H113</f>
        <v>-412.01</v>
      </c>
      <c r="M113" s="1"/>
      <c r="N113" s="5">
        <f t="shared" ref="N113:N115" si="71">IF(H113=0,0,L113/H113)</f>
        <v>-0.71778745644599307</v>
      </c>
      <c r="O113" s="13"/>
      <c r="P113" s="1">
        <f>SUM(OSRRefP22_20x_0)</f>
        <v>8707.5</v>
      </c>
      <c r="Q113" s="1"/>
      <c r="R113" s="5">
        <f t="shared" ref="R113:R115" si="72">IF(P$12=0,0,P113/P$12)</f>
        <v>1.2467644386665658E-3</v>
      </c>
      <c r="S113" s="1"/>
      <c r="T113" s="1">
        <f>SUM(OSRRefT22_20x_0)</f>
        <v>5291</v>
      </c>
      <c r="U113" s="1"/>
      <c r="V113" s="5">
        <f t="shared" ref="V113:V115" si="73">IF(T$12=0,0,T113/T$12)</f>
        <v>6.3208065325242831E-4</v>
      </c>
      <c r="W113" s="1"/>
      <c r="X113" s="1">
        <f t="shared" ref="X113:X115" si="74">+P113-T113</f>
        <v>3416.5</v>
      </c>
      <c r="Y113" s="1"/>
      <c r="Z113" s="5">
        <f t="shared" ref="Z113:Z115" si="75">IF(T113=0,0,X113/T113)</f>
        <v>0.64571914571914568</v>
      </c>
    </row>
    <row r="114" spans="1:26" s="24" customFormat="1" hidden="1" outlineLevel="2" x14ac:dyDescent="0.25">
      <c r="A114" s="25"/>
      <c r="B114" s="11" t="str">
        <f>CONCATENATE("          ", "6258", " - ", "MEMBERSHIP DUES")</f>
        <v xml:space="preserve">          6258 - MEMBERSHIP DUES</v>
      </c>
      <c r="C114" s="11"/>
      <c r="D114" s="6"/>
      <c r="E114" s="2"/>
      <c r="F114" s="7">
        <f t="shared" si="68"/>
        <v>0</v>
      </c>
      <c r="G114" s="2"/>
      <c r="H114" s="6"/>
      <c r="I114" s="2"/>
      <c r="J114" s="7">
        <f t="shared" si="69"/>
        <v>0</v>
      </c>
      <c r="K114" s="2"/>
      <c r="L114" s="6">
        <f t="shared" si="70"/>
        <v>0</v>
      </c>
      <c r="M114" s="2"/>
      <c r="N114" s="7">
        <f t="shared" si="71"/>
        <v>0</v>
      </c>
      <c r="O114" s="11"/>
      <c r="P114" s="6">
        <v>3730</v>
      </c>
      <c r="Q114" s="2"/>
      <c r="R114" s="7">
        <f t="shared" si="72"/>
        <v>5.3407193295736892E-4</v>
      </c>
      <c r="S114" s="2"/>
      <c r="T114" s="6">
        <v>300</v>
      </c>
      <c r="U114" s="2"/>
      <c r="V114" s="7">
        <f t="shared" si="73"/>
        <v>3.5839008878421565E-5</v>
      </c>
      <c r="W114" s="2"/>
      <c r="X114" s="6">
        <f t="shared" si="74"/>
        <v>3430</v>
      </c>
      <c r="Y114" s="2"/>
      <c r="Z114" s="7">
        <f t="shared" si="75"/>
        <v>11.433333333333334</v>
      </c>
    </row>
    <row r="115" spans="1:26" s="24" customFormat="1" hidden="1" outlineLevel="2" x14ac:dyDescent="0.25">
      <c r="A115" s="25"/>
      <c r="B115" s="11" t="str">
        <f>CONCATENATE("          ", "6275", " - ", "SUBSCRIPTIONS")</f>
        <v xml:space="preserve">          6275 - SUBSCRIPTIONS</v>
      </c>
      <c r="C115" s="11"/>
      <c r="D115" s="6">
        <v>161.99</v>
      </c>
      <c r="E115" s="2"/>
      <c r="F115" s="7">
        <f t="shared" si="68"/>
        <v>3.4371438185719366E-4</v>
      </c>
      <c r="G115" s="2"/>
      <c r="H115" s="6">
        <v>574</v>
      </c>
      <c r="I115" s="2"/>
      <c r="J115" s="7">
        <f t="shared" si="69"/>
        <v>4.4793811898765983E-4</v>
      </c>
      <c r="K115" s="2"/>
      <c r="L115" s="6">
        <f t="shared" si="70"/>
        <v>-412.01</v>
      </c>
      <c r="M115" s="2"/>
      <c r="N115" s="7">
        <f t="shared" si="71"/>
        <v>-0.71778745644599307</v>
      </c>
      <c r="O115" s="11"/>
      <c r="P115" s="6">
        <v>4977.5</v>
      </c>
      <c r="Q115" s="2"/>
      <c r="R115" s="7">
        <f t="shared" si="72"/>
        <v>7.1269250570919675E-4</v>
      </c>
      <c r="S115" s="2"/>
      <c r="T115" s="6">
        <v>4991</v>
      </c>
      <c r="U115" s="2"/>
      <c r="V115" s="7">
        <f t="shared" si="73"/>
        <v>5.9624164437400669E-4</v>
      </c>
      <c r="W115" s="2"/>
      <c r="X115" s="6">
        <f t="shared" si="74"/>
        <v>-13.5</v>
      </c>
      <c r="Y115" s="2"/>
      <c r="Z115" s="7">
        <f t="shared" si="75"/>
        <v>-2.7048687637747947E-3</v>
      </c>
    </row>
    <row r="116" spans="1:26" s="27" customFormat="1" outlineLevel="1" collapsed="1" x14ac:dyDescent="0.25">
      <c r="A116" s="26"/>
      <c r="B116" s="13" t="str">
        <f>CONCATENATE("     ","Supplies                                          ")</f>
        <v xml:space="preserve">     Supplies                                          </v>
      </c>
      <c r="C116" s="13"/>
      <c r="D116" s="1">
        <f>SUM(OSRRefD22_21x_0)</f>
        <v>13244.029999999999</v>
      </c>
      <c r="E116" s="1"/>
      <c r="F116" s="5">
        <f t="shared" ref="F116:F126" si="76">IF(D$12=0,0,D116/D$12)</f>
        <v>2.8101509875598049E-2</v>
      </c>
      <c r="G116" s="1"/>
      <c r="H116" s="1">
        <f>SUM(OSRRefH22_21x_0)</f>
        <v>18004.059999999998</v>
      </c>
      <c r="I116" s="1"/>
      <c r="J116" s="5">
        <f t="shared" ref="J116:J126" si="77">IF(H$12=0,0,H116/H$12)</f>
        <v>1.4050008311046979E-2</v>
      </c>
      <c r="K116" s="1"/>
      <c r="L116" s="1">
        <f t="shared" ref="L116:L126" si="78">+D116-H116</f>
        <v>-4760.0299999999988</v>
      </c>
      <c r="M116" s="1"/>
      <c r="N116" s="5">
        <f t="shared" ref="N116:N126" si="79">IF(H116=0,0,L116/H116)</f>
        <v>-0.26438647727234854</v>
      </c>
      <c r="O116" s="13"/>
      <c r="P116" s="1">
        <f>SUM(OSRRefP22_21x_0)</f>
        <v>215729.27999999997</v>
      </c>
      <c r="Q116" s="1"/>
      <c r="R116" s="5">
        <f t="shared" ref="R116:R126" si="80">IF(P$12=0,0,P116/P$12)</f>
        <v>3.0888727497346235E-2</v>
      </c>
      <c r="S116" s="1"/>
      <c r="T116" s="1">
        <f>SUM(OSRRefT22_21x_0)</f>
        <v>168893.86</v>
      </c>
      <c r="U116" s="1"/>
      <c r="V116" s="5">
        <f t="shared" ref="V116:V126" si="81">IF(T$12=0,0,T116/T$12)</f>
        <v>2.0176628493502959E-2</v>
      </c>
      <c r="W116" s="1"/>
      <c r="X116" s="1">
        <f t="shared" ref="X116:X126" si="82">+P116-T116</f>
        <v>46835.419999999984</v>
      </c>
      <c r="Y116" s="1"/>
      <c r="Z116" s="5">
        <f t="shared" ref="Z116:Z126" si="83">IF(T116=0,0,X116/T116)</f>
        <v>0.27730682453465144</v>
      </c>
    </row>
    <row r="117" spans="1:26" s="24" customFormat="1" hidden="1" outlineLevel="2" x14ac:dyDescent="0.25">
      <c r="A117" s="25"/>
      <c r="B117" s="11" t="str">
        <f>CONCATENATE("          ", "6234", " - ", "EXPENDABLE SUPPLIES &amp; EQUIPMEN")</f>
        <v xml:space="preserve">          6234 - EXPENDABLE SUPPLIES &amp; EQUIPMEN</v>
      </c>
      <c r="C117" s="11"/>
      <c r="D117" s="6">
        <v>972.3</v>
      </c>
      <c r="E117" s="2"/>
      <c r="F117" s="7">
        <f t="shared" si="76"/>
        <v>2.063050148032282E-3</v>
      </c>
      <c r="G117" s="2"/>
      <c r="H117" s="6">
        <v>1500</v>
      </c>
      <c r="I117" s="2"/>
      <c r="J117" s="7">
        <f t="shared" si="77"/>
        <v>1.1705699973545119E-3</v>
      </c>
      <c r="K117" s="2"/>
      <c r="L117" s="6">
        <f t="shared" si="78"/>
        <v>-527.70000000000005</v>
      </c>
      <c r="M117" s="2"/>
      <c r="N117" s="7">
        <f t="shared" si="79"/>
        <v>-0.35180000000000006</v>
      </c>
      <c r="O117" s="11"/>
      <c r="P117" s="6">
        <v>15636.88</v>
      </c>
      <c r="Q117" s="2"/>
      <c r="R117" s="7">
        <f t="shared" si="80"/>
        <v>2.2389326345904621E-3</v>
      </c>
      <c r="S117" s="2"/>
      <c r="T117" s="6">
        <v>9150</v>
      </c>
      <c r="U117" s="2"/>
      <c r="V117" s="7">
        <f t="shared" si="81"/>
        <v>1.0930897707918576E-3</v>
      </c>
      <c r="W117" s="2"/>
      <c r="X117" s="6">
        <f t="shared" si="82"/>
        <v>6486.8799999999992</v>
      </c>
      <c r="Y117" s="2"/>
      <c r="Z117" s="7">
        <f t="shared" si="83"/>
        <v>0.70894863387978135</v>
      </c>
    </row>
    <row r="118" spans="1:26" s="24" customFormat="1" hidden="1" outlineLevel="2" x14ac:dyDescent="0.25">
      <c r="A118" s="25"/>
      <c r="B118" s="11" t="str">
        <f>CONCATENATE("          ", "6237", " - ", "JANITORIAL SUPPLIES")</f>
        <v xml:space="preserve">          6237 - JANITORIAL SUPPLIES</v>
      </c>
      <c r="C118" s="11"/>
      <c r="D118" s="6">
        <v>5763.7</v>
      </c>
      <c r="E118" s="2"/>
      <c r="F118" s="7">
        <f t="shared" si="76"/>
        <v>1.2229560977284443E-2</v>
      </c>
      <c r="G118" s="2"/>
      <c r="H118" s="6">
        <v>4111</v>
      </c>
      <c r="I118" s="2"/>
      <c r="J118" s="7">
        <f t="shared" si="77"/>
        <v>3.2081421727495987E-3</v>
      </c>
      <c r="K118" s="2"/>
      <c r="L118" s="6">
        <f t="shared" si="78"/>
        <v>1652.6999999999998</v>
      </c>
      <c r="M118" s="2"/>
      <c r="N118" s="7">
        <f t="shared" si="79"/>
        <v>0.40201897348576981</v>
      </c>
      <c r="O118" s="11"/>
      <c r="P118" s="6">
        <v>52852.57</v>
      </c>
      <c r="Q118" s="2"/>
      <c r="R118" s="7">
        <f t="shared" si="80"/>
        <v>7.5675802202854288E-3</v>
      </c>
      <c r="S118" s="2"/>
      <c r="T118" s="6">
        <v>39729</v>
      </c>
      <c r="U118" s="2"/>
      <c r="V118" s="7">
        <f t="shared" si="81"/>
        <v>4.7461599457693671E-3</v>
      </c>
      <c r="W118" s="2"/>
      <c r="X118" s="6">
        <f t="shared" si="82"/>
        <v>13123.57</v>
      </c>
      <c r="Y118" s="2"/>
      <c r="Z118" s="7">
        <f t="shared" si="83"/>
        <v>0.33032721689445999</v>
      </c>
    </row>
    <row r="119" spans="1:26" s="24" customFormat="1" hidden="1" outlineLevel="2" x14ac:dyDescent="0.25">
      <c r="A119" s="25"/>
      <c r="B119" s="11" t="str">
        <f>CONCATENATE("          ", "6239", " - ", "KITCHEN SUPPLIES")</f>
        <v xml:space="preserve">          6239 - KITCHEN SUPPLIES</v>
      </c>
      <c r="C119" s="11"/>
      <c r="D119" s="6">
        <v>1579.39</v>
      </c>
      <c r="E119" s="2"/>
      <c r="F119" s="7">
        <f t="shared" si="76"/>
        <v>3.3511887002989882E-3</v>
      </c>
      <c r="G119" s="2"/>
      <c r="H119" s="6">
        <v>1029.44</v>
      </c>
      <c r="I119" s="2"/>
      <c r="J119" s="7">
        <f t="shared" si="77"/>
        <v>8.0335438538441909E-4</v>
      </c>
      <c r="K119" s="2"/>
      <c r="L119" s="6">
        <f t="shared" si="78"/>
        <v>549.95000000000005</v>
      </c>
      <c r="M119" s="2"/>
      <c r="N119" s="7">
        <f t="shared" si="79"/>
        <v>0.53422248989741994</v>
      </c>
      <c r="O119" s="11"/>
      <c r="P119" s="6">
        <v>45576.54</v>
      </c>
      <c r="Q119" s="2"/>
      <c r="R119" s="7">
        <f t="shared" si="80"/>
        <v>6.5257776984742211E-3</v>
      </c>
      <c r="S119" s="2"/>
      <c r="T119" s="6">
        <v>27104.15</v>
      </c>
      <c r="U119" s="2"/>
      <c r="V119" s="7">
        <f t="shared" si="81"/>
        <v>3.2379529083068994E-3</v>
      </c>
      <c r="W119" s="2"/>
      <c r="X119" s="6">
        <f t="shared" si="82"/>
        <v>18472.39</v>
      </c>
      <c r="Y119" s="2"/>
      <c r="Z119" s="7">
        <f t="shared" si="83"/>
        <v>0.68153363968248404</v>
      </c>
    </row>
    <row r="120" spans="1:26" s="24" customFormat="1" hidden="1" outlineLevel="2" x14ac:dyDescent="0.25">
      <c r="A120" s="25"/>
      <c r="B120" s="11" t="str">
        <f>CONCATENATE("          ", "6241", " - ", "OFFICE EXPENSE")</f>
        <v xml:space="preserve">          6241 - OFFICE EXPENSE</v>
      </c>
      <c r="C120" s="11"/>
      <c r="D120" s="6">
        <v>1302.72</v>
      </c>
      <c r="E120" s="2"/>
      <c r="F120" s="7">
        <f t="shared" si="76"/>
        <v>2.7641434627631543E-3</v>
      </c>
      <c r="G120" s="2"/>
      <c r="H120" s="6">
        <v>797.57</v>
      </c>
      <c r="I120" s="2"/>
      <c r="J120" s="7">
        <f t="shared" si="77"/>
        <v>6.2240767519335864E-4</v>
      </c>
      <c r="K120" s="2"/>
      <c r="L120" s="6">
        <f t="shared" si="78"/>
        <v>505.15</v>
      </c>
      <c r="M120" s="2"/>
      <c r="N120" s="7">
        <f t="shared" si="79"/>
        <v>0.63336133505523018</v>
      </c>
      <c r="O120" s="11"/>
      <c r="P120" s="6">
        <v>19105.439999999999</v>
      </c>
      <c r="Q120" s="2"/>
      <c r="R120" s="7">
        <f t="shared" si="80"/>
        <v>2.7355708500807065E-3</v>
      </c>
      <c r="S120" s="2"/>
      <c r="T120" s="6">
        <v>8638.82</v>
      </c>
      <c r="U120" s="2"/>
      <c r="V120" s="7">
        <f t="shared" si="81"/>
        <v>1.0320224889302859E-3</v>
      </c>
      <c r="W120" s="2"/>
      <c r="X120" s="6">
        <f t="shared" si="82"/>
        <v>10466.619999999999</v>
      </c>
      <c r="Y120" s="2"/>
      <c r="Z120" s="7">
        <f t="shared" si="83"/>
        <v>1.2115798222442415</v>
      </c>
    </row>
    <row r="121" spans="1:26" s="24" customFormat="1" hidden="1" outlineLevel="2" x14ac:dyDescent="0.25">
      <c r="A121" s="25"/>
      <c r="B121" s="11" t="str">
        <f>CONCATENATE("          ", "6243", " - ", "PAPER SUPPLIES")</f>
        <v xml:space="preserve">          6243 - PAPER SUPPLIES</v>
      </c>
      <c r="C121" s="11"/>
      <c r="D121" s="6">
        <v>1918.87</v>
      </c>
      <c r="E121" s="2"/>
      <c r="F121" s="7">
        <f t="shared" si="76"/>
        <v>4.071505746739386E-3</v>
      </c>
      <c r="G121" s="2"/>
      <c r="H121" s="6">
        <v>4400</v>
      </c>
      <c r="I121" s="2"/>
      <c r="J121" s="7">
        <f t="shared" si="77"/>
        <v>3.4336719922399015E-3</v>
      </c>
      <c r="K121" s="2"/>
      <c r="L121" s="6">
        <f t="shared" si="78"/>
        <v>-2481.13</v>
      </c>
      <c r="M121" s="2"/>
      <c r="N121" s="7">
        <f t="shared" si="79"/>
        <v>-0.56389318181818182</v>
      </c>
      <c r="O121" s="11"/>
      <c r="P121" s="6">
        <v>34117.769999999997</v>
      </c>
      <c r="Q121" s="2"/>
      <c r="R121" s="7">
        <f t="shared" si="80"/>
        <v>4.8850786520361752E-3</v>
      </c>
      <c r="S121" s="2"/>
      <c r="T121" s="6">
        <v>35439.519999999997</v>
      </c>
      <c r="U121" s="2"/>
      <c r="V121" s="7">
        <f t="shared" si="81"/>
        <v>4.233724239756661E-3</v>
      </c>
      <c r="W121" s="2"/>
      <c r="X121" s="6">
        <f t="shared" si="82"/>
        <v>-1321.75</v>
      </c>
      <c r="Y121" s="2"/>
      <c r="Z121" s="7">
        <f t="shared" si="83"/>
        <v>-3.7295934030709223E-2</v>
      </c>
    </row>
    <row r="122" spans="1:26" s="24" customFormat="1" hidden="1" outlineLevel="2" x14ac:dyDescent="0.25">
      <c r="A122" s="25"/>
      <c r="B122" s="11" t="str">
        <f>CONCATENATE("          ", "6244", " - ", "SAFETY SUPPLY EXPENSE")</f>
        <v xml:space="preserve">          6244 - SAFETY SUPPLY EXPENSE</v>
      </c>
      <c r="C122" s="11"/>
      <c r="D122" s="6"/>
      <c r="E122" s="2"/>
      <c r="F122" s="7">
        <f t="shared" si="76"/>
        <v>0</v>
      </c>
      <c r="G122" s="2"/>
      <c r="H122" s="6">
        <v>110</v>
      </c>
      <c r="I122" s="2"/>
      <c r="J122" s="7">
        <f t="shared" si="77"/>
        <v>8.5841799805997534E-5</v>
      </c>
      <c r="K122" s="2"/>
      <c r="L122" s="6">
        <f t="shared" si="78"/>
        <v>-110</v>
      </c>
      <c r="M122" s="2"/>
      <c r="N122" s="7">
        <f t="shared" si="79"/>
        <v>-1</v>
      </c>
      <c r="O122" s="11"/>
      <c r="P122" s="6"/>
      <c r="Q122" s="2"/>
      <c r="R122" s="7">
        <f t="shared" si="80"/>
        <v>0</v>
      </c>
      <c r="S122" s="2"/>
      <c r="T122" s="6">
        <v>1020</v>
      </c>
      <c r="U122" s="2"/>
      <c r="V122" s="7">
        <f t="shared" si="81"/>
        <v>1.218526301866333E-4</v>
      </c>
      <c r="W122" s="2"/>
      <c r="X122" s="6">
        <f t="shared" si="82"/>
        <v>-1020</v>
      </c>
      <c r="Y122" s="2"/>
      <c r="Z122" s="7">
        <f t="shared" si="83"/>
        <v>-1</v>
      </c>
    </row>
    <row r="123" spans="1:26" s="24" customFormat="1" hidden="1" outlineLevel="2" x14ac:dyDescent="0.25">
      <c r="A123" s="25"/>
      <c r="B123" s="11" t="str">
        <f>CONCATENATE("          ", "6245", " - ", "PRINTING")</f>
        <v xml:space="preserve">          6245 - PRINTING</v>
      </c>
      <c r="C123" s="11"/>
      <c r="D123" s="6"/>
      <c r="E123" s="2"/>
      <c r="F123" s="7">
        <f t="shared" si="76"/>
        <v>0</v>
      </c>
      <c r="G123" s="2"/>
      <c r="H123" s="6">
        <v>586.82000000000005</v>
      </c>
      <c r="I123" s="2"/>
      <c r="J123" s="7">
        <f t="shared" si="77"/>
        <v>4.579425905650498E-4</v>
      </c>
      <c r="K123" s="2"/>
      <c r="L123" s="6">
        <f t="shared" si="78"/>
        <v>-586.82000000000005</v>
      </c>
      <c r="M123" s="2"/>
      <c r="N123" s="7">
        <f t="shared" si="79"/>
        <v>-1</v>
      </c>
      <c r="O123" s="11"/>
      <c r="P123" s="6">
        <v>613.02</v>
      </c>
      <c r="Q123" s="2"/>
      <c r="R123" s="7">
        <f t="shared" si="80"/>
        <v>8.7773934676012411E-5</v>
      </c>
      <c r="S123" s="2"/>
      <c r="T123" s="6">
        <v>2586.8200000000002</v>
      </c>
      <c r="U123" s="2"/>
      <c r="V123" s="7">
        <f t="shared" si="81"/>
        <v>3.0903021648959487E-4</v>
      </c>
      <c r="W123" s="2"/>
      <c r="X123" s="6">
        <f t="shared" si="82"/>
        <v>-1973.8000000000002</v>
      </c>
      <c r="Y123" s="2"/>
      <c r="Z123" s="7">
        <f t="shared" si="83"/>
        <v>-0.76302177963677409</v>
      </c>
    </row>
    <row r="124" spans="1:26" s="24" customFormat="1" hidden="1" outlineLevel="2" x14ac:dyDescent="0.25">
      <c r="A124" s="25"/>
      <c r="B124" s="11" t="str">
        <f>CONCATENATE("          ", "6246", " - ", "REPLACEMENTS")</f>
        <v xml:space="preserve">          6246 - REPLACEMENTS</v>
      </c>
      <c r="C124" s="11"/>
      <c r="D124" s="6"/>
      <c r="E124" s="2"/>
      <c r="F124" s="7">
        <f t="shared" si="76"/>
        <v>0</v>
      </c>
      <c r="G124" s="2"/>
      <c r="H124" s="6">
        <v>1000</v>
      </c>
      <c r="I124" s="2"/>
      <c r="J124" s="7">
        <f t="shared" si="77"/>
        <v>7.8037999823634123E-4</v>
      </c>
      <c r="K124" s="2"/>
      <c r="L124" s="6">
        <f t="shared" si="78"/>
        <v>-1000</v>
      </c>
      <c r="M124" s="2"/>
      <c r="N124" s="7">
        <f t="shared" si="79"/>
        <v>-1</v>
      </c>
      <c r="O124" s="11"/>
      <c r="P124" s="6">
        <v>25.87</v>
      </c>
      <c r="Q124" s="2"/>
      <c r="R124" s="7">
        <f t="shared" si="80"/>
        <v>3.7041396529777844E-6</v>
      </c>
      <c r="S124" s="2"/>
      <c r="T124" s="6">
        <v>3400</v>
      </c>
      <c r="U124" s="2"/>
      <c r="V124" s="7">
        <f t="shared" si="81"/>
        <v>4.0617543395544438E-4</v>
      </c>
      <c r="W124" s="2"/>
      <c r="X124" s="6">
        <f t="shared" si="82"/>
        <v>-3374.13</v>
      </c>
      <c r="Y124" s="2"/>
      <c r="Z124" s="7">
        <f t="shared" si="83"/>
        <v>-0.99239117647058828</v>
      </c>
    </row>
    <row r="125" spans="1:26" s="24" customFormat="1" hidden="1" outlineLevel="2" x14ac:dyDescent="0.25">
      <c r="A125" s="25"/>
      <c r="B125" s="11" t="str">
        <f>CONCATENATE("          ", "6247", " - ", "STORE SUPPLIES")</f>
        <v xml:space="preserve">          6247 - STORE SUPPLIES</v>
      </c>
      <c r="C125" s="11"/>
      <c r="D125" s="6">
        <v>1170.82</v>
      </c>
      <c r="E125" s="2"/>
      <c r="F125" s="7">
        <f t="shared" si="76"/>
        <v>2.4842747858882614E-3</v>
      </c>
      <c r="G125" s="2"/>
      <c r="H125" s="6">
        <v>4469.2299999999996</v>
      </c>
      <c r="I125" s="2"/>
      <c r="J125" s="7">
        <f t="shared" si="77"/>
        <v>3.4876976995178027E-3</v>
      </c>
      <c r="K125" s="2"/>
      <c r="L125" s="6">
        <f t="shared" si="78"/>
        <v>-3298.41</v>
      </c>
      <c r="M125" s="2"/>
      <c r="N125" s="7">
        <f t="shared" si="79"/>
        <v>-0.73802646093398638</v>
      </c>
      <c r="O125" s="11"/>
      <c r="P125" s="6">
        <v>42924.19</v>
      </c>
      <c r="Q125" s="2"/>
      <c r="R125" s="7">
        <f t="shared" si="80"/>
        <v>6.1460067356379003E-3</v>
      </c>
      <c r="S125" s="2"/>
      <c r="T125" s="6">
        <v>31925.550000000003</v>
      </c>
      <c r="U125" s="2"/>
      <c r="V125" s="7">
        <f t="shared" si="81"/>
        <v>3.8139335663283053E-3</v>
      </c>
      <c r="W125" s="2"/>
      <c r="X125" s="6">
        <f t="shared" si="82"/>
        <v>10998.64</v>
      </c>
      <c r="Y125" s="2"/>
      <c r="Z125" s="7">
        <f t="shared" si="83"/>
        <v>0.34450902177096399</v>
      </c>
    </row>
    <row r="126" spans="1:26" s="24" customFormat="1" hidden="1" outlineLevel="2" x14ac:dyDescent="0.25">
      <c r="A126" s="25"/>
      <c r="B126" s="11" t="str">
        <f>CONCATENATE("          ", "6248", " - ", "UNIFORMS")</f>
        <v xml:space="preserve">          6248 - UNIFORMS</v>
      </c>
      <c r="C126" s="11"/>
      <c r="D126" s="6">
        <v>536.23</v>
      </c>
      <c r="E126" s="2"/>
      <c r="F126" s="7">
        <f t="shared" si="76"/>
        <v>1.1377860545915364E-3</v>
      </c>
      <c r="G126" s="2"/>
      <c r="H126" s="6"/>
      <c r="I126" s="2"/>
      <c r="J126" s="7">
        <f t="shared" si="77"/>
        <v>0</v>
      </c>
      <c r="K126" s="2"/>
      <c r="L126" s="6">
        <f t="shared" si="78"/>
        <v>536.23</v>
      </c>
      <c r="M126" s="2"/>
      <c r="N126" s="7">
        <f t="shared" si="79"/>
        <v>0</v>
      </c>
      <c r="O126" s="11"/>
      <c r="P126" s="6">
        <v>4877</v>
      </c>
      <c r="Q126" s="2"/>
      <c r="R126" s="7">
        <f t="shared" si="80"/>
        <v>6.9830263191235614E-4</v>
      </c>
      <c r="S126" s="2"/>
      <c r="T126" s="6">
        <v>9900</v>
      </c>
      <c r="U126" s="2"/>
      <c r="V126" s="7">
        <f t="shared" si="81"/>
        <v>1.1826872929879115E-3</v>
      </c>
      <c r="W126" s="2"/>
      <c r="X126" s="6">
        <f t="shared" si="82"/>
        <v>-5023</v>
      </c>
      <c r="Y126" s="2"/>
      <c r="Z126" s="7">
        <f t="shared" si="83"/>
        <v>-0.50737373737373737</v>
      </c>
    </row>
    <row r="127" spans="1:26" s="27" customFormat="1" outlineLevel="1" collapsed="1" x14ac:dyDescent="0.25">
      <c r="A127" s="26"/>
      <c r="B127" s="13" t="str">
        <f>CONCATENATE("     ","Telephone/Data Lines                              ")</f>
        <v xml:space="preserve">     Telephone/Data Lines                              </v>
      </c>
      <c r="C127" s="13"/>
      <c r="D127" s="1">
        <f>SUM(OSRRefD22_22x_0)</f>
        <v>2802.89</v>
      </c>
      <c r="E127" s="1"/>
      <c r="F127" s="5">
        <f t="shared" ref="F127:F129" si="84">IF(D$12=0,0,D127/D$12)</f>
        <v>5.9472412109618468E-3</v>
      </c>
      <c r="G127" s="1"/>
      <c r="H127" s="1">
        <f>SUM(OSRRefH22_22x_0)</f>
        <v>2351</v>
      </c>
      <c r="I127" s="1"/>
      <c r="J127" s="5">
        <f t="shared" ref="J127:J129" si="85">IF(H$12=0,0,H127/H$12)</f>
        <v>1.8346733758536381E-3</v>
      </c>
      <c r="K127" s="1"/>
      <c r="L127" s="1">
        <f t="shared" ref="L127:L129" si="86">+D127-H127</f>
        <v>451.88999999999987</v>
      </c>
      <c r="M127" s="1"/>
      <c r="N127" s="5">
        <f t="shared" ref="N127:N129" si="87">IF(H127=0,0,L127/H127)</f>
        <v>0.19221182475542317</v>
      </c>
      <c r="O127" s="13"/>
      <c r="P127" s="1">
        <f>SUM(OSRRefP22_22x_0)</f>
        <v>20659.550000000003</v>
      </c>
      <c r="Q127" s="1"/>
      <c r="R127" s="5">
        <f t="shared" ref="R127:R129" si="88">IF(P$12=0,0,P127/P$12)</f>
        <v>2.9580927084529259E-3</v>
      </c>
      <c r="S127" s="1"/>
      <c r="T127" s="1">
        <f>SUM(OSRRefT22_22x_0)</f>
        <v>20290</v>
      </c>
      <c r="U127" s="1"/>
      <c r="V127" s="5">
        <f t="shared" ref="V127:V129" si="89">IF(T$12=0,0,T127/T$12)</f>
        <v>2.4239116338105782E-3</v>
      </c>
      <c r="W127" s="1"/>
      <c r="X127" s="1">
        <f t="shared" ref="X127:X129" si="90">+P127-T127</f>
        <v>369.55000000000291</v>
      </c>
      <c r="Y127" s="1"/>
      <c r="Z127" s="5">
        <f t="shared" ref="Z127:Z129" si="91">IF(T127=0,0,X127/T127)</f>
        <v>1.821340561853144E-2</v>
      </c>
    </row>
    <row r="128" spans="1:26" s="24" customFormat="1" hidden="1" outlineLevel="2" x14ac:dyDescent="0.25">
      <c r="A128" s="25"/>
      <c r="B128" s="11" t="str">
        <f>CONCATENATE("          ", "6303", " - ", "DATA PHONE LINES")</f>
        <v xml:space="preserve">          6303 - DATA PHONE LINES</v>
      </c>
      <c r="C128" s="11"/>
      <c r="D128" s="6"/>
      <c r="E128" s="2"/>
      <c r="F128" s="7">
        <f t="shared" si="84"/>
        <v>0</v>
      </c>
      <c r="G128" s="2"/>
      <c r="H128" s="6">
        <v>696</v>
      </c>
      <c r="I128" s="2"/>
      <c r="J128" s="7">
        <f t="shared" si="85"/>
        <v>5.4314447877249351E-4</v>
      </c>
      <c r="K128" s="2"/>
      <c r="L128" s="6">
        <f t="shared" si="86"/>
        <v>-696</v>
      </c>
      <c r="M128" s="2"/>
      <c r="N128" s="7">
        <f t="shared" si="87"/>
        <v>-1</v>
      </c>
      <c r="O128" s="11"/>
      <c r="P128" s="6"/>
      <c r="Q128" s="2"/>
      <c r="R128" s="7">
        <f t="shared" si="88"/>
        <v>0</v>
      </c>
      <c r="S128" s="2"/>
      <c r="T128" s="6">
        <v>5470</v>
      </c>
      <c r="U128" s="2"/>
      <c r="V128" s="7">
        <f t="shared" si="89"/>
        <v>6.534645952165531E-4</v>
      </c>
      <c r="W128" s="2"/>
      <c r="X128" s="6">
        <f t="shared" si="90"/>
        <v>-5470</v>
      </c>
      <c r="Y128" s="2"/>
      <c r="Z128" s="7">
        <f t="shared" si="91"/>
        <v>-1</v>
      </c>
    </row>
    <row r="129" spans="1:26" s="24" customFormat="1" hidden="1" outlineLevel="2" x14ac:dyDescent="0.25">
      <c r="A129" s="25"/>
      <c r="B129" s="11" t="str">
        <f>CONCATENATE("          ", "6309", " - ", "TELEPHONE")</f>
        <v xml:space="preserve">          6309 - TELEPHONE</v>
      </c>
      <c r="C129" s="11"/>
      <c r="D129" s="6">
        <v>2802.89</v>
      </c>
      <c r="E129" s="2"/>
      <c r="F129" s="7">
        <f t="shared" si="84"/>
        <v>5.9472412109618468E-3</v>
      </c>
      <c r="G129" s="2"/>
      <c r="H129" s="6">
        <v>1655</v>
      </c>
      <c r="I129" s="2"/>
      <c r="J129" s="7">
        <f t="shared" si="85"/>
        <v>1.2915288970811447E-3</v>
      </c>
      <c r="K129" s="2"/>
      <c r="L129" s="6">
        <f t="shared" si="86"/>
        <v>1147.8899999999999</v>
      </c>
      <c r="M129" s="2"/>
      <c r="N129" s="7">
        <f t="shared" si="87"/>
        <v>0.69358912386706939</v>
      </c>
      <c r="O129" s="11"/>
      <c r="P129" s="6">
        <v>20659.550000000003</v>
      </c>
      <c r="Q129" s="2"/>
      <c r="R129" s="7">
        <f t="shared" si="88"/>
        <v>2.9580927084529259E-3</v>
      </c>
      <c r="S129" s="2"/>
      <c r="T129" s="6">
        <v>14820</v>
      </c>
      <c r="U129" s="2"/>
      <c r="V129" s="7">
        <f t="shared" si="89"/>
        <v>1.7704470385940252E-3</v>
      </c>
      <c r="W129" s="2"/>
      <c r="X129" s="6">
        <f t="shared" si="90"/>
        <v>5839.5500000000029</v>
      </c>
      <c r="Y129" s="2"/>
      <c r="Z129" s="7">
        <f t="shared" si="91"/>
        <v>0.39403171390013514</v>
      </c>
    </row>
    <row r="130" spans="1:26" s="27" customFormat="1" outlineLevel="1" collapsed="1" x14ac:dyDescent="0.25">
      <c r="A130" s="26"/>
      <c r="B130" s="13" t="str">
        <f>CONCATENATE("     ","Training                                          ")</f>
        <v xml:space="preserve">     Training                                          </v>
      </c>
      <c r="C130" s="13"/>
      <c r="D130" s="1">
        <f>SUM(OSRRefD22_23x_0)</f>
        <v>100</v>
      </c>
      <c r="E130" s="1"/>
      <c r="F130" s="5">
        <f t="shared" ref="F130:F135" si="92">IF(D$12=0,0,D130/D$12)</f>
        <v>2.1218246920007018E-4</v>
      </c>
      <c r="G130" s="1"/>
      <c r="H130" s="1">
        <f>SUM(OSRRefH22_23x_0)</f>
        <v>160</v>
      </c>
      <c r="I130" s="1"/>
      <c r="J130" s="5">
        <f t="shared" ref="J130:J135" si="93">IF(H$12=0,0,H130/H$12)</f>
        <v>1.2486079971781459E-4</v>
      </c>
      <c r="K130" s="1"/>
      <c r="L130" s="1">
        <f t="shared" ref="L130:L135" si="94">+D130-H130</f>
        <v>-60</v>
      </c>
      <c r="M130" s="1"/>
      <c r="N130" s="5">
        <f t="shared" ref="N130:N135" si="95">IF(H130=0,0,L130/H130)</f>
        <v>-0.375</v>
      </c>
      <c r="O130" s="13"/>
      <c r="P130" s="1">
        <f>SUM(OSRRefP22_23x_0)</f>
        <v>2113.0100000000002</v>
      </c>
      <c r="Q130" s="1"/>
      <c r="R130" s="5">
        <f t="shared" ref="R130:R135" si="96">IF(P$12=0,0,P130/P$12)</f>
        <v>3.0254673862151481E-4</v>
      </c>
      <c r="S130" s="1"/>
      <c r="T130" s="1">
        <f>SUM(OSRRefT22_23x_0)</f>
        <v>10040</v>
      </c>
      <c r="U130" s="1"/>
      <c r="V130" s="5">
        <f t="shared" ref="V130:V135" si="97">IF(T$12=0,0,T130/T$12)</f>
        <v>1.1994121637978416E-3</v>
      </c>
      <c r="W130" s="1"/>
      <c r="X130" s="1">
        <f t="shared" ref="X130:X135" si="98">+P130-T130</f>
        <v>-7926.99</v>
      </c>
      <c r="Y130" s="1"/>
      <c r="Z130" s="5">
        <f t="shared" ref="Z130:Z135" si="99">IF(T130=0,0,X130/T130)</f>
        <v>-0.78954083665338648</v>
      </c>
    </row>
    <row r="131" spans="1:26" s="24" customFormat="1" hidden="1" outlineLevel="2" x14ac:dyDescent="0.25">
      <c r="A131" s="25"/>
      <c r="B131" s="11" t="str">
        <f>CONCATENATE("          ", "6376", " - ", "TRAINING")</f>
        <v xml:space="preserve">          6376 - TRAINING</v>
      </c>
      <c r="C131" s="11"/>
      <c r="D131" s="6">
        <v>100</v>
      </c>
      <c r="E131" s="2"/>
      <c r="F131" s="7">
        <f t="shared" si="92"/>
        <v>2.1218246920007018E-4</v>
      </c>
      <c r="G131" s="2"/>
      <c r="H131" s="6">
        <v>160</v>
      </c>
      <c r="I131" s="2"/>
      <c r="J131" s="7">
        <f t="shared" si="93"/>
        <v>1.2486079971781459E-4</v>
      </c>
      <c r="K131" s="2"/>
      <c r="L131" s="6">
        <f t="shared" si="94"/>
        <v>-60</v>
      </c>
      <c r="M131" s="2"/>
      <c r="N131" s="7">
        <f t="shared" si="95"/>
        <v>-0.375</v>
      </c>
      <c r="O131" s="11"/>
      <c r="P131" s="6">
        <v>2113.0100000000002</v>
      </c>
      <c r="Q131" s="2"/>
      <c r="R131" s="7">
        <f t="shared" si="96"/>
        <v>3.0254673862151481E-4</v>
      </c>
      <c r="S131" s="2"/>
      <c r="T131" s="6">
        <v>10040</v>
      </c>
      <c r="U131" s="2"/>
      <c r="V131" s="7">
        <f t="shared" si="97"/>
        <v>1.1994121637978416E-3</v>
      </c>
      <c r="W131" s="2"/>
      <c r="X131" s="6">
        <f t="shared" si="98"/>
        <v>-7926.99</v>
      </c>
      <c r="Y131" s="2"/>
      <c r="Z131" s="7">
        <f t="shared" si="99"/>
        <v>-0.78954083665338648</v>
      </c>
    </row>
    <row r="132" spans="1:26" s="27" customFormat="1" outlineLevel="1" collapsed="1" x14ac:dyDescent="0.25">
      <c r="A132" s="26"/>
      <c r="B132" s="13" t="str">
        <f>CONCATENATE("     ","Travel                                            ")</f>
        <v xml:space="preserve">     Travel                                            </v>
      </c>
      <c r="C132" s="13"/>
      <c r="D132" s="1">
        <f>SUM(OSRRefD22_24x_0)</f>
        <v>1389.05</v>
      </c>
      <c r="E132" s="1"/>
      <c r="F132" s="5">
        <f t="shared" si="92"/>
        <v>2.9473205884235744E-3</v>
      </c>
      <c r="G132" s="1"/>
      <c r="H132" s="1">
        <f>SUM(OSRRefH22_24x_0)</f>
        <v>3120</v>
      </c>
      <c r="I132" s="1"/>
      <c r="J132" s="5">
        <f t="shared" si="93"/>
        <v>2.4347855944973846E-3</v>
      </c>
      <c r="K132" s="1"/>
      <c r="L132" s="1">
        <f t="shared" si="94"/>
        <v>-1730.95</v>
      </c>
      <c r="M132" s="1"/>
      <c r="N132" s="5">
        <f t="shared" si="95"/>
        <v>-0.55479166666666668</v>
      </c>
      <c r="O132" s="13"/>
      <c r="P132" s="1">
        <f>SUM(OSRRefP22_24x_0)</f>
        <v>4603.8899999999994</v>
      </c>
      <c r="Q132" s="1"/>
      <c r="R132" s="5">
        <f t="shared" si="96"/>
        <v>6.5919797089091176E-4</v>
      </c>
      <c r="S132" s="1"/>
      <c r="T132" s="1">
        <f>SUM(OSRRefT22_24x_0)</f>
        <v>15520</v>
      </c>
      <c r="U132" s="1"/>
      <c r="V132" s="5">
        <f t="shared" si="97"/>
        <v>1.8540713926436755E-3</v>
      </c>
      <c r="W132" s="1"/>
      <c r="X132" s="1">
        <f t="shared" si="98"/>
        <v>-10916.11</v>
      </c>
      <c r="Y132" s="1"/>
      <c r="Z132" s="5">
        <f t="shared" si="99"/>
        <v>-0.7033576030927835</v>
      </c>
    </row>
    <row r="133" spans="1:26" s="24" customFormat="1" hidden="1" outlineLevel="2" x14ac:dyDescent="0.25">
      <c r="A133" s="25"/>
      <c r="B133" s="11" t="str">
        <f>CONCATENATE("          ", "6292", " - ", "TRAVEL/CONFERENCE")</f>
        <v xml:space="preserve">          6292 - TRAVEL/CONFERENCE</v>
      </c>
      <c r="C133" s="11"/>
      <c r="D133" s="6">
        <v>1212.73</v>
      </c>
      <c r="E133" s="2"/>
      <c r="F133" s="7">
        <f t="shared" si="92"/>
        <v>2.5732004587300109E-3</v>
      </c>
      <c r="G133" s="2"/>
      <c r="H133" s="6">
        <v>3000</v>
      </c>
      <c r="I133" s="2"/>
      <c r="J133" s="7">
        <f t="shared" si="93"/>
        <v>2.3411399947090238E-3</v>
      </c>
      <c r="K133" s="2"/>
      <c r="L133" s="6">
        <f t="shared" si="94"/>
        <v>-1787.27</v>
      </c>
      <c r="M133" s="2"/>
      <c r="N133" s="7">
        <f t="shared" si="95"/>
        <v>-0.59575666666666671</v>
      </c>
      <c r="O133" s="11"/>
      <c r="P133" s="6">
        <v>3448.6</v>
      </c>
      <c r="Q133" s="2"/>
      <c r="R133" s="7">
        <f t="shared" si="96"/>
        <v>4.937802863262151E-4</v>
      </c>
      <c r="S133" s="2"/>
      <c r="T133" s="6">
        <v>15400</v>
      </c>
      <c r="U133" s="2"/>
      <c r="V133" s="7">
        <f t="shared" si="97"/>
        <v>1.8397357890923068E-3</v>
      </c>
      <c r="W133" s="2"/>
      <c r="X133" s="6">
        <f t="shared" si="98"/>
        <v>-11951.4</v>
      </c>
      <c r="Y133" s="2"/>
      <c r="Z133" s="7">
        <f t="shared" si="99"/>
        <v>-0.77606493506493501</v>
      </c>
    </row>
    <row r="134" spans="1:26" s="24" customFormat="1" hidden="1" outlineLevel="2" x14ac:dyDescent="0.25">
      <c r="A134" s="25"/>
      <c r="B134" s="11" t="str">
        <f>CONCATENATE("          ", "6294", " - ", "TRAVEL OPERATIONAL")</f>
        <v xml:space="preserve">          6294 - TRAVEL OPERATIONAL</v>
      </c>
      <c r="C134" s="11"/>
      <c r="D134" s="6">
        <v>11.5</v>
      </c>
      <c r="E134" s="2"/>
      <c r="F134" s="7">
        <f t="shared" si="92"/>
        <v>2.4400983958008069E-5</v>
      </c>
      <c r="G134" s="2"/>
      <c r="H134" s="6">
        <v>120</v>
      </c>
      <c r="I134" s="2"/>
      <c r="J134" s="7">
        <f t="shared" si="93"/>
        <v>9.3645599788360948E-5</v>
      </c>
      <c r="K134" s="2"/>
      <c r="L134" s="6">
        <f t="shared" si="94"/>
        <v>-108.5</v>
      </c>
      <c r="M134" s="2"/>
      <c r="N134" s="7">
        <f t="shared" si="95"/>
        <v>-0.90416666666666667</v>
      </c>
      <c r="O134" s="11"/>
      <c r="P134" s="6">
        <v>56.99</v>
      </c>
      <c r="Q134" s="2"/>
      <c r="R134" s="7">
        <f t="shared" si="96"/>
        <v>8.1599891311636615E-6</v>
      </c>
      <c r="S134" s="2"/>
      <c r="T134" s="6">
        <v>120</v>
      </c>
      <c r="U134" s="2"/>
      <c r="V134" s="7">
        <f t="shared" si="97"/>
        <v>1.4335603551368625E-5</v>
      </c>
      <c r="W134" s="2"/>
      <c r="X134" s="6">
        <f t="shared" si="98"/>
        <v>-63.01</v>
      </c>
      <c r="Y134" s="2"/>
      <c r="Z134" s="7">
        <f t="shared" si="99"/>
        <v>-0.52508333333333335</v>
      </c>
    </row>
    <row r="135" spans="1:26" s="24" customFormat="1" hidden="1" outlineLevel="2" x14ac:dyDescent="0.25">
      <c r="A135" s="25"/>
      <c r="B135" s="11" t="str">
        <f>CONCATENATE("          ", "6298", " - ", "VEHICLE MILEAGE")</f>
        <v xml:space="preserve">          6298 - VEHICLE MILEAGE</v>
      </c>
      <c r="C135" s="11"/>
      <c r="D135" s="6">
        <v>164.82</v>
      </c>
      <c r="E135" s="2"/>
      <c r="F135" s="7">
        <f t="shared" si="92"/>
        <v>3.4971914573555564E-4</v>
      </c>
      <c r="G135" s="2"/>
      <c r="H135" s="6"/>
      <c r="I135" s="2"/>
      <c r="J135" s="7">
        <f t="shared" si="93"/>
        <v>0</v>
      </c>
      <c r="K135" s="2"/>
      <c r="L135" s="6">
        <f t="shared" si="94"/>
        <v>164.82</v>
      </c>
      <c r="M135" s="2"/>
      <c r="N135" s="7">
        <f t="shared" si="95"/>
        <v>0</v>
      </c>
      <c r="O135" s="11"/>
      <c r="P135" s="6">
        <v>1098.3</v>
      </c>
      <c r="Q135" s="2"/>
      <c r="R135" s="7">
        <f t="shared" si="96"/>
        <v>1.5725769543353306E-4</v>
      </c>
      <c r="S135" s="2"/>
      <c r="T135" s="6">
        <v>0</v>
      </c>
      <c r="U135" s="2"/>
      <c r="V135" s="7">
        <f t="shared" si="97"/>
        <v>0</v>
      </c>
      <c r="W135" s="2"/>
      <c r="X135" s="6">
        <f t="shared" si="98"/>
        <v>1098.3</v>
      </c>
      <c r="Y135" s="2"/>
      <c r="Z135" s="7">
        <f t="shared" si="99"/>
        <v>0</v>
      </c>
    </row>
    <row r="136" spans="1:26" s="27" customFormat="1" outlineLevel="1" collapsed="1" x14ac:dyDescent="0.25">
      <c r="A136" s="26"/>
      <c r="B136" s="13" t="str">
        <f>CONCATENATE("     ","Utilities                                         ")</f>
        <v xml:space="preserve">     Utilities                                         </v>
      </c>
      <c r="C136" s="13"/>
      <c r="D136" s="1">
        <f>SUM(OSRRefD22_25x_0)</f>
        <v>16705</v>
      </c>
      <c r="E136" s="1"/>
      <c r="F136" s="5">
        <f t="shared" ref="F136:F137" si="100">IF(D$12=0,0,D136/D$12)</f>
        <v>3.5445081479871722E-2</v>
      </c>
      <c r="G136" s="1"/>
      <c r="H136" s="1">
        <f>SUM(OSRRefH22_25x_0)</f>
        <v>23586</v>
      </c>
      <c r="I136" s="1"/>
      <c r="J136" s="5">
        <f t="shared" ref="J136:J137" si="101">IF(H$12=0,0,H136/H$12)</f>
        <v>1.8406042638402342E-2</v>
      </c>
      <c r="K136" s="1"/>
      <c r="L136" s="1">
        <f t="shared" ref="L136:L137" si="102">+D136-H136</f>
        <v>-6881</v>
      </c>
      <c r="M136" s="1"/>
      <c r="N136" s="5">
        <f t="shared" ref="N136:N137" si="103">IF(H136=0,0,L136/H136)</f>
        <v>-0.29174086322394643</v>
      </c>
      <c r="O136" s="13"/>
      <c r="P136" s="1">
        <f>SUM(OSRRefP22_25x_0)</f>
        <v>152439.12</v>
      </c>
      <c r="Q136" s="1"/>
      <c r="R136" s="5">
        <f t="shared" ref="R136:R137" si="104">IF(P$12=0,0,P136/P$12)</f>
        <v>2.182666366668105E-2</v>
      </c>
      <c r="S136" s="1"/>
      <c r="T136" s="1">
        <f>SUM(OSRRefT22_25x_0)</f>
        <v>187214</v>
      </c>
      <c r="U136" s="1"/>
      <c r="V136" s="5">
        <f t="shared" ref="V136:V137" si="105">IF(T$12=0,0,T136/T$12)</f>
        <v>2.2365214027216047E-2</v>
      </c>
      <c r="W136" s="1"/>
      <c r="X136" s="1">
        <f t="shared" ref="X136:X137" si="106">+P136-T136</f>
        <v>-34774.880000000005</v>
      </c>
      <c r="Y136" s="1"/>
      <c r="Z136" s="5">
        <f t="shared" ref="Z136:Z137" si="107">IF(T136=0,0,X136/T136)</f>
        <v>-0.18574935635155493</v>
      </c>
    </row>
    <row r="137" spans="1:26" s="24" customFormat="1" hidden="1" outlineLevel="2" x14ac:dyDescent="0.25">
      <c r="A137" s="25"/>
      <c r="B137" s="11" t="str">
        <f>CONCATENATE("          ", "6274", " - ", "UTILITIES")</f>
        <v xml:space="preserve">          6274 - UTILITIES</v>
      </c>
      <c r="C137" s="11"/>
      <c r="D137" s="6">
        <v>16705</v>
      </c>
      <c r="E137" s="2"/>
      <c r="F137" s="7">
        <f t="shared" si="100"/>
        <v>3.5445081479871722E-2</v>
      </c>
      <c r="G137" s="2"/>
      <c r="H137" s="6">
        <v>23586</v>
      </c>
      <c r="I137" s="2"/>
      <c r="J137" s="7">
        <f t="shared" si="101"/>
        <v>1.8406042638402342E-2</v>
      </c>
      <c r="K137" s="2"/>
      <c r="L137" s="6">
        <f t="shared" si="102"/>
        <v>-6881</v>
      </c>
      <c r="M137" s="2"/>
      <c r="N137" s="7">
        <f t="shared" si="103"/>
        <v>-0.29174086322394643</v>
      </c>
      <c r="O137" s="11"/>
      <c r="P137" s="6">
        <v>152439.12</v>
      </c>
      <c r="Q137" s="2"/>
      <c r="R137" s="7">
        <f t="shared" si="104"/>
        <v>2.182666366668105E-2</v>
      </c>
      <c r="S137" s="2"/>
      <c r="T137" s="6">
        <v>187214</v>
      </c>
      <c r="U137" s="2"/>
      <c r="V137" s="7">
        <f t="shared" si="105"/>
        <v>2.2365214027216047E-2</v>
      </c>
      <c r="W137" s="2"/>
      <c r="X137" s="6">
        <f t="shared" si="106"/>
        <v>-34774.880000000005</v>
      </c>
      <c r="Y137" s="2"/>
      <c r="Z137" s="7">
        <f t="shared" si="107"/>
        <v>-0.18574935635155493</v>
      </c>
    </row>
    <row r="138" spans="1:26" s="56" customFormat="1" x14ac:dyDescent="0.25">
      <c r="A138" s="36"/>
      <c r="B138" s="36"/>
      <c r="C138" s="36"/>
      <c r="D138" s="1"/>
      <c r="E138" s="1"/>
      <c r="F138" s="5"/>
      <c r="G138" s="1"/>
      <c r="H138" s="1"/>
      <c r="I138" s="1"/>
      <c r="J138" s="5"/>
      <c r="K138" s="1"/>
      <c r="L138" s="1"/>
      <c r="M138" s="1"/>
      <c r="N138" s="5"/>
      <c r="O138" s="36"/>
      <c r="P138" s="1"/>
      <c r="Q138" s="1"/>
      <c r="R138" s="5"/>
      <c r="S138" s="1"/>
      <c r="T138" s="1"/>
      <c r="U138" s="1"/>
      <c r="V138" s="5"/>
      <c r="W138" s="1"/>
      <c r="X138" s="1"/>
      <c r="Y138" s="1"/>
      <c r="Z138" s="5"/>
    </row>
    <row r="139" spans="1:26" s="23" customFormat="1" collapsed="1" x14ac:dyDescent="0.25">
      <c r="A139" s="10"/>
      <c r="B139" s="29" t="s">
        <v>0</v>
      </c>
      <c r="C139" s="10"/>
      <c r="D139" s="4">
        <f>SUM(OSRRefD25x_0)</f>
        <v>49428.82</v>
      </c>
      <c r="E139" s="4"/>
      <c r="F139" s="12">
        <f t="shared" ref="F139:F143" si="108">IF(D$12=0,0,D139/D$12)</f>
        <v>0.10487929077245813</v>
      </c>
      <c r="G139" s="4"/>
      <c r="H139" s="4">
        <f>SUM(OSRRefH25x_0)</f>
        <v>63023</v>
      </c>
      <c r="I139" s="4"/>
      <c r="J139" s="12">
        <f t="shared" ref="J139:J143" si="109">IF(H$12=0,0,H139/H$12)</f>
        <v>4.9181888628848931E-2</v>
      </c>
      <c r="K139" s="4"/>
      <c r="L139" s="4">
        <f t="shared" ref="L139:L143" si="110">+D139-H139</f>
        <v>-13594.18</v>
      </c>
      <c r="M139" s="4"/>
      <c r="N139" s="12">
        <f t="shared" ref="N139:N143" si="111">IF(H139=0,0,L139/H139)</f>
        <v>-0.21570188661282388</v>
      </c>
      <c r="O139" s="10"/>
      <c r="P139" s="4">
        <f>SUM(OSRRefP25x_0)</f>
        <v>656215.76</v>
      </c>
      <c r="Q139" s="4"/>
      <c r="R139" s="12">
        <f t="shared" ref="R139:R143" si="112">IF(P$12=0,0,P139/P$12)</f>
        <v>9.3958825571123034E-2</v>
      </c>
      <c r="S139" s="4"/>
      <c r="T139" s="4">
        <f>SUM(OSRRefT25x_0)</f>
        <v>586544</v>
      </c>
      <c r="U139" s="4"/>
      <c r="V139" s="12">
        <f t="shared" ref="V139:V143" si="113">IF(T$12=0,0,T139/T$12)</f>
        <v>7.0070518745282986E-2</v>
      </c>
      <c r="W139" s="4"/>
      <c r="X139" s="4">
        <f t="shared" ref="X139:X143" si="114">+P139-T139</f>
        <v>69671.760000000009</v>
      </c>
      <c r="Y139" s="4"/>
      <c r="Z139" s="12">
        <f t="shared" ref="Z139:Z143" si="115">IF(T139=0,0,X139/T139)</f>
        <v>0.11878351837202326</v>
      </c>
    </row>
    <row r="140" spans="1:26" s="24" customFormat="1" hidden="1" outlineLevel="1" x14ac:dyDescent="0.25">
      <c r="A140" s="44"/>
      <c r="B140" s="11" t="str">
        <f>CONCATENATE("          ", "9150", " - ", "MISC. INCOME")</f>
        <v xml:space="preserve">          9150 - MISC. INCOME</v>
      </c>
      <c r="C140" s="11"/>
      <c r="D140" s="2">
        <f>--45376.64</f>
        <v>45376.639999999999</v>
      </c>
      <c r="E140" s="2"/>
      <c r="F140" s="19">
        <f t="shared" si="108"/>
        <v>9.6281275192026713E-2</v>
      </c>
      <c r="G140" s="2"/>
      <c r="H140" s="2">
        <v>48466</v>
      </c>
      <c r="I140" s="2"/>
      <c r="J140" s="19">
        <f t="shared" si="109"/>
        <v>3.7821896994522514E-2</v>
      </c>
      <c r="K140" s="2"/>
      <c r="L140" s="2">
        <f t="shared" si="110"/>
        <v>-3089.3600000000006</v>
      </c>
      <c r="M140" s="2"/>
      <c r="N140" s="19">
        <f t="shared" si="111"/>
        <v>-6.3742830025172295E-2</v>
      </c>
      <c r="O140" s="11"/>
      <c r="P140" s="2">
        <f>--293259.16</f>
        <v>293259.15999999997</v>
      </c>
      <c r="Q140" s="2"/>
      <c r="R140" s="19">
        <f t="shared" si="112"/>
        <v>4.1989674648432791E-2</v>
      </c>
      <c r="S140" s="2"/>
      <c r="T140" s="2">
        <v>286443</v>
      </c>
      <c r="U140" s="2"/>
      <c r="V140" s="19">
        <f t="shared" si="113"/>
        <v>3.4219444067205694E-2</v>
      </c>
      <c r="W140" s="2"/>
      <c r="X140" s="2">
        <f t="shared" si="114"/>
        <v>6816.1599999999744</v>
      </c>
      <c r="Y140" s="2"/>
      <c r="Z140" s="19">
        <f t="shared" si="115"/>
        <v>2.3795868637041136E-2</v>
      </c>
    </row>
    <row r="141" spans="1:26" s="24" customFormat="1" hidden="1" outlineLevel="1" x14ac:dyDescent="0.25">
      <c r="A141" s="44"/>
      <c r="B141" s="11" t="str">
        <f>CONCATENATE("          ", "9151", " - ", "MISC. INCOME")</f>
        <v xml:space="preserve">          9151 - MISC. INCOME</v>
      </c>
      <c r="C141" s="11"/>
      <c r="D141" s="2">
        <f t="shared" ref="D141:D142" si="116">0</f>
        <v>0</v>
      </c>
      <c r="E141" s="2"/>
      <c r="F141" s="19">
        <f t="shared" si="108"/>
        <v>0</v>
      </c>
      <c r="G141" s="2"/>
      <c r="H141" s="2">
        <v>14557</v>
      </c>
      <c r="I141" s="2"/>
      <c r="J141" s="19">
        <f t="shared" si="109"/>
        <v>1.1359991634326419E-2</v>
      </c>
      <c r="K141" s="2"/>
      <c r="L141" s="2">
        <f t="shared" si="110"/>
        <v>-14557</v>
      </c>
      <c r="M141" s="2"/>
      <c r="N141" s="19">
        <f t="shared" si="111"/>
        <v>-1</v>
      </c>
      <c r="O141" s="11"/>
      <c r="P141" s="2">
        <f>0</f>
        <v>0</v>
      </c>
      <c r="Q141" s="2"/>
      <c r="R141" s="19">
        <f t="shared" si="112"/>
        <v>0</v>
      </c>
      <c r="S141" s="2"/>
      <c r="T141" s="2">
        <v>300101</v>
      </c>
      <c r="U141" s="2"/>
      <c r="V141" s="19">
        <f t="shared" si="113"/>
        <v>3.5851074678077299E-2</v>
      </c>
      <c r="W141" s="2"/>
      <c r="X141" s="2">
        <f t="shared" si="114"/>
        <v>-300101</v>
      </c>
      <c r="Y141" s="2"/>
      <c r="Z141" s="19">
        <f t="shared" si="115"/>
        <v>-1</v>
      </c>
    </row>
    <row r="142" spans="1:26" s="24" customFormat="1" hidden="1" outlineLevel="1" x14ac:dyDescent="0.25">
      <c r="A142" s="44"/>
      <c r="B142" s="11" t="str">
        <f>CONCATENATE("          ", "9160", " - ", "MISC. INCOME")</f>
        <v xml:space="preserve">          9160 - MISC. INCOME</v>
      </c>
      <c r="C142" s="11"/>
      <c r="D142" s="2">
        <f t="shared" si="116"/>
        <v>0</v>
      </c>
      <c r="E142" s="2"/>
      <c r="F142" s="19">
        <f t="shared" si="108"/>
        <v>0</v>
      </c>
      <c r="G142" s="2"/>
      <c r="H142" s="2"/>
      <c r="I142" s="2"/>
      <c r="J142" s="19">
        <f t="shared" si="109"/>
        <v>0</v>
      </c>
      <c r="K142" s="2"/>
      <c r="L142" s="2">
        <f t="shared" si="110"/>
        <v>0</v>
      </c>
      <c r="M142" s="2"/>
      <c r="N142" s="19">
        <f t="shared" si="111"/>
        <v>0</v>
      </c>
      <c r="O142" s="11"/>
      <c r="P142" s="2">
        <f>--130089.32</f>
        <v>130089.32</v>
      </c>
      <c r="Q142" s="2"/>
      <c r="R142" s="19">
        <f t="shared" si="112"/>
        <v>1.8626556190217084E-2</v>
      </c>
      <c r="S142" s="2"/>
      <c r="T142" s="2"/>
      <c r="U142" s="2"/>
      <c r="V142" s="19">
        <f t="shared" si="113"/>
        <v>0</v>
      </c>
      <c r="W142" s="2"/>
      <c r="X142" s="2">
        <f t="shared" si="114"/>
        <v>130089.32</v>
      </c>
      <c r="Y142" s="2"/>
      <c r="Z142" s="19">
        <f t="shared" si="115"/>
        <v>0</v>
      </c>
    </row>
    <row r="143" spans="1:26" s="24" customFormat="1" hidden="1" outlineLevel="1" x14ac:dyDescent="0.25">
      <c r="A143" s="44"/>
      <c r="B143" s="11" t="str">
        <f>CONCATENATE("          ", "9165", " - ", "OTHER INCOME")</f>
        <v xml:space="preserve">          9165 - OTHER INCOME</v>
      </c>
      <c r="C143" s="11"/>
      <c r="D143" s="2">
        <f>--4052.18</f>
        <v>4052.18</v>
      </c>
      <c r="E143" s="2"/>
      <c r="F143" s="19">
        <f t="shared" si="108"/>
        <v>8.5980155804314031E-3</v>
      </c>
      <c r="G143" s="2"/>
      <c r="H143" s="2"/>
      <c r="I143" s="2"/>
      <c r="J143" s="19">
        <f t="shared" si="109"/>
        <v>0</v>
      </c>
      <c r="K143" s="2"/>
      <c r="L143" s="2">
        <f t="shared" si="110"/>
        <v>4052.18</v>
      </c>
      <c r="M143" s="2"/>
      <c r="N143" s="19">
        <f t="shared" si="111"/>
        <v>0</v>
      </c>
      <c r="O143" s="11"/>
      <c r="P143" s="2">
        <f>--232867.28</f>
        <v>232867.28</v>
      </c>
      <c r="Q143" s="2"/>
      <c r="R143" s="19">
        <f t="shared" si="112"/>
        <v>3.3342594732473155E-2</v>
      </c>
      <c r="S143" s="2"/>
      <c r="T143" s="2"/>
      <c r="U143" s="2"/>
      <c r="V143" s="19">
        <f t="shared" si="113"/>
        <v>0</v>
      </c>
      <c r="W143" s="2"/>
      <c r="X143" s="2">
        <f t="shared" si="114"/>
        <v>232867.28</v>
      </c>
      <c r="Y143" s="2"/>
      <c r="Z143" s="19">
        <f t="shared" si="115"/>
        <v>0</v>
      </c>
    </row>
    <row r="144" spans="1:26" x14ac:dyDescent="0.25">
      <c r="A144" s="9"/>
      <c r="B144" s="10"/>
      <c r="C144" s="10"/>
      <c r="D144" s="3"/>
      <c r="E144" s="3"/>
      <c r="F144" s="8"/>
      <c r="G144" s="3"/>
      <c r="H144" s="3"/>
      <c r="I144" s="3"/>
      <c r="J144" s="8"/>
      <c r="K144" s="3"/>
      <c r="L144" s="3"/>
      <c r="M144" s="3"/>
      <c r="N144" s="8"/>
      <c r="O144" s="10"/>
      <c r="P144" s="3"/>
      <c r="Q144" s="3"/>
      <c r="R144" s="8"/>
      <c r="S144" s="3"/>
      <c r="T144" s="3"/>
      <c r="U144" s="3"/>
      <c r="V144" s="8"/>
      <c r="W144" s="3"/>
      <c r="X144" s="3"/>
      <c r="Y144" s="3"/>
      <c r="Z144" s="8"/>
    </row>
    <row r="145" spans="1:26" s="23" customFormat="1" x14ac:dyDescent="0.25">
      <c r="A145" s="10"/>
      <c r="B145" s="28" t="s">
        <v>3</v>
      </c>
      <c r="C145" s="28"/>
      <c r="D145" s="20">
        <f>+D37-D39+D139</f>
        <v>-292876.93999999989</v>
      </c>
      <c r="E145" s="14"/>
      <c r="F145" s="22">
        <f>IF(D$12=0,0,D145/D$12)</f>
        <v>-0.62143352300960775</v>
      </c>
      <c r="G145" s="14"/>
      <c r="H145" s="20">
        <f>+H37-H39+H139</f>
        <v>219539.41792665678</v>
      </c>
      <c r="I145" s="14"/>
      <c r="J145" s="22">
        <f>IF(H$12=0,0,H145/H$12)</f>
        <v>0.17132417057441179</v>
      </c>
      <c r="K145" s="16"/>
      <c r="L145" s="20">
        <f>+D145-H145</f>
        <v>-512416.35792665667</v>
      </c>
      <c r="M145" s="16"/>
      <c r="N145" s="22">
        <f>IF(H145=0,0,L145/H145)</f>
        <v>-2.3340517286870259</v>
      </c>
      <c r="O145" s="29"/>
      <c r="P145" s="20">
        <f>+P37-P39+P139</f>
        <v>-443571.91999999969</v>
      </c>
      <c r="Q145" s="14"/>
      <c r="R145" s="22">
        <f>IF(P$12=0,0,P145/P$12)</f>
        <v>-6.3511880085793906E-2</v>
      </c>
      <c r="S145" s="14"/>
      <c r="T145" s="20">
        <f>+T37-T39+T139</f>
        <v>672145.76303794794</v>
      </c>
      <c r="U145" s="14"/>
      <c r="V145" s="22">
        <f>IF(T$12=0,0,T145/T$12)</f>
        <v>8.0296793230368174E-2</v>
      </c>
      <c r="W145" s="16"/>
      <c r="X145" s="20">
        <f>+P145-T145</f>
        <v>-1115717.6830379476</v>
      </c>
      <c r="Y145" s="16"/>
      <c r="Z145" s="22">
        <f>IF(T145=0,0,X145/T145)</f>
        <v>-1.6599341160690417</v>
      </c>
    </row>
    <row r="146" spans="1:26" x14ac:dyDescent="0.25">
      <c r="A146" s="9"/>
      <c r="B146" s="10"/>
      <c r="C146" s="9"/>
      <c r="D146" s="3"/>
      <c r="E146" s="3"/>
      <c r="F146" s="8"/>
      <c r="G146" s="3"/>
      <c r="H146" s="3"/>
      <c r="I146" s="3"/>
      <c r="J146" s="8"/>
      <c r="K146" s="3"/>
      <c r="L146" s="3"/>
      <c r="M146" s="3"/>
      <c r="N146" s="8"/>
      <c r="P146" s="3"/>
      <c r="Q146" s="3"/>
      <c r="R146" s="8"/>
      <c r="S146" s="3"/>
      <c r="T146" s="3"/>
      <c r="U146" s="3"/>
      <c r="V146" s="8"/>
      <c r="W146" s="3"/>
      <c r="X146" s="3"/>
      <c r="Y146" s="3"/>
      <c r="Z146" s="8"/>
    </row>
    <row r="147" spans="1:26" s="23" customFormat="1" x14ac:dyDescent="0.25">
      <c r="A147" s="52"/>
      <c r="B147" s="10" t="s">
        <v>14</v>
      </c>
      <c r="C147" s="10"/>
      <c r="D147" s="4">
        <v>84579.25</v>
      </c>
      <c r="E147" s="4"/>
      <c r="F147" s="12">
        <f>IF(D$12=0,0,D147/D$12)</f>
        <v>0.17946234108090034</v>
      </c>
      <c r="G147" s="4"/>
      <c r="H147" s="4">
        <v>125966.00000000001</v>
      </c>
      <c r="I147" s="4"/>
      <c r="J147" s="12">
        <f>IF(H$12=0,0,H147/H$12)</f>
        <v>9.8301346857838964E-2</v>
      </c>
      <c r="K147" s="4"/>
      <c r="L147" s="4">
        <f>+D147-H147</f>
        <v>-41386.750000000015</v>
      </c>
      <c r="M147" s="4"/>
      <c r="N147" s="12">
        <f>IF(H147=0,0,L147/H147)</f>
        <v>-0.32855492752012455</v>
      </c>
      <c r="O147" s="10"/>
      <c r="P147" s="4">
        <v>748360.89</v>
      </c>
      <c r="Q147" s="4"/>
      <c r="R147" s="12">
        <f>IF(P$12=0,0,P147/P$12)</f>
        <v>0.10715242548847104</v>
      </c>
      <c r="S147" s="4"/>
      <c r="T147" s="4">
        <v>978464</v>
      </c>
      <c r="U147" s="4"/>
      <c r="V147" s="12">
        <f>IF(T$12=0,0,T147/T$12)</f>
        <v>0.11689059994405292</v>
      </c>
      <c r="W147" s="4"/>
      <c r="X147" s="4">
        <f>+P147-T147</f>
        <v>-230103.11</v>
      </c>
      <c r="Y147" s="4"/>
      <c r="Z147" s="12">
        <f>IF(T147=0,0,X147/T147)</f>
        <v>-0.23516768118193412</v>
      </c>
    </row>
    <row r="148" spans="1:26" x14ac:dyDescent="0.25">
      <c r="A148" s="9"/>
      <c r="B148" s="10"/>
      <c r="C148" s="10"/>
      <c r="D148" s="3"/>
      <c r="E148" s="3"/>
      <c r="F148" s="8"/>
      <c r="G148" s="3"/>
      <c r="H148" s="3"/>
      <c r="I148" s="3"/>
      <c r="J148" s="8"/>
      <c r="K148" s="3"/>
      <c r="L148" s="3"/>
      <c r="M148" s="3"/>
      <c r="N148" s="8"/>
      <c r="O148" s="10"/>
      <c r="P148" s="3"/>
      <c r="Q148" s="3"/>
      <c r="R148" s="8"/>
      <c r="S148" s="3"/>
      <c r="T148" s="3"/>
      <c r="U148" s="3"/>
      <c r="V148" s="8"/>
      <c r="W148" s="3"/>
      <c r="X148" s="3"/>
      <c r="Y148" s="3"/>
      <c r="Z148" s="8"/>
    </row>
    <row r="149" spans="1:26" s="23" customFormat="1" ht="15.75" thickBot="1" x14ac:dyDescent="0.3">
      <c r="A149" s="10"/>
      <c r="B149" s="28" t="s">
        <v>4</v>
      </c>
      <c r="C149" s="28"/>
      <c r="D149" s="31">
        <f>+D145-D147</f>
        <v>-377456.18999999989</v>
      </c>
      <c r="E149" s="14"/>
      <c r="F149" s="34">
        <f>IF(D$12=0,0,D149/D$12)</f>
        <v>-0.80089586409050806</v>
      </c>
      <c r="G149" s="14"/>
      <c r="H149" s="31">
        <f>+H145-H147</f>
        <v>93573.417926656766</v>
      </c>
      <c r="I149" s="14"/>
      <c r="J149" s="34">
        <f>IF(H$12=0,0,H149/H$12)</f>
        <v>7.3022823716572829E-2</v>
      </c>
      <c r="K149" s="16"/>
      <c r="L149" s="31">
        <f>D149-H149</f>
        <v>-471029.60792665667</v>
      </c>
      <c r="M149" s="16"/>
      <c r="N149" s="34">
        <f>IF(H149=0,0,L149/H149)</f>
        <v>-5.0337971868875373</v>
      </c>
      <c r="O149" s="29"/>
      <c r="P149" s="31">
        <f>+P145-P147</f>
        <v>-1191932.8099999996</v>
      </c>
      <c r="Q149" s="14"/>
      <c r="R149" s="34">
        <f>IF(P$12=0,0,P149/P$12)</f>
        <v>-0.17066430557426493</v>
      </c>
      <c r="S149" s="14"/>
      <c r="T149" s="31">
        <f>+T145-T147</f>
        <v>-306318.23696205206</v>
      </c>
      <c r="U149" s="14"/>
      <c r="V149" s="34">
        <f>IF(T$12=0,0,T149/T$12)</f>
        <v>-3.6593806713684743E-2</v>
      </c>
      <c r="W149" s="16"/>
      <c r="X149" s="31">
        <f>P149-T149</f>
        <v>-885614.57303794753</v>
      </c>
      <c r="Y149" s="16"/>
      <c r="Z149" s="34">
        <f>IF(T149=0,0,X149/T149)</f>
        <v>2.8911584952340301</v>
      </c>
    </row>
    <row r="150" spans="1:26" ht="15.75" thickTop="1" x14ac:dyDescent="0.25">
      <c r="A150" s="9"/>
      <c r="B150" s="9"/>
      <c r="C150" s="9"/>
      <c r="D150" s="3"/>
      <c r="E150" s="3"/>
      <c r="F150" s="8"/>
      <c r="G150" s="3"/>
      <c r="H150" s="3"/>
      <c r="I150" s="3"/>
      <c r="J150" s="8"/>
      <c r="K150" s="3"/>
      <c r="L150" s="3"/>
      <c r="M150" s="3"/>
      <c r="N150" s="8"/>
      <c r="P150" s="3"/>
      <c r="Q150" s="3"/>
      <c r="R150" s="8"/>
      <c r="S150" s="3"/>
      <c r="T150" s="3"/>
      <c r="U150" s="3"/>
      <c r="V150" s="8"/>
      <c r="W150" s="3"/>
      <c r="X150" s="3"/>
      <c r="Y150" s="3"/>
      <c r="Z150" s="8"/>
    </row>
    <row r="151" spans="1:26" x14ac:dyDescent="0.25">
      <c r="A151" s="9"/>
      <c r="B151" s="9"/>
      <c r="C151" s="9"/>
      <c r="D151" s="3"/>
      <c r="E151" s="3"/>
      <c r="F151" s="8"/>
      <c r="G151" s="3"/>
      <c r="H151" s="3"/>
      <c r="I151" s="3"/>
      <c r="J151" s="8"/>
      <c r="K151" s="3"/>
      <c r="L151" s="3"/>
      <c r="M151" s="3"/>
      <c r="N151" s="8"/>
      <c r="P151" s="3"/>
      <c r="Q151" s="3"/>
      <c r="R151" s="8"/>
      <c r="S151" s="3"/>
      <c r="T151" s="3"/>
      <c r="U151" s="3"/>
      <c r="V151" s="8"/>
      <c r="W151" s="3"/>
      <c r="X151" s="3"/>
      <c r="Y151" s="3"/>
      <c r="Z151" s="8"/>
    </row>
    <row r="152" spans="1:26" s="23" customFormat="1" ht="15.75" thickBot="1" x14ac:dyDescent="0.3">
      <c r="A152" s="10"/>
      <c r="B152" s="28" t="s">
        <v>5</v>
      </c>
      <c r="C152" s="28"/>
      <c r="D152" s="32">
        <f>SUM(D149:D151)</f>
        <v>-377456.18999999989</v>
      </c>
      <c r="E152" s="14"/>
      <c r="F152" s="35">
        <f>IF(D$12=0,0,D152/D$12)</f>
        <v>-0.80089586409050806</v>
      </c>
      <c r="G152" s="14"/>
      <c r="H152" s="32">
        <f>SUM(H149:H151)</f>
        <v>93573.417926656766</v>
      </c>
      <c r="I152" s="14"/>
      <c r="J152" s="35">
        <f>IF(H$12=0,0,H152/H$12)</f>
        <v>7.3022823716572829E-2</v>
      </c>
      <c r="K152" s="16"/>
      <c r="L152" s="32">
        <f>+D152-H152</f>
        <v>-471029.60792665667</v>
      </c>
      <c r="M152" s="16"/>
      <c r="N152" s="35">
        <f>IF(H152=0,0,L152/H152)</f>
        <v>-5.0337971868875373</v>
      </c>
      <c r="O152" s="29"/>
      <c r="P152" s="32">
        <f>SUM(P149:P151)</f>
        <v>-1191932.8099999996</v>
      </c>
      <c r="Q152" s="14"/>
      <c r="R152" s="35">
        <f>IF(P$12=0,0,P152/P$12)</f>
        <v>-0.17066430557426493</v>
      </c>
      <c r="S152" s="14"/>
      <c r="T152" s="32">
        <f>SUM(T149:T151)</f>
        <v>-306318.23696205206</v>
      </c>
      <c r="U152" s="14"/>
      <c r="V152" s="35">
        <f>IF(T$12=0,0,T152/T$12)</f>
        <v>-3.6593806713684743E-2</v>
      </c>
      <c r="W152" s="16"/>
      <c r="X152" s="32">
        <f>+P152-T152</f>
        <v>-885614.57303794753</v>
      </c>
      <c r="Y152" s="16"/>
      <c r="Z152" s="35">
        <f>IF(T152=0,0,X152/T152)</f>
        <v>2.8911584952340301</v>
      </c>
    </row>
    <row r="153" spans="1:26" ht="15.75" thickTop="1" x14ac:dyDescent="0.25">
      <c r="A153" s="9"/>
      <c r="C153" s="9"/>
      <c r="D153" s="18"/>
      <c r="E153" s="18"/>
      <c r="G153" s="18"/>
      <c r="H153" s="18"/>
      <c r="I153" s="18"/>
      <c r="J153" s="42"/>
      <c r="K153" s="18"/>
      <c r="L153" s="18"/>
      <c r="M153" s="18"/>
      <c r="P153" s="18"/>
      <c r="Q153" s="18"/>
      <c r="R153" s="42"/>
      <c r="S153" s="18"/>
      <c r="T153" s="18"/>
      <c r="U153" s="18"/>
      <c r="V153" s="42"/>
      <c r="W153" s="18"/>
      <c r="X153" s="18"/>
    </row>
    <row r="154" spans="1:26" x14ac:dyDescent="0.25">
      <c r="A154" s="9"/>
      <c r="B154" s="57">
        <v>43934.466043900466</v>
      </c>
      <c r="D154" s="18"/>
      <c r="E154" s="18"/>
      <c r="G154" s="18"/>
      <c r="H154" s="18"/>
      <c r="I154" s="18"/>
      <c r="J154" s="42"/>
      <c r="K154" s="18"/>
      <c r="L154" s="18"/>
      <c r="M154" s="18"/>
      <c r="P154" s="18"/>
      <c r="Q154" s="18"/>
      <c r="R154" s="42"/>
      <c r="S154" s="18"/>
      <c r="T154" s="18"/>
      <c r="U154" s="18"/>
      <c r="V154" s="42"/>
      <c r="W154" s="18"/>
      <c r="X154" s="18"/>
    </row>
    <row r="155" spans="1:26" x14ac:dyDescent="0.25">
      <c r="A155" s="9"/>
      <c r="B155" s="62" t="s">
        <v>314</v>
      </c>
      <c r="D155" s="18"/>
      <c r="E155" s="18"/>
      <c r="G155" s="18"/>
      <c r="H155" s="18"/>
      <c r="I155" s="18"/>
      <c r="J155" s="42"/>
      <c r="K155" s="18"/>
      <c r="L155" s="18"/>
      <c r="M155" s="18"/>
      <c r="P155" s="18"/>
      <c r="Q155" s="18"/>
      <c r="R155" s="42"/>
      <c r="S155" s="18"/>
      <c r="T155" s="18"/>
      <c r="U155" s="18"/>
      <c r="V155" s="42"/>
      <c r="W155" s="18"/>
      <c r="X155" s="18"/>
    </row>
    <row r="156" spans="1:26" x14ac:dyDescent="0.25">
      <c r="A156" s="9"/>
      <c r="B156" s="60"/>
      <c r="D156" s="18"/>
      <c r="E156" s="18"/>
      <c r="G156" s="18"/>
      <c r="H156" s="18"/>
      <c r="I156" s="18"/>
      <c r="J156" s="42"/>
      <c r="K156" s="18"/>
      <c r="L156" s="18"/>
      <c r="M156" s="18"/>
      <c r="P156" s="18"/>
      <c r="Q156" s="18"/>
      <c r="R156" s="42"/>
      <c r="S156" s="18"/>
      <c r="T156" s="18"/>
      <c r="U156" s="18"/>
      <c r="V156" s="42"/>
      <c r="W156" s="18"/>
      <c r="X156" s="18"/>
    </row>
    <row r="157" spans="1:26" x14ac:dyDescent="0.25">
      <c r="D157" s="18"/>
      <c r="E157" s="18"/>
      <c r="G157" s="18"/>
      <c r="H157" s="18"/>
      <c r="I157" s="18"/>
      <c r="J157" s="42"/>
      <c r="K157" s="18"/>
      <c r="L157" s="18"/>
      <c r="M157" s="18"/>
      <c r="P157" s="18"/>
      <c r="Q157" s="18"/>
      <c r="R157" s="42"/>
      <c r="S157" s="18"/>
      <c r="T157" s="18"/>
      <c r="U157" s="18"/>
      <c r="V157" s="42"/>
      <c r="W157" s="18"/>
      <c r="X157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4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301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308816.90000000002</v>
      </c>
      <c r="E12" s="4"/>
      <c r="F12" s="12"/>
      <c r="G12" s="4"/>
      <c r="H12" s="4">
        <f>SUM(OSRRefH13x_0)</f>
        <v>917880</v>
      </c>
      <c r="I12" s="4"/>
      <c r="J12" s="12"/>
      <c r="K12" s="4"/>
      <c r="L12" s="4">
        <f t="shared" ref="L12:L24" si="0">+D12-H12</f>
        <v>-609063.1</v>
      </c>
      <c r="M12" s="4"/>
      <c r="N12" s="12">
        <f t="shared" ref="N12:N24" si="1">IF(H12=0,0,L12/H12)</f>
        <v>-0.66355416830086722</v>
      </c>
      <c r="O12" s="10"/>
      <c r="P12" s="4">
        <f>SUM(OSRRefP13x_0)</f>
        <v>4619542.3499999996</v>
      </c>
      <c r="Q12" s="4"/>
      <c r="R12" s="12"/>
      <c r="S12" s="4"/>
      <c r="T12" s="4">
        <f>SUM(OSRRefT13x_0)</f>
        <v>5829802</v>
      </c>
      <c r="U12" s="4"/>
      <c r="V12" s="12"/>
      <c r="W12" s="4"/>
      <c r="X12" s="4">
        <f t="shared" ref="X12:X24" si="2">+P12-T12</f>
        <v>-1210259.6500000004</v>
      </c>
      <c r="Y12" s="4"/>
      <c r="Z12" s="12">
        <f t="shared" ref="Z12:Z24" si="3">IF(T12=0,0,X12/T12)</f>
        <v>-0.20759875721336682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446240</v>
      </c>
      <c r="I13" s="2"/>
      <c r="J13" s="19"/>
      <c r="K13" s="2"/>
      <c r="L13" s="2">
        <f t="shared" si="0"/>
        <v>-446240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2827827</v>
      </c>
      <c r="U13" s="2"/>
      <c r="V13" s="19"/>
      <c r="W13" s="2"/>
      <c r="X13" s="2">
        <f t="shared" si="2"/>
        <v>-2827827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--28468.23</f>
        <v>28468.23</v>
      </c>
      <c r="E14" s="2"/>
      <c r="F14" s="19"/>
      <c r="G14" s="2"/>
      <c r="H14" s="2"/>
      <c r="I14" s="2"/>
      <c r="J14" s="19"/>
      <c r="K14" s="2"/>
      <c r="L14" s="2">
        <f t="shared" si="0"/>
        <v>28468.23</v>
      </c>
      <c r="M14" s="2"/>
      <c r="N14" s="19">
        <f t="shared" si="1"/>
        <v>0</v>
      </c>
      <c r="O14" s="11"/>
      <c r="P14" s="2">
        <f>--454738.68</f>
        <v>454738.68</v>
      </c>
      <c r="Q14" s="2"/>
      <c r="R14" s="19"/>
      <c r="S14" s="2"/>
      <c r="T14" s="2"/>
      <c r="U14" s="2"/>
      <c r="V14" s="19"/>
      <c r="W14" s="2"/>
      <c r="X14" s="2">
        <f t="shared" si="2"/>
        <v>454738.68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"4052", " - ", "TAXABLE SALES-FOOD")</f>
        <v xml:space="preserve">          4052 - TAXABLE SALES-FOOD</v>
      </c>
      <c r="C15" s="11"/>
      <c r="D15" s="2">
        <f>--48334.99</f>
        <v>48334.99</v>
      </c>
      <c r="E15" s="2"/>
      <c r="F15" s="19"/>
      <c r="G15" s="2"/>
      <c r="H15" s="2"/>
      <c r="I15" s="2"/>
      <c r="J15" s="19"/>
      <c r="K15" s="2"/>
      <c r="L15" s="2">
        <f t="shared" si="0"/>
        <v>48334.99</v>
      </c>
      <c r="M15" s="2"/>
      <c r="N15" s="19">
        <f t="shared" si="1"/>
        <v>0</v>
      </c>
      <c r="O15" s="11"/>
      <c r="P15" s="2">
        <f>--836487.29</f>
        <v>836487.29</v>
      </c>
      <c r="Q15" s="2"/>
      <c r="R15" s="19"/>
      <c r="S15" s="2"/>
      <c r="T15" s="2"/>
      <c r="U15" s="2"/>
      <c r="V15" s="19"/>
      <c r="W15" s="2"/>
      <c r="X15" s="2">
        <f t="shared" si="2"/>
        <v>836487.29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"4053", " - ", "TAXABLE SALES-FOOD")</f>
        <v xml:space="preserve">          4053 - TAXABLE SALES-FOOD</v>
      </c>
      <c r="C16" s="11"/>
      <c r="D16" s="2">
        <f>--30950.4</f>
        <v>30950.400000000001</v>
      </c>
      <c r="E16" s="2"/>
      <c r="F16" s="19"/>
      <c r="G16" s="2"/>
      <c r="H16" s="2"/>
      <c r="I16" s="2"/>
      <c r="J16" s="19"/>
      <c r="K16" s="2"/>
      <c r="L16" s="2">
        <f t="shared" si="0"/>
        <v>30950.400000000001</v>
      </c>
      <c r="M16" s="2"/>
      <c r="N16" s="19">
        <f t="shared" si="1"/>
        <v>0</v>
      </c>
      <c r="O16" s="11"/>
      <c r="P16" s="2">
        <f>--253270.4</f>
        <v>253270.39999999999</v>
      </c>
      <c r="Q16" s="2"/>
      <c r="R16" s="19"/>
      <c r="S16" s="2"/>
      <c r="T16" s="2"/>
      <c r="U16" s="2"/>
      <c r="V16" s="19"/>
      <c r="W16" s="2"/>
      <c r="X16" s="2">
        <f t="shared" si="2"/>
        <v>253270.39999999999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"4055", " - ", "TAXABLE SALES-FOOD")</f>
        <v xml:space="preserve">          4055 - TAXABLE SALES-FOOD</v>
      </c>
      <c r="C17" s="11"/>
      <c r="D17" s="2">
        <f>--24162.83</f>
        <v>24162.83</v>
      </c>
      <c r="E17" s="2"/>
      <c r="F17" s="19"/>
      <c r="G17" s="2"/>
      <c r="H17" s="2"/>
      <c r="I17" s="2"/>
      <c r="J17" s="19"/>
      <c r="K17" s="2"/>
      <c r="L17" s="2">
        <f t="shared" si="0"/>
        <v>24162.83</v>
      </c>
      <c r="M17" s="2"/>
      <c r="N17" s="19">
        <f t="shared" si="1"/>
        <v>0</v>
      </c>
      <c r="O17" s="11"/>
      <c r="P17" s="2">
        <f>--381406.04</f>
        <v>381406.04</v>
      </c>
      <c r="Q17" s="2"/>
      <c r="R17" s="19"/>
      <c r="S17" s="2"/>
      <c r="T17" s="2"/>
      <c r="U17" s="2"/>
      <c r="V17" s="19"/>
      <c r="W17" s="2"/>
      <c r="X17" s="2">
        <f t="shared" si="2"/>
        <v>381406.04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>--6106.33</f>
        <v>6106.33</v>
      </c>
      <c r="E18" s="2"/>
      <c r="F18" s="19"/>
      <c r="G18" s="2"/>
      <c r="H18" s="2"/>
      <c r="I18" s="2"/>
      <c r="J18" s="19"/>
      <c r="K18" s="2"/>
      <c r="L18" s="2">
        <f t="shared" si="0"/>
        <v>6106.33</v>
      </c>
      <c r="M18" s="2"/>
      <c r="N18" s="19">
        <f t="shared" si="1"/>
        <v>0</v>
      </c>
      <c r="O18" s="11"/>
      <c r="P18" s="2">
        <f>--117077.57</f>
        <v>117077.57</v>
      </c>
      <c r="Q18" s="2"/>
      <c r="R18" s="19"/>
      <c r="S18" s="2"/>
      <c r="T18" s="2"/>
      <c r="U18" s="2"/>
      <c r="V18" s="19"/>
      <c r="W18" s="2"/>
      <c r="X18" s="2">
        <f t="shared" si="2"/>
        <v>117077.57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19"/>
      <c r="G19" s="2"/>
      <c r="H19" s="2">
        <v>471640</v>
      </c>
      <c r="I19" s="2"/>
      <c r="J19" s="19"/>
      <c r="K19" s="2"/>
      <c r="L19" s="2">
        <f t="shared" si="0"/>
        <v>-471640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3001975</v>
      </c>
      <c r="U19" s="2"/>
      <c r="V19" s="19"/>
      <c r="W19" s="2"/>
      <c r="X19" s="2">
        <f t="shared" si="2"/>
        <v>-3001975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"4151", " - ", "NON-TAXABLE SALES-FOOD")</f>
        <v xml:space="preserve">          4151 - NON-TAXABLE SALES-FOOD</v>
      </c>
      <c r="C20" s="11"/>
      <c r="D20" s="2">
        <f>--90012.01</f>
        <v>90012.01</v>
      </c>
      <c r="E20" s="2"/>
      <c r="F20" s="19"/>
      <c r="G20" s="2"/>
      <c r="H20" s="2"/>
      <c r="I20" s="2"/>
      <c r="J20" s="19"/>
      <c r="K20" s="2"/>
      <c r="L20" s="2">
        <f t="shared" si="0"/>
        <v>90012.01</v>
      </c>
      <c r="M20" s="2"/>
      <c r="N20" s="19">
        <f t="shared" si="1"/>
        <v>0</v>
      </c>
      <c r="O20" s="11"/>
      <c r="P20" s="2">
        <f>--1363402.11</f>
        <v>1363402.11</v>
      </c>
      <c r="Q20" s="2"/>
      <c r="R20" s="19"/>
      <c r="S20" s="2"/>
      <c r="T20" s="2"/>
      <c r="U20" s="2"/>
      <c r="V20" s="19"/>
      <c r="W20" s="2"/>
      <c r="X20" s="2">
        <f t="shared" si="2"/>
        <v>1363402.11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"4152", " - ", "NON-TAXABLE SALES-FOOD")</f>
        <v xml:space="preserve">          4152 - NON-TAXABLE SALES-FOOD</v>
      </c>
      <c r="C21" s="11"/>
      <c r="D21" s="2">
        <f>--3688.2</f>
        <v>3688.2</v>
      </c>
      <c r="E21" s="2"/>
      <c r="F21" s="19"/>
      <c r="G21" s="2"/>
      <c r="H21" s="2"/>
      <c r="I21" s="2"/>
      <c r="J21" s="19"/>
      <c r="K21" s="2"/>
      <c r="L21" s="2">
        <f t="shared" si="0"/>
        <v>3688.2</v>
      </c>
      <c r="M21" s="2"/>
      <c r="N21" s="19">
        <f t="shared" si="1"/>
        <v>0</v>
      </c>
      <c r="O21" s="11"/>
      <c r="P21" s="2">
        <f>--51415.27</f>
        <v>51415.27</v>
      </c>
      <c r="Q21" s="2"/>
      <c r="R21" s="19"/>
      <c r="S21" s="2"/>
      <c r="T21" s="2"/>
      <c r="U21" s="2"/>
      <c r="V21" s="19"/>
      <c r="W21" s="2"/>
      <c r="X21" s="2">
        <f t="shared" si="2"/>
        <v>51415.27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"4153", " - ", "NON-TAXABLE SALES-FOOD")</f>
        <v xml:space="preserve">          4153 - NON-TAXABLE SALES-FOOD</v>
      </c>
      <c r="C22" s="11"/>
      <c r="D22" s="2">
        <f>-304.12</f>
        <v>-304.12</v>
      </c>
      <c r="E22" s="2"/>
      <c r="F22" s="19"/>
      <c r="G22" s="2"/>
      <c r="H22" s="2"/>
      <c r="I22" s="2"/>
      <c r="J22" s="19"/>
      <c r="K22" s="2"/>
      <c r="L22" s="2">
        <f t="shared" si="0"/>
        <v>-304.12</v>
      </c>
      <c r="M22" s="2"/>
      <c r="N22" s="19">
        <f t="shared" si="1"/>
        <v>0</v>
      </c>
      <c r="O22" s="11"/>
      <c r="P22" s="2">
        <f>-498.41</f>
        <v>-498.41</v>
      </c>
      <c r="Q22" s="2"/>
      <c r="R22" s="19"/>
      <c r="S22" s="2"/>
      <c r="T22" s="2"/>
      <c r="U22" s="2"/>
      <c r="V22" s="19"/>
      <c r="W22" s="2"/>
      <c r="X22" s="2">
        <f t="shared" si="2"/>
        <v>-498.41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"4155", " - ", "NON-TAXABLE SALES-FOOD")</f>
        <v xml:space="preserve">          4155 - NON-TAXABLE SALES-FOOD</v>
      </c>
      <c r="C23" s="11"/>
      <c r="D23" s="2">
        <f>--43938.14</f>
        <v>43938.14</v>
      </c>
      <c r="E23" s="2"/>
      <c r="F23" s="19"/>
      <c r="G23" s="2"/>
      <c r="H23" s="2"/>
      <c r="I23" s="2"/>
      <c r="J23" s="19"/>
      <c r="K23" s="2"/>
      <c r="L23" s="2">
        <f t="shared" si="0"/>
        <v>43938.14</v>
      </c>
      <c r="M23" s="2"/>
      <c r="N23" s="19">
        <f t="shared" si="1"/>
        <v>0</v>
      </c>
      <c r="O23" s="11"/>
      <c r="P23" s="2">
        <f>--687389.73</f>
        <v>687389.73</v>
      </c>
      <c r="Q23" s="2"/>
      <c r="R23" s="19"/>
      <c r="S23" s="2"/>
      <c r="T23" s="2"/>
      <c r="U23" s="2"/>
      <c r="V23" s="19"/>
      <c r="W23" s="2"/>
      <c r="X23" s="2">
        <f t="shared" si="2"/>
        <v>687389.73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"4158", " - ", "NON-TAXABLE SALES-FOOD")</f>
        <v xml:space="preserve">          4158 - NON-TAXABLE SALES-FOOD</v>
      </c>
      <c r="C24" s="11"/>
      <c r="D24" s="2">
        <f>--33459.89</f>
        <v>33459.89</v>
      </c>
      <c r="E24" s="2"/>
      <c r="F24" s="19"/>
      <c r="G24" s="2"/>
      <c r="H24" s="2"/>
      <c r="I24" s="2"/>
      <c r="J24" s="19"/>
      <c r="K24" s="2"/>
      <c r="L24" s="2">
        <f t="shared" si="0"/>
        <v>33459.89</v>
      </c>
      <c r="M24" s="2"/>
      <c r="N24" s="19">
        <f t="shared" si="1"/>
        <v>0</v>
      </c>
      <c r="O24" s="11"/>
      <c r="P24" s="2">
        <f>--474853.67</f>
        <v>474853.67</v>
      </c>
      <c r="Q24" s="2"/>
      <c r="R24" s="19"/>
      <c r="S24" s="2"/>
      <c r="T24" s="2"/>
      <c r="U24" s="2"/>
      <c r="V24" s="19"/>
      <c r="W24" s="2"/>
      <c r="X24" s="2">
        <f t="shared" si="2"/>
        <v>474853.67</v>
      </c>
      <c r="Y24" s="2"/>
      <c r="Z24" s="19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9" t="s">
        <v>8</v>
      </c>
      <c r="C26" s="10"/>
      <c r="D26" s="4">
        <f>SUM(OSRRefD16x_0)</f>
        <v>94247.32</v>
      </c>
      <c r="E26" s="4"/>
      <c r="F26" s="12">
        <f t="shared" ref="F26:F29" si="4">IF(D$12=0,0,D26/D$12)</f>
        <v>0.30518834947180673</v>
      </c>
      <c r="G26" s="4"/>
      <c r="H26" s="4">
        <f>SUM(OSRRefH16x_0)</f>
        <v>277000</v>
      </c>
      <c r="I26" s="4"/>
      <c r="J26" s="12">
        <f t="shared" ref="J26:J29" si="5">IF(H$12=0,0,H26/H$12)</f>
        <v>0.30178236806554232</v>
      </c>
      <c r="K26" s="4"/>
      <c r="L26" s="4">
        <f t="shared" ref="L26:L29" si="6">+D26-H26</f>
        <v>-182752.68</v>
      </c>
      <c r="M26" s="4"/>
      <c r="N26" s="12">
        <f t="shared" ref="N26:N29" si="7">IF(H26=0,0,L26/H26)</f>
        <v>-0.65975696750902524</v>
      </c>
      <c r="O26" s="10"/>
      <c r="P26" s="4">
        <f>SUM(OSRRefP16x_0)</f>
        <v>1529512.47</v>
      </c>
      <c r="Q26" s="4"/>
      <c r="R26" s="12">
        <f t="shared" ref="R26:R29" si="8">IF(P$12=0,0,P26/P$12)</f>
        <v>0.33109610305878029</v>
      </c>
      <c r="S26" s="4"/>
      <c r="T26" s="4">
        <f>SUM(OSRRefT16x_0)</f>
        <v>1793796</v>
      </c>
      <c r="U26" s="4"/>
      <c r="V26" s="12">
        <f t="shared" ref="V26:V29" si="9">IF(T$12=0,0,T26/T$12)</f>
        <v>0.30769415496443964</v>
      </c>
      <c r="W26" s="4"/>
      <c r="X26" s="4">
        <f t="shared" ref="X26:X29" si="10">+P26-T26</f>
        <v>-264283.53000000003</v>
      </c>
      <c r="Y26" s="4"/>
      <c r="Z26" s="12">
        <f t="shared" ref="Z26:Z29" si="11">IF(T26=0,0,X26/T26)</f>
        <v>-0.14733198758387242</v>
      </c>
    </row>
    <row r="27" spans="1:26" s="24" customFormat="1" hidden="1" outlineLevel="1" x14ac:dyDescent="0.25">
      <c r="A27" s="44"/>
      <c r="B27" s="11" t="str">
        <f>CONCATENATE("          ", "5000", " - ", "PURCHASES @ COST")</f>
        <v xml:space="preserve">          5000 - PURCHASES @ COST</v>
      </c>
      <c r="C27" s="11"/>
      <c r="D27" s="2"/>
      <c r="E27" s="2"/>
      <c r="F27" s="19">
        <f t="shared" si="4"/>
        <v>0</v>
      </c>
      <c r="G27" s="2"/>
      <c r="H27" s="2">
        <v>277000</v>
      </c>
      <c r="I27" s="2"/>
      <c r="J27" s="19">
        <f t="shared" si="5"/>
        <v>0.30178236806554232</v>
      </c>
      <c r="K27" s="2"/>
      <c r="L27" s="2">
        <f t="shared" si="6"/>
        <v>-277000</v>
      </c>
      <c r="M27" s="2"/>
      <c r="N27" s="19">
        <f t="shared" si="7"/>
        <v>-1</v>
      </c>
      <c r="O27" s="11"/>
      <c r="P27" s="2"/>
      <c r="Q27" s="2"/>
      <c r="R27" s="19">
        <f t="shared" si="8"/>
        <v>0</v>
      </c>
      <c r="S27" s="2"/>
      <c r="T27" s="2">
        <v>1793796</v>
      </c>
      <c r="U27" s="2"/>
      <c r="V27" s="19">
        <f t="shared" si="9"/>
        <v>0.30769415496443964</v>
      </c>
      <c r="W27" s="2"/>
      <c r="X27" s="2">
        <f t="shared" si="10"/>
        <v>-1793796</v>
      </c>
      <c r="Y27" s="2"/>
      <c r="Z27" s="19">
        <f t="shared" si="11"/>
        <v>-1</v>
      </c>
    </row>
    <row r="28" spans="1:26" s="24" customFormat="1" hidden="1" outlineLevel="1" x14ac:dyDescent="0.25">
      <c r="A28" s="44"/>
      <c r="B28" s="11" t="str">
        <f>CONCATENATE("          ", "5053", " - ", "PURCHASES @ COST-FOOD")</f>
        <v xml:space="preserve">          5053 - PURCHASES @ COST-FOOD</v>
      </c>
      <c r="C28" s="11"/>
      <c r="D28" s="2">
        <v>118460.32</v>
      </c>
      <c r="E28" s="2"/>
      <c r="F28" s="19">
        <f t="shared" si="4"/>
        <v>0.38359403258047081</v>
      </c>
      <c r="G28" s="2"/>
      <c r="H28" s="2"/>
      <c r="I28" s="2"/>
      <c r="J28" s="19">
        <f t="shared" si="5"/>
        <v>0</v>
      </c>
      <c r="K28" s="2"/>
      <c r="L28" s="2">
        <f t="shared" si="6"/>
        <v>118460.32</v>
      </c>
      <c r="M28" s="2"/>
      <c r="N28" s="19">
        <f t="shared" si="7"/>
        <v>0</v>
      </c>
      <c r="O28" s="11"/>
      <c r="P28" s="2">
        <v>1583731.48</v>
      </c>
      <c r="Q28" s="2"/>
      <c r="R28" s="19">
        <f t="shared" si="8"/>
        <v>0.34283298214594787</v>
      </c>
      <c r="S28" s="2"/>
      <c r="T28" s="2"/>
      <c r="U28" s="2"/>
      <c r="V28" s="19">
        <f t="shared" si="9"/>
        <v>0</v>
      </c>
      <c r="W28" s="2"/>
      <c r="X28" s="2">
        <f t="shared" si="10"/>
        <v>1583731.48</v>
      </c>
      <c r="Y28" s="2"/>
      <c r="Z28" s="19">
        <f t="shared" si="11"/>
        <v>0</v>
      </c>
    </row>
    <row r="29" spans="1:26" s="24" customFormat="1" hidden="1" outlineLevel="1" x14ac:dyDescent="0.25">
      <c r="A29" s="44"/>
      <c r="B29" s="11" t="str">
        <f>CONCATENATE("          ", "5059", " - ", "PURCHASES @ COST-FOOD")</f>
        <v xml:space="preserve">          5059 - PURCHASES @ COST-FOOD</v>
      </c>
      <c r="C29" s="11"/>
      <c r="D29" s="2">
        <v>-24213</v>
      </c>
      <c r="E29" s="2"/>
      <c r="F29" s="19">
        <f t="shared" si="4"/>
        <v>-7.8405683108664054E-2</v>
      </c>
      <c r="G29" s="2"/>
      <c r="H29" s="2"/>
      <c r="I29" s="2"/>
      <c r="J29" s="19">
        <f t="shared" si="5"/>
        <v>0</v>
      </c>
      <c r="K29" s="2"/>
      <c r="L29" s="2">
        <f t="shared" si="6"/>
        <v>-24213</v>
      </c>
      <c r="M29" s="2"/>
      <c r="N29" s="19">
        <f t="shared" si="7"/>
        <v>0</v>
      </c>
      <c r="O29" s="11"/>
      <c r="P29" s="2">
        <v>-54219.009999999995</v>
      </c>
      <c r="Q29" s="2"/>
      <c r="R29" s="19">
        <f t="shared" si="8"/>
        <v>-1.1736879087167584E-2</v>
      </c>
      <c r="S29" s="2"/>
      <c r="T29" s="2"/>
      <c r="U29" s="2"/>
      <c r="V29" s="19">
        <f t="shared" si="9"/>
        <v>0</v>
      </c>
      <c r="W29" s="2"/>
      <c r="X29" s="2">
        <f t="shared" si="10"/>
        <v>-54219.009999999995</v>
      </c>
      <c r="Y29" s="2"/>
      <c r="Z29" s="19">
        <f t="shared" si="11"/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8" t="s">
        <v>6</v>
      </c>
      <c r="C31" s="28"/>
      <c r="D31" s="20">
        <f>D12-D26</f>
        <v>214569.58000000002</v>
      </c>
      <c r="E31" s="14"/>
      <c r="F31" s="22">
        <f>IF(D$12=0,0,D31/D$12)</f>
        <v>0.69481165052819327</v>
      </c>
      <c r="G31" s="14"/>
      <c r="H31" s="20">
        <f>H12-H26</f>
        <v>640880</v>
      </c>
      <c r="I31" s="14"/>
      <c r="J31" s="22">
        <f>IF(H$12=0,0,H31/H$12)</f>
        <v>0.69821763193445763</v>
      </c>
      <c r="K31" s="16"/>
      <c r="L31" s="20">
        <f>+D31-H31</f>
        <v>-426310.42</v>
      </c>
      <c r="M31" s="16"/>
      <c r="N31" s="22">
        <f>IF(H31=0,0,L31/H31)</f>
        <v>-0.66519538759206087</v>
      </c>
      <c r="O31" s="29"/>
      <c r="P31" s="20">
        <f>P12-P26</f>
        <v>3090029.88</v>
      </c>
      <c r="Q31" s="14"/>
      <c r="R31" s="22">
        <f>IF(P$12=0,0,P31/P$12)</f>
        <v>0.66890389694121977</v>
      </c>
      <c r="S31" s="14"/>
      <c r="T31" s="20">
        <f>T12-T26</f>
        <v>4036006</v>
      </c>
      <c r="U31" s="14"/>
      <c r="V31" s="22">
        <f>IF(T$12=0,0,T31/T$12)</f>
        <v>0.69230584503556036</v>
      </c>
      <c r="W31" s="16"/>
      <c r="X31" s="20">
        <f>+P31-T31</f>
        <v>-945976.12000000011</v>
      </c>
      <c r="Y31" s="16"/>
      <c r="Z31" s="22">
        <f>IF(T31=0,0,X31/T31)</f>
        <v>-0.23438422043971197</v>
      </c>
    </row>
    <row r="32" spans="1:26" x14ac:dyDescent="0.25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25">
      <c r="A33" s="10"/>
      <c r="B33" s="29" t="s">
        <v>9</v>
      </c>
      <c r="C33" s="10"/>
      <c r="D33" s="21">
        <f>SUM(OSRRefD22x_0)</f>
        <v>527362.84000000008</v>
      </c>
      <c r="E33" s="21"/>
      <c r="F33" s="30">
        <f t="shared" ref="F33:F44" si="12">IF(D$12=0,0,D33/D$12)</f>
        <v>1.7076877593162811</v>
      </c>
      <c r="G33" s="21"/>
      <c r="H33" s="21">
        <f>SUM(OSRRefH22x_0)</f>
        <v>551472.83887809573</v>
      </c>
      <c r="I33" s="21"/>
      <c r="J33" s="30">
        <f t="shared" ref="J33:J44" si="13">IF(H$12=0,0,H33/H$12)</f>
        <v>0.60081147740237906</v>
      </c>
      <c r="K33" s="4"/>
      <c r="L33" s="21">
        <f t="shared" ref="L33:L44" si="14">+D33-H33</f>
        <v>-24109.998878095648</v>
      </c>
      <c r="M33" s="4"/>
      <c r="N33" s="30">
        <f t="shared" ref="N33:N44" si="15">IF(H33=0,0,L33/H33)</f>
        <v>-4.3719286206632589E-2</v>
      </c>
      <c r="O33" s="10"/>
      <c r="P33" s="21">
        <f>SUM(OSRRefP22x_0)</f>
        <v>4462443.8299999991</v>
      </c>
      <c r="Q33" s="21"/>
      <c r="R33" s="30">
        <f t="shared" ref="R33:R44" si="16">IF(P$12=0,0,P33/P$12)</f>
        <v>0.96599262262418695</v>
      </c>
      <c r="S33" s="21"/>
      <c r="T33" s="21">
        <f>SUM(OSRRefT22x_0)</f>
        <v>4311699.6990978466</v>
      </c>
      <c r="U33" s="21"/>
      <c r="V33" s="30">
        <f t="shared" ref="V33:V44" si="17">IF(T$12=0,0,T33/T$12)</f>
        <v>0.7395962502839456</v>
      </c>
      <c r="W33" s="4"/>
      <c r="X33" s="21">
        <f t="shared" ref="X33:X44" si="18">+P33-T33</f>
        <v>150744.13090215251</v>
      </c>
      <c r="Y33" s="4"/>
      <c r="Z33" s="30">
        <f t="shared" ref="Z33:Z44" si="19">IF(T33=0,0,X33/T33)</f>
        <v>3.4961648867543646E-2</v>
      </c>
    </row>
    <row r="34" spans="1:26" s="27" customFormat="1" outlineLevel="1" collapsed="1" x14ac:dyDescent="0.25">
      <c r="A34" s="26"/>
      <c r="B34" s="13" t="str">
        <f>CONCATENATE("     ","*Benefits                                         ")</f>
        <v xml:space="preserve">     *Benefits                                         </v>
      </c>
      <c r="C34" s="13"/>
      <c r="D34" s="1">
        <f>SUM(OSRRefD22_0x_0)</f>
        <v>72591.899999999994</v>
      </c>
      <c r="E34" s="1"/>
      <c r="F34" s="5">
        <f t="shared" si="12"/>
        <v>0.23506453176623426</v>
      </c>
      <c r="G34" s="1"/>
      <c r="H34" s="1">
        <f>SUM(OSRRefH22_0x_0)</f>
        <v>68389.449555018771</v>
      </c>
      <c r="I34" s="1"/>
      <c r="J34" s="5">
        <f t="shared" si="13"/>
        <v>7.4508050676579479E-2</v>
      </c>
      <c r="K34" s="1"/>
      <c r="L34" s="1">
        <f t="shared" si="14"/>
        <v>4202.450444981223</v>
      </c>
      <c r="M34" s="1"/>
      <c r="N34" s="5">
        <f t="shared" si="15"/>
        <v>6.1448812241139399E-2</v>
      </c>
      <c r="O34" s="13"/>
      <c r="P34" s="1">
        <f>SUM(OSRRefP22_0x_0)</f>
        <v>620128.31000000006</v>
      </c>
      <c r="Q34" s="1"/>
      <c r="R34" s="5">
        <f t="shared" si="16"/>
        <v>0.13424020455186433</v>
      </c>
      <c r="S34" s="1"/>
      <c r="T34" s="1">
        <f>SUM(OSRRefT22_0x_0)</f>
        <v>597626.72439784708</v>
      </c>
      <c r="U34" s="1"/>
      <c r="V34" s="5">
        <f t="shared" si="17"/>
        <v>0.1025123536610415</v>
      </c>
      <c r="W34" s="1"/>
      <c r="X34" s="1">
        <f t="shared" si="18"/>
        <v>22501.585602152976</v>
      </c>
      <c r="Y34" s="1"/>
      <c r="Z34" s="5">
        <f t="shared" si="19"/>
        <v>3.7651571932003178E-2</v>
      </c>
    </row>
    <row r="35" spans="1:26" s="24" customFormat="1" hidden="1" outlineLevel="2" x14ac:dyDescent="0.25">
      <c r="A35" s="25"/>
      <c r="B35" s="11" t="str">
        <f>CONCATENATE("          ", "6111", " - ", "F.I.C.A.")</f>
        <v xml:space="preserve">          6111 - F.I.C.A.</v>
      </c>
      <c r="C35" s="11"/>
      <c r="D35" s="6">
        <v>22154.46</v>
      </c>
      <c r="E35" s="2"/>
      <c r="F35" s="7">
        <f t="shared" si="12"/>
        <v>7.1739791442761061E-2</v>
      </c>
      <c r="G35" s="2"/>
      <c r="H35" s="6">
        <v>11859.016101209543</v>
      </c>
      <c r="I35" s="2"/>
      <c r="J35" s="7">
        <f t="shared" si="13"/>
        <v>1.292000708285347E-2</v>
      </c>
      <c r="K35" s="2"/>
      <c r="L35" s="6">
        <f t="shared" si="14"/>
        <v>10295.443898790456</v>
      </c>
      <c r="M35" s="2"/>
      <c r="N35" s="7">
        <f t="shared" si="15"/>
        <v>0.86815329458405799</v>
      </c>
      <c r="O35" s="11"/>
      <c r="P35" s="6">
        <v>126894.79000000001</v>
      </c>
      <c r="Q35" s="2"/>
      <c r="R35" s="7">
        <f t="shared" si="16"/>
        <v>2.7469125810698547E-2</v>
      </c>
      <c r="S35" s="2"/>
      <c r="T35" s="6">
        <v>99582.432255087027</v>
      </c>
      <c r="U35" s="2"/>
      <c r="V35" s="7">
        <f t="shared" si="17"/>
        <v>1.7081614822439427E-2</v>
      </c>
      <c r="W35" s="2"/>
      <c r="X35" s="6">
        <f t="shared" si="18"/>
        <v>27312.357744912981</v>
      </c>
      <c r="Y35" s="2"/>
      <c r="Z35" s="7">
        <f t="shared" si="19"/>
        <v>0.27426883564111548</v>
      </c>
    </row>
    <row r="36" spans="1:26" s="24" customFormat="1" hidden="1" outlineLevel="2" x14ac:dyDescent="0.25">
      <c r="A36" s="25"/>
      <c r="B36" s="11" t="str">
        <f>CONCATENATE("          ", "6112", " - ", "COMPENSATION INSURANCE")</f>
        <v xml:space="preserve">          6112 - COMPENSATION INSURANCE</v>
      </c>
      <c r="C36" s="11"/>
      <c r="D36" s="6">
        <v>14535.26</v>
      </c>
      <c r="E36" s="2"/>
      <c r="F36" s="7">
        <f t="shared" si="12"/>
        <v>4.7067566574238648E-2</v>
      </c>
      <c r="G36" s="2"/>
      <c r="H36" s="6">
        <v>9876.6703438338427</v>
      </c>
      <c r="I36" s="2"/>
      <c r="J36" s="7">
        <f t="shared" si="13"/>
        <v>1.0760306732725239E-2</v>
      </c>
      <c r="K36" s="2"/>
      <c r="L36" s="6">
        <f t="shared" si="14"/>
        <v>4658.5896561661575</v>
      </c>
      <c r="M36" s="2"/>
      <c r="N36" s="7">
        <f t="shared" si="15"/>
        <v>0.47167613112394569</v>
      </c>
      <c r="O36" s="11"/>
      <c r="P36" s="6">
        <v>68856.98</v>
      </c>
      <c r="Q36" s="2"/>
      <c r="R36" s="7">
        <f t="shared" si="16"/>
        <v>1.4905584749103988E-2</v>
      </c>
      <c r="S36" s="2"/>
      <c r="T36" s="6">
        <v>77107.257255419987</v>
      </c>
      <c r="U36" s="2"/>
      <c r="V36" s="7">
        <f t="shared" si="17"/>
        <v>1.3226393839005165E-2</v>
      </c>
      <c r="W36" s="2"/>
      <c r="X36" s="6">
        <f t="shared" si="18"/>
        <v>-8250.277255419991</v>
      </c>
      <c r="Y36" s="2"/>
      <c r="Z36" s="7">
        <f t="shared" si="19"/>
        <v>-0.10699741566595622</v>
      </c>
    </row>
    <row r="37" spans="1:26" s="24" customFormat="1" hidden="1" outlineLevel="2" x14ac:dyDescent="0.25">
      <c r="A37" s="25"/>
      <c r="B37" s="11" t="str">
        <f>CONCATENATE("          ", "6113", " - ", "GROUP INSURANCE")</f>
        <v xml:space="preserve">          6113 - GROUP INSURANCE</v>
      </c>
      <c r="C37" s="11"/>
      <c r="D37" s="6">
        <v>29308.98</v>
      </c>
      <c r="E37" s="2"/>
      <c r="F37" s="7">
        <f t="shared" si="12"/>
        <v>9.4907305914928866E-2</v>
      </c>
      <c r="G37" s="2"/>
      <c r="H37" s="6">
        <v>23438.961538461539</v>
      </c>
      <c r="I37" s="2"/>
      <c r="J37" s="7">
        <f t="shared" si="13"/>
        <v>2.5535975877523792E-2</v>
      </c>
      <c r="K37" s="2"/>
      <c r="L37" s="6">
        <f t="shared" si="14"/>
        <v>5870.0184615384605</v>
      </c>
      <c r="M37" s="2"/>
      <c r="N37" s="7">
        <f t="shared" si="15"/>
        <v>0.25043850393739542</v>
      </c>
      <c r="O37" s="11"/>
      <c r="P37" s="6">
        <v>208476.30000000002</v>
      </c>
      <c r="Q37" s="2"/>
      <c r="R37" s="7">
        <f t="shared" si="16"/>
        <v>4.5129210689019886E-2</v>
      </c>
      <c r="S37" s="2"/>
      <c r="T37" s="6">
        <v>199143.67500000005</v>
      </c>
      <c r="U37" s="2"/>
      <c r="V37" s="7">
        <f t="shared" si="17"/>
        <v>3.4159594957084316E-2</v>
      </c>
      <c r="W37" s="2"/>
      <c r="X37" s="6">
        <f t="shared" si="18"/>
        <v>9332.6249999999709</v>
      </c>
      <c r="Y37" s="2"/>
      <c r="Z37" s="7">
        <f t="shared" si="19"/>
        <v>4.6863778124010061E-2</v>
      </c>
    </row>
    <row r="38" spans="1:26" s="24" customFormat="1" hidden="1" outlineLevel="2" x14ac:dyDescent="0.25">
      <c r="A38" s="25"/>
      <c r="B38" s="11" t="str">
        <f>CONCATENATE("          ", "6114", " - ", "STATE UNEMPLOYMENT INSURANCE")</f>
        <v xml:space="preserve">          6114 - STATE UNEMPLOYMENT INSURANCE</v>
      </c>
      <c r="C38" s="11"/>
      <c r="D38" s="6">
        <v>1037.21</v>
      </c>
      <c r="E38" s="2"/>
      <c r="F38" s="7">
        <f t="shared" si="12"/>
        <v>3.3586568610720459E-3</v>
      </c>
      <c r="G38" s="2"/>
      <c r="H38" s="6">
        <v>715.22989736</v>
      </c>
      <c r="I38" s="2"/>
      <c r="J38" s="7">
        <f t="shared" si="13"/>
        <v>7.7921939399485773E-4</v>
      </c>
      <c r="K38" s="2"/>
      <c r="L38" s="6">
        <f t="shared" si="14"/>
        <v>321.98010264000004</v>
      </c>
      <c r="M38" s="2"/>
      <c r="N38" s="7">
        <f t="shared" si="15"/>
        <v>0.45017707429243031</v>
      </c>
      <c r="O38" s="11"/>
      <c r="P38" s="6">
        <v>5892.6</v>
      </c>
      <c r="Q38" s="2"/>
      <c r="R38" s="7">
        <f t="shared" si="16"/>
        <v>1.2755809025108301E-3</v>
      </c>
      <c r="S38" s="2"/>
      <c r="T38" s="6">
        <v>5563.3249903400001</v>
      </c>
      <c r="U38" s="2"/>
      <c r="V38" s="7">
        <f t="shared" si="17"/>
        <v>9.5429055572384791E-4</v>
      </c>
      <c r="W38" s="2"/>
      <c r="X38" s="6">
        <f t="shared" si="18"/>
        <v>329.27500966000025</v>
      </c>
      <c r="Y38" s="2"/>
      <c r="Z38" s="7">
        <f t="shared" si="19"/>
        <v>5.9186729200926436E-2</v>
      </c>
    </row>
    <row r="39" spans="1:26" s="24" customFormat="1" hidden="1" outlineLevel="2" x14ac:dyDescent="0.25">
      <c r="A39" s="25"/>
      <c r="B39" s="11" t="str">
        <f>CONCATENATE("          ", "6115", " - ", "P.E.R.S.")</f>
        <v xml:space="preserve">          6115 - P.E.R.S.</v>
      </c>
      <c r="C39" s="11"/>
      <c r="D39" s="6">
        <v>8264.74</v>
      </c>
      <c r="E39" s="2"/>
      <c r="F39" s="7">
        <f t="shared" si="12"/>
        <v>2.6762589741688356E-2</v>
      </c>
      <c r="G39" s="2"/>
      <c r="H39" s="6">
        <v>6790.4317276923139</v>
      </c>
      <c r="I39" s="2"/>
      <c r="J39" s="7">
        <f t="shared" si="13"/>
        <v>7.3979515053082257E-3</v>
      </c>
      <c r="K39" s="2"/>
      <c r="L39" s="6">
        <f t="shared" si="14"/>
        <v>1474.3082723076859</v>
      </c>
      <c r="M39" s="2"/>
      <c r="N39" s="7">
        <f t="shared" si="15"/>
        <v>0.21711554308031022</v>
      </c>
      <c r="O39" s="11"/>
      <c r="P39" s="6">
        <v>67610.509999999995</v>
      </c>
      <c r="Q39" s="2"/>
      <c r="R39" s="7">
        <f t="shared" si="16"/>
        <v>1.4635759319318721E-2</v>
      </c>
      <c r="S39" s="2"/>
      <c r="T39" s="6">
        <v>66206.709345000039</v>
      </c>
      <c r="U39" s="2"/>
      <c r="V39" s="7">
        <f t="shared" si="17"/>
        <v>1.13565965610839E-2</v>
      </c>
      <c r="W39" s="2"/>
      <c r="X39" s="6">
        <f t="shared" si="18"/>
        <v>1403.8006549999554</v>
      </c>
      <c r="Y39" s="2"/>
      <c r="Z39" s="7">
        <f t="shared" si="19"/>
        <v>2.1203299014376571E-2</v>
      </c>
    </row>
    <row r="40" spans="1:26" s="24" customFormat="1" hidden="1" outlineLevel="2" x14ac:dyDescent="0.25">
      <c r="A40" s="25"/>
      <c r="B40" s="11" t="str">
        <f>CONCATENATE("          ", "6116", " - ", "EDUCATIONAL BENEFITS")</f>
        <v xml:space="preserve">          6116 - EDUCATIONAL BENEFITS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16000</v>
      </c>
      <c r="U40" s="2"/>
      <c r="V40" s="7">
        <f t="shared" si="17"/>
        <v>2.7445185960003446E-3</v>
      </c>
      <c r="W40" s="2"/>
      <c r="X40" s="6">
        <f t="shared" si="18"/>
        <v>-16000</v>
      </c>
      <c r="Y40" s="2"/>
      <c r="Z40" s="7">
        <f t="shared" si="19"/>
        <v>-1</v>
      </c>
    </row>
    <row r="41" spans="1:26" s="24" customFormat="1" hidden="1" outlineLevel="2" x14ac:dyDescent="0.25">
      <c r="A41" s="25"/>
      <c r="B41" s="11" t="str">
        <f>CONCATENATE("          ", "6117", " - ", "RETIREMENT STAFF HOURLY")</f>
        <v xml:space="preserve">          6117 - RETIREMENT STAFF HOURLY</v>
      </c>
      <c r="C41" s="11"/>
      <c r="D41" s="6">
        <v>133.72999999999999</v>
      </c>
      <c r="E41" s="2"/>
      <c r="F41" s="7">
        <f t="shared" si="12"/>
        <v>4.3303977211091744E-4</v>
      </c>
      <c r="G41" s="2"/>
      <c r="H41" s="6"/>
      <c r="I41" s="2"/>
      <c r="J41" s="7">
        <f t="shared" si="13"/>
        <v>0</v>
      </c>
      <c r="K41" s="2"/>
      <c r="L41" s="6">
        <f t="shared" si="14"/>
        <v>133.72999999999999</v>
      </c>
      <c r="M41" s="2"/>
      <c r="N41" s="7">
        <f t="shared" si="15"/>
        <v>0</v>
      </c>
      <c r="O41" s="11"/>
      <c r="P41" s="6">
        <v>846.58</v>
      </c>
      <c r="Q41" s="2"/>
      <c r="R41" s="7">
        <f t="shared" si="16"/>
        <v>1.8326057774965525E-4</v>
      </c>
      <c r="S41" s="2"/>
      <c r="T41" s="6"/>
      <c r="U41" s="2"/>
      <c r="V41" s="7">
        <f t="shared" si="17"/>
        <v>0</v>
      </c>
      <c r="W41" s="2"/>
      <c r="X41" s="6">
        <f t="shared" si="18"/>
        <v>846.58</v>
      </c>
      <c r="Y41" s="2"/>
      <c r="Z41" s="7">
        <f t="shared" si="19"/>
        <v>0</v>
      </c>
    </row>
    <row r="42" spans="1:26" s="24" customFormat="1" hidden="1" outlineLevel="2" x14ac:dyDescent="0.25">
      <c r="A42" s="25"/>
      <c r="B42" s="11" t="str">
        <f>CONCATENATE("          ", "6118", " - ", "VACATION")</f>
        <v xml:space="preserve">          6118 - VACATION</v>
      </c>
      <c r="C42" s="11"/>
      <c r="D42" s="6">
        <v>10147.459999999999</v>
      </c>
      <c r="E42" s="2"/>
      <c r="F42" s="7">
        <f t="shared" si="12"/>
        <v>3.2859147281123532E-2</v>
      </c>
      <c r="G42" s="2"/>
      <c r="H42" s="6">
        <v>5347.7256076923049</v>
      </c>
      <c r="I42" s="2"/>
      <c r="J42" s="7">
        <f t="shared" si="13"/>
        <v>5.8261707496538818E-3</v>
      </c>
      <c r="K42" s="2"/>
      <c r="L42" s="6">
        <f t="shared" si="14"/>
        <v>4799.7343923076942</v>
      </c>
      <c r="M42" s="2"/>
      <c r="N42" s="7">
        <f t="shared" si="15"/>
        <v>0.89752817261297657</v>
      </c>
      <c r="O42" s="11"/>
      <c r="P42" s="6">
        <v>68651.320000000007</v>
      </c>
      <c r="Q42" s="2"/>
      <c r="R42" s="7">
        <f t="shared" si="16"/>
        <v>1.4861065187550454E-2</v>
      </c>
      <c r="S42" s="2"/>
      <c r="T42" s="6">
        <v>50831.741174999974</v>
      </c>
      <c r="U42" s="2"/>
      <c r="V42" s="7">
        <f t="shared" si="17"/>
        <v>8.7192911826164884E-3</v>
      </c>
      <c r="W42" s="2"/>
      <c r="X42" s="6">
        <f t="shared" si="18"/>
        <v>17819.578825000033</v>
      </c>
      <c r="Y42" s="2"/>
      <c r="Z42" s="7">
        <f t="shared" si="19"/>
        <v>0.35056007158306912</v>
      </c>
    </row>
    <row r="43" spans="1:26" s="24" customFormat="1" hidden="1" outlineLevel="2" x14ac:dyDescent="0.25">
      <c r="A43" s="25"/>
      <c r="B43" s="11" t="str">
        <f>CONCATENATE("          ", "6119", " - ", "SICK LEAVE")</f>
        <v xml:space="preserve">          6119 - SICK LEAVE</v>
      </c>
      <c r="C43" s="11"/>
      <c r="D43" s="6">
        <v>-15016.86</v>
      </c>
      <c r="E43" s="2"/>
      <c r="F43" s="7">
        <f t="shared" si="12"/>
        <v>-4.8627066718175072E-2</v>
      </c>
      <c r="G43" s="2"/>
      <c r="H43" s="6">
        <v>8636.4143387692329</v>
      </c>
      <c r="I43" s="2"/>
      <c r="J43" s="7">
        <f t="shared" si="13"/>
        <v>9.4090887030649252E-3</v>
      </c>
      <c r="K43" s="2"/>
      <c r="L43" s="6">
        <f t="shared" si="14"/>
        <v>-23653.274338769232</v>
      </c>
      <c r="M43" s="2"/>
      <c r="N43" s="7">
        <f t="shared" si="15"/>
        <v>-2.7387841077272861</v>
      </c>
      <c r="O43" s="11"/>
      <c r="P43" s="6">
        <v>48014.700000000004</v>
      </c>
      <c r="Q43" s="2"/>
      <c r="R43" s="7">
        <f t="shared" si="16"/>
        <v>1.0393821803581909E-2</v>
      </c>
      <c r="S43" s="2"/>
      <c r="T43" s="6">
        <v>67666.584376999992</v>
      </c>
      <c r="U43" s="2"/>
      <c r="V43" s="7">
        <f t="shared" si="17"/>
        <v>1.1607012446906428E-2</v>
      </c>
      <c r="W43" s="2"/>
      <c r="X43" s="6">
        <f t="shared" si="18"/>
        <v>-19651.884376999988</v>
      </c>
      <c r="Y43" s="2"/>
      <c r="Z43" s="7">
        <f t="shared" si="19"/>
        <v>-0.29042228978945928</v>
      </c>
    </row>
    <row r="44" spans="1:26" s="24" customFormat="1" hidden="1" outlineLevel="2" x14ac:dyDescent="0.25">
      <c r="A44" s="25"/>
      <c r="B44" s="11" t="str">
        <f>CONCATENATE("          ", "6156", " - ", "EMPLOYEE MEALS")</f>
        <v xml:space="preserve">          6156 - EMPLOYEE MEALS</v>
      </c>
      <c r="C44" s="11"/>
      <c r="D44" s="6">
        <v>2026.92</v>
      </c>
      <c r="E44" s="2"/>
      <c r="F44" s="7">
        <f t="shared" si="12"/>
        <v>6.5635008964859106E-3</v>
      </c>
      <c r="G44" s="2"/>
      <c r="H44" s="6">
        <v>1725</v>
      </c>
      <c r="I44" s="2"/>
      <c r="J44" s="7">
        <f t="shared" si="13"/>
        <v>1.8793306314550922E-3</v>
      </c>
      <c r="K44" s="2"/>
      <c r="L44" s="6">
        <f t="shared" si="14"/>
        <v>301.92000000000007</v>
      </c>
      <c r="M44" s="2"/>
      <c r="N44" s="7">
        <f t="shared" si="15"/>
        <v>0.17502608695652178</v>
      </c>
      <c r="O44" s="11"/>
      <c r="P44" s="6">
        <v>24884.53</v>
      </c>
      <c r="Q44" s="2"/>
      <c r="R44" s="7">
        <f t="shared" si="16"/>
        <v>5.3867955123303507E-3</v>
      </c>
      <c r="S44" s="2"/>
      <c r="T44" s="6">
        <v>15525</v>
      </c>
      <c r="U44" s="2"/>
      <c r="V44" s="7">
        <f t="shared" si="17"/>
        <v>2.6630407001815844E-3</v>
      </c>
      <c r="W44" s="2"/>
      <c r="X44" s="6">
        <f t="shared" si="18"/>
        <v>9359.5299999999988</v>
      </c>
      <c r="Y44" s="2"/>
      <c r="Z44" s="7">
        <f t="shared" si="19"/>
        <v>0.60286827697262468</v>
      </c>
    </row>
    <row r="45" spans="1:26" s="27" customFormat="1" outlineLevel="1" collapsed="1" x14ac:dyDescent="0.25">
      <c r="A45" s="26"/>
      <c r="B45" s="13" t="str">
        <f>CONCATENATE("     ","*Payroll                                          ")</f>
        <v xml:space="preserve">     *Payroll                                          </v>
      </c>
      <c r="C45" s="13"/>
      <c r="D45" s="1">
        <f>SUM(OSRRefD22_1x_0)</f>
        <v>291554.07</v>
      </c>
      <c r="E45" s="1"/>
      <c r="F45" s="5">
        <f t="shared" ref="F45:F55" si="20">IF(D$12=0,0,D45/D$12)</f>
        <v>0.94410011239669844</v>
      </c>
      <c r="G45" s="1"/>
      <c r="H45" s="1">
        <f>SUM(OSRRefH22_1x_0)</f>
        <v>258774.32932307693</v>
      </c>
      <c r="I45" s="1"/>
      <c r="J45" s="5">
        <f t="shared" ref="J45:J55" si="21">IF(H$12=0,0,H45/H$12)</f>
        <v>0.28192610071368474</v>
      </c>
      <c r="K45" s="1"/>
      <c r="L45" s="1">
        <f t="shared" ref="L45:L55" si="22">+D45-H45</f>
        <v>32779.740676923073</v>
      </c>
      <c r="M45" s="1"/>
      <c r="N45" s="5">
        <f t="shared" ref="N45:N55" si="23">IF(H45=0,0,L45/H45)</f>
        <v>0.12667307751379744</v>
      </c>
      <c r="O45" s="13"/>
      <c r="P45" s="1">
        <f>SUM(OSRRefP22_1x_0)</f>
        <v>2079780.56</v>
      </c>
      <c r="Q45" s="1"/>
      <c r="R45" s="5">
        <f t="shared" ref="R45:R55" si="24">IF(P$12=0,0,P45/P$12)</f>
        <v>0.45021354983356743</v>
      </c>
      <c r="S45" s="1"/>
      <c r="T45" s="1">
        <f>SUM(OSRRefT22_1x_0)</f>
        <v>1993262.1147000003</v>
      </c>
      <c r="U45" s="1"/>
      <c r="V45" s="5">
        <f t="shared" ref="V45:V55" si="25">IF(T$12=0,0,T45/T$12)</f>
        <v>0.34190905878107014</v>
      </c>
      <c r="W45" s="1"/>
      <c r="X45" s="1">
        <f t="shared" ref="X45:X55" si="26">+P45-T45</f>
        <v>86518.445299999788</v>
      </c>
      <c r="Y45" s="1"/>
      <c r="Z45" s="5">
        <f t="shared" ref="Z45:Z55" si="27">IF(T45=0,0,X45/T45)</f>
        <v>4.3405453132299869E-2</v>
      </c>
    </row>
    <row r="46" spans="1:26" s="24" customFormat="1" hidden="1" outlineLevel="2" x14ac:dyDescent="0.25">
      <c r="A46" s="25"/>
      <c r="B46" s="11" t="str">
        <f>CONCATENATE("          ", "6001", " - ", "ADMINISTRATIVE SALARIES")</f>
        <v xml:space="preserve">          6001 - ADMINISTRATIVE SALARIES</v>
      </c>
      <c r="C46" s="11"/>
      <c r="D46" s="6">
        <v>9626.26</v>
      </c>
      <c r="E46" s="2"/>
      <c r="F46" s="7">
        <f t="shared" si="20"/>
        <v>3.1171415813059451E-2</v>
      </c>
      <c r="G46" s="2"/>
      <c r="H46" s="6">
        <v>20213.021076923069</v>
      </c>
      <c r="I46" s="2"/>
      <c r="J46" s="7">
        <f t="shared" si="21"/>
        <v>2.2021420095135604E-2</v>
      </c>
      <c r="K46" s="2"/>
      <c r="L46" s="6">
        <f t="shared" si="22"/>
        <v>-10586.761076923069</v>
      </c>
      <c r="M46" s="2"/>
      <c r="N46" s="7">
        <f t="shared" si="23"/>
        <v>-0.52375946359694991</v>
      </c>
      <c r="O46" s="11"/>
      <c r="P46" s="6">
        <v>152871.47</v>
      </c>
      <c r="Q46" s="2"/>
      <c r="R46" s="7">
        <f t="shared" si="24"/>
        <v>3.3092340846274527E-2</v>
      </c>
      <c r="S46" s="2"/>
      <c r="T46" s="6">
        <v>197076.95549999998</v>
      </c>
      <c r="U46" s="2"/>
      <c r="V46" s="7">
        <f t="shared" si="25"/>
        <v>3.3805085575805145E-2</v>
      </c>
      <c r="W46" s="2"/>
      <c r="X46" s="6">
        <f t="shared" si="26"/>
        <v>-44205.485499999981</v>
      </c>
      <c r="Y46" s="2"/>
      <c r="Z46" s="7">
        <f t="shared" si="27"/>
        <v>-0.22430570529084506</v>
      </c>
    </row>
    <row r="47" spans="1:26" s="24" customFormat="1" hidden="1" outlineLevel="2" x14ac:dyDescent="0.25">
      <c r="A47" s="25"/>
      <c r="B47" s="11" t="str">
        <f>CONCATENATE("          ", "6002", " - ", "STAFF SALARIES")</f>
        <v xml:space="preserve">          6002 - STAFF SALARIES</v>
      </c>
      <c r="C47" s="11"/>
      <c r="D47" s="6">
        <v>82232.67</v>
      </c>
      <c r="E47" s="2"/>
      <c r="F47" s="7">
        <f t="shared" si="20"/>
        <v>0.26628293334982633</v>
      </c>
      <c r="G47" s="2"/>
      <c r="H47" s="6">
        <v>51367.801646153872</v>
      </c>
      <c r="I47" s="2"/>
      <c r="J47" s="7">
        <f t="shared" si="21"/>
        <v>5.5963526437174657E-2</v>
      </c>
      <c r="K47" s="2"/>
      <c r="L47" s="6">
        <f t="shared" si="22"/>
        <v>30864.868353846126</v>
      </c>
      <c r="M47" s="2"/>
      <c r="N47" s="7">
        <f t="shared" si="23"/>
        <v>0.6008602152464726</v>
      </c>
      <c r="O47" s="11"/>
      <c r="P47" s="6">
        <v>579636.07000000007</v>
      </c>
      <c r="Q47" s="2"/>
      <c r="R47" s="7">
        <f t="shared" si="24"/>
        <v>0.12547478215022753</v>
      </c>
      <c r="S47" s="2"/>
      <c r="T47" s="6">
        <v>500836.06605000008</v>
      </c>
      <c r="U47" s="2"/>
      <c r="V47" s="7">
        <f t="shared" si="25"/>
        <v>8.5909618551367625E-2</v>
      </c>
      <c r="W47" s="2"/>
      <c r="X47" s="6">
        <f t="shared" si="26"/>
        <v>78800.003949999984</v>
      </c>
      <c r="Y47" s="2"/>
      <c r="Z47" s="7">
        <f t="shared" si="27"/>
        <v>0.1573369197859108</v>
      </c>
    </row>
    <row r="48" spans="1:26" s="24" customFormat="1" hidden="1" outlineLevel="2" x14ac:dyDescent="0.25">
      <c r="A48" s="25"/>
      <c r="B48" s="11" t="str">
        <f>CONCATENATE("          ", "6003", " - ", "STAFF HOURLY-9 MONTH")</f>
        <v xml:space="preserve">          6003 - STAFF HOURLY-9 MONTH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4" customFormat="1" hidden="1" outlineLevel="2" x14ac:dyDescent="0.25">
      <c r="A49" s="25"/>
      <c r="B49" s="11" t="str">
        <f>CONCATENATE("          ", "6004", " - ", "STAFF HOURLY")</f>
        <v xml:space="preserve">          6004 - STAFF HOURLY</v>
      </c>
      <c r="C49" s="11"/>
      <c r="D49" s="6">
        <v>40876.6</v>
      </c>
      <c r="E49" s="2"/>
      <c r="F49" s="7">
        <f t="shared" si="20"/>
        <v>0.13236516524840447</v>
      </c>
      <c r="G49" s="2"/>
      <c r="H49" s="6">
        <v>73432.549599999998</v>
      </c>
      <c r="I49" s="2"/>
      <c r="J49" s="7">
        <f t="shared" si="21"/>
        <v>8.0002341918333553E-2</v>
      </c>
      <c r="K49" s="2"/>
      <c r="L49" s="6">
        <f t="shared" si="22"/>
        <v>-32555.9496</v>
      </c>
      <c r="M49" s="2"/>
      <c r="N49" s="7">
        <f t="shared" si="23"/>
        <v>-0.44334494413360259</v>
      </c>
      <c r="O49" s="11"/>
      <c r="P49" s="6">
        <v>214585.37</v>
      </c>
      <c r="Q49" s="2"/>
      <c r="R49" s="7">
        <f t="shared" si="24"/>
        <v>4.6451651211726633E-2</v>
      </c>
      <c r="S49" s="2"/>
      <c r="T49" s="6">
        <v>458754.15165000001</v>
      </c>
      <c r="U49" s="2"/>
      <c r="V49" s="7">
        <f t="shared" si="25"/>
        <v>7.869120626223669E-2</v>
      </c>
      <c r="W49" s="2"/>
      <c r="X49" s="6">
        <f t="shared" si="26"/>
        <v>-244168.78165000002</v>
      </c>
      <c r="Y49" s="2"/>
      <c r="Z49" s="7">
        <f t="shared" si="27"/>
        <v>-0.5322432086375648</v>
      </c>
    </row>
    <row r="50" spans="1:26" s="24" customFormat="1" hidden="1" outlineLevel="2" x14ac:dyDescent="0.25">
      <c r="A50" s="25"/>
      <c r="B50" s="11" t="str">
        <f>CONCATENATE("          ", "6005", " - ", "TEMPORARY WAGES-HOURLY")</f>
        <v xml:space="preserve">          6005 - TEMPORARY WAGES-HOURLY</v>
      </c>
      <c r="C50" s="11"/>
      <c r="D50" s="6">
        <v>70273.849999999991</v>
      </c>
      <c r="E50" s="2"/>
      <c r="F50" s="7">
        <f t="shared" si="20"/>
        <v>0.22755830396587748</v>
      </c>
      <c r="G50" s="2"/>
      <c r="H50" s="6">
        <v>31028.137000000002</v>
      </c>
      <c r="I50" s="2"/>
      <c r="J50" s="7">
        <f t="shared" si="21"/>
        <v>3.380413234845514E-2</v>
      </c>
      <c r="K50" s="2"/>
      <c r="L50" s="6">
        <f t="shared" si="22"/>
        <v>39245.712999999989</v>
      </c>
      <c r="M50" s="2"/>
      <c r="N50" s="7">
        <f t="shared" si="23"/>
        <v>1.2648427135667213</v>
      </c>
      <c r="O50" s="11"/>
      <c r="P50" s="6">
        <v>437635.56</v>
      </c>
      <c r="Q50" s="2"/>
      <c r="R50" s="7">
        <f t="shared" si="24"/>
        <v>9.4735696058723229E-2</v>
      </c>
      <c r="S50" s="2"/>
      <c r="T50" s="6">
        <v>263734.48100000003</v>
      </c>
      <c r="U50" s="2"/>
      <c r="V50" s="7">
        <f t="shared" si="25"/>
        <v>4.5239011719437477E-2</v>
      </c>
      <c r="W50" s="2"/>
      <c r="X50" s="6">
        <f t="shared" si="26"/>
        <v>173901.07899999997</v>
      </c>
      <c r="Y50" s="2"/>
      <c r="Z50" s="7">
        <f t="shared" si="27"/>
        <v>0.65937938164407084</v>
      </c>
    </row>
    <row r="51" spans="1:26" s="24" customFormat="1" hidden="1" outlineLevel="2" x14ac:dyDescent="0.25">
      <c r="A51" s="25"/>
      <c r="B51" s="11" t="str">
        <f>CONCATENATE("          ", "6006", " - ", "TEMPORARY PART TIME")</f>
        <v xml:space="preserve">          6006 - TEMPORARY PART TIME</v>
      </c>
      <c r="C51" s="11"/>
      <c r="D51" s="6">
        <v>589.54999999999995</v>
      </c>
      <c r="E51" s="2"/>
      <c r="F51" s="7">
        <f t="shared" si="20"/>
        <v>1.9090600287743316E-3</v>
      </c>
      <c r="G51" s="2"/>
      <c r="H51" s="6">
        <v>0</v>
      </c>
      <c r="I51" s="2"/>
      <c r="J51" s="7">
        <f t="shared" si="21"/>
        <v>0</v>
      </c>
      <c r="K51" s="2"/>
      <c r="L51" s="6">
        <f t="shared" si="22"/>
        <v>589.54999999999995</v>
      </c>
      <c r="M51" s="2"/>
      <c r="N51" s="7">
        <f t="shared" si="23"/>
        <v>0</v>
      </c>
      <c r="O51" s="11"/>
      <c r="P51" s="6">
        <v>11826.56</v>
      </c>
      <c r="Q51" s="2"/>
      <c r="R51" s="7">
        <f t="shared" si="24"/>
        <v>2.5601150728708009E-3</v>
      </c>
      <c r="S51" s="2"/>
      <c r="T51" s="6">
        <v>0</v>
      </c>
      <c r="U51" s="2"/>
      <c r="V51" s="7">
        <f t="shared" si="25"/>
        <v>0</v>
      </c>
      <c r="W51" s="2"/>
      <c r="X51" s="6">
        <f t="shared" si="26"/>
        <v>11826.56</v>
      </c>
      <c r="Y51" s="2"/>
      <c r="Z51" s="7">
        <f t="shared" si="27"/>
        <v>0</v>
      </c>
    </row>
    <row r="52" spans="1:26" s="24" customFormat="1" hidden="1" outlineLevel="2" x14ac:dyDescent="0.25">
      <c r="A52" s="25"/>
      <c r="B52" s="11" t="str">
        <f>CONCATENATE("          ", "6007", " - ", "STUDENT HOURLY")</f>
        <v xml:space="preserve">          6007 - STUDENT HOURLY</v>
      </c>
      <c r="C52" s="11"/>
      <c r="D52" s="6">
        <v>80453.100000000006</v>
      </c>
      <c r="E52" s="2"/>
      <c r="F52" s="7">
        <f t="shared" si="20"/>
        <v>0.26052039250442577</v>
      </c>
      <c r="G52" s="2"/>
      <c r="H52" s="6">
        <v>1530</v>
      </c>
      <c r="I52" s="2"/>
      <c r="J52" s="7">
        <f t="shared" si="21"/>
        <v>1.6668845600732122E-3</v>
      </c>
      <c r="K52" s="2"/>
      <c r="L52" s="6">
        <f t="shared" si="22"/>
        <v>78923.100000000006</v>
      </c>
      <c r="M52" s="2"/>
      <c r="N52" s="7">
        <f t="shared" si="23"/>
        <v>51.58372549019608</v>
      </c>
      <c r="O52" s="11"/>
      <c r="P52" s="6">
        <v>646768.24</v>
      </c>
      <c r="Q52" s="2"/>
      <c r="R52" s="7">
        <f t="shared" si="24"/>
        <v>0.14000699441579967</v>
      </c>
      <c r="S52" s="2"/>
      <c r="T52" s="6">
        <v>55257.8</v>
      </c>
      <c r="U52" s="2"/>
      <c r="V52" s="7">
        <f t="shared" si="25"/>
        <v>9.4785037296292399E-3</v>
      </c>
      <c r="W52" s="2"/>
      <c r="X52" s="6">
        <f t="shared" si="26"/>
        <v>591510.43999999994</v>
      </c>
      <c r="Y52" s="2"/>
      <c r="Z52" s="7">
        <f t="shared" si="27"/>
        <v>10.704560080205869</v>
      </c>
    </row>
    <row r="53" spans="1:26" s="24" customFormat="1" hidden="1" outlineLevel="2" x14ac:dyDescent="0.25">
      <c r="A53" s="25"/>
      <c r="B53" s="11" t="str">
        <f>CONCATENATE("          ", "6008", " - ", "STUDENT HOURLY-FICA EXEMPT")</f>
        <v xml:space="preserve">          6008 - STUDENT HOURLY-FICA EXEMPT</v>
      </c>
      <c r="C53" s="11"/>
      <c r="D53" s="6">
        <v>7502.04</v>
      </c>
      <c r="E53" s="2"/>
      <c r="F53" s="7">
        <f t="shared" si="20"/>
        <v>2.4292841486330572E-2</v>
      </c>
      <c r="G53" s="2"/>
      <c r="H53" s="6">
        <v>81202.819999999992</v>
      </c>
      <c r="I53" s="2"/>
      <c r="J53" s="7">
        <f t="shared" si="21"/>
        <v>8.846779535451256E-2</v>
      </c>
      <c r="K53" s="2"/>
      <c r="L53" s="6">
        <f t="shared" si="22"/>
        <v>-73700.78</v>
      </c>
      <c r="M53" s="2"/>
      <c r="N53" s="7">
        <f t="shared" si="23"/>
        <v>-0.90761355332240934</v>
      </c>
      <c r="O53" s="11"/>
      <c r="P53" s="6">
        <v>36457.29</v>
      </c>
      <c r="Q53" s="2"/>
      <c r="R53" s="7">
        <f t="shared" si="24"/>
        <v>7.89197007794506E-3</v>
      </c>
      <c r="S53" s="2"/>
      <c r="T53" s="6">
        <v>517602.6605</v>
      </c>
      <c r="U53" s="2"/>
      <c r="V53" s="7">
        <f t="shared" si="25"/>
        <v>8.8785632942593937E-2</v>
      </c>
      <c r="W53" s="2"/>
      <c r="X53" s="6">
        <f t="shared" si="26"/>
        <v>-481145.37050000002</v>
      </c>
      <c r="Y53" s="2"/>
      <c r="Z53" s="7">
        <f t="shared" si="27"/>
        <v>-0.92956510315309715</v>
      </c>
    </row>
    <row r="54" spans="1:26" s="24" customFormat="1" hidden="1" outlineLevel="2" x14ac:dyDescent="0.25">
      <c r="A54" s="25"/>
      <c r="B54" s="11" t="str">
        <f>CONCATENATE("          ", "6009", " - ", "TEMPORARY-SEASONAL")</f>
        <v xml:space="preserve">          6009 - TEMPORARY-SEASONAL</v>
      </c>
      <c r="C54" s="11"/>
      <c r="D54" s="6"/>
      <c r="E54" s="2"/>
      <c r="F54" s="7">
        <f t="shared" si="20"/>
        <v>0</v>
      </c>
      <c r="G54" s="2"/>
      <c r="H54" s="6">
        <v>0</v>
      </c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0</v>
      </c>
      <c r="U54" s="2"/>
      <c r="V54" s="7">
        <f t="shared" si="25"/>
        <v>0</v>
      </c>
      <c r="W54" s="2"/>
      <c r="X54" s="6">
        <f t="shared" si="26"/>
        <v>0</v>
      </c>
      <c r="Y54" s="2"/>
      <c r="Z54" s="7">
        <f t="shared" si="27"/>
        <v>0</v>
      </c>
    </row>
    <row r="55" spans="1:26" s="24" customFormat="1" hidden="1" outlineLevel="2" x14ac:dyDescent="0.25">
      <c r="A55" s="25"/>
      <c r="B55" s="11" t="str">
        <f>CONCATENATE("          ", "6010", " - ", "GRATUITY")</f>
        <v xml:space="preserve">          6010 - GRATUITY</v>
      </c>
      <c r="C55" s="11"/>
      <c r="D55" s="6"/>
      <c r="E55" s="2"/>
      <c r="F55" s="7">
        <f t="shared" si="20"/>
        <v>0</v>
      </c>
      <c r="G55" s="2"/>
      <c r="H55" s="6">
        <v>0</v>
      </c>
      <c r="I55" s="2"/>
      <c r="J55" s="7">
        <f t="shared" si="21"/>
        <v>0</v>
      </c>
      <c r="K55" s="2"/>
      <c r="L55" s="6">
        <f t="shared" si="22"/>
        <v>0</v>
      </c>
      <c r="M55" s="2"/>
      <c r="N55" s="7">
        <f t="shared" si="23"/>
        <v>0</v>
      </c>
      <c r="O55" s="11"/>
      <c r="P55" s="6"/>
      <c r="Q55" s="2"/>
      <c r="R55" s="7">
        <f t="shared" si="24"/>
        <v>0</v>
      </c>
      <c r="S55" s="2"/>
      <c r="T55" s="6">
        <v>0</v>
      </c>
      <c r="U55" s="2"/>
      <c r="V55" s="7">
        <f t="shared" si="25"/>
        <v>0</v>
      </c>
      <c r="W55" s="2"/>
      <c r="X55" s="6">
        <f t="shared" si="26"/>
        <v>0</v>
      </c>
      <c r="Y55" s="2"/>
      <c r="Z55" s="7">
        <f t="shared" si="27"/>
        <v>0</v>
      </c>
    </row>
    <row r="56" spans="1:26" s="27" customFormat="1" outlineLevel="1" collapsed="1" x14ac:dyDescent="0.25">
      <c r="A56" s="26"/>
      <c r="B56" s="13" t="str">
        <f>CONCATENATE("     ","Advertising/Promo                                 ")</f>
        <v xml:space="preserve">     Advertising/Promo                                 </v>
      </c>
      <c r="C56" s="13"/>
      <c r="D56" s="1">
        <f>SUM(OSRRefD22_2x_0)</f>
        <v>2053.31</v>
      </c>
      <c r="E56" s="1"/>
      <c r="F56" s="5">
        <f t="shared" ref="F56:F66" si="28">IF(D$12=0,0,D56/D$12)</f>
        <v>6.6489560642568456E-3</v>
      </c>
      <c r="G56" s="1"/>
      <c r="H56" s="1">
        <f>SUM(OSRRefH22_2x_0)</f>
        <v>1665</v>
      </c>
      <c r="I56" s="1"/>
      <c r="J56" s="5">
        <f t="shared" ref="J56:J66" si="29">IF(H$12=0,0,H56/H$12)</f>
        <v>1.8139626094914368E-3</v>
      </c>
      <c r="K56" s="1"/>
      <c r="L56" s="1">
        <f t="shared" ref="L56:L66" si="30">+D56-H56</f>
        <v>388.30999999999995</v>
      </c>
      <c r="M56" s="1"/>
      <c r="N56" s="5">
        <f t="shared" ref="N56:N66" si="31">IF(H56=0,0,L56/H56)</f>
        <v>0.23321921921921918</v>
      </c>
      <c r="O56" s="13"/>
      <c r="P56" s="1">
        <f>SUM(OSRRefP22_2x_0)</f>
        <v>28137.9</v>
      </c>
      <c r="Q56" s="1"/>
      <c r="R56" s="5">
        <f t="shared" ref="R56:R66" si="32">IF(P$12=0,0,P56/P$12)</f>
        <v>6.0910579161591628E-3</v>
      </c>
      <c r="S56" s="1"/>
      <c r="T56" s="1">
        <f>SUM(OSRRefT22_2x_0)</f>
        <v>19285</v>
      </c>
      <c r="U56" s="1"/>
      <c r="V56" s="5">
        <f t="shared" ref="V56:V66" si="33">IF(T$12=0,0,T56/T$12)</f>
        <v>3.3080025702416651E-3</v>
      </c>
      <c r="W56" s="1"/>
      <c r="X56" s="1">
        <f t="shared" ref="X56:X66" si="34">+P56-T56</f>
        <v>8852.9000000000015</v>
      </c>
      <c r="Y56" s="1"/>
      <c r="Z56" s="5">
        <f t="shared" ref="Z56:Z66" si="35">IF(T56=0,0,X56/T56)</f>
        <v>0.45905626134301281</v>
      </c>
    </row>
    <row r="57" spans="1:26" s="24" customFormat="1" hidden="1" outlineLevel="2" x14ac:dyDescent="0.25">
      <c r="A57" s="25"/>
      <c r="B57" s="11" t="str">
        <f>CONCATENATE("          ", "6362", " - ", "ADVERTISING EXPENSE")</f>
        <v xml:space="preserve">          6362 - ADVERTISING EXPENSE</v>
      </c>
      <c r="C57" s="11"/>
      <c r="D57" s="6">
        <v>2053.31</v>
      </c>
      <c r="E57" s="2"/>
      <c r="F57" s="7">
        <f t="shared" si="28"/>
        <v>6.6489560642568456E-3</v>
      </c>
      <c r="G57" s="2"/>
      <c r="H57" s="6">
        <v>1665</v>
      </c>
      <c r="I57" s="2"/>
      <c r="J57" s="7">
        <f t="shared" si="29"/>
        <v>1.8139626094914368E-3</v>
      </c>
      <c r="K57" s="2"/>
      <c r="L57" s="6">
        <f t="shared" si="30"/>
        <v>388.30999999999995</v>
      </c>
      <c r="M57" s="2"/>
      <c r="N57" s="7">
        <f t="shared" si="31"/>
        <v>0.23321921921921918</v>
      </c>
      <c r="O57" s="11"/>
      <c r="P57" s="6">
        <v>28137.9</v>
      </c>
      <c r="Q57" s="2"/>
      <c r="R57" s="7">
        <f t="shared" si="32"/>
        <v>6.0910579161591628E-3</v>
      </c>
      <c r="S57" s="2"/>
      <c r="T57" s="6">
        <v>19285</v>
      </c>
      <c r="U57" s="2"/>
      <c r="V57" s="7">
        <f t="shared" si="33"/>
        <v>3.3080025702416651E-3</v>
      </c>
      <c r="W57" s="2"/>
      <c r="X57" s="6">
        <f t="shared" si="34"/>
        <v>8852.9000000000015</v>
      </c>
      <c r="Y57" s="2"/>
      <c r="Z57" s="7">
        <f t="shared" si="35"/>
        <v>0.45905626134301281</v>
      </c>
    </row>
    <row r="58" spans="1:26" s="27" customFormat="1" outlineLevel="1" collapsed="1" x14ac:dyDescent="0.25">
      <c r="A58" s="26"/>
      <c r="B58" s="13" t="str">
        <f>CONCATENATE("     ","Bad Debts/Over/Short                              ")</f>
        <v xml:space="preserve">     Bad Debts/Over/Short                              </v>
      </c>
      <c r="C58" s="13"/>
      <c r="D58" s="1">
        <f>SUM(OSRRefD22_3x_0)</f>
        <v>9.48</v>
      </c>
      <c r="E58" s="1"/>
      <c r="F58" s="5">
        <f t="shared" si="28"/>
        <v>3.0697801836622281E-5</v>
      </c>
      <c r="G58" s="1"/>
      <c r="H58" s="1">
        <f>SUM(OSRRefH22_3x_0)</f>
        <v>169</v>
      </c>
      <c r="I58" s="1"/>
      <c r="J58" s="5">
        <f t="shared" si="29"/>
        <v>1.8411992853096265E-4</v>
      </c>
      <c r="K58" s="1"/>
      <c r="L58" s="1">
        <f t="shared" si="30"/>
        <v>-159.52000000000001</v>
      </c>
      <c r="M58" s="1"/>
      <c r="N58" s="5">
        <f t="shared" si="31"/>
        <v>-0.94390532544378702</v>
      </c>
      <c r="O58" s="13"/>
      <c r="P58" s="1">
        <f>SUM(OSRRefP22_3x_0)</f>
        <v>-260.64999999999998</v>
      </c>
      <c r="Q58" s="1"/>
      <c r="R58" s="5">
        <f t="shared" si="32"/>
        <v>-5.6423338125691175E-5</v>
      </c>
      <c r="S58" s="1"/>
      <c r="T58" s="1">
        <f>SUM(OSRRefT22_3x_0)</f>
        <v>1326</v>
      </c>
      <c r="U58" s="1"/>
      <c r="V58" s="5">
        <f t="shared" si="33"/>
        <v>2.2745197864352853E-4</v>
      </c>
      <c r="W58" s="1"/>
      <c r="X58" s="1">
        <f t="shared" si="34"/>
        <v>-1586.65</v>
      </c>
      <c r="Y58" s="1"/>
      <c r="Z58" s="5">
        <f t="shared" si="35"/>
        <v>-1.1965686274509804</v>
      </c>
    </row>
    <row r="59" spans="1:26" s="24" customFormat="1" hidden="1" outlineLevel="2" x14ac:dyDescent="0.25">
      <c r="A59" s="25"/>
      <c r="B59" s="11" t="str">
        <f>CONCATENATE("          ", "6272", " - ", "CASH (OVER/SHORT)")</f>
        <v xml:space="preserve">          6272 - CASH (OVER/SHORT)</v>
      </c>
      <c r="C59" s="11"/>
      <c r="D59" s="6">
        <v>9.48</v>
      </c>
      <c r="E59" s="2"/>
      <c r="F59" s="7">
        <f t="shared" si="28"/>
        <v>3.0697801836622281E-5</v>
      </c>
      <c r="G59" s="2"/>
      <c r="H59" s="6">
        <v>169</v>
      </c>
      <c r="I59" s="2"/>
      <c r="J59" s="7">
        <f t="shared" si="29"/>
        <v>1.8411992853096265E-4</v>
      </c>
      <c r="K59" s="2"/>
      <c r="L59" s="6">
        <f t="shared" si="30"/>
        <v>-159.52000000000001</v>
      </c>
      <c r="M59" s="2"/>
      <c r="N59" s="7">
        <f t="shared" si="31"/>
        <v>-0.94390532544378702</v>
      </c>
      <c r="O59" s="11"/>
      <c r="P59" s="6">
        <v>-260.64999999999998</v>
      </c>
      <c r="Q59" s="2"/>
      <c r="R59" s="7">
        <f t="shared" si="32"/>
        <v>-5.6423338125691175E-5</v>
      </c>
      <c r="S59" s="2"/>
      <c r="T59" s="6">
        <v>1326</v>
      </c>
      <c r="U59" s="2"/>
      <c r="V59" s="7">
        <f t="shared" si="33"/>
        <v>2.2745197864352853E-4</v>
      </c>
      <c r="W59" s="2"/>
      <c r="X59" s="6">
        <f t="shared" si="34"/>
        <v>-1586.65</v>
      </c>
      <c r="Y59" s="2"/>
      <c r="Z59" s="7">
        <f t="shared" si="35"/>
        <v>-1.1965686274509804</v>
      </c>
    </row>
    <row r="60" spans="1:26" s="27" customFormat="1" outlineLevel="1" collapsed="1" x14ac:dyDescent="0.25">
      <c r="A60" s="26"/>
      <c r="B60" s="13" t="str">
        <f>CONCATENATE("     ","Bank/card Fees                                    ")</f>
        <v xml:space="preserve">     Bank/card Fees                                    </v>
      </c>
      <c r="C60" s="13"/>
      <c r="D60" s="1">
        <f>SUM(OSRRefD22_4x_0)</f>
        <v>13539.18</v>
      </c>
      <c r="E60" s="1"/>
      <c r="F60" s="5">
        <f t="shared" si="28"/>
        <v>4.3842095429362835E-2</v>
      </c>
      <c r="G60" s="1"/>
      <c r="H60" s="1">
        <f>SUM(OSRRefH22_4x_0)</f>
        <v>11755</v>
      </c>
      <c r="I60" s="1"/>
      <c r="J60" s="5">
        <f t="shared" si="29"/>
        <v>1.2806684969712816E-2</v>
      </c>
      <c r="K60" s="1"/>
      <c r="L60" s="1">
        <f t="shared" si="30"/>
        <v>1784.1800000000003</v>
      </c>
      <c r="M60" s="1"/>
      <c r="N60" s="5">
        <f t="shared" si="31"/>
        <v>0.15178051892811573</v>
      </c>
      <c r="O60" s="13"/>
      <c r="P60" s="1">
        <f>SUM(OSRRefP22_4x_0)</f>
        <v>146313.59</v>
      </c>
      <c r="Q60" s="1"/>
      <c r="R60" s="5">
        <f t="shared" si="32"/>
        <v>3.167274567793496E-2</v>
      </c>
      <c r="S60" s="1"/>
      <c r="T60" s="1">
        <f>SUM(OSRRefT22_4x_0)</f>
        <v>91458</v>
      </c>
      <c r="U60" s="1"/>
      <c r="V60" s="5">
        <f t="shared" si="33"/>
        <v>1.5688011359562468E-2</v>
      </c>
      <c r="W60" s="1"/>
      <c r="X60" s="1">
        <f t="shared" si="34"/>
        <v>54855.59</v>
      </c>
      <c r="Y60" s="1"/>
      <c r="Z60" s="5">
        <f t="shared" si="35"/>
        <v>0.59978995823219394</v>
      </c>
    </row>
    <row r="61" spans="1:26" s="24" customFormat="1" hidden="1" outlineLevel="2" x14ac:dyDescent="0.25">
      <c r="A61" s="25"/>
      <c r="B61" s="11" t="str">
        <f>CONCATENATE("          ", "6381", " - ", "BANK/CREDIT CARD FEES")</f>
        <v xml:space="preserve">          6381 - BANK/CREDIT CARD FEES</v>
      </c>
      <c r="C61" s="11"/>
      <c r="D61" s="6">
        <v>13539.18</v>
      </c>
      <c r="E61" s="2"/>
      <c r="F61" s="7">
        <f t="shared" si="28"/>
        <v>4.3842095429362835E-2</v>
      </c>
      <c r="G61" s="2"/>
      <c r="H61" s="6">
        <v>11755</v>
      </c>
      <c r="I61" s="2"/>
      <c r="J61" s="7">
        <f t="shared" si="29"/>
        <v>1.2806684969712816E-2</v>
      </c>
      <c r="K61" s="2"/>
      <c r="L61" s="6">
        <f t="shared" si="30"/>
        <v>1784.1800000000003</v>
      </c>
      <c r="M61" s="2"/>
      <c r="N61" s="7">
        <f t="shared" si="31"/>
        <v>0.15178051892811573</v>
      </c>
      <c r="O61" s="11"/>
      <c r="P61" s="6">
        <v>146313.59</v>
      </c>
      <c r="Q61" s="2"/>
      <c r="R61" s="7">
        <f t="shared" si="32"/>
        <v>3.167274567793496E-2</v>
      </c>
      <c r="S61" s="2"/>
      <c r="T61" s="6">
        <v>91458</v>
      </c>
      <c r="U61" s="2"/>
      <c r="V61" s="7">
        <f t="shared" si="33"/>
        <v>1.5688011359562468E-2</v>
      </c>
      <c r="W61" s="2"/>
      <c r="X61" s="6">
        <f t="shared" si="34"/>
        <v>54855.59</v>
      </c>
      <c r="Y61" s="2"/>
      <c r="Z61" s="7">
        <f t="shared" si="35"/>
        <v>0.59978995823219394</v>
      </c>
    </row>
    <row r="62" spans="1:26" s="27" customFormat="1" outlineLevel="1" collapsed="1" x14ac:dyDescent="0.25">
      <c r="A62" s="26"/>
      <c r="B62" s="13" t="str">
        <f>CONCATENATE("     ","Depreciation                                      ")</f>
        <v xml:space="preserve">     Depreciation                                      </v>
      </c>
      <c r="C62" s="13"/>
      <c r="D62" s="1">
        <f>SUM(OSRRefD22_5x_0)</f>
        <v>43421.61</v>
      </c>
      <c r="E62" s="1"/>
      <c r="F62" s="5">
        <f t="shared" si="28"/>
        <v>0.14060632692057978</v>
      </c>
      <c r="G62" s="1"/>
      <c r="H62" s="1">
        <f>SUM(OSRRefH22_5x_0)</f>
        <v>44988</v>
      </c>
      <c r="I62" s="1"/>
      <c r="J62" s="5">
        <f t="shared" si="29"/>
        <v>4.9012942868348806E-2</v>
      </c>
      <c r="K62" s="1"/>
      <c r="L62" s="1">
        <f t="shared" si="30"/>
        <v>-1566.3899999999994</v>
      </c>
      <c r="M62" s="1"/>
      <c r="N62" s="5">
        <f t="shared" si="31"/>
        <v>-3.4817951453720977E-2</v>
      </c>
      <c r="O62" s="13"/>
      <c r="P62" s="1">
        <f>SUM(OSRRefP22_5x_0)</f>
        <v>363751.62</v>
      </c>
      <c r="Q62" s="1"/>
      <c r="R62" s="5">
        <f t="shared" si="32"/>
        <v>7.8741916934693762E-2</v>
      </c>
      <c r="S62" s="1"/>
      <c r="T62" s="1">
        <f>SUM(OSRRefT22_5x_0)</f>
        <v>386690</v>
      </c>
      <c r="U62" s="1"/>
      <c r="V62" s="5">
        <f t="shared" si="33"/>
        <v>6.6329868492960825E-2</v>
      </c>
      <c r="W62" s="1"/>
      <c r="X62" s="1">
        <f t="shared" si="34"/>
        <v>-22938.380000000005</v>
      </c>
      <c r="Y62" s="1"/>
      <c r="Z62" s="5">
        <f t="shared" si="35"/>
        <v>-5.9319816907600416E-2</v>
      </c>
    </row>
    <row r="63" spans="1:26" s="24" customFormat="1" hidden="1" outlineLevel="2" x14ac:dyDescent="0.25">
      <c r="A63" s="25"/>
      <c r="B63" s="11" t="str">
        <f>CONCATENATE("          ", "6321", " - ", "BUILDING DEPRECIATION")</f>
        <v xml:space="preserve">          6321 - BUILDING DEPRECIATION</v>
      </c>
      <c r="C63" s="11"/>
      <c r="D63" s="6">
        <v>24042.959999999999</v>
      </c>
      <c r="E63" s="2"/>
      <c r="F63" s="7">
        <f t="shared" si="28"/>
        <v>7.7855065574455276E-2</v>
      </c>
      <c r="G63" s="2"/>
      <c r="H63" s="6">
        <v>23037</v>
      </c>
      <c r="I63" s="2"/>
      <c r="J63" s="7">
        <f t="shared" si="29"/>
        <v>2.5098052032945482E-2</v>
      </c>
      <c r="K63" s="2"/>
      <c r="L63" s="6">
        <f t="shared" si="30"/>
        <v>1005.9599999999991</v>
      </c>
      <c r="M63" s="2"/>
      <c r="N63" s="7">
        <f t="shared" si="31"/>
        <v>4.3667144159395717E-2</v>
      </c>
      <c r="O63" s="11"/>
      <c r="P63" s="6">
        <v>216386.63999999998</v>
      </c>
      <c r="Q63" s="2"/>
      <c r="R63" s="7">
        <f t="shared" si="32"/>
        <v>4.6841575118366431E-2</v>
      </c>
      <c r="S63" s="2"/>
      <c r="T63" s="6">
        <v>207579</v>
      </c>
      <c r="U63" s="2"/>
      <c r="V63" s="7">
        <f t="shared" si="33"/>
        <v>3.5606526602447217E-2</v>
      </c>
      <c r="W63" s="2"/>
      <c r="X63" s="6">
        <f t="shared" si="34"/>
        <v>8807.6399999999849</v>
      </c>
      <c r="Y63" s="2"/>
      <c r="Z63" s="7">
        <f t="shared" si="35"/>
        <v>4.2430303643432067E-2</v>
      </c>
    </row>
    <row r="64" spans="1:26" s="24" customFormat="1" hidden="1" outlineLevel="2" x14ac:dyDescent="0.25">
      <c r="A64" s="25"/>
      <c r="B64" s="11" t="str">
        <f>CONCATENATE("          ", "6322", " - ", "EQUIPMENT DEPRECIATION EXPENSE")</f>
        <v xml:space="preserve">          6322 - EQUIPMENT DEPRECIATION EXPENSE</v>
      </c>
      <c r="C64" s="11"/>
      <c r="D64" s="6">
        <v>18954.400000000001</v>
      </c>
      <c r="E64" s="2"/>
      <c r="F64" s="7">
        <f t="shared" si="28"/>
        <v>6.1377469950640653E-2</v>
      </c>
      <c r="G64" s="2"/>
      <c r="H64" s="6">
        <v>15301</v>
      </c>
      <c r="I64" s="2"/>
      <c r="J64" s="7">
        <f t="shared" si="29"/>
        <v>1.666993506776485E-2</v>
      </c>
      <c r="K64" s="2"/>
      <c r="L64" s="6">
        <f t="shared" si="30"/>
        <v>3653.4000000000015</v>
      </c>
      <c r="M64" s="2"/>
      <c r="N64" s="7">
        <f t="shared" si="31"/>
        <v>0.23876870792758653</v>
      </c>
      <c r="O64" s="11"/>
      <c r="P64" s="6">
        <v>143546.73000000001</v>
      </c>
      <c r="Q64" s="2"/>
      <c r="R64" s="7">
        <f t="shared" si="32"/>
        <v>3.1073798901313249E-2</v>
      </c>
      <c r="S64" s="2"/>
      <c r="T64" s="6">
        <v>137709</v>
      </c>
      <c r="U64" s="2"/>
      <c r="V64" s="7">
        <f t="shared" si="33"/>
        <v>2.3621556958538216E-2</v>
      </c>
      <c r="W64" s="2"/>
      <c r="X64" s="6">
        <f t="shared" si="34"/>
        <v>5837.7300000000105</v>
      </c>
      <c r="Y64" s="2"/>
      <c r="Z64" s="7">
        <f t="shared" si="35"/>
        <v>4.2391782672156583E-2</v>
      </c>
    </row>
    <row r="65" spans="1:26" s="24" customFormat="1" hidden="1" outlineLevel="2" x14ac:dyDescent="0.25">
      <c r="A65" s="25"/>
      <c r="B65" s="11" t="str">
        <f>CONCATENATE("          ", "6324", " - ", "FURNITURE + FIXT DEPRECIATION")</f>
        <v xml:space="preserve">          6324 - FURNITURE + FIXT DEPRECIATION</v>
      </c>
      <c r="C65" s="11"/>
      <c r="D65" s="6"/>
      <c r="E65" s="2"/>
      <c r="F65" s="7">
        <f t="shared" si="28"/>
        <v>0</v>
      </c>
      <c r="G65" s="2"/>
      <c r="H65" s="6">
        <v>4476</v>
      </c>
      <c r="I65" s="2"/>
      <c r="J65" s="7">
        <f t="shared" si="29"/>
        <v>4.8764544384886912E-3</v>
      </c>
      <c r="K65" s="2"/>
      <c r="L65" s="6">
        <f t="shared" si="30"/>
        <v>-4476</v>
      </c>
      <c r="M65" s="2"/>
      <c r="N65" s="7">
        <f t="shared" si="31"/>
        <v>-1</v>
      </c>
      <c r="O65" s="11"/>
      <c r="P65" s="6"/>
      <c r="Q65" s="2"/>
      <c r="R65" s="7">
        <f t="shared" si="32"/>
        <v>0</v>
      </c>
      <c r="S65" s="2"/>
      <c r="T65" s="6">
        <v>27086</v>
      </c>
      <c r="U65" s="2"/>
      <c r="V65" s="7">
        <f t="shared" si="33"/>
        <v>4.6461269182040835E-3</v>
      </c>
      <c r="W65" s="2"/>
      <c r="X65" s="6">
        <f t="shared" si="34"/>
        <v>-27086</v>
      </c>
      <c r="Y65" s="2"/>
      <c r="Z65" s="7">
        <f t="shared" si="35"/>
        <v>-1</v>
      </c>
    </row>
    <row r="66" spans="1:26" s="24" customFormat="1" hidden="1" outlineLevel="2" x14ac:dyDescent="0.25">
      <c r="A66" s="25"/>
      <c r="B66" s="11" t="str">
        <f>CONCATENATE("          ", "6326", " - ", "VEHICLES DEPRECIATION EXPENSE")</f>
        <v xml:space="preserve">          6326 - VEHICLES DEPRECIATION EXPENSE</v>
      </c>
      <c r="C66" s="11"/>
      <c r="D66" s="6">
        <v>424.25</v>
      </c>
      <c r="E66" s="2"/>
      <c r="F66" s="7">
        <f t="shared" si="28"/>
        <v>1.373791395483861E-3</v>
      </c>
      <c r="G66" s="2"/>
      <c r="H66" s="6">
        <v>2174</v>
      </c>
      <c r="I66" s="2"/>
      <c r="J66" s="7">
        <f t="shared" si="29"/>
        <v>2.3685013291497798E-3</v>
      </c>
      <c r="K66" s="2"/>
      <c r="L66" s="6">
        <f t="shared" si="30"/>
        <v>-1749.75</v>
      </c>
      <c r="M66" s="2"/>
      <c r="N66" s="7">
        <f t="shared" si="31"/>
        <v>-0.80485280588776453</v>
      </c>
      <c r="O66" s="11"/>
      <c r="P66" s="6">
        <v>3818.25</v>
      </c>
      <c r="Q66" s="2"/>
      <c r="R66" s="7">
        <f t="shared" si="32"/>
        <v>8.2654291501408153E-4</v>
      </c>
      <c r="S66" s="2"/>
      <c r="T66" s="6">
        <v>14316</v>
      </c>
      <c r="U66" s="2"/>
      <c r="V66" s="7">
        <f t="shared" si="33"/>
        <v>2.4556580137713082E-3</v>
      </c>
      <c r="W66" s="2"/>
      <c r="X66" s="6">
        <f t="shared" si="34"/>
        <v>-10497.75</v>
      </c>
      <c r="Y66" s="2"/>
      <c r="Z66" s="7">
        <f t="shared" si="35"/>
        <v>-0.73328792958927069</v>
      </c>
    </row>
    <row r="67" spans="1:26" s="27" customFormat="1" outlineLevel="1" collapsed="1" x14ac:dyDescent="0.25">
      <c r="A67" s="26"/>
      <c r="B67" s="13" t="str">
        <f>CONCATENATE("     ","Discounts and Markdowns                           ")</f>
        <v xml:space="preserve">     Discounts and Markdowns                           </v>
      </c>
      <c r="C67" s="13"/>
      <c r="D67" s="1">
        <f>SUM(OSRRefD22_6x_0)</f>
        <v>0</v>
      </c>
      <c r="E67" s="1"/>
      <c r="F67" s="5">
        <f t="shared" ref="F67:F77" si="36">IF(D$12=0,0,D67/D$12)</f>
        <v>0</v>
      </c>
      <c r="G67" s="1"/>
      <c r="H67" s="1">
        <f>SUM(OSRRefH22_6x_0)</f>
        <v>0</v>
      </c>
      <c r="I67" s="1"/>
      <c r="J67" s="5">
        <f t="shared" ref="J67:J77" si="37">IF(H$12=0,0,H67/H$12)</f>
        <v>0</v>
      </c>
      <c r="K67" s="1"/>
      <c r="L67" s="1">
        <f t="shared" ref="L67:L77" si="38">+D67-H67</f>
        <v>0</v>
      </c>
      <c r="M67" s="1"/>
      <c r="N67" s="5">
        <f t="shared" ref="N67:N77" si="39">IF(H67=0,0,L67/H67)</f>
        <v>0</v>
      </c>
      <c r="O67" s="13"/>
      <c r="P67" s="1">
        <f>SUM(OSRRefP22_6x_0)</f>
        <v>0.09</v>
      </c>
      <c r="Q67" s="1"/>
      <c r="R67" s="5">
        <f t="shared" ref="R67:R77" si="40">IF(P$12=0,0,P67/P$12)</f>
        <v>1.9482449381592965E-8</v>
      </c>
      <c r="S67" s="1"/>
      <c r="T67" s="1">
        <f>SUM(OSRRefT22_6x_0)</f>
        <v>0</v>
      </c>
      <c r="U67" s="1"/>
      <c r="V67" s="5">
        <f t="shared" ref="V67:V77" si="41">IF(T$12=0,0,T67/T$12)</f>
        <v>0</v>
      </c>
      <c r="W67" s="1"/>
      <c r="X67" s="1">
        <f t="shared" ref="X67:X77" si="42">+P67-T67</f>
        <v>0.09</v>
      </c>
      <c r="Y67" s="1"/>
      <c r="Z67" s="5">
        <f t="shared" ref="Z67:Z77" si="43">IF(T67=0,0,X67/T67)</f>
        <v>0</v>
      </c>
    </row>
    <row r="68" spans="1:26" s="24" customFormat="1" hidden="1" outlineLevel="2" x14ac:dyDescent="0.25">
      <c r="A68" s="25"/>
      <c r="B68" s="11" t="str">
        <f>CONCATENATE("          ", "6382", " - ", "DISCOUNTS/MARK DOWNS")</f>
        <v xml:space="preserve">          6382 - DISCOUNTS/MARK DOWNS</v>
      </c>
      <c r="C68" s="11"/>
      <c r="D68" s="6"/>
      <c r="E68" s="2"/>
      <c r="F68" s="7">
        <f t="shared" si="36"/>
        <v>0</v>
      </c>
      <c r="G68" s="2"/>
      <c r="H68" s="6"/>
      <c r="I68" s="2"/>
      <c r="J68" s="7">
        <f t="shared" si="37"/>
        <v>0</v>
      </c>
      <c r="K68" s="2"/>
      <c r="L68" s="6">
        <f t="shared" si="38"/>
        <v>0</v>
      </c>
      <c r="M68" s="2"/>
      <c r="N68" s="7">
        <f t="shared" si="39"/>
        <v>0</v>
      </c>
      <c r="O68" s="11"/>
      <c r="P68" s="6">
        <v>0.09</v>
      </c>
      <c r="Q68" s="2"/>
      <c r="R68" s="7">
        <f t="shared" si="40"/>
        <v>1.9482449381592965E-8</v>
      </c>
      <c r="S68" s="2"/>
      <c r="T68" s="6"/>
      <c r="U68" s="2"/>
      <c r="V68" s="7">
        <f t="shared" si="41"/>
        <v>0</v>
      </c>
      <c r="W68" s="2"/>
      <c r="X68" s="6">
        <f t="shared" si="42"/>
        <v>0.09</v>
      </c>
      <c r="Y68" s="2"/>
      <c r="Z68" s="7">
        <f t="shared" si="43"/>
        <v>0</v>
      </c>
    </row>
    <row r="69" spans="1:26" s="27" customFormat="1" outlineLevel="1" collapsed="1" x14ac:dyDescent="0.25">
      <c r="A69" s="26"/>
      <c r="B69" s="13" t="str">
        <f>CONCATENATE("     ","Donations                                         ")</f>
        <v xml:space="preserve">     Donations                                         </v>
      </c>
      <c r="C69" s="13"/>
      <c r="D69" s="1">
        <f>SUM(OSRRefD22_7x_0)</f>
        <v>0</v>
      </c>
      <c r="E69" s="1"/>
      <c r="F69" s="5">
        <f t="shared" si="36"/>
        <v>0</v>
      </c>
      <c r="G69" s="1"/>
      <c r="H69" s="1">
        <f>SUM(OSRRefH22_7x_0)</f>
        <v>600</v>
      </c>
      <c r="I69" s="1"/>
      <c r="J69" s="5">
        <f t="shared" si="37"/>
        <v>6.5368021963655375E-4</v>
      </c>
      <c r="K69" s="1"/>
      <c r="L69" s="1">
        <f t="shared" si="38"/>
        <v>-600</v>
      </c>
      <c r="M69" s="1"/>
      <c r="N69" s="5">
        <f t="shared" si="39"/>
        <v>-1</v>
      </c>
      <c r="O69" s="13"/>
      <c r="P69" s="1">
        <f>SUM(OSRRefP22_7x_0)</f>
        <v>236.68</v>
      </c>
      <c r="Q69" s="1"/>
      <c r="R69" s="5">
        <f t="shared" si="40"/>
        <v>5.123451244039359E-5</v>
      </c>
      <c r="S69" s="1"/>
      <c r="T69" s="1">
        <f>SUM(OSRRefT22_7x_0)</f>
        <v>4100</v>
      </c>
      <c r="U69" s="1"/>
      <c r="V69" s="5">
        <f t="shared" si="41"/>
        <v>7.0328289022508826E-4</v>
      </c>
      <c r="W69" s="1"/>
      <c r="X69" s="1">
        <f t="shared" si="42"/>
        <v>-3863.32</v>
      </c>
      <c r="Y69" s="1"/>
      <c r="Z69" s="5">
        <f t="shared" si="43"/>
        <v>-0.94227317073170735</v>
      </c>
    </row>
    <row r="70" spans="1:26" s="24" customFormat="1" hidden="1" outlineLevel="2" x14ac:dyDescent="0.25">
      <c r="A70" s="25"/>
      <c r="B70" s="11" t="str">
        <f>CONCATENATE("          ", "6399", " - ", "DONATION-ON CAMPUS")</f>
        <v xml:space="preserve">          6399 - DONATION-ON CAMPUS</v>
      </c>
      <c r="C70" s="11"/>
      <c r="D70" s="6"/>
      <c r="E70" s="2"/>
      <c r="F70" s="7">
        <f t="shared" si="36"/>
        <v>0</v>
      </c>
      <c r="G70" s="2"/>
      <c r="H70" s="6">
        <v>600</v>
      </c>
      <c r="I70" s="2"/>
      <c r="J70" s="7">
        <f t="shared" si="37"/>
        <v>6.5368021963655375E-4</v>
      </c>
      <c r="K70" s="2"/>
      <c r="L70" s="6">
        <f t="shared" si="38"/>
        <v>-600</v>
      </c>
      <c r="M70" s="2"/>
      <c r="N70" s="7">
        <f t="shared" si="39"/>
        <v>-1</v>
      </c>
      <c r="O70" s="11"/>
      <c r="P70" s="6">
        <v>236.68</v>
      </c>
      <c r="Q70" s="2"/>
      <c r="R70" s="7">
        <f t="shared" si="40"/>
        <v>5.123451244039359E-5</v>
      </c>
      <c r="S70" s="2"/>
      <c r="T70" s="6">
        <v>4100</v>
      </c>
      <c r="U70" s="2"/>
      <c r="V70" s="7">
        <f t="shared" si="41"/>
        <v>7.0328289022508826E-4</v>
      </c>
      <c r="W70" s="2"/>
      <c r="X70" s="6">
        <f t="shared" si="42"/>
        <v>-3863.32</v>
      </c>
      <c r="Y70" s="2"/>
      <c r="Z70" s="7">
        <f t="shared" si="43"/>
        <v>-0.94227317073170735</v>
      </c>
    </row>
    <row r="71" spans="1:26" s="27" customFormat="1" outlineLevel="1" collapsed="1" x14ac:dyDescent="0.25">
      <c r="A71" s="26"/>
      <c r="B71" s="13" t="str">
        <f>CONCATENATE("     ","Employees' Appreciation                           ")</f>
        <v xml:space="preserve">     Employees' Appreciation                           </v>
      </c>
      <c r="C71" s="13"/>
      <c r="D71" s="1">
        <f>SUM(OSRRefD22_8x_0)</f>
        <v>186.23</v>
      </c>
      <c r="E71" s="1"/>
      <c r="F71" s="5">
        <f t="shared" si="36"/>
        <v>6.0304342152259151E-4</v>
      </c>
      <c r="G71" s="1"/>
      <c r="H71" s="1">
        <f>SUM(OSRRefH22_8x_0)</f>
        <v>225</v>
      </c>
      <c r="I71" s="1"/>
      <c r="J71" s="5">
        <f t="shared" si="37"/>
        <v>2.4513008236370768E-4</v>
      </c>
      <c r="K71" s="1"/>
      <c r="L71" s="1">
        <f t="shared" si="38"/>
        <v>-38.77000000000001</v>
      </c>
      <c r="M71" s="1"/>
      <c r="N71" s="5">
        <f t="shared" si="39"/>
        <v>-0.17231111111111116</v>
      </c>
      <c r="O71" s="13"/>
      <c r="P71" s="1">
        <f>SUM(OSRRefP22_8x_0)</f>
        <v>1672.81</v>
      </c>
      <c r="Q71" s="1"/>
      <c r="R71" s="5">
        <f t="shared" si="40"/>
        <v>3.6211595722247249E-4</v>
      </c>
      <c r="S71" s="1"/>
      <c r="T71" s="1">
        <f>SUM(OSRRefT22_8x_0)</f>
        <v>4265</v>
      </c>
      <c r="U71" s="1"/>
      <c r="V71" s="5">
        <f t="shared" si="41"/>
        <v>7.3158573824634186E-4</v>
      </c>
      <c r="W71" s="1"/>
      <c r="X71" s="1">
        <f t="shared" si="42"/>
        <v>-2592.19</v>
      </c>
      <c r="Y71" s="1"/>
      <c r="Z71" s="5">
        <f t="shared" si="43"/>
        <v>-0.60778194607268465</v>
      </c>
    </row>
    <row r="72" spans="1:26" s="24" customFormat="1" hidden="1" outlineLevel="2" x14ac:dyDescent="0.25">
      <c r="A72" s="25"/>
      <c r="B72" s="11" t="str">
        <f>CONCATENATE("          ", "6277", " - ", "EMPLOYEE APPRECIATION")</f>
        <v xml:space="preserve">          6277 - EMPLOYEE APPRECIATION</v>
      </c>
      <c r="C72" s="11"/>
      <c r="D72" s="6">
        <v>186.23</v>
      </c>
      <c r="E72" s="2"/>
      <c r="F72" s="7">
        <f t="shared" si="36"/>
        <v>6.0304342152259151E-4</v>
      </c>
      <c r="G72" s="2"/>
      <c r="H72" s="6">
        <v>225</v>
      </c>
      <c r="I72" s="2"/>
      <c r="J72" s="7">
        <f t="shared" si="37"/>
        <v>2.4513008236370768E-4</v>
      </c>
      <c r="K72" s="2"/>
      <c r="L72" s="6">
        <f t="shared" si="38"/>
        <v>-38.77000000000001</v>
      </c>
      <c r="M72" s="2"/>
      <c r="N72" s="7">
        <f t="shared" si="39"/>
        <v>-0.17231111111111116</v>
      </c>
      <c r="O72" s="11"/>
      <c r="P72" s="6">
        <v>1672.81</v>
      </c>
      <c r="Q72" s="2"/>
      <c r="R72" s="7">
        <f t="shared" si="40"/>
        <v>3.6211595722247249E-4</v>
      </c>
      <c r="S72" s="2"/>
      <c r="T72" s="6">
        <v>4265</v>
      </c>
      <c r="U72" s="2"/>
      <c r="V72" s="7">
        <f t="shared" si="41"/>
        <v>7.3158573824634186E-4</v>
      </c>
      <c r="W72" s="2"/>
      <c r="X72" s="6">
        <f t="shared" si="42"/>
        <v>-2592.19</v>
      </c>
      <c r="Y72" s="2"/>
      <c r="Z72" s="7">
        <f t="shared" si="43"/>
        <v>-0.60778194607268465</v>
      </c>
    </row>
    <row r="73" spans="1:26" s="27" customFormat="1" outlineLevel="1" collapsed="1" x14ac:dyDescent="0.25">
      <c r="A73" s="26"/>
      <c r="B73" s="13" t="str">
        <f>CONCATENATE("     ","Equipment Rental                                  ")</f>
        <v xml:space="preserve">     Equipment Rental                                  </v>
      </c>
      <c r="C73" s="13"/>
      <c r="D73" s="1">
        <f>SUM(OSRRefD22_9x_0)</f>
        <v>2179.9</v>
      </c>
      <c r="E73" s="1"/>
      <c r="F73" s="5">
        <f t="shared" si="36"/>
        <v>7.0588753400477756E-3</v>
      </c>
      <c r="G73" s="1"/>
      <c r="H73" s="1">
        <f>SUM(OSRRefH22_9x_0)</f>
        <v>1795</v>
      </c>
      <c r="I73" s="1"/>
      <c r="J73" s="5">
        <f t="shared" si="37"/>
        <v>1.9555933237460233E-3</v>
      </c>
      <c r="K73" s="1"/>
      <c r="L73" s="1">
        <f t="shared" si="38"/>
        <v>384.90000000000009</v>
      </c>
      <c r="M73" s="1"/>
      <c r="N73" s="5">
        <f t="shared" si="39"/>
        <v>0.21442896935933153</v>
      </c>
      <c r="O73" s="13"/>
      <c r="P73" s="1">
        <f>SUM(OSRRefP22_9x_0)</f>
        <v>23839.190000000002</v>
      </c>
      <c r="Q73" s="1"/>
      <c r="R73" s="5">
        <f t="shared" si="40"/>
        <v>5.1605090274797465E-3</v>
      </c>
      <c r="S73" s="1"/>
      <c r="T73" s="1">
        <f>SUM(OSRRefT22_9x_0)</f>
        <v>13746</v>
      </c>
      <c r="U73" s="1"/>
      <c r="V73" s="5">
        <f t="shared" si="41"/>
        <v>2.3578845387887959E-3</v>
      </c>
      <c r="W73" s="1"/>
      <c r="X73" s="1">
        <f t="shared" si="42"/>
        <v>10093.190000000002</v>
      </c>
      <c r="Y73" s="1"/>
      <c r="Z73" s="5">
        <f t="shared" si="43"/>
        <v>0.73426378582860485</v>
      </c>
    </row>
    <row r="74" spans="1:26" s="24" customFormat="1" hidden="1" outlineLevel="2" x14ac:dyDescent="0.25">
      <c r="A74" s="25"/>
      <c r="B74" s="11" t="str">
        <f>CONCATENATE("          ", "6351", " - ", "EQUIPMENT RENTAL")</f>
        <v xml:space="preserve">          6351 - EQUIPMENT RENTAL</v>
      </c>
      <c r="C74" s="11"/>
      <c r="D74" s="6">
        <v>2179.9</v>
      </c>
      <c r="E74" s="2"/>
      <c r="F74" s="7">
        <f t="shared" si="36"/>
        <v>7.0588753400477756E-3</v>
      </c>
      <c r="G74" s="2"/>
      <c r="H74" s="6">
        <v>1795</v>
      </c>
      <c r="I74" s="2"/>
      <c r="J74" s="7">
        <f t="shared" si="37"/>
        <v>1.9555933237460233E-3</v>
      </c>
      <c r="K74" s="2"/>
      <c r="L74" s="6">
        <f t="shared" si="38"/>
        <v>384.90000000000009</v>
      </c>
      <c r="M74" s="2"/>
      <c r="N74" s="7">
        <f t="shared" si="39"/>
        <v>0.21442896935933153</v>
      </c>
      <c r="O74" s="11"/>
      <c r="P74" s="6">
        <v>23839.190000000002</v>
      </c>
      <c r="Q74" s="2"/>
      <c r="R74" s="7">
        <f t="shared" si="40"/>
        <v>5.1605090274797465E-3</v>
      </c>
      <c r="S74" s="2"/>
      <c r="T74" s="6">
        <v>13746</v>
      </c>
      <c r="U74" s="2"/>
      <c r="V74" s="7">
        <f t="shared" si="41"/>
        <v>2.3578845387887959E-3</v>
      </c>
      <c r="W74" s="2"/>
      <c r="X74" s="6">
        <f t="shared" si="42"/>
        <v>10093.190000000002</v>
      </c>
      <c r="Y74" s="2"/>
      <c r="Z74" s="7">
        <f t="shared" si="43"/>
        <v>0.73426378582860485</v>
      </c>
    </row>
    <row r="75" spans="1:26" s="27" customFormat="1" outlineLevel="1" collapsed="1" x14ac:dyDescent="0.25">
      <c r="A75" s="26"/>
      <c r="B75" s="13" t="str">
        <f>CONCATENATE("     ","General                                           ")</f>
        <v xml:space="preserve">     General                                           </v>
      </c>
      <c r="C75" s="13"/>
      <c r="D75" s="1">
        <f>SUM(OSRRefD22_10x_0)</f>
        <v>1988</v>
      </c>
      <c r="E75" s="1"/>
      <c r="F75" s="5">
        <f t="shared" si="36"/>
        <v>6.4374715243887227E-3</v>
      </c>
      <c r="G75" s="1"/>
      <c r="H75" s="1">
        <f>SUM(OSRRefH22_10x_0)</f>
        <v>3250</v>
      </c>
      <c r="I75" s="1"/>
      <c r="J75" s="5">
        <f t="shared" si="37"/>
        <v>3.5407678563646665E-3</v>
      </c>
      <c r="K75" s="1"/>
      <c r="L75" s="1">
        <f t="shared" si="38"/>
        <v>-1262</v>
      </c>
      <c r="M75" s="1"/>
      <c r="N75" s="5">
        <f t="shared" si="39"/>
        <v>-0.3883076923076923</v>
      </c>
      <c r="O75" s="13"/>
      <c r="P75" s="1">
        <f>SUM(OSRRefP22_10x_0)</f>
        <v>84267.92</v>
      </c>
      <c r="Q75" s="1"/>
      <c r="R75" s="5">
        <f t="shared" si="40"/>
        <v>1.8241616509912503E-2</v>
      </c>
      <c r="S75" s="1"/>
      <c r="T75" s="1">
        <f>SUM(OSRRefT22_10x_0)</f>
        <v>40275</v>
      </c>
      <c r="U75" s="1"/>
      <c r="V75" s="5">
        <f t="shared" si="41"/>
        <v>6.9084679033696167E-3</v>
      </c>
      <c r="W75" s="1"/>
      <c r="X75" s="1">
        <f t="shared" si="42"/>
        <v>43992.92</v>
      </c>
      <c r="Y75" s="1"/>
      <c r="Z75" s="5">
        <f t="shared" si="43"/>
        <v>1.0923133457479826</v>
      </c>
    </row>
    <row r="76" spans="1:26" s="24" customFormat="1" hidden="1" outlineLevel="2" x14ac:dyDescent="0.25">
      <c r="A76" s="25"/>
      <c r="B76" s="11" t="str">
        <f>CONCATENATE("          ", "6269", " - ", "ENTERTAINMENT")</f>
        <v xml:space="preserve">          6269 - ENTERTAINMENT</v>
      </c>
      <c r="C76" s="11"/>
      <c r="D76" s="6"/>
      <c r="E76" s="2"/>
      <c r="F76" s="7">
        <f t="shared" si="36"/>
        <v>0</v>
      </c>
      <c r="G76" s="2"/>
      <c r="H76" s="6">
        <v>900</v>
      </c>
      <c r="I76" s="2"/>
      <c r="J76" s="7">
        <f t="shared" si="37"/>
        <v>9.8052032945483074E-4</v>
      </c>
      <c r="K76" s="2"/>
      <c r="L76" s="6">
        <f t="shared" si="38"/>
        <v>-900</v>
      </c>
      <c r="M76" s="2"/>
      <c r="N76" s="7">
        <f t="shared" si="39"/>
        <v>-1</v>
      </c>
      <c r="O76" s="11"/>
      <c r="P76" s="6">
        <v>10050</v>
      </c>
      <c r="Q76" s="2"/>
      <c r="R76" s="7">
        <f t="shared" si="40"/>
        <v>2.1755401809445477E-3</v>
      </c>
      <c r="S76" s="2"/>
      <c r="T76" s="6">
        <v>6500</v>
      </c>
      <c r="U76" s="2"/>
      <c r="V76" s="7">
        <f t="shared" si="41"/>
        <v>1.1149606796251399E-3</v>
      </c>
      <c r="W76" s="2"/>
      <c r="X76" s="6">
        <f t="shared" si="42"/>
        <v>3550</v>
      </c>
      <c r="Y76" s="2"/>
      <c r="Z76" s="7">
        <f t="shared" si="43"/>
        <v>0.5461538461538461</v>
      </c>
    </row>
    <row r="77" spans="1:26" s="24" customFormat="1" hidden="1" outlineLevel="2" x14ac:dyDescent="0.25">
      <c r="A77" s="25"/>
      <c r="B77" s="11" t="str">
        <f>CONCATENATE("          ", "6279", " - ", "GENERAL EXPENSE")</f>
        <v xml:space="preserve">          6279 - GENERAL EXPENSE</v>
      </c>
      <c r="C77" s="11"/>
      <c r="D77" s="6">
        <v>1988</v>
      </c>
      <c r="E77" s="2"/>
      <c r="F77" s="7">
        <f t="shared" si="36"/>
        <v>6.4374715243887227E-3</v>
      </c>
      <c r="G77" s="2"/>
      <c r="H77" s="6">
        <v>2350</v>
      </c>
      <c r="I77" s="2"/>
      <c r="J77" s="7">
        <f t="shared" si="37"/>
        <v>2.5602475269098355E-3</v>
      </c>
      <c r="K77" s="2"/>
      <c r="L77" s="6">
        <f t="shared" si="38"/>
        <v>-362</v>
      </c>
      <c r="M77" s="2"/>
      <c r="N77" s="7">
        <f t="shared" si="39"/>
        <v>-0.15404255319148935</v>
      </c>
      <c r="O77" s="11"/>
      <c r="P77" s="6">
        <v>74217.919999999998</v>
      </c>
      <c r="Q77" s="2"/>
      <c r="R77" s="7">
        <f t="shared" si="40"/>
        <v>1.6066076328967956E-2</v>
      </c>
      <c r="S77" s="2"/>
      <c r="T77" s="6">
        <v>33775</v>
      </c>
      <c r="U77" s="2"/>
      <c r="V77" s="7">
        <f t="shared" si="41"/>
        <v>5.7935072237444768E-3</v>
      </c>
      <c r="W77" s="2"/>
      <c r="X77" s="6">
        <f t="shared" si="42"/>
        <v>40442.92</v>
      </c>
      <c r="Y77" s="2"/>
      <c r="Z77" s="7">
        <f t="shared" si="43"/>
        <v>1.1974217616580309</v>
      </c>
    </row>
    <row r="78" spans="1:26" s="27" customFormat="1" outlineLevel="1" collapsed="1" x14ac:dyDescent="0.25">
      <c r="A78" s="26"/>
      <c r="B78" s="13" t="str">
        <f>CONCATENATE("     ","Insurance                                         ")</f>
        <v xml:space="preserve">     Insurance                                         </v>
      </c>
      <c r="C78" s="13"/>
      <c r="D78" s="1">
        <f>SUM(OSRRefD22_11x_0)</f>
        <v>4240.13</v>
      </c>
      <c r="E78" s="1"/>
      <c r="F78" s="5">
        <f t="shared" ref="F78:F90" si="44">IF(D$12=0,0,D78/D$12)</f>
        <v>1.3730239504379455E-2</v>
      </c>
      <c r="G78" s="1"/>
      <c r="H78" s="1">
        <f>SUM(OSRRefH22_11x_0)</f>
        <v>4004</v>
      </c>
      <c r="I78" s="1"/>
      <c r="J78" s="5">
        <f t="shared" ref="J78:J90" si="45">IF(H$12=0,0,H78/H$12)</f>
        <v>4.3622259990412689E-3</v>
      </c>
      <c r="K78" s="1"/>
      <c r="L78" s="1">
        <f t="shared" ref="L78:L90" si="46">+D78-H78</f>
        <v>236.13000000000011</v>
      </c>
      <c r="M78" s="1"/>
      <c r="N78" s="5">
        <f t="shared" ref="N78:N90" si="47">IF(H78=0,0,L78/H78)</f>
        <v>5.8973526473526501E-2</v>
      </c>
      <c r="O78" s="13"/>
      <c r="P78" s="1">
        <f>SUM(OSRRefP22_11x_0)</f>
        <v>43922.17</v>
      </c>
      <c r="Q78" s="1"/>
      <c r="R78" s="5">
        <f t="shared" ref="R78:R90" si="48">IF(P$12=0,0,P78/P$12)</f>
        <v>9.5079050417191217E-3</v>
      </c>
      <c r="S78" s="1"/>
      <c r="T78" s="1">
        <f>SUM(OSRRefT22_11x_0)</f>
        <v>36036</v>
      </c>
      <c r="U78" s="1"/>
      <c r="V78" s="5">
        <f t="shared" ref="V78:V90" si="49">IF(T$12=0,0,T78/T$12)</f>
        <v>6.1813420078417761E-3</v>
      </c>
      <c r="W78" s="1"/>
      <c r="X78" s="1">
        <f t="shared" ref="X78:X90" si="50">+P78-T78</f>
        <v>7886.1699999999983</v>
      </c>
      <c r="Y78" s="1"/>
      <c r="Z78" s="5">
        <f t="shared" ref="Z78:Z90" si="51">IF(T78=0,0,X78/T78)</f>
        <v>0.2188414363414363</v>
      </c>
    </row>
    <row r="79" spans="1:26" s="24" customFormat="1" hidden="1" outlineLevel="2" x14ac:dyDescent="0.25">
      <c r="A79" s="25"/>
      <c r="B79" s="11" t="str">
        <f>CONCATENATE("          ", "6314", " - ", "LIABILITY INSURANCE")</f>
        <v xml:space="preserve">          6314 - LIABILITY INSURANCE</v>
      </c>
      <c r="C79" s="11"/>
      <c r="D79" s="6">
        <v>4240.13</v>
      </c>
      <c r="E79" s="2"/>
      <c r="F79" s="7">
        <f t="shared" si="44"/>
        <v>1.3730239504379455E-2</v>
      </c>
      <c r="G79" s="2"/>
      <c r="H79" s="6">
        <v>4004</v>
      </c>
      <c r="I79" s="2"/>
      <c r="J79" s="7">
        <f t="shared" si="45"/>
        <v>4.3622259990412689E-3</v>
      </c>
      <c r="K79" s="2"/>
      <c r="L79" s="6">
        <f t="shared" si="46"/>
        <v>236.13000000000011</v>
      </c>
      <c r="M79" s="2"/>
      <c r="N79" s="7">
        <f t="shared" si="47"/>
        <v>5.8973526473526501E-2</v>
      </c>
      <c r="O79" s="11"/>
      <c r="P79" s="6">
        <v>43922.17</v>
      </c>
      <c r="Q79" s="2"/>
      <c r="R79" s="7">
        <f t="shared" si="48"/>
        <v>9.5079050417191217E-3</v>
      </c>
      <c r="S79" s="2"/>
      <c r="T79" s="6">
        <v>36036</v>
      </c>
      <c r="U79" s="2"/>
      <c r="V79" s="7">
        <f t="shared" si="49"/>
        <v>6.1813420078417761E-3</v>
      </c>
      <c r="W79" s="2"/>
      <c r="X79" s="6">
        <f t="shared" si="50"/>
        <v>7886.1699999999983</v>
      </c>
      <c r="Y79" s="2"/>
      <c r="Z79" s="7">
        <f t="shared" si="51"/>
        <v>0.2188414363414363</v>
      </c>
    </row>
    <row r="80" spans="1:26" s="27" customFormat="1" outlineLevel="1" collapsed="1" x14ac:dyDescent="0.25">
      <c r="A80" s="26"/>
      <c r="B80" s="13" t="str">
        <f>CONCATENATE("     ","Interest                                          ")</f>
        <v xml:space="preserve">     Interest                                          </v>
      </c>
      <c r="C80" s="13"/>
      <c r="D80" s="1">
        <f>SUM(OSRRefD22_12x_0)</f>
        <v>7754</v>
      </c>
      <c r="E80" s="1"/>
      <c r="F80" s="5">
        <f t="shared" si="44"/>
        <v>2.5108729476916579E-2</v>
      </c>
      <c r="G80" s="1"/>
      <c r="H80" s="1">
        <f>SUM(OSRRefH22_12x_0)</f>
        <v>7754</v>
      </c>
      <c r="I80" s="1"/>
      <c r="J80" s="5">
        <f t="shared" si="45"/>
        <v>8.4477273717697299E-3</v>
      </c>
      <c r="K80" s="1"/>
      <c r="L80" s="1">
        <f t="shared" si="46"/>
        <v>0</v>
      </c>
      <c r="M80" s="1"/>
      <c r="N80" s="5">
        <f t="shared" si="47"/>
        <v>0</v>
      </c>
      <c r="O80" s="13"/>
      <c r="P80" s="1">
        <f>SUM(OSRRefP22_12x_0)</f>
        <v>69393.05</v>
      </c>
      <c r="Q80" s="1"/>
      <c r="R80" s="5">
        <f t="shared" si="48"/>
        <v>1.5021628711770553E-2</v>
      </c>
      <c r="S80" s="1"/>
      <c r="T80" s="1">
        <f>SUM(OSRRefT22_12x_0)</f>
        <v>69786</v>
      </c>
      <c r="U80" s="1"/>
      <c r="V80" s="5">
        <f t="shared" si="49"/>
        <v>1.1970560921280002E-2</v>
      </c>
      <c r="W80" s="1"/>
      <c r="X80" s="1">
        <f t="shared" si="50"/>
        <v>-392.94999999999709</v>
      </c>
      <c r="Y80" s="1"/>
      <c r="Z80" s="5">
        <f t="shared" si="51"/>
        <v>-5.6307855443784869E-3</v>
      </c>
    </row>
    <row r="81" spans="1:26" s="24" customFormat="1" hidden="1" outlineLevel="2" x14ac:dyDescent="0.25">
      <c r="A81" s="25"/>
      <c r="B81" s="11" t="str">
        <f>CONCATENATE("          ", "6401", " - ", "INTEREST EXPENSE")</f>
        <v xml:space="preserve">          6401 - INTEREST EXPENSE</v>
      </c>
      <c r="C81" s="11"/>
      <c r="D81" s="6">
        <v>7754</v>
      </c>
      <c r="E81" s="2"/>
      <c r="F81" s="7">
        <f t="shared" si="44"/>
        <v>2.5108729476916579E-2</v>
      </c>
      <c r="G81" s="2"/>
      <c r="H81" s="6">
        <v>7754</v>
      </c>
      <c r="I81" s="2"/>
      <c r="J81" s="7">
        <f t="shared" si="45"/>
        <v>8.4477273717697299E-3</v>
      </c>
      <c r="K81" s="2"/>
      <c r="L81" s="6">
        <f t="shared" si="46"/>
        <v>0</v>
      </c>
      <c r="M81" s="2"/>
      <c r="N81" s="7">
        <f t="shared" si="47"/>
        <v>0</v>
      </c>
      <c r="O81" s="11"/>
      <c r="P81" s="6">
        <v>69393.05</v>
      </c>
      <c r="Q81" s="2"/>
      <c r="R81" s="7">
        <f t="shared" si="48"/>
        <v>1.5021628711770553E-2</v>
      </c>
      <c r="S81" s="2"/>
      <c r="T81" s="6">
        <v>69786</v>
      </c>
      <c r="U81" s="2"/>
      <c r="V81" s="7">
        <f t="shared" si="49"/>
        <v>1.1970560921280002E-2</v>
      </c>
      <c r="W81" s="2"/>
      <c r="X81" s="6">
        <f t="shared" si="50"/>
        <v>-392.94999999999709</v>
      </c>
      <c r="Y81" s="2"/>
      <c r="Z81" s="7">
        <f t="shared" si="51"/>
        <v>-5.6307855443784869E-3</v>
      </c>
    </row>
    <row r="82" spans="1:26" s="27" customFormat="1" outlineLevel="1" collapsed="1" x14ac:dyDescent="0.25">
      <c r="A82" s="26"/>
      <c r="B82" s="13" t="str">
        <f>CONCATENATE("     ","Professional Services                             ")</f>
        <v xml:space="preserve">     Professional Services                             </v>
      </c>
      <c r="C82" s="13"/>
      <c r="D82" s="1">
        <f>SUM(OSRRefD22_13x_0)</f>
        <v>0</v>
      </c>
      <c r="E82" s="1"/>
      <c r="F82" s="5">
        <f t="shared" si="44"/>
        <v>0</v>
      </c>
      <c r="G82" s="1"/>
      <c r="H82" s="1">
        <f>SUM(OSRRefH22_13x_0)</f>
        <v>0</v>
      </c>
      <c r="I82" s="1"/>
      <c r="J82" s="5">
        <f t="shared" si="45"/>
        <v>0</v>
      </c>
      <c r="K82" s="1"/>
      <c r="L82" s="1">
        <f t="shared" si="46"/>
        <v>0</v>
      </c>
      <c r="M82" s="1"/>
      <c r="N82" s="5">
        <f t="shared" si="47"/>
        <v>0</v>
      </c>
      <c r="O82" s="13"/>
      <c r="P82" s="1">
        <f>SUM(OSRRefP22_13x_0)</f>
        <v>125</v>
      </c>
      <c r="Q82" s="1"/>
      <c r="R82" s="5">
        <f t="shared" si="48"/>
        <v>2.7058957474434672E-5</v>
      </c>
      <c r="S82" s="1"/>
      <c r="T82" s="1">
        <f>SUM(OSRRefT22_13x_0)</f>
        <v>0</v>
      </c>
      <c r="U82" s="1"/>
      <c r="V82" s="5">
        <f t="shared" si="49"/>
        <v>0</v>
      </c>
      <c r="W82" s="1"/>
      <c r="X82" s="1">
        <f t="shared" si="50"/>
        <v>125</v>
      </c>
      <c r="Y82" s="1"/>
      <c r="Z82" s="5">
        <f t="shared" si="51"/>
        <v>0</v>
      </c>
    </row>
    <row r="83" spans="1:26" s="24" customFormat="1" hidden="1" outlineLevel="2" x14ac:dyDescent="0.25">
      <c r="A83" s="25"/>
      <c r="B83" s="11" t="str">
        <f>CONCATENATE("          ", "6336", " - ", "PROFESSIONAL SERVICES")</f>
        <v xml:space="preserve">          6336 - PROFESSIONAL SERVICES</v>
      </c>
      <c r="C83" s="11"/>
      <c r="D83" s="6"/>
      <c r="E83" s="2"/>
      <c r="F83" s="7">
        <f t="shared" si="44"/>
        <v>0</v>
      </c>
      <c r="G83" s="2"/>
      <c r="H83" s="6"/>
      <c r="I83" s="2"/>
      <c r="J83" s="7">
        <f t="shared" si="45"/>
        <v>0</v>
      </c>
      <c r="K83" s="2"/>
      <c r="L83" s="6">
        <f t="shared" si="46"/>
        <v>0</v>
      </c>
      <c r="M83" s="2"/>
      <c r="N83" s="7">
        <f t="shared" si="47"/>
        <v>0</v>
      </c>
      <c r="O83" s="11"/>
      <c r="P83" s="6">
        <v>125</v>
      </c>
      <c r="Q83" s="2"/>
      <c r="R83" s="7">
        <f t="shared" si="48"/>
        <v>2.7058957474434672E-5</v>
      </c>
      <c r="S83" s="2"/>
      <c r="T83" s="6"/>
      <c r="U83" s="2"/>
      <c r="V83" s="7">
        <f t="shared" si="49"/>
        <v>0</v>
      </c>
      <c r="W83" s="2"/>
      <c r="X83" s="6">
        <f t="shared" si="50"/>
        <v>125</v>
      </c>
      <c r="Y83" s="2"/>
      <c r="Z83" s="7">
        <f t="shared" si="51"/>
        <v>0</v>
      </c>
    </row>
    <row r="84" spans="1:26" s="27" customFormat="1" outlineLevel="1" collapsed="1" x14ac:dyDescent="0.25">
      <c r="A84" s="26"/>
      <c r="B84" s="13" t="str">
        <f>CONCATENATE("     ","Rent                                              ")</f>
        <v xml:space="preserve">     Rent                                              </v>
      </c>
      <c r="C84" s="13"/>
      <c r="D84" s="1">
        <f>SUM(OSRRefD22_14x_0)</f>
        <v>1850</v>
      </c>
      <c r="E84" s="1"/>
      <c r="F84" s="5">
        <f t="shared" si="44"/>
        <v>5.9906047887923232E-3</v>
      </c>
      <c r="G84" s="1"/>
      <c r="H84" s="1">
        <f>SUM(OSRRefH22_14x_0)</f>
        <v>1850</v>
      </c>
      <c r="I84" s="1"/>
      <c r="J84" s="5">
        <f t="shared" si="45"/>
        <v>2.015514010546041E-3</v>
      </c>
      <c r="K84" s="1"/>
      <c r="L84" s="1">
        <f t="shared" si="46"/>
        <v>0</v>
      </c>
      <c r="M84" s="1"/>
      <c r="N84" s="5">
        <f t="shared" si="47"/>
        <v>0</v>
      </c>
      <c r="O84" s="13"/>
      <c r="P84" s="1">
        <f>SUM(OSRRefP22_14x_0)</f>
        <v>16650</v>
      </c>
      <c r="Q84" s="1"/>
      <c r="R84" s="5">
        <f t="shared" si="48"/>
        <v>3.6042531355946982E-3</v>
      </c>
      <c r="S84" s="1"/>
      <c r="T84" s="1">
        <f>SUM(OSRRefT22_14x_0)</f>
        <v>16650</v>
      </c>
      <c r="U84" s="1"/>
      <c r="V84" s="5">
        <f t="shared" si="49"/>
        <v>2.8560146639628583E-3</v>
      </c>
      <c r="W84" s="1"/>
      <c r="X84" s="1">
        <f t="shared" si="50"/>
        <v>0</v>
      </c>
      <c r="Y84" s="1"/>
      <c r="Z84" s="5">
        <f t="shared" si="51"/>
        <v>0</v>
      </c>
    </row>
    <row r="85" spans="1:26" s="24" customFormat="1" hidden="1" outlineLevel="2" x14ac:dyDescent="0.25">
      <c r="A85" s="25"/>
      <c r="B85" s="11" t="str">
        <f>CONCATENATE("          ", "6273", " - ", "RENT")</f>
        <v xml:space="preserve">          6273 - RENT</v>
      </c>
      <c r="C85" s="11"/>
      <c r="D85" s="6">
        <v>1850</v>
      </c>
      <c r="E85" s="2"/>
      <c r="F85" s="7">
        <f t="shared" si="44"/>
        <v>5.9906047887923232E-3</v>
      </c>
      <c r="G85" s="2"/>
      <c r="H85" s="6">
        <v>1850</v>
      </c>
      <c r="I85" s="2"/>
      <c r="J85" s="7">
        <f t="shared" si="45"/>
        <v>2.015514010546041E-3</v>
      </c>
      <c r="K85" s="2"/>
      <c r="L85" s="6">
        <f t="shared" si="46"/>
        <v>0</v>
      </c>
      <c r="M85" s="2"/>
      <c r="N85" s="7">
        <f t="shared" si="47"/>
        <v>0</v>
      </c>
      <c r="O85" s="11"/>
      <c r="P85" s="6">
        <v>16650</v>
      </c>
      <c r="Q85" s="2"/>
      <c r="R85" s="7">
        <f t="shared" si="48"/>
        <v>3.6042531355946982E-3</v>
      </c>
      <c r="S85" s="2"/>
      <c r="T85" s="6">
        <v>16650</v>
      </c>
      <c r="U85" s="2"/>
      <c r="V85" s="7">
        <f t="shared" si="49"/>
        <v>2.8560146639628583E-3</v>
      </c>
      <c r="W85" s="2"/>
      <c r="X85" s="6">
        <f t="shared" si="50"/>
        <v>0</v>
      </c>
      <c r="Y85" s="2"/>
      <c r="Z85" s="7">
        <f t="shared" si="51"/>
        <v>0</v>
      </c>
    </row>
    <row r="86" spans="1:26" s="27" customFormat="1" outlineLevel="1" collapsed="1" x14ac:dyDescent="0.25">
      <c r="A86" s="26"/>
      <c r="B86" s="13" t="str">
        <f>CONCATENATE("     ","Repair and Maintenance                            ")</f>
        <v xml:space="preserve">     Repair and Maintenance                            </v>
      </c>
      <c r="C86" s="13"/>
      <c r="D86" s="1">
        <f>SUM(OSRRefD22_15x_0)</f>
        <v>10787.68</v>
      </c>
      <c r="E86" s="1"/>
      <c r="F86" s="5">
        <f t="shared" si="44"/>
        <v>3.4932285117815765E-2</v>
      </c>
      <c r="G86" s="1"/>
      <c r="H86" s="1">
        <f>SUM(OSRRefH22_15x_0)</f>
        <v>16398</v>
      </c>
      <c r="I86" s="1"/>
      <c r="J86" s="5">
        <f t="shared" si="45"/>
        <v>1.7865080402667016E-2</v>
      </c>
      <c r="K86" s="1"/>
      <c r="L86" s="1">
        <f t="shared" si="46"/>
        <v>-5610.32</v>
      </c>
      <c r="M86" s="1"/>
      <c r="N86" s="5">
        <f t="shared" si="47"/>
        <v>-0.34213440663495548</v>
      </c>
      <c r="O86" s="13"/>
      <c r="P86" s="1">
        <f>SUM(OSRRefP22_15x_0)</f>
        <v>202539.22999999998</v>
      </c>
      <c r="Q86" s="1"/>
      <c r="R86" s="5">
        <f t="shared" si="48"/>
        <v>4.3844003291797939E-2</v>
      </c>
      <c r="S86" s="1"/>
      <c r="T86" s="1">
        <f>SUM(OSRRefT22_15x_0)</f>
        <v>198544</v>
      </c>
      <c r="U86" s="1"/>
      <c r="V86" s="5">
        <f t="shared" si="49"/>
        <v>3.4056731257768272E-2</v>
      </c>
      <c r="W86" s="1"/>
      <c r="X86" s="1">
        <f t="shared" si="50"/>
        <v>3995.2299999999814</v>
      </c>
      <c r="Y86" s="1"/>
      <c r="Z86" s="5">
        <f t="shared" si="51"/>
        <v>2.0122642839874191E-2</v>
      </c>
    </row>
    <row r="87" spans="1:26" s="24" customFormat="1" hidden="1" outlineLevel="2" x14ac:dyDescent="0.25">
      <c r="A87" s="25"/>
      <c r="B87" s="11" t="str">
        <f>CONCATENATE("          ", "6371", " - ", "COMPUTER SOFTWARE MAINTENANCE")</f>
        <v xml:space="preserve">          6371 - COMPUTER SOFTWARE MAINTENANCE</v>
      </c>
      <c r="C87" s="11"/>
      <c r="D87" s="6"/>
      <c r="E87" s="2"/>
      <c r="F87" s="7">
        <f t="shared" si="44"/>
        <v>0</v>
      </c>
      <c r="G87" s="2"/>
      <c r="H87" s="6">
        <v>50</v>
      </c>
      <c r="I87" s="2"/>
      <c r="J87" s="7">
        <f t="shared" si="45"/>
        <v>5.4473351636379484E-5</v>
      </c>
      <c r="K87" s="2"/>
      <c r="L87" s="6">
        <f t="shared" si="46"/>
        <v>-50</v>
      </c>
      <c r="M87" s="2"/>
      <c r="N87" s="7">
        <f t="shared" si="47"/>
        <v>-1</v>
      </c>
      <c r="O87" s="11"/>
      <c r="P87" s="6">
        <v>10932.69</v>
      </c>
      <c r="Q87" s="2"/>
      <c r="R87" s="7">
        <f t="shared" si="48"/>
        <v>2.3666175503294176E-3</v>
      </c>
      <c r="S87" s="2"/>
      <c r="T87" s="6">
        <v>2400</v>
      </c>
      <c r="U87" s="2"/>
      <c r="V87" s="7">
        <f t="shared" si="49"/>
        <v>4.1167778940005167E-4</v>
      </c>
      <c r="W87" s="2"/>
      <c r="X87" s="6">
        <f t="shared" si="50"/>
        <v>8532.69</v>
      </c>
      <c r="Y87" s="2"/>
      <c r="Z87" s="7">
        <f t="shared" si="51"/>
        <v>3.5552875000000004</v>
      </c>
    </row>
    <row r="88" spans="1:26" s="24" customFormat="1" hidden="1" outlineLevel="2" x14ac:dyDescent="0.25">
      <c r="A88" s="25"/>
      <c r="B88" s="11" t="str">
        <f>CONCATENATE("          ", "6372", " - ", "COMPUTER HARDWARE MAINTENANCE")</f>
        <v xml:space="preserve">          6372 - COMPUTER HARDWARE MAINTENANCE</v>
      </c>
      <c r="C88" s="11"/>
      <c r="D88" s="6"/>
      <c r="E88" s="2"/>
      <c r="F88" s="7">
        <f t="shared" si="44"/>
        <v>0</v>
      </c>
      <c r="G88" s="2"/>
      <c r="H88" s="6"/>
      <c r="I88" s="2"/>
      <c r="J88" s="7">
        <f t="shared" si="45"/>
        <v>0</v>
      </c>
      <c r="K88" s="2"/>
      <c r="L88" s="6">
        <f t="shared" si="46"/>
        <v>0</v>
      </c>
      <c r="M88" s="2"/>
      <c r="N88" s="7">
        <f t="shared" si="47"/>
        <v>0</v>
      </c>
      <c r="O88" s="11"/>
      <c r="P88" s="6">
        <v>-0.01</v>
      </c>
      <c r="Q88" s="2"/>
      <c r="R88" s="7">
        <f t="shared" si="48"/>
        <v>-2.1647165979547737E-9</v>
      </c>
      <c r="S88" s="2"/>
      <c r="T88" s="6">
        <v>200</v>
      </c>
      <c r="U88" s="2"/>
      <c r="V88" s="7">
        <f t="shared" si="49"/>
        <v>3.4306482450004304E-5</v>
      </c>
      <c r="W88" s="2"/>
      <c r="X88" s="6">
        <f t="shared" si="50"/>
        <v>-200.01</v>
      </c>
      <c r="Y88" s="2"/>
      <c r="Z88" s="7">
        <f t="shared" si="51"/>
        <v>-1.0000499999999999</v>
      </c>
    </row>
    <row r="89" spans="1:26" s="24" customFormat="1" hidden="1" outlineLevel="2" x14ac:dyDescent="0.25">
      <c r="A89" s="25"/>
      <c r="B89" s="11" t="str">
        <f>CONCATENATE("          ", "6373", " - ", "MAINTENANCE CONTRACTS")</f>
        <v xml:space="preserve">          6373 - MAINTENANCE CONTRACTS</v>
      </c>
      <c r="C89" s="11"/>
      <c r="D89" s="6">
        <v>7702.84</v>
      </c>
      <c r="E89" s="2"/>
      <c r="F89" s="7">
        <f t="shared" si="44"/>
        <v>2.4943064968270843E-2</v>
      </c>
      <c r="G89" s="2"/>
      <c r="H89" s="6">
        <v>2448</v>
      </c>
      <c r="I89" s="2"/>
      <c r="J89" s="7">
        <f t="shared" si="45"/>
        <v>2.6670152961171395E-3</v>
      </c>
      <c r="K89" s="2"/>
      <c r="L89" s="6">
        <f t="shared" si="46"/>
        <v>5254.84</v>
      </c>
      <c r="M89" s="2"/>
      <c r="N89" s="7">
        <f t="shared" si="47"/>
        <v>2.1465849673202615</v>
      </c>
      <c r="O89" s="11"/>
      <c r="P89" s="6">
        <v>79655.709999999992</v>
      </c>
      <c r="Q89" s="2"/>
      <c r="R89" s="7">
        <f t="shared" si="48"/>
        <v>1.7243203755887202E-2</v>
      </c>
      <c r="S89" s="2"/>
      <c r="T89" s="6">
        <v>20919</v>
      </c>
      <c r="U89" s="2"/>
      <c r="V89" s="7">
        <f t="shared" si="49"/>
        <v>3.5882865318582003E-3</v>
      </c>
      <c r="W89" s="2"/>
      <c r="X89" s="6">
        <f t="shared" si="50"/>
        <v>58736.709999999992</v>
      </c>
      <c r="Y89" s="2"/>
      <c r="Z89" s="7">
        <f t="shared" si="51"/>
        <v>2.8078163392131552</v>
      </c>
    </row>
    <row r="90" spans="1:26" s="24" customFormat="1" hidden="1" outlineLevel="2" x14ac:dyDescent="0.25">
      <c r="A90" s="25"/>
      <c r="B90" s="11" t="str">
        <f>CONCATENATE("          ", "6375", " - ", "OUTSIDE REPAIRS &amp; MAINTENANCE")</f>
        <v xml:space="preserve">          6375 - OUTSIDE REPAIRS &amp; MAINTENANCE</v>
      </c>
      <c r="C90" s="11"/>
      <c r="D90" s="6">
        <v>3084.84</v>
      </c>
      <c r="E90" s="2"/>
      <c r="F90" s="7">
        <f t="shared" si="44"/>
        <v>9.9892201495449251E-3</v>
      </c>
      <c r="G90" s="2"/>
      <c r="H90" s="6">
        <v>13900</v>
      </c>
      <c r="I90" s="2"/>
      <c r="J90" s="7">
        <f t="shared" si="45"/>
        <v>1.5143591754913496E-2</v>
      </c>
      <c r="K90" s="2"/>
      <c r="L90" s="6">
        <f t="shared" si="46"/>
        <v>-10815.16</v>
      </c>
      <c r="M90" s="2"/>
      <c r="N90" s="7">
        <f t="shared" si="47"/>
        <v>-0.77806906474820148</v>
      </c>
      <c r="O90" s="11"/>
      <c r="P90" s="6">
        <v>111950.84000000001</v>
      </c>
      <c r="Q90" s="2"/>
      <c r="R90" s="7">
        <f t="shared" si="48"/>
        <v>2.4234184150297922E-2</v>
      </c>
      <c r="S90" s="2"/>
      <c r="T90" s="6">
        <v>175025</v>
      </c>
      <c r="U90" s="2"/>
      <c r="V90" s="7">
        <f t="shared" si="49"/>
        <v>3.0022460454060016E-2</v>
      </c>
      <c r="W90" s="2"/>
      <c r="X90" s="6">
        <f t="shared" si="50"/>
        <v>-63074.159999999989</v>
      </c>
      <c r="Y90" s="2"/>
      <c r="Z90" s="7">
        <f t="shared" si="51"/>
        <v>-0.3603722896729038</v>
      </c>
    </row>
    <row r="91" spans="1:26" s="27" customFormat="1" outlineLevel="1" collapsed="1" x14ac:dyDescent="0.25">
      <c r="A91" s="26"/>
      <c r="B91" s="13" t="str">
        <f>CONCATENATE("     ","Royalty &amp; Commissions                             ")</f>
        <v xml:space="preserve">     Royalty &amp; Commissions                             </v>
      </c>
      <c r="C91" s="13"/>
      <c r="D91" s="1">
        <f>SUM(OSRRefD22_16x_0)</f>
        <v>16959.82</v>
      </c>
      <c r="E91" s="1"/>
      <c r="F91" s="5">
        <f t="shared" ref="F91:F95" si="52">IF(D$12=0,0,D91/D$12)</f>
        <v>5.4918691302192332E-2</v>
      </c>
      <c r="G91" s="1"/>
      <c r="H91" s="1">
        <f>SUM(OSRRefH22_16x_0)</f>
        <v>64600</v>
      </c>
      <c r="I91" s="1"/>
      <c r="J91" s="5">
        <f t="shared" ref="J91:J95" si="53">IF(H$12=0,0,H91/H$12)</f>
        <v>7.0379570314202292E-2</v>
      </c>
      <c r="K91" s="1"/>
      <c r="L91" s="1">
        <f t="shared" ref="L91:L95" si="54">+D91-H91</f>
        <v>-47640.18</v>
      </c>
      <c r="M91" s="1"/>
      <c r="N91" s="5">
        <f t="shared" ref="N91:N95" si="55">IF(H91=0,0,L91/H91)</f>
        <v>-0.73746408668730645</v>
      </c>
      <c r="O91" s="13"/>
      <c r="P91" s="1">
        <f>SUM(OSRRefP22_16x_0)</f>
        <v>233763.46999999997</v>
      </c>
      <c r="Q91" s="1"/>
      <c r="R91" s="5">
        <f t="shared" ref="R91:R95" si="56">IF(P$12=0,0,P91/P$12)</f>
        <v>5.0603166350450278E-2</v>
      </c>
      <c r="S91" s="1"/>
      <c r="T91" s="1">
        <f>SUM(OSRRefT22_16x_0)</f>
        <v>279701</v>
      </c>
      <c r="U91" s="1"/>
      <c r="V91" s="5">
        <f t="shared" ref="V91:V95" si="57">IF(T$12=0,0,T91/T$12)</f>
        <v>4.7977787238743269E-2</v>
      </c>
      <c r="W91" s="1"/>
      <c r="X91" s="1">
        <f t="shared" ref="X91:X95" si="58">+P91-T91</f>
        <v>-45937.530000000028</v>
      </c>
      <c r="Y91" s="1"/>
      <c r="Z91" s="5">
        <f t="shared" ref="Z91:Z95" si="59">IF(T91=0,0,X91/T91)</f>
        <v>-0.16423798985345076</v>
      </c>
    </row>
    <row r="92" spans="1:26" s="24" customFormat="1" hidden="1" outlineLevel="2" x14ac:dyDescent="0.25">
      <c r="A92" s="25"/>
      <c r="B92" s="11" t="str">
        <f>CONCATENATE("          ", "6252", " - ", "ROYALTY DUE CSTV")</f>
        <v xml:space="preserve">          6252 - ROYALTY DUE CSTV</v>
      </c>
      <c r="C92" s="11"/>
      <c r="D92" s="6"/>
      <c r="E92" s="2"/>
      <c r="F92" s="7">
        <f t="shared" si="52"/>
        <v>0</v>
      </c>
      <c r="G92" s="2"/>
      <c r="H92" s="6">
        <v>15000</v>
      </c>
      <c r="I92" s="2"/>
      <c r="J92" s="7">
        <f t="shared" si="53"/>
        <v>1.6342005490913844E-2</v>
      </c>
      <c r="K92" s="2"/>
      <c r="L92" s="6">
        <f t="shared" si="54"/>
        <v>-15000</v>
      </c>
      <c r="M92" s="2"/>
      <c r="N92" s="7">
        <f t="shared" si="55"/>
        <v>-1</v>
      </c>
      <c r="O92" s="11"/>
      <c r="P92" s="6"/>
      <c r="Q92" s="2"/>
      <c r="R92" s="7">
        <f t="shared" si="56"/>
        <v>0</v>
      </c>
      <c r="S92" s="2"/>
      <c r="T92" s="6">
        <v>20400</v>
      </c>
      <c r="U92" s="2"/>
      <c r="V92" s="7">
        <f t="shared" si="57"/>
        <v>3.4992612099004391E-3</v>
      </c>
      <c r="W92" s="2"/>
      <c r="X92" s="6">
        <f t="shared" si="58"/>
        <v>-20400</v>
      </c>
      <c r="Y92" s="2"/>
      <c r="Z92" s="7">
        <f t="shared" si="59"/>
        <v>-1</v>
      </c>
    </row>
    <row r="93" spans="1:26" s="24" customFormat="1" hidden="1" outlineLevel="2" x14ac:dyDescent="0.25">
      <c r="A93" s="25"/>
      <c r="B93" s="11" t="str">
        <f>CONCATENATE("          ", "6253", " - ", "ROYALTY DUE ATHLETICS-LRG")</f>
        <v xml:space="preserve">          6253 - ROYALTY DUE ATHLETICS-LRG</v>
      </c>
      <c r="C93" s="11"/>
      <c r="D93" s="6"/>
      <c r="E93" s="2"/>
      <c r="F93" s="7">
        <f t="shared" si="52"/>
        <v>0</v>
      </c>
      <c r="G93" s="2"/>
      <c r="H93" s="6">
        <v>32000</v>
      </c>
      <c r="I93" s="2"/>
      <c r="J93" s="7">
        <f t="shared" si="53"/>
        <v>3.4862945047282871E-2</v>
      </c>
      <c r="K93" s="2"/>
      <c r="L93" s="6">
        <f t="shared" si="54"/>
        <v>-32000</v>
      </c>
      <c r="M93" s="2"/>
      <c r="N93" s="7">
        <f t="shared" si="55"/>
        <v>-1</v>
      </c>
      <c r="O93" s="11"/>
      <c r="P93" s="6"/>
      <c r="Q93" s="2"/>
      <c r="R93" s="7">
        <f t="shared" si="56"/>
        <v>0</v>
      </c>
      <c r="S93" s="2"/>
      <c r="T93" s="6">
        <v>123000</v>
      </c>
      <c r="U93" s="2"/>
      <c r="V93" s="7">
        <f t="shared" si="57"/>
        <v>2.1098486706752649E-2</v>
      </c>
      <c r="W93" s="2"/>
      <c r="X93" s="6">
        <f t="shared" si="58"/>
        <v>-123000</v>
      </c>
      <c r="Y93" s="2"/>
      <c r="Z93" s="7">
        <f t="shared" si="59"/>
        <v>-1</v>
      </c>
    </row>
    <row r="94" spans="1:26" s="24" customFormat="1" hidden="1" outlineLevel="2" x14ac:dyDescent="0.25">
      <c r="A94" s="25"/>
      <c r="B94" s="11" t="str">
        <f>CONCATENATE("          ", "6254", " - ", "ROYALTY &amp; COMMISSIONS")</f>
        <v xml:space="preserve">          6254 - ROYALTY &amp; COMMISSIONS</v>
      </c>
      <c r="C94" s="11"/>
      <c r="D94" s="6">
        <v>10002.02</v>
      </c>
      <c r="E94" s="2"/>
      <c r="F94" s="7">
        <f t="shared" si="52"/>
        <v>3.2388188599781938E-2</v>
      </c>
      <c r="G94" s="2"/>
      <c r="H94" s="6"/>
      <c r="I94" s="2"/>
      <c r="J94" s="7">
        <f t="shared" si="53"/>
        <v>0</v>
      </c>
      <c r="K94" s="2"/>
      <c r="L94" s="6">
        <f t="shared" si="54"/>
        <v>10002.02</v>
      </c>
      <c r="M94" s="2"/>
      <c r="N94" s="7">
        <f t="shared" si="55"/>
        <v>0</v>
      </c>
      <c r="O94" s="11"/>
      <c r="P94" s="6">
        <v>129093.51</v>
      </c>
      <c r="Q94" s="2"/>
      <c r="R94" s="7">
        <f t="shared" si="56"/>
        <v>2.7945086378524057E-2</v>
      </c>
      <c r="S94" s="2"/>
      <c r="T94" s="6">
        <v>6117</v>
      </c>
      <c r="U94" s="2"/>
      <c r="V94" s="7">
        <f t="shared" si="57"/>
        <v>1.0492637657333816E-3</v>
      </c>
      <c r="W94" s="2"/>
      <c r="X94" s="6">
        <f t="shared" si="58"/>
        <v>122976.51</v>
      </c>
      <c r="Y94" s="2"/>
      <c r="Z94" s="7">
        <f t="shared" si="59"/>
        <v>20.104055909759687</v>
      </c>
    </row>
    <row r="95" spans="1:26" s="24" customFormat="1" hidden="1" outlineLevel="2" x14ac:dyDescent="0.25">
      <c r="A95" s="25"/>
      <c r="B95" s="11" t="str">
        <f>CONCATENATE("          ", "6259", " - ", "ROYALTY &amp; COMMISSIONS")</f>
        <v xml:space="preserve">          6259 - ROYALTY &amp; COMMISSIONS</v>
      </c>
      <c r="C95" s="11"/>
      <c r="D95" s="6">
        <v>6957.8</v>
      </c>
      <c r="E95" s="2"/>
      <c r="F95" s="7">
        <f t="shared" si="52"/>
        <v>2.2530502702410391E-2</v>
      </c>
      <c r="G95" s="2"/>
      <c r="H95" s="6">
        <v>17600</v>
      </c>
      <c r="I95" s="2"/>
      <c r="J95" s="7">
        <f t="shared" si="53"/>
        <v>1.917461977600558E-2</v>
      </c>
      <c r="K95" s="2"/>
      <c r="L95" s="6">
        <f t="shared" si="54"/>
        <v>-10642.2</v>
      </c>
      <c r="M95" s="2"/>
      <c r="N95" s="7">
        <f t="shared" si="55"/>
        <v>-0.60467045454545454</v>
      </c>
      <c r="O95" s="11"/>
      <c r="P95" s="6">
        <v>104669.95999999999</v>
      </c>
      <c r="Q95" s="2"/>
      <c r="R95" s="7">
        <f t="shared" si="56"/>
        <v>2.2658079971926225E-2</v>
      </c>
      <c r="S95" s="2"/>
      <c r="T95" s="6">
        <v>130184</v>
      </c>
      <c r="U95" s="2"/>
      <c r="V95" s="7">
        <f t="shared" si="57"/>
        <v>2.2330775556356802E-2</v>
      </c>
      <c r="W95" s="2"/>
      <c r="X95" s="6">
        <f t="shared" si="58"/>
        <v>-25514.040000000008</v>
      </c>
      <c r="Y95" s="2"/>
      <c r="Z95" s="7">
        <f t="shared" si="59"/>
        <v>-0.19598445277453458</v>
      </c>
    </row>
    <row r="96" spans="1:26" s="27" customFormat="1" outlineLevel="1" collapsed="1" x14ac:dyDescent="0.25">
      <c r="A96" s="26"/>
      <c r="B96" s="13" t="str">
        <f>CONCATENATE("     ","Services                                          ")</f>
        <v xml:space="preserve">     Services                                          </v>
      </c>
      <c r="C96" s="13"/>
      <c r="D96" s="1">
        <f>SUM(OSRRefD22_17x_0)</f>
        <v>25989.710000000003</v>
      </c>
      <c r="E96" s="1"/>
      <c r="F96" s="5">
        <f t="shared" ref="F96:F101" si="60">IF(D$12=0,0,D96/D$12)</f>
        <v>8.4158962802877699E-2</v>
      </c>
      <c r="G96" s="1"/>
      <c r="H96" s="1">
        <f>SUM(OSRRefH22_17x_0)</f>
        <v>23131</v>
      </c>
      <c r="I96" s="1"/>
      <c r="J96" s="5">
        <f t="shared" ref="J96:J101" si="61">IF(H$12=0,0,H96/H$12)</f>
        <v>2.5200461934021878E-2</v>
      </c>
      <c r="K96" s="1"/>
      <c r="L96" s="1">
        <f t="shared" ref="L96:L101" si="62">+D96-H96</f>
        <v>2858.7100000000028</v>
      </c>
      <c r="M96" s="1"/>
      <c r="N96" s="5">
        <f t="shared" ref="N96:N101" si="63">IF(H96=0,0,L96/H96)</f>
        <v>0.12358782586139824</v>
      </c>
      <c r="O96" s="13"/>
      <c r="P96" s="1">
        <f>SUM(OSRRefP22_17x_0)</f>
        <v>207258.47999999998</v>
      </c>
      <c r="Q96" s="1"/>
      <c r="R96" s="5">
        <f t="shared" ref="R96:R101" si="64">IF(P$12=0,0,P96/P$12)</f>
        <v>4.4865587172287745E-2</v>
      </c>
      <c r="S96" s="1"/>
      <c r="T96" s="1">
        <f>SUM(OSRRefT22_17x_0)</f>
        <v>202478</v>
      </c>
      <c r="U96" s="1"/>
      <c r="V96" s="5">
        <f t="shared" ref="V96:V101" si="65">IF(T$12=0,0,T96/T$12)</f>
        <v>3.4731539767559862E-2</v>
      </c>
      <c r="W96" s="1"/>
      <c r="X96" s="1">
        <f t="shared" ref="X96:X101" si="66">+P96-T96</f>
        <v>4780.4799999999814</v>
      </c>
      <c r="Y96" s="1"/>
      <c r="Z96" s="5">
        <f t="shared" ref="Z96:Z101" si="67">IF(T96=0,0,X96/T96)</f>
        <v>2.3609873665287003E-2</v>
      </c>
    </row>
    <row r="97" spans="1:26" s="24" customFormat="1" hidden="1" outlineLevel="2" x14ac:dyDescent="0.25">
      <c r="A97" s="25"/>
      <c r="B97" s="11" t="str">
        <f>CONCATENATE("          ", "6282", " - ", "JANITORIAL/EXTERMINATOR EXPENS")</f>
        <v xml:space="preserve">          6282 - JANITORIAL/EXTERMINATOR EXPENS</v>
      </c>
      <c r="C97" s="11"/>
      <c r="D97" s="6">
        <v>1180.6099999999999</v>
      </c>
      <c r="E97" s="2"/>
      <c r="F97" s="7">
        <f t="shared" si="60"/>
        <v>3.8230096863222183E-3</v>
      </c>
      <c r="G97" s="2"/>
      <c r="H97" s="6">
        <v>1355</v>
      </c>
      <c r="I97" s="2"/>
      <c r="J97" s="7">
        <f t="shared" si="61"/>
        <v>1.4762278293458839E-3</v>
      </c>
      <c r="K97" s="2"/>
      <c r="L97" s="6">
        <f t="shared" si="62"/>
        <v>-174.3900000000001</v>
      </c>
      <c r="M97" s="2"/>
      <c r="N97" s="7">
        <f t="shared" si="63"/>
        <v>-0.12870110701107018</v>
      </c>
      <c r="O97" s="11"/>
      <c r="P97" s="6">
        <v>12678.74</v>
      </c>
      <c r="Q97" s="2"/>
      <c r="R97" s="7">
        <f t="shared" si="64"/>
        <v>2.7445878919153109E-3</v>
      </c>
      <c r="S97" s="2"/>
      <c r="T97" s="6">
        <v>11980</v>
      </c>
      <c r="U97" s="2"/>
      <c r="V97" s="7">
        <f t="shared" si="65"/>
        <v>2.0549582987552579E-3</v>
      </c>
      <c r="W97" s="2"/>
      <c r="X97" s="6">
        <f t="shared" si="66"/>
        <v>698.73999999999978</v>
      </c>
      <c r="Y97" s="2"/>
      <c r="Z97" s="7">
        <f t="shared" si="67"/>
        <v>5.8325542570951565E-2</v>
      </c>
    </row>
    <row r="98" spans="1:26" s="24" customFormat="1" hidden="1" outlineLevel="2" x14ac:dyDescent="0.25">
      <c r="A98" s="25"/>
      <c r="B98" s="11" t="str">
        <f>CONCATENATE("          ", "6283", " - ", "PLANT SERVICE")</f>
        <v xml:space="preserve">          6283 - PLANT SERVICE</v>
      </c>
      <c r="C98" s="11"/>
      <c r="D98" s="6">
        <v>399.56</v>
      </c>
      <c r="E98" s="2"/>
      <c r="F98" s="7">
        <f t="shared" si="60"/>
        <v>1.2938411077891138E-3</v>
      </c>
      <c r="G98" s="2"/>
      <c r="H98" s="6">
        <v>185</v>
      </c>
      <c r="I98" s="2"/>
      <c r="J98" s="7">
        <f t="shared" si="61"/>
        <v>2.0155140105460409E-4</v>
      </c>
      <c r="K98" s="2"/>
      <c r="L98" s="6">
        <f t="shared" si="62"/>
        <v>214.56</v>
      </c>
      <c r="M98" s="2"/>
      <c r="N98" s="7">
        <f t="shared" si="63"/>
        <v>1.1597837837837839</v>
      </c>
      <c r="O98" s="11"/>
      <c r="P98" s="6">
        <v>1398.46</v>
      </c>
      <c r="Q98" s="2"/>
      <c r="R98" s="7">
        <f t="shared" si="64"/>
        <v>3.0272695735758331E-4</v>
      </c>
      <c r="S98" s="2"/>
      <c r="T98" s="6">
        <v>1630</v>
      </c>
      <c r="U98" s="2"/>
      <c r="V98" s="7">
        <f t="shared" si="65"/>
        <v>2.7959783196753509E-4</v>
      </c>
      <c r="W98" s="2"/>
      <c r="X98" s="6">
        <f t="shared" si="66"/>
        <v>-231.53999999999996</v>
      </c>
      <c r="Y98" s="2"/>
      <c r="Z98" s="7">
        <f t="shared" si="67"/>
        <v>-0.14204907975460121</v>
      </c>
    </row>
    <row r="99" spans="1:26" s="24" customFormat="1" hidden="1" outlineLevel="2" x14ac:dyDescent="0.25">
      <c r="A99" s="25"/>
      <c r="B99" s="11" t="str">
        <f>CONCATENATE("          ", "6284", " - ", "TRASH REMOVAL EXPENSE")</f>
        <v xml:space="preserve">          6284 - TRASH REMOVAL EXPENSE</v>
      </c>
      <c r="C99" s="11"/>
      <c r="D99" s="6">
        <v>5130</v>
      </c>
      <c r="E99" s="2"/>
      <c r="F99" s="7">
        <f t="shared" si="60"/>
        <v>1.6611785171083575E-2</v>
      </c>
      <c r="G99" s="2"/>
      <c r="H99" s="6">
        <v>3515</v>
      </c>
      <c r="I99" s="2"/>
      <c r="J99" s="7">
        <f t="shared" si="61"/>
        <v>3.8294766200374776E-3</v>
      </c>
      <c r="K99" s="2"/>
      <c r="L99" s="6">
        <f t="shared" si="62"/>
        <v>1615</v>
      </c>
      <c r="M99" s="2"/>
      <c r="N99" s="7">
        <f t="shared" si="63"/>
        <v>0.45945945945945948</v>
      </c>
      <c r="O99" s="11"/>
      <c r="P99" s="6">
        <v>38283</v>
      </c>
      <c r="Q99" s="2"/>
      <c r="R99" s="7">
        <f t="shared" si="64"/>
        <v>8.2871845519502611E-3</v>
      </c>
      <c r="S99" s="2"/>
      <c r="T99" s="6">
        <v>31635</v>
      </c>
      <c r="U99" s="2"/>
      <c r="V99" s="7">
        <f t="shared" si="65"/>
        <v>5.4264278615294313E-3</v>
      </c>
      <c r="W99" s="2"/>
      <c r="X99" s="6">
        <f t="shared" si="66"/>
        <v>6648</v>
      </c>
      <c r="Y99" s="2"/>
      <c r="Z99" s="7">
        <f t="shared" si="67"/>
        <v>0.21014698909435753</v>
      </c>
    </row>
    <row r="100" spans="1:26" s="24" customFormat="1" hidden="1" outlineLevel="2" x14ac:dyDescent="0.25">
      <c r="A100" s="25"/>
      <c r="B100" s="11" t="str">
        <f>CONCATENATE("          ", "6285", " - ", "JANITORIAL SERVICES")</f>
        <v xml:space="preserve">          6285 - JANITORIAL SERVICES</v>
      </c>
      <c r="C100" s="11"/>
      <c r="D100" s="6">
        <v>17933.27</v>
      </c>
      <c r="E100" s="2"/>
      <c r="F100" s="7">
        <f t="shared" si="60"/>
        <v>5.8070882778759839E-2</v>
      </c>
      <c r="G100" s="2"/>
      <c r="H100" s="6">
        <v>13184</v>
      </c>
      <c r="I100" s="2"/>
      <c r="J100" s="7">
        <f t="shared" si="61"/>
        <v>1.4363533359480542E-2</v>
      </c>
      <c r="K100" s="2"/>
      <c r="L100" s="6">
        <f t="shared" si="62"/>
        <v>4749.2700000000004</v>
      </c>
      <c r="M100" s="2"/>
      <c r="N100" s="7">
        <f t="shared" si="63"/>
        <v>0.36022982402912623</v>
      </c>
      <c r="O100" s="11"/>
      <c r="P100" s="6">
        <v>127887.66999999998</v>
      </c>
      <c r="Q100" s="2"/>
      <c r="R100" s="7">
        <f t="shared" si="64"/>
        <v>2.7684056192276273E-2</v>
      </c>
      <c r="S100" s="2"/>
      <c r="T100" s="6">
        <v>119121.99999999999</v>
      </c>
      <c r="U100" s="2"/>
      <c r="V100" s="7">
        <f t="shared" si="65"/>
        <v>2.0433284012047061E-2</v>
      </c>
      <c r="W100" s="2"/>
      <c r="X100" s="6">
        <f t="shared" si="66"/>
        <v>8765.6699999999983</v>
      </c>
      <c r="Y100" s="2"/>
      <c r="Z100" s="7">
        <f t="shared" si="67"/>
        <v>7.3585651684827308E-2</v>
      </c>
    </row>
    <row r="101" spans="1:26" s="24" customFormat="1" hidden="1" outlineLevel="2" x14ac:dyDescent="0.25">
      <c r="A101" s="25"/>
      <c r="B101" s="11" t="str">
        <f>CONCATENATE("          ", "6286", " - ", "LAUNDRY EXPENSE")</f>
        <v xml:space="preserve">          6286 - LAUNDRY EXPENSE</v>
      </c>
      <c r="C101" s="11"/>
      <c r="D101" s="6">
        <v>1346.27</v>
      </c>
      <c r="E101" s="2"/>
      <c r="F101" s="7">
        <f t="shared" si="60"/>
        <v>4.3594440589229408E-3</v>
      </c>
      <c r="G101" s="2"/>
      <c r="H101" s="6">
        <v>4892</v>
      </c>
      <c r="I101" s="2"/>
      <c r="J101" s="7">
        <f t="shared" si="61"/>
        <v>5.329672724103369E-3</v>
      </c>
      <c r="K101" s="2"/>
      <c r="L101" s="6">
        <f t="shared" si="62"/>
        <v>-3545.73</v>
      </c>
      <c r="M101" s="2"/>
      <c r="N101" s="7">
        <f t="shared" si="63"/>
        <v>-0.72480171708912511</v>
      </c>
      <c r="O101" s="11"/>
      <c r="P101" s="6">
        <v>27010.609999999997</v>
      </c>
      <c r="Q101" s="2"/>
      <c r="R101" s="7">
        <f t="shared" si="64"/>
        <v>5.8470315787883184E-3</v>
      </c>
      <c r="S101" s="2"/>
      <c r="T101" s="6">
        <v>38111</v>
      </c>
      <c r="U101" s="2"/>
      <c r="V101" s="7">
        <f t="shared" si="65"/>
        <v>6.5372717632605701E-3</v>
      </c>
      <c r="W101" s="2"/>
      <c r="X101" s="6">
        <f t="shared" si="66"/>
        <v>-11100.390000000003</v>
      </c>
      <c r="Y101" s="2"/>
      <c r="Z101" s="7">
        <f t="shared" si="67"/>
        <v>-0.29126472671931997</v>
      </c>
    </row>
    <row r="102" spans="1:26" s="27" customFormat="1" outlineLevel="1" collapsed="1" x14ac:dyDescent="0.25">
      <c r="A102" s="26"/>
      <c r="B102" s="13" t="str">
        <f>CONCATENATE("     ","Subscriptions &amp; Dues                              ")</f>
        <v xml:space="preserve">     Subscriptions &amp; Dues                              </v>
      </c>
      <c r="C102" s="13"/>
      <c r="D102" s="1">
        <f>SUM(OSRRefD22_18x_0)</f>
        <v>161.99</v>
      </c>
      <c r="E102" s="1"/>
      <c r="F102" s="5">
        <f t="shared" ref="F102:F104" si="68">IF(D$12=0,0,D102/D$12)</f>
        <v>5.2455030796565865E-4</v>
      </c>
      <c r="G102" s="1"/>
      <c r="H102" s="1">
        <f>SUM(OSRRefH22_18x_0)</f>
        <v>394</v>
      </c>
      <c r="I102" s="1"/>
      <c r="J102" s="5">
        <f t="shared" ref="J102:J104" si="69">IF(H$12=0,0,H102/H$12)</f>
        <v>4.2925001089467031E-4</v>
      </c>
      <c r="K102" s="1"/>
      <c r="L102" s="1">
        <f t="shared" ref="L102:L104" si="70">+D102-H102</f>
        <v>-232.01</v>
      </c>
      <c r="M102" s="1"/>
      <c r="N102" s="5">
        <f t="shared" ref="N102:N104" si="71">IF(H102=0,0,L102/H102)</f>
        <v>-0.5888578680203046</v>
      </c>
      <c r="O102" s="13"/>
      <c r="P102" s="1">
        <f>SUM(OSRRefP22_18x_0)</f>
        <v>7296.3</v>
      </c>
      <c r="Q102" s="1"/>
      <c r="R102" s="5">
        <f t="shared" ref="R102:R104" si="72">IF(P$12=0,0,P102/P$12)</f>
        <v>1.5794421713657416E-3</v>
      </c>
      <c r="S102" s="1"/>
      <c r="T102" s="1">
        <f>SUM(OSRRefT22_18x_0)</f>
        <v>3671</v>
      </c>
      <c r="U102" s="1"/>
      <c r="V102" s="5">
        <f t="shared" ref="V102:V104" si="73">IF(T$12=0,0,T102/T$12)</f>
        <v>6.2969548536982907E-4</v>
      </c>
      <c r="W102" s="1"/>
      <c r="X102" s="1">
        <f t="shared" ref="X102:X104" si="74">+P102-T102</f>
        <v>3625.3</v>
      </c>
      <c r="Y102" s="1"/>
      <c r="Z102" s="5">
        <f t="shared" ref="Z102:Z104" si="75">IF(T102=0,0,X102/T102)</f>
        <v>0.98755107600108971</v>
      </c>
    </row>
    <row r="103" spans="1:26" s="24" customFormat="1" hidden="1" outlineLevel="2" x14ac:dyDescent="0.25">
      <c r="A103" s="25"/>
      <c r="B103" s="11" t="str">
        <f>CONCATENATE("          ", "6258", " - ", "MEMBERSHIP DUES")</f>
        <v xml:space="preserve">          6258 - MEMBERSHIP DUES</v>
      </c>
      <c r="C103" s="11"/>
      <c r="D103" s="6"/>
      <c r="E103" s="2"/>
      <c r="F103" s="7">
        <f t="shared" si="68"/>
        <v>0</v>
      </c>
      <c r="G103" s="2"/>
      <c r="H103" s="6"/>
      <c r="I103" s="2"/>
      <c r="J103" s="7">
        <f t="shared" si="69"/>
        <v>0</v>
      </c>
      <c r="K103" s="2"/>
      <c r="L103" s="6">
        <f t="shared" si="70"/>
        <v>0</v>
      </c>
      <c r="M103" s="2"/>
      <c r="N103" s="7">
        <f t="shared" si="71"/>
        <v>0</v>
      </c>
      <c r="O103" s="11"/>
      <c r="P103" s="6">
        <v>3730</v>
      </c>
      <c r="Q103" s="2"/>
      <c r="R103" s="7">
        <f t="shared" si="72"/>
        <v>8.0743929103713067E-4</v>
      </c>
      <c r="S103" s="2"/>
      <c r="T103" s="6">
        <v>300</v>
      </c>
      <c r="U103" s="2"/>
      <c r="V103" s="7">
        <f t="shared" si="73"/>
        <v>5.1459723675006459E-5</v>
      </c>
      <c r="W103" s="2"/>
      <c r="X103" s="6">
        <f t="shared" si="74"/>
        <v>3430</v>
      </c>
      <c r="Y103" s="2"/>
      <c r="Z103" s="7">
        <f t="shared" si="75"/>
        <v>11.433333333333334</v>
      </c>
    </row>
    <row r="104" spans="1:26" s="24" customFormat="1" hidden="1" outlineLevel="2" x14ac:dyDescent="0.25">
      <c r="A104" s="25"/>
      <c r="B104" s="11" t="str">
        <f>CONCATENATE("          ", "6275", " - ", "SUBSCRIPTIONS")</f>
        <v xml:space="preserve">          6275 - SUBSCRIPTIONS</v>
      </c>
      <c r="C104" s="11"/>
      <c r="D104" s="6">
        <v>161.99</v>
      </c>
      <c r="E104" s="2"/>
      <c r="F104" s="7">
        <f t="shared" si="68"/>
        <v>5.2455030796565865E-4</v>
      </c>
      <c r="G104" s="2"/>
      <c r="H104" s="6">
        <v>394</v>
      </c>
      <c r="I104" s="2"/>
      <c r="J104" s="7">
        <f t="shared" si="69"/>
        <v>4.2925001089467031E-4</v>
      </c>
      <c r="K104" s="2"/>
      <c r="L104" s="6">
        <f t="shared" si="70"/>
        <v>-232.01</v>
      </c>
      <c r="M104" s="2"/>
      <c r="N104" s="7">
        <f t="shared" si="71"/>
        <v>-0.5888578680203046</v>
      </c>
      <c r="O104" s="11"/>
      <c r="P104" s="6">
        <v>3566.3</v>
      </c>
      <c r="Q104" s="2"/>
      <c r="R104" s="7">
        <f t="shared" si="72"/>
        <v>7.7200288032861105E-4</v>
      </c>
      <c r="S104" s="2"/>
      <c r="T104" s="6">
        <v>3371</v>
      </c>
      <c r="U104" s="2"/>
      <c r="V104" s="7">
        <f t="shared" si="73"/>
        <v>5.7823576169482253E-4</v>
      </c>
      <c r="W104" s="2"/>
      <c r="X104" s="6">
        <f t="shared" si="74"/>
        <v>195.30000000000018</v>
      </c>
      <c r="Y104" s="2"/>
      <c r="Z104" s="7">
        <f t="shared" si="75"/>
        <v>5.79353307623851E-2</v>
      </c>
    </row>
    <row r="105" spans="1:26" s="27" customFormat="1" outlineLevel="1" collapsed="1" x14ac:dyDescent="0.25">
      <c r="A105" s="26"/>
      <c r="B105" s="13" t="str">
        <f>CONCATENATE("     ","Supplies                                          ")</f>
        <v xml:space="preserve">     Supplies                                          </v>
      </c>
      <c r="C105" s="13"/>
      <c r="D105" s="1">
        <f>SUM(OSRRefD22_19x_0)</f>
        <v>12784.26</v>
      </c>
      <c r="E105" s="1"/>
      <c r="F105" s="5">
        <f t="shared" ref="F105:F115" si="76">IF(D$12=0,0,D105/D$12)</f>
        <v>4.1397540095765482E-2</v>
      </c>
      <c r="G105" s="1"/>
      <c r="H105" s="1">
        <f>SUM(OSRRefH22_19x_0)</f>
        <v>13990.06</v>
      </c>
      <c r="I105" s="1"/>
      <c r="J105" s="5">
        <f t="shared" ref="J105:J115" si="77">IF(H$12=0,0,H105/H$12)</f>
        <v>1.5241709155880943E-2</v>
      </c>
      <c r="K105" s="1"/>
      <c r="L105" s="1">
        <f t="shared" ref="L105:L115" si="78">+D105-H105</f>
        <v>-1205.7999999999993</v>
      </c>
      <c r="M105" s="1"/>
      <c r="N105" s="5">
        <f t="shared" ref="N105:N115" si="79">IF(H105=0,0,L105/H105)</f>
        <v>-8.6189766162546783E-2</v>
      </c>
      <c r="O105" s="13"/>
      <c r="P105" s="1">
        <f>SUM(OSRRefP22_19x_0)</f>
        <v>166221.96000000002</v>
      </c>
      <c r="Q105" s="1"/>
      <c r="R105" s="5">
        <f t="shared" ref="R105:R115" si="80">IF(P$12=0,0,P105/P$12)</f>
        <v>3.5982343575657452E-2</v>
      </c>
      <c r="S105" s="1"/>
      <c r="T105" s="1">
        <f>SUM(OSRRefT22_19x_0)</f>
        <v>136159.85999999999</v>
      </c>
      <c r="U105" s="1"/>
      <c r="V105" s="5">
        <f t="shared" ref="V105:V115" si="81">IF(T$12=0,0,T105/T$12)</f>
        <v>2.3355829237425213E-2</v>
      </c>
      <c r="W105" s="1"/>
      <c r="X105" s="1">
        <f t="shared" ref="X105:X115" si="82">+P105-T105</f>
        <v>30062.100000000035</v>
      </c>
      <c r="Y105" s="1"/>
      <c r="Z105" s="5">
        <f t="shared" ref="Z105:Z115" si="83">IF(T105=0,0,X105/T105)</f>
        <v>0.22078533276987827</v>
      </c>
    </row>
    <row r="106" spans="1:26" s="24" customFormat="1" hidden="1" outlineLevel="2" x14ac:dyDescent="0.25">
      <c r="A106" s="25"/>
      <c r="B106" s="11" t="str">
        <f>CONCATENATE("          ", "6234", " - ", "EXPENDABLE SUPPLIES &amp; EQUIPMEN")</f>
        <v xml:space="preserve">          6234 - EXPENDABLE SUPPLIES &amp; EQUIPMEN</v>
      </c>
      <c r="C106" s="11"/>
      <c r="D106" s="6">
        <v>972.3</v>
      </c>
      <c r="E106" s="2"/>
      <c r="F106" s="7">
        <f t="shared" si="76"/>
        <v>3.1484675871042028E-3</v>
      </c>
      <c r="G106" s="2"/>
      <c r="H106" s="6">
        <v>1500</v>
      </c>
      <c r="I106" s="2"/>
      <c r="J106" s="7">
        <f t="shared" si="77"/>
        <v>1.6342005490913845E-3</v>
      </c>
      <c r="K106" s="2"/>
      <c r="L106" s="6">
        <f t="shared" si="78"/>
        <v>-527.70000000000005</v>
      </c>
      <c r="M106" s="2"/>
      <c r="N106" s="7">
        <f t="shared" si="79"/>
        <v>-0.35180000000000006</v>
      </c>
      <c r="O106" s="11"/>
      <c r="P106" s="6">
        <v>14544.42</v>
      </c>
      <c r="Q106" s="2"/>
      <c r="R106" s="7">
        <f t="shared" si="80"/>
        <v>3.1484547381625369E-3</v>
      </c>
      <c r="S106" s="2"/>
      <c r="T106" s="6">
        <v>6150</v>
      </c>
      <c r="U106" s="2"/>
      <c r="V106" s="7">
        <f t="shared" si="81"/>
        <v>1.0549243353376325E-3</v>
      </c>
      <c r="W106" s="2"/>
      <c r="X106" s="6">
        <f t="shared" si="82"/>
        <v>8394.42</v>
      </c>
      <c r="Y106" s="2"/>
      <c r="Z106" s="7">
        <f t="shared" si="83"/>
        <v>1.3649463414634146</v>
      </c>
    </row>
    <row r="107" spans="1:26" s="24" customFormat="1" hidden="1" outlineLevel="2" x14ac:dyDescent="0.25">
      <c r="A107" s="25"/>
      <c r="B107" s="11" t="str">
        <f>CONCATENATE("          ", "6237", " - ", "JANITORIAL SUPPLIES")</f>
        <v xml:space="preserve">          6237 - JANITORIAL SUPPLIES</v>
      </c>
      <c r="C107" s="11"/>
      <c r="D107" s="6">
        <v>5763.7</v>
      </c>
      <c r="E107" s="2"/>
      <c r="F107" s="7">
        <f t="shared" si="76"/>
        <v>1.8663810173601247E-2</v>
      </c>
      <c r="G107" s="2"/>
      <c r="H107" s="6">
        <v>4011</v>
      </c>
      <c r="I107" s="2"/>
      <c r="J107" s="7">
        <f t="shared" si="77"/>
        <v>4.3698522682703621E-3</v>
      </c>
      <c r="K107" s="2"/>
      <c r="L107" s="6">
        <f t="shared" si="78"/>
        <v>1752.6999999999998</v>
      </c>
      <c r="M107" s="2"/>
      <c r="N107" s="7">
        <f t="shared" si="79"/>
        <v>0.43697332336075789</v>
      </c>
      <c r="O107" s="11"/>
      <c r="P107" s="6">
        <v>48433.599999999999</v>
      </c>
      <c r="Q107" s="2"/>
      <c r="R107" s="7">
        <f t="shared" si="80"/>
        <v>1.0484501781870232E-2</v>
      </c>
      <c r="S107" s="2"/>
      <c r="T107" s="6">
        <v>38429</v>
      </c>
      <c r="U107" s="2"/>
      <c r="V107" s="7">
        <f t="shared" si="81"/>
        <v>6.5918190703560774E-3</v>
      </c>
      <c r="W107" s="2"/>
      <c r="X107" s="6">
        <f t="shared" si="82"/>
        <v>10004.599999999999</v>
      </c>
      <c r="Y107" s="2"/>
      <c r="Z107" s="7">
        <f t="shared" si="83"/>
        <v>0.26033984751099426</v>
      </c>
    </row>
    <row r="108" spans="1:26" s="24" customFormat="1" hidden="1" outlineLevel="2" x14ac:dyDescent="0.25">
      <c r="A108" s="25"/>
      <c r="B108" s="11" t="str">
        <f>CONCATENATE("          ", "6239", " - ", "KITCHEN SUPPLIES")</f>
        <v xml:space="preserve">          6239 - KITCHEN SUPPLIES</v>
      </c>
      <c r="C108" s="11"/>
      <c r="D108" s="6">
        <v>1579.39</v>
      </c>
      <c r="E108" s="2"/>
      <c r="F108" s="7">
        <f t="shared" si="76"/>
        <v>5.1143250256057878E-3</v>
      </c>
      <c r="G108" s="2"/>
      <c r="H108" s="6">
        <v>1029.44</v>
      </c>
      <c r="I108" s="2"/>
      <c r="J108" s="7">
        <f t="shared" si="77"/>
        <v>1.1215409421710899E-3</v>
      </c>
      <c r="K108" s="2"/>
      <c r="L108" s="6">
        <f t="shared" si="78"/>
        <v>549.95000000000005</v>
      </c>
      <c r="M108" s="2"/>
      <c r="N108" s="7">
        <f t="shared" si="79"/>
        <v>0.53422248989741994</v>
      </c>
      <c r="O108" s="11"/>
      <c r="P108" s="6">
        <v>45135.340000000004</v>
      </c>
      <c r="Q108" s="2"/>
      <c r="R108" s="7">
        <f t="shared" si="80"/>
        <v>9.7705219652332032E-3</v>
      </c>
      <c r="S108" s="2"/>
      <c r="T108" s="6">
        <v>27104.15</v>
      </c>
      <c r="U108" s="2"/>
      <c r="V108" s="7">
        <f t="shared" si="81"/>
        <v>4.649240231486421E-3</v>
      </c>
      <c r="W108" s="2"/>
      <c r="X108" s="6">
        <f t="shared" si="82"/>
        <v>18031.190000000002</v>
      </c>
      <c r="Y108" s="2"/>
      <c r="Z108" s="7">
        <f t="shared" si="83"/>
        <v>0.66525568962686532</v>
      </c>
    </row>
    <row r="109" spans="1:26" s="24" customFormat="1" hidden="1" outlineLevel="2" x14ac:dyDescent="0.25">
      <c r="A109" s="25"/>
      <c r="B109" s="11" t="str">
        <f>CONCATENATE("          ", "6241", " - ", "OFFICE EXPENSE")</f>
        <v xml:space="preserve">          6241 - OFFICE EXPENSE</v>
      </c>
      <c r="C109" s="11"/>
      <c r="D109" s="6">
        <v>1268.98</v>
      </c>
      <c r="E109" s="2"/>
      <c r="F109" s="7">
        <f t="shared" si="76"/>
        <v>4.1091663053414501E-3</v>
      </c>
      <c r="G109" s="2"/>
      <c r="H109" s="6">
        <v>797.57</v>
      </c>
      <c r="I109" s="2"/>
      <c r="J109" s="7">
        <f t="shared" si="77"/>
        <v>8.6892622129254376E-4</v>
      </c>
      <c r="K109" s="2"/>
      <c r="L109" s="6">
        <f t="shared" si="78"/>
        <v>471.40999999999997</v>
      </c>
      <c r="M109" s="2"/>
      <c r="N109" s="7">
        <f t="shared" si="79"/>
        <v>0.59105783818348223</v>
      </c>
      <c r="O109" s="11"/>
      <c r="P109" s="6">
        <v>16728.230000000003</v>
      </c>
      <c r="Q109" s="2"/>
      <c r="R109" s="7">
        <f t="shared" si="80"/>
        <v>3.6211877135404994E-3</v>
      </c>
      <c r="S109" s="2"/>
      <c r="T109" s="6">
        <v>8158.82</v>
      </c>
      <c r="U109" s="2"/>
      <c r="V109" s="7">
        <f t="shared" si="81"/>
        <v>1.3995020757137206E-3</v>
      </c>
      <c r="W109" s="2"/>
      <c r="X109" s="6">
        <f t="shared" si="82"/>
        <v>8569.4100000000035</v>
      </c>
      <c r="Y109" s="2"/>
      <c r="Z109" s="7">
        <f t="shared" si="83"/>
        <v>1.0503246793041154</v>
      </c>
    </row>
    <row r="110" spans="1:26" s="24" customFormat="1" hidden="1" outlineLevel="2" x14ac:dyDescent="0.25">
      <c r="A110" s="25"/>
      <c r="B110" s="11" t="str">
        <f>CONCATENATE("          ", "6243", " - ", "PAPER SUPPLIES")</f>
        <v xml:space="preserve">          6243 - PAPER SUPPLIES</v>
      </c>
      <c r="C110" s="11"/>
      <c r="D110" s="6">
        <v>1791.43</v>
      </c>
      <c r="E110" s="2"/>
      <c r="F110" s="7">
        <f t="shared" si="76"/>
        <v>5.8009454793439084E-3</v>
      </c>
      <c r="G110" s="2"/>
      <c r="H110" s="6">
        <v>4400</v>
      </c>
      <c r="I110" s="2"/>
      <c r="J110" s="7">
        <f t="shared" si="77"/>
        <v>4.7936549440013949E-3</v>
      </c>
      <c r="K110" s="2"/>
      <c r="L110" s="6">
        <f t="shared" si="78"/>
        <v>-2608.5699999999997</v>
      </c>
      <c r="M110" s="2"/>
      <c r="N110" s="7">
        <f t="shared" si="79"/>
        <v>-0.59285681818181812</v>
      </c>
      <c r="O110" s="11"/>
      <c r="P110" s="6">
        <v>29152.85</v>
      </c>
      <c r="Q110" s="2"/>
      <c r="R110" s="7">
        <f t="shared" si="80"/>
        <v>6.3107658272685821E-3</v>
      </c>
      <c r="S110" s="2"/>
      <c r="T110" s="6">
        <v>35439.519999999997</v>
      </c>
      <c r="U110" s="2"/>
      <c r="V110" s="7">
        <f t="shared" si="81"/>
        <v>6.0790263545828825E-3</v>
      </c>
      <c r="W110" s="2"/>
      <c r="X110" s="6">
        <f t="shared" si="82"/>
        <v>-6286.6699999999983</v>
      </c>
      <c r="Y110" s="2"/>
      <c r="Z110" s="7">
        <f t="shared" si="83"/>
        <v>-0.17739151094597214</v>
      </c>
    </row>
    <row r="111" spans="1:26" s="24" customFormat="1" hidden="1" outlineLevel="2" x14ac:dyDescent="0.25">
      <c r="A111" s="25"/>
      <c r="B111" s="11" t="str">
        <f>CONCATENATE("          ", "6244", " - ", "SAFETY SUPPLY EXPENSE")</f>
        <v xml:space="preserve">          6244 - SAFETY SUPPLY EXPENSE</v>
      </c>
      <c r="C111" s="11"/>
      <c r="D111" s="6"/>
      <c r="E111" s="2"/>
      <c r="F111" s="7">
        <f t="shared" si="76"/>
        <v>0</v>
      </c>
      <c r="G111" s="2"/>
      <c r="H111" s="6">
        <v>110</v>
      </c>
      <c r="I111" s="2"/>
      <c r="J111" s="7">
        <f t="shared" si="77"/>
        <v>1.1984137360003487E-4</v>
      </c>
      <c r="K111" s="2"/>
      <c r="L111" s="6">
        <f t="shared" si="78"/>
        <v>-110</v>
      </c>
      <c r="M111" s="2"/>
      <c r="N111" s="7">
        <f t="shared" si="79"/>
        <v>-1</v>
      </c>
      <c r="O111" s="11"/>
      <c r="P111" s="6"/>
      <c r="Q111" s="2"/>
      <c r="R111" s="7">
        <f t="shared" si="80"/>
        <v>0</v>
      </c>
      <c r="S111" s="2"/>
      <c r="T111" s="6">
        <v>990</v>
      </c>
      <c r="U111" s="2"/>
      <c r="V111" s="7">
        <f t="shared" si="81"/>
        <v>1.6981708812752132E-4</v>
      </c>
      <c r="W111" s="2"/>
      <c r="X111" s="6">
        <f t="shared" si="82"/>
        <v>-990</v>
      </c>
      <c r="Y111" s="2"/>
      <c r="Z111" s="7">
        <f t="shared" si="83"/>
        <v>-1</v>
      </c>
    </row>
    <row r="112" spans="1:26" s="24" customFormat="1" hidden="1" outlineLevel="2" x14ac:dyDescent="0.25">
      <c r="A112" s="25"/>
      <c r="B112" s="11" t="str">
        <f>CONCATENATE("          ", "6245", " - ", "PRINTING")</f>
        <v xml:space="preserve">          6245 - PRINTING</v>
      </c>
      <c r="C112" s="11"/>
      <c r="D112" s="6"/>
      <c r="E112" s="2"/>
      <c r="F112" s="7">
        <f t="shared" si="76"/>
        <v>0</v>
      </c>
      <c r="G112" s="2"/>
      <c r="H112" s="6">
        <v>586.82000000000005</v>
      </c>
      <c r="I112" s="2"/>
      <c r="J112" s="7">
        <f t="shared" si="77"/>
        <v>6.3932104414520419E-4</v>
      </c>
      <c r="K112" s="2"/>
      <c r="L112" s="6">
        <f t="shared" si="78"/>
        <v>-586.82000000000005</v>
      </c>
      <c r="M112" s="2"/>
      <c r="N112" s="7">
        <f t="shared" si="79"/>
        <v>-1</v>
      </c>
      <c r="O112" s="11"/>
      <c r="P112" s="6">
        <v>531.28</v>
      </c>
      <c r="Q112" s="2"/>
      <c r="R112" s="7">
        <f t="shared" si="80"/>
        <v>1.1500706341614121E-4</v>
      </c>
      <c r="S112" s="2"/>
      <c r="T112" s="6">
        <v>2586.8200000000002</v>
      </c>
      <c r="U112" s="2"/>
      <c r="V112" s="7">
        <f t="shared" si="81"/>
        <v>4.4372347465660073E-4</v>
      </c>
      <c r="W112" s="2"/>
      <c r="X112" s="6">
        <f t="shared" si="82"/>
        <v>-2055.54</v>
      </c>
      <c r="Y112" s="2"/>
      <c r="Z112" s="7">
        <f t="shared" si="83"/>
        <v>-0.79462042198529459</v>
      </c>
    </row>
    <row r="113" spans="1:26" s="24" customFormat="1" hidden="1" outlineLevel="2" x14ac:dyDescent="0.25">
      <c r="A113" s="25"/>
      <c r="B113" s="11" t="str">
        <f>CONCATENATE("          ", "6246", " - ", "REPLACEMENTS")</f>
        <v xml:space="preserve">          6246 - REPLACEMENTS</v>
      </c>
      <c r="C113" s="11"/>
      <c r="D113" s="6"/>
      <c r="E113" s="2"/>
      <c r="F113" s="7">
        <f t="shared" si="76"/>
        <v>0</v>
      </c>
      <c r="G113" s="2"/>
      <c r="H113" s="6">
        <v>1000</v>
      </c>
      <c r="I113" s="2"/>
      <c r="J113" s="7">
        <f t="shared" si="77"/>
        <v>1.0894670327275897E-3</v>
      </c>
      <c r="K113" s="2"/>
      <c r="L113" s="6">
        <f t="shared" si="78"/>
        <v>-1000</v>
      </c>
      <c r="M113" s="2"/>
      <c r="N113" s="7">
        <f t="shared" si="79"/>
        <v>-1</v>
      </c>
      <c r="O113" s="11"/>
      <c r="P113" s="6">
        <v>25.87</v>
      </c>
      <c r="Q113" s="2"/>
      <c r="R113" s="7">
        <f t="shared" si="80"/>
        <v>5.600121838909E-6</v>
      </c>
      <c r="S113" s="2"/>
      <c r="T113" s="6">
        <v>3400</v>
      </c>
      <c r="U113" s="2"/>
      <c r="V113" s="7">
        <f t="shared" si="81"/>
        <v>5.8321020165007318E-4</v>
      </c>
      <c r="W113" s="2"/>
      <c r="X113" s="6">
        <f t="shared" si="82"/>
        <v>-3374.13</v>
      </c>
      <c r="Y113" s="2"/>
      <c r="Z113" s="7">
        <f t="shared" si="83"/>
        <v>-0.99239117647058828</v>
      </c>
    </row>
    <row r="114" spans="1:26" s="24" customFormat="1" hidden="1" outlineLevel="2" x14ac:dyDescent="0.25">
      <c r="A114" s="25"/>
      <c r="B114" s="11" t="str">
        <f>CONCATENATE("          ", "6247", " - ", "STORE SUPPLIES")</f>
        <v xml:space="preserve">          6247 - STORE SUPPLIES</v>
      </c>
      <c r="C114" s="11"/>
      <c r="D114" s="6">
        <v>1025.3399999999999</v>
      </c>
      <c r="E114" s="2"/>
      <c r="F114" s="7">
        <f t="shared" si="76"/>
        <v>3.3202198454812537E-3</v>
      </c>
      <c r="G114" s="2"/>
      <c r="H114" s="6">
        <v>555.23</v>
      </c>
      <c r="I114" s="2"/>
      <c r="J114" s="7">
        <f t="shared" si="77"/>
        <v>6.0490478058133966E-4</v>
      </c>
      <c r="K114" s="2"/>
      <c r="L114" s="6">
        <f t="shared" si="78"/>
        <v>470.1099999999999</v>
      </c>
      <c r="M114" s="2"/>
      <c r="N114" s="7">
        <f t="shared" si="79"/>
        <v>0.84669416277938847</v>
      </c>
      <c r="O114" s="11"/>
      <c r="P114" s="6">
        <v>6946.48</v>
      </c>
      <c r="Q114" s="2"/>
      <c r="R114" s="7">
        <f t="shared" si="80"/>
        <v>1.5037160553360877E-3</v>
      </c>
      <c r="S114" s="2"/>
      <c r="T114" s="6">
        <v>4601.55</v>
      </c>
      <c r="U114" s="2"/>
      <c r="V114" s="7">
        <f t="shared" si="81"/>
        <v>7.8931497158908658E-4</v>
      </c>
      <c r="W114" s="2"/>
      <c r="X114" s="6">
        <f t="shared" si="82"/>
        <v>2344.9299999999994</v>
      </c>
      <c r="Y114" s="2"/>
      <c r="Z114" s="7">
        <f t="shared" si="83"/>
        <v>0.50959567971661712</v>
      </c>
    </row>
    <row r="115" spans="1:26" s="24" customFormat="1" hidden="1" outlineLevel="2" x14ac:dyDescent="0.25">
      <c r="A115" s="25"/>
      <c r="B115" s="11" t="str">
        <f>CONCATENATE("          ", "6248", " - ", "UNIFORMS")</f>
        <v xml:space="preserve">          6248 - UNIFORMS</v>
      </c>
      <c r="C115" s="11"/>
      <c r="D115" s="6">
        <v>383.12</v>
      </c>
      <c r="E115" s="2"/>
      <c r="F115" s="7">
        <f t="shared" si="76"/>
        <v>1.2406056792876295E-3</v>
      </c>
      <c r="G115" s="2"/>
      <c r="H115" s="6"/>
      <c r="I115" s="2"/>
      <c r="J115" s="7">
        <f t="shared" si="77"/>
        <v>0</v>
      </c>
      <c r="K115" s="2"/>
      <c r="L115" s="6">
        <f t="shared" si="78"/>
        <v>383.12</v>
      </c>
      <c r="M115" s="2"/>
      <c r="N115" s="7">
        <f t="shared" si="79"/>
        <v>0</v>
      </c>
      <c r="O115" s="11"/>
      <c r="P115" s="6">
        <v>4723.8900000000003</v>
      </c>
      <c r="Q115" s="2"/>
      <c r="R115" s="7">
        <f t="shared" si="80"/>
        <v>1.0225883089912578E-3</v>
      </c>
      <c r="S115" s="2"/>
      <c r="T115" s="6">
        <v>9300</v>
      </c>
      <c r="U115" s="2"/>
      <c r="V115" s="7">
        <f t="shared" si="81"/>
        <v>1.5952514339252002E-3</v>
      </c>
      <c r="W115" s="2"/>
      <c r="X115" s="6">
        <f t="shared" si="82"/>
        <v>-4576.1099999999997</v>
      </c>
      <c r="Y115" s="2"/>
      <c r="Z115" s="7">
        <f t="shared" si="83"/>
        <v>-0.49205483870967737</v>
      </c>
    </row>
    <row r="116" spans="1:26" s="27" customFormat="1" outlineLevel="1" collapsed="1" x14ac:dyDescent="0.25">
      <c r="A116" s="26"/>
      <c r="B116" s="13" t="str">
        <f>CONCATENATE("     ","Telephone/Data Lines                              ")</f>
        <v xml:space="preserve">     Telephone/Data Lines                              </v>
      </c>
      <c r="C116" s="13"/>
      <c r="D116" s="1">
        <f>SUM(OSRRefD22_20x_0)</f>
        <v>2239.52</v>
      </c>
      <c r="E116" s="1"/>
      <c r="F116" s="5">
        <f t="shared" ref="F116:F118" si="84">IF(D$12=0,0,D116/D$12)</f>
        <v>7.2519347224844228E-3</v>
      </c>
      <c r="G116" s="1"/>
      <c r="H116" s="1">
        <f>SUM(OSRRefH22_20x_0)</f>
        <v>2011</v>
      </c>
      <c r="I116" s="1"/>
      <c r="J116" s="5">
        <f t="shared" ref="J116:J118" si="85">IF(H$12=0,0,H116/H$12)</f>
        <v>2.1909182028151826E-3</v>
      </c>
      <c r="K116" s="1"/>
      <c r="L116" s="1">
        <f t="shared" ref="L116:L118" si="86">+D116-H116</f>
        <v>228.51999999999998</v>
      </c>
      <c r="M116" s="1"/>
      <c r="N116" s="5">
        <f t="shared" ref="N116:N118" si="87">IF(H116=0,0,L116/H116)</f>
        <v>0.11363500745897563</v>
      </c>
      <c r="O116" s="13"/>
      <c r="P116" s="1">
        <f>SUM(OSRRefP22_20x_0)</f>
        <v>17163.25</v>
      </c>
      <c r="Q116" s="1"/>
      <c r="R116" s="5">
        <f t="shared" ref="R116:R118" si="88">IF(P$12=0,0,P116/P$12)</f>
        <v>3.7153572149847269E-3</v>
      </c>
      <c r="S116" s="1"/>
      <c r="T116" s="1">
        <f>SUM(OSRRefT22_20x_0)</f>
        <v>17230</v>
      </c>
      <c r="U116" s="1"/>
      <c r="V116" s="5">
        <f t="shared" ref="V116:V118" si="89">IF(T$12=0,0,T116/T$12)</f>
        <v>2.9555034630678709E-3</v>
      </c>
      <c r="W116" s="1"/>
      <c r="X116" s="1">
        <f t="shared" ref="X116:X118" si="90">+P116-T116</f>
        <v>-66.75</v>
      </c>
      <c r="Y116" s="1"/>
      <c r="Z116" s="5">
        <f t="shared" ref="Z116:Z118" si="91">IF(T116=0,0,X116/T116)</f>
        <v>-3.8740568775391757E-3</v>
      </c>
    </row>
    <row r="117" spans="1:26" s="24" customFormat="1" hidden="1" outlineLevel="2" x14ac:dyDescent="0.25">
      <c r="A117" s="25"/>
      <c r="B117" s="11" t="str">
        <f>CONCATENATE("          ", "6303", " - ", "DATA PHONE LINES")</f>
        <v xml:space="preserve">          6303 - DATA PHONE LINES</v>
      </c>
      <c r="C117" s="11"/>
      <c r="D117" s="6"/>
      <c r="E117" s="2"/>
      <c r="F117" s="7">
        <f t="shared" si="84"/>
        <v>0</v>
      </c>
      <c r="G117" s="2"/>
      <c r="H117" s="6">
        <v>696</v>
      </c>
      <c r="I117" s="2"/>
      <c r="J117" s="7">
        <f t="shared" si="85"/>
        <v>7.5826905477840241E-4</v>
      </c>
      <c r="K117" s="2"/>
      <c r="L117" s="6">
        <f t="shared" si="86"/>
        <v>-696</v>
      </c>
      <c r="M117" s="2"/>
      <c r="N117" s="7">
        <f t="shared" si="87"/>
        <v>-1</v>
      </c>
      <c r="O117" s="11"/>
      <c r="P117" s="6"/>
      <c r="Q117" s="2"/>
      <c r="R117" s="7">
        <f t="shared" si="88"/>
        <v>0</v>
      </c>
      <c r="S117" s="2"/>
      <c r="T117" s="6">
        <v>5470</v>
      </c>
      <c r="U117" s="2"/>
      <c r="V117" s="7">
        <f t="shared" si="89"/>
        <v>9.3828229500761775E-4</v>
      </c>
      <c r="W117" s="2"/>
      <c r="X117" s="6">
        <f t="shared" si="90"/>
        <v>-5470</v>
      </c>
      <c r="Y117" s="2"/>
      <c r="Z117" s="7">
        <f t="shared" si="91"/>
        <v>-1</v>
      </c>
    </row>
    <row r="118" spans="1:26" s="24" customFormat="1" hidden="1" outlineLevel="2" x14ac:dyDescent="0.25">
      <c r="A118" s="25"/>
      <c r="B118" s="11" t="str">
        <f>CONCATENATE("          ", "6309", " - ", "TELEPHONE")</f>
        <v xml:space="preserve">          6309 - TELEPHONE</v>
      </c>
      <c r="C118" s="11"/>
      <c r="D118" s="6">
        <v>2239.52</v>
      </c>
      <c r="E118" s="2"/>
      <c r="F118" s="7">
        <f t="shared" si="84"/>
        <v>7.2519347224844228E-3</v>
      </c>
      <c r="G118" s="2"/>
      <c r="H118" s="6">
        <v>1315</v>
      </c>
      <c r="I118" s="2"/>
      <c r="J118" s="7">
        <f t="shared" si="85"/>
        <v>1.4326491480367803E-3</v>
      </c>
      <c r="K118" s="2"/>
      <c r="L118" s="6">
        <f t="shared" si="86"/>
        <v>924.52</v>
      </c>
      <c r="M118" s="2"/>
      <c r="N118" s="7">
        <f t="shared" si="87"/>
        <v>0.70305703422053234</v>
      </c>
      <c r="O118" s="11"/>
      <c r="P118" s="6">
        <v>17163.25</v>
      </c>
      <c r="Q118" s="2"/>
      <c r="R118" s="7">
        <f t="shared" si="88"/>
        <v>3.7153572149847269E-3</v>
      </c>
      <c r="S118" s="2"/>
      <c r="T118" s="6">
        <v>11760</v>
      </c>
      <c r="U118" s="2"/>
      <c r="V118" s="7">
        <f t="shared" si="89"/>
        <v>2.0172211680602532E-3</v>
      </c>
      <c r="W118" s="2"/>
      <c r="X118" s="6">
        <f t="shared" si="90"/>
        <v>5403.25</v>
      </c>
      <c r="Y118" s="2"/>
      <c r="Z118" s="7">
        <f t="shared" si="91"/>
        <v>0.45946003401360547</v>
      </c>
    </row>
    <row r="119" spans="1:26" s="27" customFormat="1" outlineLevel="1" collapsed="1" x14ac:dyDescent="0.25">
      <c r="A119" s="26"/>
      <c r="B119" s="13" t="str">
        <f>CONCATENATE("     ","Training                                          ")</f>
        <v xml:space="preserve">     Training                                          </v>
      </c>
      <c r="C119" s="13"/>
      <c r="D119" s="1">
        <f>SUM(OSRRefD22_21x_0)</f>
        <v>100</v>
      </c>
      <c r="E119" s="1"/>
      <c r="F119" s="5">
        <f t="shared" ref="F119:F124" si="92">IF(D$12=0,0,D119/D$12)</f>
        <v>3.238164750698553E-4</v>
      </c>
      <c r="G119" s="1"/>
      <c r="H119" s="1">
        <f>SUM(OSRRefH22_21x_0)</f>
        <v>160</v>
      </c>
      <c r="I119" s="1"/>
      <c r="J119" s="5">
        <f t="shared" ref="J119:J124" si="93">IF(H$12=0,0,H119/H$12)</f>
        <v>1.7431472523641434E-4</v>
      </c>
      <c r="K119" s="1"/>
      <c r="L119" s="1">
        <f t="shared" ref="L119:L124" si="94">+D119-H119</f>
        <v>-60</v>
      </c>
      <c r="M119" s="1"/>
      <c r="N119" s="5">
        <f t="shared" ref="N119:N124" si="95">IF(H119=0,0,L119/H119)</f>
        <v>-0.375</v>
      </c>
      <c r="O119" s="13"/>
      <c r="P119" s="1">
        <f>SUM(OSRRefP22_21x_0)</f>
        <v>2003.01</v>
      </c>
      <c r="Q119" s="1"/>
      <c r="R119" s="5">
        <f t="shared" ref="R119:R124" si="96">IF(P$12=0,0,P119/P$12)</f>
        <v>4.3359489928693911E-4</v>
      </c>
      <c r="S119" s="1"/>
      <c r="T119" s="1">
        <f>SUM(OSRRefT22_21x_0)</f>
        <v>7840</v>
      </c>
      <c r="U119" s="1"/>
      <c r="V119" s="5">
        <f t="shared" ref="V119:V124" si="97">IF(T$12=0,0,T119/T$12)</f>
        <v>1.3448141120401688E-3</v>
      </c>
      <c r="W119" s="1"/>
      <c r="X119" s="1">
        <f t="shared" ref="X119:X124" si="98">+P119-T119</f>
        <v>-5836.99</v>
      </c>
      <c r="Y119" s="1"/>
      <c r="Z119" s="5">
        <f t="shared" ref="Z119:Z124" si="99">IF(T119=0,0,X119/T119)</f>
        <v>-0.74451403061224486</v>
      </c>
    </row>
    <row r="120" spans="1:26" s="24" customFormat="1" hidden="1" outlineLevel="2" x14ac:dyDescent="0.25">
      <c r="A120" s="25"/>
      <c r="B120" s="11" t="str">
        <f>CONCATENATE("          ", "6376", " - ", "TRAINING")</f>
        <v xml:space="preserve">          6376 - TRAINING</v>
      </c>
      <c r="C120" s="11"/>
      <c r="D120" s="6">
        <v>100</v>
      </c>
      <c r="E120" s="2"/>
      <c r="F120" s="7">
        <f t="shared" si="92"/>
        <v>3.238164750698553E-4</v>
      </c>
      <c r="G120" s="2"/>
      <c r="H120" s="6">
        <v>160</v>
      </c>
      <c r="I120" s="2"/>
      <c r="J120" s="7">
        <f t="shared" si="93"/>
        <v>1.7431472523641434E-4</v>
      </c>
      <c r="K120" s="2"/>
      <c r="L120" s="6">
        <f t="shared" si="94"/>
        <v>-60</v>
      </c>
      <c r="M120" s="2"/>
      <c r="N120" s="7">
        <f t="shared" si="95"/>
        <v>-0.375</v>
      </c>
      <c r="O120" s="11"/>
      <c r="P120" s="6">
        <v>2003.01</v>
      </c>
      <c r="Q120" s="2"/>
      <c r="R120" s="7">
        <f t="shared" si="96"/>
        <v>4.3359489928693911E-4</v>
      </c>
      <c r="S120" s="2"/>
      <c r="T120" s="6">
        <v>7840</v>
      </c>
      <c r="U120" s="2"/>
      <c r="V120" s="7">
        <f t="shared" si="97"/>
        <v>1.3448141120401688E-3</v>
      </c>
      <c r="W120" s="2"/>
      <c r="X120" s="6">
        <f t="shared" si="98"/>
        <v>-5836.99</v>
      </c>
      <c r="Y120" s="2"/>
      <c r="Z120" s="7">
        <f t="shared" si="99"/>
        <v>-0.74451403061224486</v>
      </c>
    </row>
    <row r="121" spans="1:26" s="27" customFormat="1" outlineLevel="1" collapsed="1" x14ac:dyDescent="0.25">
      <c r="A121" s="26"/>
      <c r="B121" s="13" t="str">
        <f>CONCATENATE("     ","Travel                                            ")</f>
        <v xml:space="preserve">     Travel                                            </v>
      </c>
      <c r="C121" s="13"/>
      <c r="D121" s="1">
        <f>SUM(OSRRefD22_22x_0)</f>
        <v>1389.05</v>
      </c>
      <c r="E121" s="1"/>
      <c r="F121" s="5">
        <f t="shared" si="92"/>
        <v>4.4979727469578248E-3</v>
      </c>
      <c r="G121" s="1"/>
      <c r="H121" s="1">
        <f>SUM(OSRRefH22_22x_0)</f>
        <v>3120</v>
      </c>
      <c r="I121" s="1"/>
      <c r="J121" s="5">
        <f t="shared" si="93"/>
        <v>3.3991371421100798E-3</v>
      </c>
      <c r="K121" s="1"/>
      <c r="L121" s="1">
        <f t="shared" si="94"/>
        <v>-1730.95</v>
      </c>
      <c r="M121" s="1"/>
      <c r="N121" s="5">
        <f t="shared" si="95"/>
        <v>-0.55479166666666668</v>
      </c>
      <c r="O121" s="13"/>
      <c r="P121" s="1">
        <f>SUM(OSRRefP22_22x_0)</f>
        <v>4603.8899999999994</v>
      </c>
      <c r="Q121" s="1"/>
      <c r="R121" s="5">
        <f t="shared" si="96"/>
        <v>9.9661170981580022E-4</v>
      </c>
      <c r="S121" s="1"/>
      <c r="T121" s="1">
        <f>SUM(OSRRefT22_22x_0)</f>
        <v>14520</v>
      </c>
      <c r="U121" s="1"/>
      <c r="V121" s="5">
        <f t="shared" si="97"/>
        <v>2.4906506258703127E-3</v>
      </c>
      <c r="W121" s="1"/>
      <c r="X121" s="1">
        <f t="shared" si="98"/>
        <v>-9916.11</v>
      </c>
      <c r="Y121" s="1"/>
      <c r="Z121" s="5">
        <f t="shared" si="99"/>
        <v>-0.68292768595041331</v>
      </c>
    </row>
    <row r="122" spans="1:26" s="24" customFormat="1" hidden="1" outlineLevel="2" x14ac:dyDescent="0.25">
      <c r="A122" s="25"/>
      <c r="B122" s="11" t="str">
        <f>CONCATENATE("          ", "6292", " - ", "TRAVEL/CONFERENCE")</f>
        <v xml:space="preserve">          6292 - TRAVEL/CONFERENCE</v>
      </c>
      <c r="C122" s="11"/>
      <c r="D122" s="6">
        <v>1212.73</v>
      </c>
      <c r="E122" s="2"/>
      <c r="F122" s="7">
        <f t="shared" si="92"/>
        <v>3.9270195381146565E-3</v>
      </c>
      <c r="G122" s="2"/>
      <c r="H122" s="6">
        <v>3000</v>
      </c>
      <c r="I122" s="2"/>
      <c r="J122" s="7">
        <f t="shared" si="93"/>
        <v>3.268401098182769E-3</v>
      </c>
      <c r="K122" s="2"/>
      <c r="L122" s="6">
        <f t="shared" si="94"/>
        <v>-1787.27</v>
      </c>
      <c r="M122" s="2"/>
      <c r="N122" s="7">
        <f t="shared" si="95"/>
        <v>-0.59575666666666671</v>
      </c>
      <c r="O122" s="11"/>
      <c r="P122" s="6">
        <v>3448.6</v>
      </c>
      <c r="Q122" s="2"/>
      <c r="R122" s="7">
        <f t="shared" si="96"/>
        <v>7.4652416597068331E-4</v>
      </c>
      <c r="S122" s="2"/>
      <c r="T122" s="6">
        <v>14400</v>
      </c>
      <c r="U122" s="2"/>
      <c r="V122" s="7">
        <f t="shared" si="97"/>
        <v>2.47006673640031E-3</v>
      </c>
      <c r="W122" s="2"/>
      <c r="X122" s="6">
        <f t="shared" si="98"/>
        <v>-10951.4</v>
      </c>
      <c r="Y122" s="2"/>
      <c r="Z122" s="7">
        <f t="shared" si="99"/>
        <v>-0.76051388888888882</v>
      </c>
    </row>
    <row r="123" spans="1:26" s="24" customFormat="1" hidden="1" outlineLevel="2" x14ac:dyDescent="0.25">
      <c r="A123" s="25"/>
      <c r="B123" s="11" t="str">
        <f>CONCATENATE("          ", "6294", " - ", "TRAVEL OPERATIONAL")</f>
        <v xml:space="preserve">          6294 - TRAVEL OPERATIONAL</v>
      </c>
      <c r="C123" s="11"/>
      <c r="D123" s="6">
        <v>11.5</v>
      </c>
      <c r="E123" s="2"/>
      <c r="F123" s="7">
        <f t="shared" si="92"/>
        <v>3.7238894633033357E-5</v>
      </c>
      <c r="G123" s="2"/>
      <c r="H123" s="6">
        <v>120</v>
      </c>
      <c r="I123" s="2"/>
      <c r="J123" s="7">
        <f t="shared" si="93"/>
        <v>1.3073604392731077E-4</v>
      </c>
      <c r="K123" s="2"/>
      <c r="L123" s="6">
        <f t="shared" si="94"/>
        <v>-108.5</v>
      </c>
      <c r="M123" s="2"/>
      <c r="N123" s="7">
        <f t="shared" si="95"/>
        <v>-0.90416666666666667</v>
      </c>
      <c r="O123" s="11"/>
      <c r="P123" s="6">
        <v>56.99</v>
      </c>
      <c r="Q123" s="2"/>
      <c r="R123" s="7">
        <f t="shared" si="96"/>
        <v>1.2336719891744256E-5</v>
      </c>
      <c r="S123" s="2"/>
      <c r="T123" s="6">
        <v>120</v>
      </c>
      <c r="U123" s="2"/>
      <c r="V123" s="7">
        <f t="shared" si="97"/>
        <v>2.0583889470002585E-5</v>
      </c>
      <c r="W123" s="2"/>
      <c r="X123" s="6">
        <f t="shared" si="98"/>
        <v>-63.01</v>
      </c>
      <c r="Y123" s="2"/>
      <c r="Z123" s="7">
        <f t="shared" si="99"/>
        <v>-0.52508333333333335</v>
      </c>
    </row>
    <row r="124" spans="1:26" s="24" customFormat="1" hidden="1" outlineLevel="2" x14ac:dyDescent="0.25">
      <c r="A124" s="25"/>
      <c r="B124" s="11" t="str">
        <f>CONCATENATE("          ", "6298", " - ", "VEHICLE MILEAGE")</f>
        <v xml:space="preserve">          6298 - VEHICLE MILEAGE</v>
      </c>
      <c r="C124" s="11"/>
      <c r="D124" s="6">
        <v>164.82</v>
      </c>
      <c r="E124" s="2"/>
      <c r="F124" s="7">
        <f t="shared" si="92"/>
        <v>5.3371431421013547E-4</v>
      </c>
      <c r="G124" s="2"/>
      <c r="H124" s="6"/>
      <c r="I124" s="2"/>
      <c r="J124" s="7">
        <f t="shared" si="93"/>
        <v>0</v>
      </c>
      <c r="K124" s="2"/>
      <c r="L124" s="6">
        <f t="shared" si="94"/>
        <v>164.82</v>
      </c>
      <c r="M124" s="2"/>
      <c r="N124" s="7">
        <f t="shared" si="95"/>
        <v>0</v>
      </c>
      <c r="O124" s="11"/>
      <c r="P124" s="6">
        <v>1098.3</v>
      </c>
      <c r="Q124" s="2"/>
      <c r="R124" s="7">
        <f t="shared" si="96"/>
        <v>2.3775082395337279E-4</v>
      </c>
      <c r="S124" s="2"/>
      <c r="T124" s="6">
        <v>0</v>
      </c>
      <c r="U124" s="2"/>
      <c r="V124" s="7">
        <f t="shared" si="97"/>
        <v>0</v>
      </c>
      <c r="W124" s="2"/>
      <c r="X124" s="6">
        <f t="shared" si="98"/>
        <v>1098.3</v>
      </c>
      <c r="Y124" s="2"/>
      <c r="Z124" s="7">
        <f t="shared" si="99"/>
        <v>0</v>
      </c>
    </row>
    <row r="125" spans="1:26" s="27" customFormat="1" outlineLevel="1" collapsed="1" x14ac:dyDescent="0.25">
      <c r="A125" s="26"/>
      <c r="B125" s="13" t="str">
        <f>CONCATENATE("     ","Utilities                                         ")</f>
        <v xml:space="preserve">     Utilities                                         </v>
      </c>
      <c r="C125" s="13"/>
      <c r="D125" s="1">
        <f>SUM(OSRRefD22_23x_0)</f>
        <v>15583</v>
      </c>
      <c r="E125" s="1"/>
      <c r="F125" s="5">
        <f t="shared" ref="F125:F126" si="100">IF(D$12=0,0,D125/D$12)</f>
        <v>5.0460321310135552E-2</v>
      </c>
      <c r="G125" s="1"/>
      <c r="H125" s="1">
        <f>SUM(OSRRefH22_23x_0)</f>
        <v>22450</v>
      </c>
      <c r="I125" s="1"/>
      <c r="J125" s="5">
        <f t="shared" ref="J125:J126" si="101">IF(H$12=0,0,H125/H$12)</f>
        <v>2.4458534884734387E-2</v>
      </c>
      <c r="K125" s="1"/>
      <c r="L125" s="1">
        <f t="shared" ref="L125:L126" si="102">+D125-H125</f>
        <v>-6867</v>
      </c>
      <c r="M125" s="1"/>
      <c r="N125" s="5">
        <f t="shared" ref="N125:N126" si="103">IF(H125=0,0,L125/H125)</f>
        <v>-0.30587973273942093</v>
      </c>
      <c r="O125" s="13"/>
      <c r="P125" s="1">
        <f>SUM(OSRRefP22_23x_0)</f>
        <v>143636</v>
      </c>
      <c r="Q125" s="1"/>
      <c r="R125" s="5">
        <f t="shared" ref="R125:R126" si="104">IF(P$12=0,0,P125/P$12)</f>
        <v>3.1093123326383188E-2</v>
      </c>
      <c r="S125" s="1"/>
      <c r="T125" s="1">
        <f>SUM(OSRRefT22_23x_0)</f>
        <v>177050</v>
      </c>
      <c r="U125" s="1"/>
      <c r="V125" s="5">
        <f t="shared" ref="V125:V126" si="105">IF(T$12=0,0,T125/T$12)</f>
        <v>3.0369813588866312E-2</v>
      </c>
      <c r="W125" s="1"/>
      <c r="X125" s="1">
        <f t="shared" ref="X125:X126" si="106">+P125-T125</f>
        <v>-33414</v>
      </c>
      <c r="Y125" s="1"/>
      <c r="Z125" s="5">
        <f t="shared" ref="Z125:Z126" si="107">IF(T125=0,0,X125/T125)</f>
        <v>-0.18872634848912737</v>
      </c>
    </row>
    <row r="126" spans="1:26" s="24" customFormat="1" hidden="1" outlineLevel="2" x14ac:dyDescent="0.25">
      <c r="A126" s="25"/>
      <c r="B126" s="11" t="str">
        <f>CONCATENATE("          ", "6274", " - ", "UTILITIES")</f>
        <v xml:space="preserve">          6274 - UTILITIES</v>
      </c>
      <c r="C126" s="11"/>
      <c r="D126" s="6">
        <v>15583</v>
      </c>
      <c r="E126" s="2"/>
      <c r="F126" s="7">
        <f t="shared" si="100"/>
        <v>5.0460321310135552E-2</v>
      </c>
      <c r="G126" s="2"/>
      <c r="H126" s="6">
        <v>22450</v>
      </c>
      <c r="I126" s="2"/>
      <c r="J126" s="7">
        <f t="shared" si="101"/>
        <v>2.4458534884734387E-2</v>
      </c>
      <c r="K126" s="2"/>
      <c r="L126" s="6">
        <f t="shared" si="102"/>
        <v>-6867</v>
      </c>
      <c r="M126" s="2"/>
      <c r="N126" s="7">
        <f t="shared" si="103"/>
        <v>-0.30587973273942093</v>
      </c>
      <c r="O126" s="11"/>
      <c r="P126" s="6">
        <v>143636</v>
      </c>
      <c r="Q126" s="2"/>
      <c r="R126" s="7">
        <f t="shared" si="104"/>
        <v>3.1093123326383188E-2</v>
      </c>
      <c r="S126" s="2"/>
      <c r="T126" s="6">
        <v>177050</v>
      </c>
      <c r="U126" s="2"/>
      <c r="V126" s="7">
        <f t="shared" si="105"/>
        <v>3.0369813588866312E-2</v>
      </c>
      <c r="W126" s="2"/>
      <c r="X126" s="6">
        <f t="shared" si="106"/>
        <v>-33414</v>
      </c>
      <c r="Y126" s="2"/>
      <c r="Z126" s="7">
        <f t="shared" si="107"/>
        <v>-0.18872634848912737</v>
      </c>
    </row>
    <row r="127" spans="1:26" s="56" customFormat="1" x14ac:dyDescent="0.25">
      <c r="A127" s="36"/>
      <c r="B127" s="36"/>
      <c r="C127" s="36"/>
      <c r="D127" s="1"/>
      <c r="E127" s="1"/>
      <c r="F127" s="5"/>
      <c r="G127" s="1"/>
      <c r="H127" s="1"/>
      <c r="I127" s="1"/>
      <c r="J127" s="5"/>
      <c r="K127" s="1"/>
      <c r="L127" s="1"/>
      <c r="M127" s="1"/>
      <c r="N127" s="5"/>
      <c r="O127" s="36"/>
      <c r="P127" s="1"/>
      <c r="Q127" s="1"/>
      <c r="R127" s="5"/>
      <c r="S127" s="1"/>
      <c r="T127" s="1"/>
      <c r="U127" s="1"/>
      <c r="V127" s="5"/>
      <c r="W127" s="1"/>
      <c r="X127" s="1"/>
      <c r="Y127" s="1"/>
      <c r="Z127" s="5"/>
    </row>
    <row r="128" spans="1:26" s="23" customFormat="1" collapsed="1" x14ac:dyDescent="0.25">
      <c r="A128" s="10"/>
      <c r="B128" s="29" t="s">
        <v>0</v>
      </c>
      <c r="C128" s="10"/>
      <c r="D128" s="4">
        <f>SUM(OSRRefD25x_0)</f>
        <v>49428.82</v>
      </c>
      <c r="E128" s="4"/>
      <c r="F128" s="12">
        <f t="shared" ref="F128:F132" si="108">IF(D$12=0,0,D128/D$12)</f>
        <v>0.16005866259262364</v>
      </c>
      <c r="G128" s="4"/>
      <c r="H128" s="4">
        <f>SUM(OSRRefH25x_0)</f>
        <v>63023</v>
      </c>
      <c r="I128" s="4"/>
      <c r="J128" s="12">
        <f t="shared" ref="J128:J132" si="109">IF(H$12=0,0,H128/H$12)</f>
        <v>6.8661480803590885E-2</v>
      </c>
      <c r="K128" s="4"/>
      <c r="L128" s="4">
        <f t="shared" ref="L128:L132" si="110">+D128-H128</f>
        <v>-13594.18</v>
      </c>
      <c r="M128" s="4"/>
      <c r="N128" s="12">
        <f t="shared" ref="N128:N132" si="111">IF(H128=0,0,L128/H128)</f>
        <v>-0.21570188661282388</v>
      </c>
      <c r="O128" s="10"/>
      <c r="P128" s="4">
        <f>SUM(OSRRefP25x_0)</f>
        <v>656215.76</v>
      </c>
      <c r="Q128" s="4"/>
      <c r="R128" s="12">
        <f t="shared" ref="R128:R132" si="112">IF(P$12=0,0,P128/P$12)</f>
        <v>0.14205211475115062</v>
      </c>
      <c r="S128" s="4"/>
      <c r="T128" s="4">
        <f>SUM(OSRRefT25x_0)</f>
        <v>586544</v>
      </c>
      <c r="U128" s="4"/>
      <c r="V128" s="12">
        <f t="shared" ref="V128:V132" si="113">IF(T$12=0,0,T128/T$12)</f>
        <v>0.10061130721077663</v>
      </c>
      <c r="W128" s="4"/>
      <c r="X128" s="4">
        <f t="shared" ref="X128:X132" si="114">+P128-T128</f>
        <v>69671.760000000009</v>
      </c>
      <c r="Y128" s="4"/>
      <c r="Z128" s="12">
        <f t="shared" ref="Z128:Z132" si="115">IF(T128=0,0,X128/T128)</f>
        <v>0.11878351837202326</v>
      </c>
    </row>
    <row r="129" spans="1:26" s="24" customFormat="1" hidden="1" outlineLevel="1" x14ac:dyDescent="0.25">
      <c r="A129" s="44"/>
      <c r="B129" s="11" t="str">
        <f>CONCATENATE("          ", "9150", " - ", "MISC. INCOME")</f>
        <v xml:space="preserve">          9150 - MISC. INCOME</v>
      </c>
      <c r="C129" s="11"/>
      <c r="D129" s="2">
        <f>--45376.64</f>
        <v>45376.639999999999</v>
      </c>
      <c r="E129" s="2"/>
      <c r="F129" s="19">
        <f t="shared" si="108"/>
        <v>0.14693703615313797</v>
      </c>
      <c r="G129" s="2"/>
      <c r="H129" s="2">
        <v>48466</v>
      </c>
      <c r="I129" s="2"/>
      <c r="J129" s="19">
        <f t="shared" si="109"/>
        <v>5.2802109208175359E-2</v>
      </c>
      <c r="K129" s="2"/>
      <c r="L129" s="2">
        <f t="shared" si="110"/>
        <v>-3089.3600000000006</v>
      </c>
      <c r="M129" s="2"/>
      <c r="N129" s="19">
        <f t="shared" si="111"/>
        <v>-6.3742830025172295E-2</v>
      </c>
      <c r="O129" s="11"/>
      <c r="P129" s="2">
        <f>--293259.16</f>
        <v>293259.15999999997</v>
      </c>
      <c r="Q129" s="2"/>
      <c r="R129" s="19">
        <f t="shared" si="112"/>
        <v>6.3482297115427466E-2</v>
      </c>
      <c r="S129" s="2"/>
      <c r="T129" s="2">
        <v>286443</v>
      </c>
      <c r="U129" s="2"/>
      <c r="V129" s="19">
        <f t="shared" si="113"/>
        <v>4.9134258762132919E-2</v>
      </c>
      <c r="W129" s="2"/>
      <c r="X129" s="2">
        <f t="shared" si="114"/>
        <v>6816.1599999999744</v>
      </c>
      <c r="Y129" s="2"/>
      <c r="Z129" s="19">
        <f t="shared" si="115"/>
        <v>2.3795868637041136E-2</v>
      </c>
    </row>
    <row r="130" spans="1:26" s="24" customFormat="1" hidden="1" outlineLevel="1" x14ac:dyDescent="0.25">
      <c r="A130" s="44"/>
      <c r="B130" s="11" t="str">
        <f>CONCATENATE("          ", "9151", " - ", "MISC. INCOME")</f>
        <v xml:space="preserve">          9151 - MISC. INCOME</v>
      </c>
      <c r="C130" s="11"/>
      <c r="D130" s="2">
        <f t="shared" ref="D130:D131" si="116">0</f>
        <v>0</v>
      </c>
      <c r="E130" s="2"/>
      <c r="F130" s="19">
        <f t="shared" si="108"/>
        <v>0</v>
      </c>
      <c r="G130" s="2"/>
      <c r="H130" s="2">
        <v>14557</v>
      </c>
      <c r="I130" s="2"/>
      <c r="J130" s="19">
        <f t="shared" si="109"/>
        <v>1.5859371595415523E-2</v>
      </c>
      <c r="K130" s="2"/>
      <c r="L130" s="2">
        <f t="shared" si="110"/>
        <v>-14557</v>
      </c>
      <c r="M130" s="2"/>
      <c r="N130" s="19">
        <f t="shared" si="111"/>
        <v>-1</v>
      </c>
      <c r="O130" s="11"/>
      <c r="P130" s="2">
        <f>0</f>
        <v>0</v>
      </c>
      <c r="Q130" s="2"/>
      <c r="R130" s="19">
        <f t="shared" si="112"/>
        <v>0</v>
      </c>
      <c r="S130" s="2"/>
      <c r="T130" s="2">
        <v>300101</v>
      </c>
      <c r="U130" s="2"/>
      <c r="V130" s="19">
        <f t="shared" si="113"/>
        <v>5.147704844864371E-2</v>
      </c>
      <c r="W130" s="2"/>
      <c r="X130" s="2">
        <f t="shared" si="114"/>
        <v>-300101</v>
      </c>
      <c r="Y130" s="2"/>
      <c r="Z130" s="19">
        <f t="shared" si="115"/>
        <v>-1</v>
      </c>
    </row>
    <row r="131" spans="1:26" s="24" customFormat="1" hidden="1" outlineLevel="1" x14ac:dyDescent="0.25">
      <c r="A131" s="44"/>
      <c r="B131" s="11" t="str">
        <f>CONCATENATE("          ", "9160", " - ", "MISC. INCOME")</f>
        <v xml:space="preserve">          9160 - MISC. INCOME</v>
      </c>
      <c r="C131" s="11"/>
      <c r="D131" s="2">
        <f t="shared" si="116"/>
        <v>0</v>
      </c>
      <c r="E131" s="2"/>
      <c r="F131" s="19">
        <f t="shared" si="108"/>
        <v>0</v>
      </c>
      <c r="G131" s="2"/>
      <c r="H131" s="2"/>
      <c r="I131" s="2"/>
      <c r="J131" s="19">
        <f t="shared" si="109"/>
        <v>0</v>
      </c>
      <c r="K131" s="2"/>
      <c r="L131" s="2">
        <f t="shared" si="110"/>
        <v>0</v>
      </c>
      <c r="M131" s="2"/>
      <c r="N131" s="19">
        <f t="shared" si="111"/>
        <v>0</v>
      </c>
      <c r="O131" s="11"/>
      <c r="P131" s="2">
        <f>--130089.32</f>
        <v>130089.32</v>
      </c>
      <c r="Q131" s="2"/>
      <c r="R131" s="19">
        <f t="shared" si="112"/>
        <v>2.8160651022064994E-2</v>
      </c>
      <c r="S131" s="2"/>
      <c r="T131" s="2"/>
      <c r="U131" s="2"/>
      <c r="V131" s="19">
        <f t="shared" si="113"/>
        <v>0</v>
      </c>
      <c r="W131" s="2"/>
      <c r="X131" s="2">
        <f t="shared" si="114"/>
        <v>130089.32</v>
      </c>
      <c r="Y131" s="2"/>
      <c r="Z131" s="19">
        <f t="shared" si="115"/>
        <v>0</v>
      </c>
    </row>
    <row r="132" spans="1:26" s="24" customFormat="1" hidden="1" outlineLevel="1" x14ac:dyDescent="0.25">
      <c r="A132" s="44"/>
      <c r="B132" s="11" t="str">
        <f>CONCATENATE("          ", "9165", " - ", "OTHER INCOME")</f>
        <v xml:space="preserve">          9165 - OTHER INCOME</v>
      </c>
      <c r="C132" s="11"/>
      <c r="D132" s="2">
        <f>--4052.18</f>
        <v>4052.18</v>
      </c>
      <c r="E132" s="2"/>
      <c r="F132" s="19">
        <f t="shared" si="108"/>
        <v>1.312162643948566E-2</v>
      </c>
      <c r="G132" s="2"/>
      <c r="H132" s="2"/>
      <c r="I132" s="2"/>
      <c r="J132" s="19">
        <f t="shared" si="109"/>
        <v>0</v>
      </c>
      <c r="K132" s="2"/>
      <c r="L132" s="2">
        <f t="shared" si="110"/>
        <v>4052.18</v>
      </c>
      <c r="M132" s="2"/>
      <c r="N132" s="19">
        <f t="shared" si="111"/>
        <v>0</v>
      </c>
      <c r="O132" s="11"/>
      <c r="P132" s="2">
        <f>--232867.28</f>
        <v>232867.28</v>
      </c>
      <c r="Q132" s="2"/>
      <c r="R132" s="19">
        <f t="shared" si="112"/>
        <v>5.0409166613658171E-2</v>
      </c>
      <c r="S132" s="2"/>
      <c r="T132" s="2"/>
      <c r="U132" s="2"/>
      <c r="V132" s="19">
        <f t="shared" si="113"/>
        <v>0</v>
      </c>
      <c r="W132" s="2"/>
      <c r="X132" s="2">
        <f t="shared" si="114"/>
        <v>232867.28</v>
      </c>
      <c r="Y132" s="2"/>
      <c r="Z132" s="19">
        <f t="shared" si="115"/>
        <v>0</v>
      </c>
    </row>
    <row r="133" spans="1:26" x14ac:dyDescent="0.25">
      <c r="A133" s="9"/>
      <c r="B133" s="10"/>
      <c r="C133" s="10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O133" s="10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x14ac:dyDescent="0.25">
      <c r="A134" s="10"/>
      <c r="B134" s="28" t="s">
        <v>3</v>
      </c>
      <c r="C134" s="28"/>
      <c r="D134" s="20">
        <f>+D31-D33+D128</f>
        <v>-263364.44000000006</v>
      </c>
      <c r="E134" s="14"/>
      <c r="F134" s="22">
        <f>IF(D$12=0,0,D134/D$12)</f>
        <v>-0.85281744619546418</v>
      </c>
      <c r="G134" s="14"/>
      <c r="H134" s="20">
        <f>+H31-H33+H128</f>
        <v>152430.16112190427</v>
      </c>
      <c r="I134" s="14"/>
      <c r="J134" s="22">
        <f>IF(H$12=0,0,H134/H$12)</f>
        <v>0.16606763533566946</v>
      </c>
      <c r="K134" s="16"/>
      <c r="L134" s="20">
        <f>+D134-H134</f>
        <v>-415794.60112190433</v>
      </c>
      <c r="M134" s="16"/>
      <c r="N134" s="22">
        <f>IF(H134=0,0,L134/H134)</f>
        <v>-2.7277711842696104</v>
      </c>
      <c r="O134" s="29"/>
      <c r="P134" s="20">
        <f>+P31-P33+P128</f>
        <v>-716198.18999999925</v>
      </c>
      <c r="Q134" s="14"/>
      <c r="R134" s="22">
        <f>IF(P$12=0,0,P134/P$12)</f>
        <v>-0.1550366109318165</v>
      </c>
      <c r="S134" s="14"/>
      <c r="T134" s="20">
        <f>+T31-T33+T128</f>
        <v>310850.30090215337</v>
      </c>
      <c r="U134" s="14"/>
      <c r="V134" s="22">
        <f>IF(T$12=0,0,T134/T$12)</f>
        <v>5.3320901962391407E-2</v>
      </c>
      <c r="W134" s="16"/>
      <c r="X134" s="20">
        <f>+P134-T134</f>
        <v>-1027048.4909021526</v>
      </c>
      <c r="Y134" s="16"/>
      <c r="Z134" s="22">
        <f>IF(T134=0,0,X134/T134)</f>
        <v>-3.3039970941686096</v>
      </c>
    </row>
    <row r="135" spans="1:26" x14ac:dyDescent="0.25">
      <c r="A135" s="9"/>
      <c r="B135" s="10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x14ac:dyDescent="0.25">
      <c r="A136" s="52"/>
      <c r="B136" s="10" t="s">
        <v>14</v>
      </c>
      <c r="C136" s="10"/>
      <c r="D136" s="4">
        <v>55646.990000000005</v>
      </c>
      <c r="E136" s="4"/>
      <c r="F136" s="12">
        <f>IF(D$12=0,0,D136/D$12)</f>
        <v>0.18019412150047487</v>
      </c>
      <c r="G136" s="4"/>
      <c r="H136" s="4">
        <v>90787</v>
      </c>
      <c r="I136" s="4"/>
      <c r="J136" s="12">
        <f>IF(H$12=0,0,H136/H$12)</f>
        <v>9.8909443500239683E-2</v>
      </c>
      <c r="K136" s="4"/>
      <c r="L136" s="4">
        <f>+D136-H136</f>
        <v>-35140.009999999995</v>
      </c>
      <c r="M136" s="4"/>
      <c r="N136" s="12">
        <f>IF(H136=0,0,L136/H136)</f>
        <v>-0.38705993148798828</v>
      </c>
      <c r="O136" s="10"/>
      <c r="P136" s="4">
        <v>494995.17</v>
      </c>
      <c r="Q136" s="4"/>
      <c r="R136" s="12">
        <f>IF(P$12=0,0,P136/P$12)</f>
        <v>0.10715242604064448</v>
      </c>
      <c r="S136" s="4"/>
      <c r="T136" s="4">
        <v>681450</v>
      </c>
      <c r="U136" s="4"/>
      <c r="V136" s="12">
        <f>IF(T$12=0,0,T136/T$12)</f>
        <v>0.11689076232777718</v>
      </c>
      <c r="W136" s="4"/>
      <c r="X136" s="4">
        <f>+P136-T136</f>
        <v>-186454.83000000002</v>
      </c>
      <c r="Y136" s="4"/>
      <c r="Z136" s="12">
        <f>IF(T136=0,0,X136/T136)</f>
        <v>-0.27361483601144621</v>
      </c>
    </row>
    <row r="137" spans="1:26" x14ac:dyDescent="0.25">
      <c r="A137" s="9"/>
      <c r="B137" s="10"/>
      <c r="C137" s="10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O137" s="10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s="23" customFormat="1" ht="15.75" thickBot="1" x14ac:dyDescent="0.3">
      <c r="A138" s="10"/>
      <c r="B138" s="28" t="s">
        <v>4</v>
      </c>
      <c r="C138" s="28"/>
      <c r="D138" s="31">
        <f>+D134-D136</f>
        <v>-319011.43000000005</v>
      </c>
      <c r="E138" s="14"/>
      <c r="F138" s="34">
        <f>IF(D$12=0,0,D138/D$12)</f>
        <v>-1.033011567695939</v>
      </c>
      <c r="G138" s="14"/>
      <c r="H138" s="31">
        <f>+H134-H136</f>
        <v>61643.161121904268</v>
      </c>
      <c r="I138" s="14"/>
      <c r="J138" s="34">
        <f>IF(H$12=0,0,H138/H$12)</f>
        <v>6.7158191835429759E-2</v>
      </c>
      <c r="K138" s="16"/>
      <c r="L138" s="31">
        <f>D138-H138</f>
        <v>-380654.59112190432</v>
      </c>
      <c r="M138" s="16"/>
      <c r="N138" s="34">
        <f>IF(H138=0,0,L138/H138)</f>
        <v>-6.1751309341376812</v>
      </c>
      <c r="O138" s="29"/>
      <c r="P138" s="31">
        <f>+P134-P136</f>
        <v>-1211193.3599999992</v>
      </c>
      <c r="Q138" s="14"/>
      <c r="R138" s="34">
        <f>IF(P$12=0,0,P138/P$12)</f>
        <v>-0.26218903697246099</v>
      </c>
      <c r="S138" s="14"/>
      <c r="T138" s="31">
        <f>+T134-T136</f>
        <v>-370599.69909784663</v>
      </c>
      <c r="U138" s="14"/>
      <c r="V138" s="34">
        <f>IF(T$12=0,0,T138/T$12)</f>
        <v>-6.3569860365385755E-2</v>
      </c>
      <c r="W138" s="16"/>
      <c r="X138" s="31">
        <f>P138-T138</f>
        <v>-840593.66090215254</v>
      </c>
      <c r="Y138" s="16"/>
      <c r="Z138" s="34">
        <f>IF(T138=0,0,X138/T138)</f>
        <v>2.2681984441660785</v>
      </c>
    </row>
    <row r="139" spans="1:26" ht="15.75" thickTop="1" x14ac:dyDescent="0.25">
      <c r="A139" s="9"/>
      <c r="B139" s="9"/>
      <c r="C139" s="9"/>
      <c r="D139" s="3"/>
      <c r="E139" s="3"/>
      <c r="F139" s="8"/>
      <c r="G139" s="3"/>
      <c r="H139" s="3"/>
      <c r="I139" s="3"/>
      <c r="J139" s="8"/>
      <c r="K139" s="3"/>
      <c r="L139" s="3"/>
      <c r="M139" s="3"/>
      <c r="N139" s="8"/>
      <c r="P139" s="3"/>
      <c r="Q139" s="3"/>
      <c r="R139" s="8"/>
      <c r="S139" s="3"/>
      <c r="T139" s="3"/>
      <c r="U139" s="3"/>
      <c r="V139" s="8"/>
      <c r="W139" s="3"/>
      <c r="X139" s="3"/>
      <c r="Y139" s="3"/>
      <c r="Z139" s="8"/>
    </row>
    <row r="140" spans="1:26" x14ac:dyDescent="0.25">
      <c r="A140" s="9"/>
      <c r="B140" s="9"/>
      <c r="C140" s="9"/>
      <c r="D140" s="3"/>
      <c r="E140" s="3"/>
      <c r="F140" s="8"/>
      <c r="G140" s="3"/>
      <c r="H140" s="3"/>
      <c r="I140" s="3"/>
      <c r="J140" s="8"/>
      <c r="K140" s="3"/>
      <c r="L140" s="3"/>
      <c r="M140" s="3"/>
      <c r="N140" s="8"/>
      <c r="P140" s="3"/>
      <c r="Q140" s="3"/>
      <c r="R140" s="8"/>
      <c r="S140" s="3"/>
      <c r="T140" s="3"/>
      <c r="U140" s="3"/>
      <c r="V140" s="8"/>
      <c r="W140" s="3"/>
      <c r="X140" s="3"/>
      <c r="Y140" s="3"/>
      <c r="Z140" s="8"/>
    </row>
    <row r="141" spans="1:26" s="23" customFormat="1" ht="15.75" thickBot="1" x14ac:dyDescent="0.3">
      <c r="A141" s="10"/>
      <c r="B141" s="28" t="s">
        <v>5</v>
      </c>
      <c r="C141" s="28"/>
      <c r="D141" s="32">
        <f>SUM(D138:D140)</f>
        <v>-319011.43000000005</v>
      </c>
      <c r="E141" s="14"/>
      <c r="F141" s="35">
        <f>IF(D$12=0,0,D141/D$12)</f>
        <v>-1.033011567695939</v>
      </c>
      <c r="G141" s="14"/>
      <c r="H141" s="32">
        <f>SUM(H138:H140)</f>
        <v>61643.161121904268</v>
      </c>
      <c r="I141" s="14"/>
      <c r="J141" s="35">
        <f>IF(H$12=0,0,H141/H$12)</f>
        <v>6.7158191835429759E-2</v>
      </c>
      <c r="K141" s="16"/>
      <c r="L141" s="32">
        <f>+D141-H141</f>
        <v>-380654.59112190432</v>
      </c>
      <c r="M141" s="16"/>
      <c r="N141" s="35">
        <f>IF(H141=0,0,L141/H141)</f>
        <v>-6.1751309341376812</v>
      </c>
      <c r="O141" s="29"/>
      <c r="P141" s="32">
        <f>SUM(P138:P140)</f>
        <v>-1211193.3599999992</v>
      </c>
      <c r="Q141" s="14"/>
      <c r="R141" s="35">
        <f>IF(P$12=0,0,P141/P$12)</f>
        <v>-0.26218903697246099</v>
      </c>
      <c r="S141" s="14"/>
      <c r="T141" s="32">
        <f>SUM(T138:T140)</f>
        <v>-370599.69909784663</v>
      </c>
      <c r="U141" s="14"/>
      <c r="V141" s="35">
        <f>IF(T$12=0,0,T141/T$12)</f>
        <v>-6.3569860365385755E-2</v>
      </c>
      <c r="W141" s="16"/>
      <c r="X141" s="32">
        <f>+P141-T141</f>
        <v>-840593.66090215254</v>
      </c>
      <c r="Y141" s="16"/>
      <c r="Z141" s="35">
        <f>IF(T141=0,0,X141/T141)</f>
        <v>2.2681984441660785</v>
      </c>
    </row>
    <row r="142" spans="1:26" ht="15.75" thickTop="1" x14ac:dyDescent="0.25">
      <c r="A142" s="9"/>
      <c r="C142" s="9"/>
      <c r="D142" s="18"/>
      <c r="E142" s="18"/>
      <c r="G142" s="18"/>
      <c r="H142" s="18"/>
      <c r="I142" s="18"/>
      <c r="J142" s="42"/>
      <c r="K142" s="18"/>
      <c r="L142" s="18"/>
      <c r="M142" s="18"/>
      <c r="P142" s="18"/>
      <c r="Q142" s="18"/>
      <c r="R142" s="42"/>
      <c r="S142" s="18"/>
      <c r="T142" s="18"/>
      <c r="U142" s="18"/>
      <c r="V142" s="42"/>
      <c r="W142" s="18"/>
      <c r="X142" s="18"/>
    </row>
    <row r="143" spans="1:26" x14ac:dyDescent="0.25">
      <c r="A143" s="9"/>
      <c r="B143" s="57">
        <v>43934.466070451388</v>
      </c>
      <c r="D143" s="18"/>
      <c r="E143" s="18"/>
      <c r="G143" s="18"/>
      <c r="H143" s="18"/>
      <c r="I143" s="18"/>
      <c r="J143" s="42"/>
      <c r="K143" s="18"/>
      <c r="L143" s="18"/>
      <c r="M143" s="18"/>
      <c r="P143" s="18"/>
      <c r="Q143" s="18"/>
      <c r="R143" s="42"/>
      <c r="S143" s="18"/>
      <c r="T143" s="18"/>
      <c r="U143" s="18"/>
      <c r="V143" s="42"/>
      <c r="W143" s="18"/>
      <c r="X143" s="18"/>
    </row>
    <row r="144" spans="1:26" x14ac:dyDescent="0.25">
      <c r="A144" s="9"/>
      <c r="B144" s="62" t="s">
        <v>314</v>
      </c>
      <c r="D144" s="18"/>
      <c r="E144" s="18"/>
      <c r="G144" s="18"/>
      <c r="H144" s="18"/>
      <c r="I144" s="18"/>
      <c r="J144" s="42"/>
      <c r="K144" s="18"/>
      <c r="L144" s="18"/>
      <c r="M144" s="18"/>
      <c r="P144" s="18"/>
      <c r="Q144" s="18"/>
      <c r="R144" s="42"/>
      <c r="S144" s="18"/>
      <c r="T144" s="18"/>
      <c r="U144" s="18"/>
      <c r="V144" s="42"/>
      <c r="W144" s="18"/>
      <c r="X144" s="18"/>
    </row>
    <row r="145" spans="1:24" x14ac:dyDescent="0.25">
      <c r="A145" s="9"/>
      <c r="B145" s="60"/>
      <c r="D145" s="18"/>
      <c r="E145" s="18"/>
      <c r="G145" s="18"/>
      <c r="H145" s="18"/>
      <c r="I145" s="18"/>
      <c r="J145" s="42"/>
      <c r="K145" s="18"/>
      <c r="L145" s="18"/>
      <c r="M145" s="18"/>
      <c r="P145" s="18"/>
      <c r="Q145" s="18"/>
      <c r="R145" s="42"/>
      <c r="S145" s="18"/>
      <c r="T145" s="18"/>
      <c r="U145" s="18"/>
      <c r="V145" s="42"/>
      <c r="W145" s="18"/>
      <c r="X145" s="18"/>
    </row>
    <row r="146" spans="1:24" x14ac:dyDescent="0.25">
      <c r="D146" s="18"/>
      <c r="E146" s="18"/>
      <c r="G146" s="18"/>
      <c r="H146" s="18"/>
      <c r="I146" s="18"/>
      <c r="J146" s="42"/>
      <c r="K146" s="18"/>
      <c r="L146" s="18"/>
      <c r="M146" s="18"/>
      <c r="P146" s="18"/>
      <c r="Q146" s="18"/>
      <c r="R146" s="42"/>
      <c r="S146" s="18"/>
      <c r="T146" s="18"/>
      <c r="U146" s="18"/>
      <c r="V146" s="42"/>
      <c r="W146" s="18"/>
      <c r="X146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","405", " - ", "Library Starbucks")</f>
        <v>Department 405 - Library Starbucks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47419.08</v>
      </c>
      <c r="E12" s="4"/>
      <c r="F12" s="12"/>
      <c r="G12" s="4"/>
      <c r="H12" s="4">
        <f>SUM(OSRRefH13x_0)</f>
        <v>128000</v>
      </c>
      <c r="I12" s="4"/>
      <c r="J12" s="12"/>
      <c r="K12" s="4"/>
      <c r="L12" s="4">
        <f t="shared" ref="L12:L15" si="0">+D12-H12</f>
        <v>-80580.92</v>
      </c>
      <c r="M12" s="4"/>
      <c r="N12" s="12">
        <f t="shared" ref="N12:N15" si="1">IF(H12=0,0,L12/H12)</f>
        <v>-0.62953843749999994</v>
      </c>
      <c r="O12" s="10"/>
      <c r="P12" s="4">
        <f>SUM(OSRRefP13x_0)</f>
        <v>721341.64</v>
      </c>
      <c r="Q12" s="4"/>
      <c r="R12" s="12"/>
      <c r="S12" s="4"/>
      <c r="T12" s="4">
        <f>SUM(OSRRefT13x_0)</f>
        <v>946300</v>
      </c>
      <c r="U12" s="4"/>
      <c r="V12" s="12"/>
      <c r="W12" s="4"/>
      <c r="X12" s="4">
        <f t="shared" ref="X12:X15" si="2">+P12-T12</f>
        <v>-224958.36</v>
      </c>
      <c r="Y12" s="4"/>
      <c r="Z12" s="12">
        <f t="shared" ref="Z12:Z15" si="3">IF(T12=0,0,X12/T12)</f>
        <v>-0.23772414667652964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128000</v>
      </c>
      <c r="I13" s="2"/>
      <c r="J13" s="19"/>
      <c r="K13" s="2"/>
      <c r="L13" s="2">
        <f t="shared" si="0"/>
        <v>-128000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946300</v>
      </c>
      <c r="U13" s="2"/>
      <c r="V13" s="19"/>
      <c r="W13" s="2"/>
      <c r="X13" s="2">
        <f t="shared" si="2"/>
        <v>-946300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--8488.4</f>
        <v>8488.4</v>
      </c>
      <c r="E14" s="2"/>
      <c r="F14" s="19"/>
      <c r="G14" s="2"/>
      <c r="H14" s="2"/>
      <c r="I14" s="2"/>
      <c r="J14" s="19"/>
      <c r="K14" s="2"/>
      <c r="L14" s="2">
        <f t="shared" si="0"/>
        <v>8488.4</v>
      </c>
      <c r="M14" s="2"/>
      <c r="N14" s="19">
        <f t="shared" si="1"/>
        <v>0</v>
      </c>
      <c r="O14" s="11"/>
      <c r="P14" s="2">
        <f>--149614.63</f>
        <v>149614.63</v>
      </c>
      <c r="Q14" s="2"/>
      <c r="R14" s="19"/>
      <c r="S14" s="2"/>
      <c r="T14" s="2"/>
      <c r="U14" s="2"/>
      <c r="V14" s="19"/>
      <c r="W14" s="2"/>
      <c r="X14" s="2">
        <f t="shared" si="2"/>
        <v>149614.63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--38930.68</f>
        <v>38930.68</v>
      </c>
      <c r="E15" s="2"/>
      <c r="F15" s="19"/>
      <c r="G15" s="2"/>
      <c r="H15" s="2"/>
      <c r="I15" s="2"/>
      <c r="J15" s="19"/>
      <c r="K15" s="2"/>
      <c r="L15" s="2">
        <f t="shared" si="0"/>
        <v>38930.68</v>
      </c>
      <c r="M15" s="2"/>
      <c r="N15" s="19">
        <f t="shared" si="1"/>
        <v>0</v>
      </c>
      <c r="O15" s="11"/>
      <c r="P15" s="2">
        <f>--571727.01</f>
        <v>571727.01</v>
      </c>
      <c r="Q15" s="2"/>
      <c r="R15" s="19"/>
      <c r="S15" s="2"/>
      <c r="T15" s="2"/>
      <c r="U15" s="2"/>
      <c r="V15" s="19"/>
      <c r="W15" s="2"/>
      <c r="X15" s="2">
        <f t="shared" si="2"/>
        <v>571727.01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15173.849999999999</v>
      </c>
      <c r="E17" s="4"/>
      <c r="F17" s="12">
        <f t="shared" ref="F17:F20" si="4">IF(D$12=0,0,D17/D$12)</f>
        <v>0.31999460976467697</v>
      </c>
      <c r="G17" s="4"/>
      <c r="H17" s="4">
        <f>SUM(OSRRefH16x_0)</f>
        <v>40960</v>
      </c>
      <c r="I17" s="4"/>
      <c r="J17" s="12">
        <f t="shared" ref="J17:J20" si="5">IF(H$12=0,0,H17/H$12)</f>
        <v>0.32</v>
      </c>
      <c r="K17" s="4"/>
      <c r="L17" s="4">
        <f t="shared" ref="L17:L20" si="6">+D17-H17</f>
        <v>-25786.15</v>
      </c>
      <c r="M17" s="4"/>
      <c r="N17" s="12">
        <f t="shared" ref="N17:N20" si="7">IF(H17=0,0,L17/H17)</f>
        <v>-0.62954467773437506</v>
      </c>
      <c r="O17" s="10"/>
      <c r="P17" s="4">
        <f>SUM(OSRRefP16x_0)</f>
        <v>279047.90999999997</v>
      </c>
      <c r="Q17" s="4"/>
      <c r="R17" s="12">
        <f t="shared" ref="R17:R20" si="8">IF(P$12=0,0,P17/P$12)</f>
        <v>0.3868456976918731</v>
      </c>
      <c r="S17" s="4"/>
      <c r="T17" s="4">
        <f>SUM(OSRRefT16x_0)</f>
        <v>302816</v>
      </c>
      <c r="U17" s="4"/>
      <c r="V17" s="12">
        <f t="shared" ref="V17:V20" si="9">IF(T$12=0,0,T17/T$12)</f>
        <v>0.32</v>
      </c>
      <c r="W17" s="4"/>
      <c r="X17" s="4">
        <f t="shared" ref="X17:X20" si="10">+P17-T17</f>
        <v>-23768.090000000026</v>
      </c>
      <c r="Y17" s="4"/>
      <c r="Z17" s="12">
        <f t="shared" ref="Z17:Z20" si="11">IF(T17=0,0,X17/T17)</f>
        <v>-7.8490205273169272E-2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40960</v>
      </c>
      <c r="I18" s="2"/>
      <c r="J18" s="19">
        <f t="shared" si="5"/>
        <v>0.32</v>
      </c>
      <c r="K18" s="2"/>
      <c r="L18" s="2">
        <f t="shared" si="6"/>
        <v>-40960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302816</v>
      </c>
      <c r="U18" s="2"/>
      <c r="V18" s="19">
        <f t="shared" si="9"/>
        <v>0.32</v>
      </c>
      <c r="W18" s="2"/>
      <c r="X18" s="2">
        <f t="shared" si="10"/>
        <v>-302816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25123.85</v>
      </c>
      <c r="E19" s="2"/>
      <c r="F19" s="19">
        <f t="shared" si="4"/>
        <v>0.52982575790167163</v>
      </c>
      <c r="G19" s="2"/>
      <c r="H19" s="2"/>
      <c r="I19" s="2"/>
      <c r="J19" s="19">
        <f t="shared" si="5"/>
        <v>0</v>
      </c>
      <c r="K19" s="2"/>
      <c r="L19" s="2">
        <f t="shared" si="6"/>
        <v>25123.85</v>
      </c>
      <c r="M19" s="2"/>
      <c r="N19" s="19">
        <f t="shared" si="7"/>
        <v>0</v>
      </c>
      <c r="O19" s="11"/>
      <c r="P19" s="2">
        <v>288645.90999999997</v>
      </c>
      <c r="Q19" s="2"/>
      <c r="R19" s="19">
        <f t="shared" si="8"/>
        <v>0.40015145943883118</v>
      </c>
      <c r="S19" s="2"/>
      <c r="T19" s="2"/>
      <c r="U19" s="2"/>
      <c r="V19" s="19">
        <f t="shared" si="9"/>
        <v>0</v>
      </c>
      <c r="W19" s="2"/>
      <c r="X19" s="2">
        <f t="shared" si="10"/>
        <v>288645.90999999997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-9950</v>
      </c>
      <c r="E20" s="2"/>
      <c r="F20" s="19">
        <f t="shared" si="4"/>
        <v>-0.20983114813699463</v>
      </c>
      <c r="G20" s="2"/>
      <c r="H20" s="2"/>
      <c r="I20" s="2"/>
      <c r="J20" s="19">
        <f t="shared" si="5"/>
        <v>0</v>
      </c>
      <c r="K20" s="2"/>
      <c r="L20" s="2">
        <f t="shared" si="6"/>
        <v>-9950</v>
      </c>
      <c r="M20" s="2"/>
      <c r="N20" s="19">
        <f t="shared" si="7"/>
        <v>0</v>
      </c>
      <c r="O20" s="11"/>
      <c r="P20" s="2">
        <v>-9598</v>
      </c>
      <c r="Q20" s="2"/>
      <c r="R20" s="19">
        <f t="shared" si="8"/>
        <v>-1.3305761746958071E-2</v>
      </c>
      <c r="S20" s="2"/>
      <c r="T20" s="2"/>
      <c r="U20" s="2"/>
      <c r="V20" s="19">
        <f t="shared" si="9"/>
        <v>0</v>
      </c>
      <c r="W20" s="2"/>
      <c r="X20" s="2">
        <f t="shared" si="10"/>
        <v>-9598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0">
        <f>D12-D17</f>
        <v>32245.230000000003</v>
      </c>
      <c r="E22" s="14"/>
      <c r="F22" s="22">
        <f>IF(D$12=0,0,D22/D$12)</f>
        <v>0.68000539023532303</v>
      </c>
      <c r="G22" s="14"/>
      <c r="H22" s="20">
        <f>H12-H17</f>
        <v>87040</v>
      </c>
      <c r="I22" s="14"/>
      <c r="J22" s="22">
        <f>IF(H$12=0,0,H22/H$12)</f>
        <v>0.68</v>
      </c>
      <c r="K22" s="16"/>
      <c r="L22" s="20">
        <f>+D22-H22</f>
        <v>-54794.77</v>
      </c>
      <c r="M22" s="16"/>
      <c r="N22" s="22">
        <f>IF(H22=0,0,L22/H22)</f>
        <v>-0.62953550091911759</v>
      </c>
      <c r="O22" s="29"/>
      <c r="P22" s="20">
        <f>P12-P17</f>
        <v>442293.73000000004</v>
      </c>
      <c r="Q22" s="14"/>
      <c r="R22" s="22">
        <f>IF(P$12=0,0,P22/P$12)</f>
        <v>0.61315430230812684</v>
      </c>
      <c r="S22" s="14"/>
      <c r="T22" s="20">
        <f>T12-T17</f>
        <v>643484</v>
      </c>
      <c r="U22" s="14"/>
      <c r="V22" s="22">
        <f>IF(T$12=0,0,T22/T$12)</f>
        <v>0.68</v>
      </c>
      <c r="W22" s="16"/>
      <c r="X22" s="20">
        <f>+P22-T22</f>
        <v>-201190.26999999996</v>
      </c>
      <c r="Y22" s="16"/>
      <c r="Z22" s="22">
        <f>IF(T22=0,0,X22/T22)</f>
        <v>-0.31265776616046392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1">
        <f>SUM(OSRRefD22x_0)</f>
        <v>61877.659999999989</v>
      </c>
      <c r="E24" s="21"/>
      <c r="F24" s="30">
        <f t="shared" ref="F24:F34" si="12">IF(D$12=0,0,D24/D$12)</f>
        <v>1.304910597168903</v>
      </c>
      <c r="G24" s="21"/>
      <c r="H24" s="21">
        <f>SUM(OSRRefH22x_0)</f>
        <v>58957.98940240001</v>
      </c>
      <c r="I24" s="21"/>
      <c r="J24" s="30">
        <f t="shared" ref="J24:J34" si="13">IF(H$12=0,0,H24/H$12)</f>
        <v>0.46060929220625008</v>
      </c>
      <c r="K24" s="4"/>
      <c r="L24" s="21">
        <f t="shared" ref="L24:L34" si="14">+D24-H24</f>
        <v>2919.6705975999794</v>
      </c>
      <c r="M24" s="4"/>
      <c r="N24" s="30">
        <f t="shared" ref="N24:N34" si="15">IF(H24=0,0,L24/H24)</f>
        <v>4.9521203609448866E-2</v>
      </c>
      <c r="O24" s="10"/>
      <c r="P24" s="21">
        <f>SUM(OSRRefP22x_0)</f>
        <v>509223.25</v>
      </c>
      <c r="Q24" s="21"/>
      <c r="R24" s="30">
        <f t="shared" ref="R24:R34" si="16">IF(P$12=0,0,P24/P$12)</f>
        <v>0.70593907486056118</v>
      </c>
      <c r="S24" s="21"/>
      <c r="T24" s="21">
        <f>SUM(OSRRefT22x_0)</f>
        <v>506170.45661180001</v>
      </c>
      <c r="U24" s="21"/>
      <c r="V24" s="30">
        <f t="shared" ref="V24:V34" si="17">IF(T$12=0,0,T24/T$12)</f>
        <v>0.53489427941646417</v>
      </c>
      <c r="W24" s="4"/>
      <c r="X24" s="21">
        <f t="shared" ref="X24:X34" si="18">+P24-T24</f>
        <v>3052.7933881999925</v>
      </c>
      <c r="Y24" s="4"/>
      <c r="Z24" s="30">
        <f t="shared" ref="Z24:Z34" si="19">IF(T24=0,0,X24/T24)</f>
        <v>6.0311567937701418E-3</v>
      </c>
    </row>
    <row r="25" spans="1:26" s="27" customFormat="1" outlineLevel="1" collapsed="1" x14ac:dyDescent="0.25">
      <c r="A25" s="26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7375.24</v>
      </c>
      <c r="E25" s="1"/>
      <c r="F25" s="5">
        <f t="shared" si="12"/>
        <v>0.15553317356642093</v>
      </c>
      <c r="G25" s="1"/>
      <c r="H25" s="1">
        <f>SUM(OSRRefH22_0x_0)</f>
        <v>5424.4867562461559</v>
      </c>
      <c r="I25" s="1"/>
      <c r="J25" s="5">
        <f t="shared" si="13"/>
        <v>4.2378802783173096E-2</v>
      </c>
      <c r="K25" s="1"/>
      <c r="L25" s="1">
        <f t="shared" si="14"/>
        <v>1950.7532437538439</v>
      </c>
      <c r="M25" s="1"/>
      <c r="N25" s="5">
        <f t="shared" si="15"/>
        <v>0.35961987399224493</v>
      </c>
      <c r="O25" s="13"/>
      <c r="P25" s="1">
        <f>SUM(OSRRefP22_0x_0)</f>
        <v>47685.43</v>
      </c>
      <c r="Q25" s="1"/>
      <c r="R25" s="5">
        <f t="shared" si="16"/>
        <v>6.6106581619217217E-2</v>
      </c>
      <c r="S25" s="1"/>
      <c r="T25" s="1">
        <f>SUM(OSRRefT22_0x_0)</f>
        <v>65262.649811800031</v>
      </c>
      <c r="U25" s="1"/>
      <c r="V25" s="5">
        <f t="shared" si="17"/>
        <v>6.896613104913879E-2</v>
      </c>
      <c r="W25" s="1"/>
      <c r="X25" s="1">
        <f t="shared" si="18"/>
        <v>-17577.219811800031</v>
      </c>
      <c r="Y25" s="1"/>
      <c r="Z25" s="5">
        <f t="shared" si="19"/>
        <v>-0.26933046485988565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6">
        <v>1276.02</v>
      </c>
      <c r="E26" s="2"/>
      <c r="F26" s="7">
        <f t="shared" si="12"/>
        <v>2.6909421270931447E-2</v>
      </c>
      <c r="G26" s="2"/>
      <c r="H26" s="6">
        <v>724.52340313846196</v>
      </c>
      <c r="I26" s="2"/>
      <c r="J26" s="7">
        <f t="shared" si="13"/>
        <v>5.6603390870192342E-3</v>
      </c>
      <c r="K26" s="2"/>
      <c r="L26" s="6">
        <f t="shared" si="14"/>
        <v>551.49659686153802</v>
      </c>
      <c r="M26" s="2"/>
      <c r="N26" s="7">
        <f t="shared" si="15"/>
        <v>0.76118534539062066</v>
      </c>
      <c r="O26" s="11"/>
      <c r="P26" s="6">
        <v>9200.35</v>
      </c>
      <c r="Q26" s="2"/>
      <c r="R26" s="7">
        <f t="shared" si="16"/>
        <v>1.2754497300336079E-2</v>
      </c>
      <c r="S26" s="2"/>
      <c r="T26" s="6">
        <v>8502.8671806000002</v>
      </c>
      <c r="U26" s="2"/>
      <c r="V26" s="7">
        <f t="shared" si="17"/>
        <v>8.9853822050089821E-3</v>
      </c>
      <c r="W26" s="2"/>
      <c r="X26" s="6">
        <f t="shared" si="18"/>
        <v>697.48281940000015</v>
      </c>
      <c r="Y26" s="2"/>
      <c r="Z26" s="7">
        <f t="shared" si="19"/>
        <v>8.2029132595574969E-2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6">
        <v>1885.89</v>
      </c>
      <c r="E27" s="2"/>
      <c r="F27" s="7">
        <f t="shared" si="12"/>
        <v>3.9770699895485109E-2</v>
      </c>
      <c r="G27" s="2"/>
      <c r="H27" s="6">
        <v>1236.6931012923101</v>
      </c>
      <c r="I27" s="2"/>
      <c r="J27" s="7">
        <f t="shared" si="13"/>
        <v>9.6616648538461729E-3</v>
      </c>
      <c r="K27" s="2"/>
      <c r="L27" s="6">
        <f t="shared" si="14"/>
        <v>649.19689870769002</v>
      </c>
      <c r="M27" s="2"/>
      <c r="N27" s="7">
        <f t="shared" si="15"/>
        <v>0.52494583986059051</v>
      </c>
      <c r="O27" s="11"/>
      <c r="P27" s="6">
        <v>8884.57</v>
      </c>
      <c r="Q27" s="2"/>
      <c r="R27" s="7">
        <f t="shared" si="16"/>
        <v>1.2316729698288316E-2</v>
      </c>
      <c r="S27" s="2"/>
      <c r="T27" s="6">
        <v>9845.8533904000105</v>
      </c>
      <c r="U27" s="2"/>
      <c r="V27" s="7">
        <f t="shared" si="17"/>
        <v>1.0404579298742481E-2</v>
      </c>
      <c r="W27" s="2"/>
      <c r="X27" s="6">
        <f t="shared" si="18"/>
        <v>-961.28339040001083</v>
      </c>
      <c r="Y27" s="2"/>
      <c r="Z27" s="7">
        <f t="shared" si="19"/>
        <v>-9.7633323622032572E-2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6">
        <v>2393.33</v>
      </c>
      <c r="E28" s="2"/>
      <c r="F28" s="7">
        <f t="shared" si="12"/>
        <v>5.0471877564895816E-2</v>
      </c>
      <c r="G28" s="2"/>
      <c r="H28" s="6">
        <v>1326</v>
      </c>
      <c r="I28" s="2"/>
      <c r="J28" s="7">
        <f t="shared" si="13"/>
        <v>1.0359375000000001E-2</v>
      </c>
      <c r="K28" s="2"/>
      <c r="L28" s="6">
        <f t="shared" si="14"/>
        <v>1067.33</v>
      </c>
      <c r="M28" s="2"/>
      <c r="N28" s="7">
        <f t="shared" si="15"/>
        <v>0.8049245852187028</v>
      </c>
      <c r="O28" s="11"/>
      <c r="P28" s="6">
        <v>12146.21</v>
      </c>
      <c r="Q28" s="2"/>
      <c r="R28" s="7">
        <f t="shared" si="16"/>
        <v>1.6838359698741361E-2</v>
      </c>
      <c r="S28" s="2"/>
      <c r="T28" s="6">
        <v>11934</v>
      </c>
      <c r="U28" s="2"/>
      <c r="V28" s="7">
        <f t="shared" si="17"/>
        <v>1.2611222656662792E-2</v>
      </c>
      <c r="W28" s="2"/>
      <c r="X28" s="6">
        <f t="shared" si="18"/>
        <v>212.20999999999913</v>
      </c>
      <c r="Y28" s="2"/>
      <c r="Z28" s="7">
        <f t="shared" si="19"/>
        <v>1.7781967487849767E-2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6">
        <v>126.37</v>
      </c>
      <c r="E29" s="2"/>
      <c r="F29" s="7">
        <f t="shared" si="12"/>
        <v>2.6649610241278403E-3</v>
      </c>
      <c r="G29" s="2"/>
      <c r="H29" s="6">
        <v>82.871187199999994</v>
      </c>
      <c r="I29" s="2"/>
      <c r="J29" s="7">
        <f t="shared" si="13"/>
        <v>6.474311499999999E-4</v>
      </c>
      <c r="K29" s="2"/>
      <c r="L29" s="6">
        <f t="shared" si="14"/>
        <v>43.49881280000001</v>
      </c>
      <c r="M29" s="2"/>
      <c r="N29" s="7">
        <f t="shared" si="15"/>
        <v>0.52489670137125799</v>
      </c>
      <c r="O29" s="11"/>
      <c r="P29" s="6">
        <v>699.48</v>
      </c>
      <c r="Q29" s="2"/>
      <c r="R29" s="7">
        <f t="shared" si="16"/>
        <v>9.6969308468037425E-4</v>
      </c>
      <c r="S29" s="2"/>
      <c r="T29" s="6">
        <v>659.77368079999997</v>
      </c>
      <c r="U29" s="2"/>
      <c r="V29" s="7">
        <f t="shared" si="17"/>
        <v>6.972140767198562E-4</v>
      </c>
      <c r="W29" s="2"/>
      <c r="X29" s="6">
        <f t="shared" si="18"/>
        <v>39.706319200000053</v>
      </c>
      <c r="Y29" s="2"/>
      <c r="Z29" s="7">
        <f t="shared" si="19"/>
        <v>6.0181726485140592E-2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6">
        <v>541.9</v>
      </c>
      <c r="E30" s="2"/>
      <c r="F30" s="7">
        <f t="shared" si="12"/>
        <v>1.1427889364365567E-2</v>
      </c>
      <c r="G30" s="2"/>
      <c r="H30" s="6">
        <v>814.17761230769202</v>
      </c>
      <c r="I30" s="2"/>
      <c r="J30" s="7">
        <f t="shared" si="13"/>
        <v>6.360762596153844E-3</v>
      </c>
      <c r="K30" s="2"/>
      <c r="L30" s="6">
        <f t="shared" si="14"/>
        <v>-272.27761230769204</v>
      </c>
      <c r="M30" s="2"/>
      <c r="N30" s="7">
        <f t="shared" si="15"/>
        <v>-0.33442041170347675</v>
      </c>
      <c r="O30" s="11"/>
      <c r="P30" s="6">
        <v>6074.23</v>
      </c>
      <c r="Q30" s="2"/>
      <c r="R30" s="7">
        <f t="shared" si="16"/>
        <v>8.4207394432407913E-3</v>
      </c>
      <c r="S30" s="2"/>
      <c r="T30" s="6">
        <v>7938.2317200000125</v>
      </c>
      <c r="U30" s="2"/>
      <c r="V30" s="7">
        <f t="shared" si="17"/>
        <v>8.3887051886294122E-3</v>
      </c>
      <c r="W30" s="2"/>
      <c r="X30" s="6">
        <f t="shared" si="18"/>
        <v>-1864.0017200000129</v>
      </c>
      <c r="Y30" s="2"/>
      <c r="Z30" s="7">
        <f t="shared" si="19"/>
        <v>-0.23481321605966046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16000</v>
      </c>
      <c r="U31" s="2"/>
      <c r="V31" s="7">
        <f t="shared" si="17"/>
        <v>1.6907957307407798E-2</v>
      </c>
      <c r="W31" s="2"/>
      <c r="X31" s="6">
        <f t="shared" si="18"/>
        <v>-16000</v>
      </c>
      <c r="Y31" s="2"/>
      <c r="Z31" s="7">
        <f t="shared" si="19"/>
        <v>-1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6">
        <v>410.8</v>
      </c>
      <c r="E32" s="2"/>
      <c r="F32" s="7">
        <f t="shared" si="12"/>
        <v>8.6631794627816481E-3</v>
      </c>
      <c r="G32" s="2"/>
      <c r="H32" s="6">
        <v>284.01544615384603</v>
      </c>
      <c r="I32" s="2"/>
      <c r="J32" s="7">
        <f t="shared" si="13"/>
        <v>2.2188706730769223E-3</v>
      </c>
      <c r="K32" s="2"/>
      <c r="L32" s="6">
        <f t="shared" si="14"/>
        <v>126.78455384615398</v>
      </c>
      <c r="M32" s="2"/>
      <c r="N32" s="7">
        <f t="shared" si="15"/>
        <v>0.44640020661931562</v>
      </c>
      <c r="O32" s="11"/>
      <c r="P32" s="6">
        <v>3696.18</v>
      </c>
      <c r="Q32" s="2"/>
      <c r="R32" s="7">
        <f t="shared" si="16"/>
        <v>5.1240352629580623E-3</v>
      </c>
      <c r="S32" s="2"/>
      <c r="T32" s="6">
        <v>2769.1505999999999</v>
      </c>
      <c r="U32" s="2"/>
      <c r="V32" s="7">
        <f t="shared" si="17"/>
        <v>2.9262925076614182E-3</v>
      </c>
      <c r="W32" s="2"/>
      <c r="X32" s="6">
        <f t="shared" si="18"/>
        <v>927.0293999999999</v>
      </c>
      <c r="Y32" s="2"/>
      <c r="Z32" s="7">
        <f t="shared" si="19"/>
        <v>0.33477030826709098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6">
        <v>492.14</v>
      </c>
      <c r="E33" s="2"/>
      <c r="F33" s="7">
        <f t="shared" si="12"/>
        <v>1.0378522738104577E-2</v>
      </c>
      <c r="G33" s="2"/>
      <c r="H33" s="6">
        <v>956.20600615384592</v>
      </c>
      <c r="I33" s="2"/>
      <c r="J33" s="7">
        <f t="shared" si="13"/>
        <v>7.4703594230769209E-3</v>
      </c>
      <c r="K33" s="2"/>
      <c r="L33" s="6">
        <f t="shared" si="14"/>
        <v>-464.06600615384593</v>
      </c>
      <c r="M33" s="2"/>
      <c r="N33" s="7">
        <f t="shared" si="15"/>
        <v>-0.48532011215915893</v>
      </c>
      <c r="O33" s="11"/>
      <c r="P33" s="6">
        <v>4428.08</v>
      </c>
      <c r="Q33" s="2"/>
      <c r="R33" s="7">
        <f t="shared" si="16"/>
        <v>6.1386723772108871E-3</v>
      </c>
      <c r="S33" s="2"/>
      <c r="T33" s="6">
        <v>7612.7732400000023</v>
      </c>
      <c r="U33" s="2"/>
      <c r="V33" s="7">
        <f t="shared" si="17"/>
        <v>8.0447778083060362E-3</v>
      </c>
      <c r="W33" s="2"/>
      <c r="X33" s="6">
        <f t="shared" si="18"/>
        <v>-3184.6932400000023</v>
      </c>
      <c r="Y33" s="2"/>
      <c r="Z33" s="7">
        <f t="shared" si="19"/>
        <v>-0.41833549215239746</v>
      </c>
    </row>
    <row r="34" spans="1:26" s="24" customFormat="1" hidden="1" outlineLevel="2" x14ac:dyDescent="0.25">
      <c r="A34" s="25"/>
      <c r="B34" s="11" t="str">
        <f>CONCATENATE("          ", "6156", " - ", "EMPLOYEE MEALS")</f>
        <v xml:space="preserve">          6156 - EMPLOYEE MEALS</v>
      </c>
      <c r="C34" s="11"/>
      <c r="D34" s="6">
        <v>248.79</v>
      </c>
      <c r="E34" s="2"/>
      <c r="F34" s="7">
        <f t="shared" si="12"/>
        <v>5.246622245728934E-3</v>
      </c>
      <c r="G34" s="2"/>
      <c r="H34" s="6"/>
      <c r="I34" s="2"/>
      <c r="J34" s="7">
        <f t="shared" si="13"/>
        <v>0</v>
      </c>
      <c r="K34" s="2"/>
      <c r="L34" s="6">
        <f t="shared" si="14"/>
        <v>248.79</v>
      </c>
      <c r="M34" s="2"/>
      <c r="N34" s="7">
        <f t="shared" si="15"/>
        <v>0</v>
      </c>
      <c r="O34" s="11"/>
      <c r="P34" s="6">
        <v>2556.33</v>
      </c>
      <c r="Q34" s="2"/>
      <c r="R34" s="7">
        <f t="shared" si="16"/>
        <v>3.5438547537613384E-3</v>
      </c>
      <c r="S34" s="2"/>
      <c r="T34" s="6"/>
      <c r="U34" s="2"/>
      <c r="V34" s="7">
        <f t="shared" si="17"/>
        <v>0</v>
      </c>
      <c r="W34" s="2"/>
      <c r="X34" s="6">
        <f t="shared" si="18"/>
        <v>2556.33</v>
      </c>
      <c r="Y34" s="2"/>
      <c r="Z34" s="7">
        <f t="shared" si="19"/>
        <v>0</v>
      </c>
    </row>
    <row r="35" spans="1:26" s="27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35224.32</v>
      </c>
      <c r="E35" s="1"/>
      <c r="F35" s="5">
        <f t="shared" ref="F35:F45" si="20">IF(D$12=0,0,D35/D$12)</f>
        <v>0.74283010130099525</v>
      </c>
      <c r="G35" s="1"/>
      <c r="H35" s="1">
        <f>SUM(OSRRefH22_1x_0)</f>
        <v>31305.502646153851</v>
      </c>
      <c r="I35" s="1"/>
      <c r="J35" s="5">
        <f t="shared" ref="J35:J45" si="21">IF(H$12=0,0,H35/H$12)</f>
        <v>0.24457423942307696</v>
      </c>
      <c r="K35" s="1"/>
      <c r="L35" s="1">
        <f t="shared" ref="L35:L45" si="22">+D35-H35</f>
        <v>3918.8173538461488</v>
      </c>
      <c r="M35" s="1"/>
      <c r="N35" s="5">
        <f t="shared" ref="N35:N45" si="23">IF(H35=0,0,L35/H35)</f>
        <v>0.12517982535340666</v>
      </c>
      <c r="O35" s="13"/>
      <c r="P35" s="1">
        <f>SUM(OSRRefP22_1x_0)</f>
        <v>247791.51</v>
      </c>
      <c r="Q35" s="1"/>
      <c r="R35" s="5">
        <f t="shared" ref="R35:R45" si="24">IF(P$12=0,0,P35/P$12)</f>
        <v>0.34351477338809944</v>
      </c>
      <c r="S35" s="1"/>
      <c r="T35" s="1">
        <f>SUM(OSRRefT22_1x_0)</f>
        <v>248220.80679999999</v>
      </c>
      <c r="U35" s="1"/>
      <c r="V35" s="5">
        <f t="shared" ref="V35:V45" si="25">IF(T$12=0,0,T35/T$12)</f>
        <v>0.26230667526154494</v>
      </c>
      <c r="W35" s="1"/>
      <c r="X35" s="1">
        <f t="shared" ref="X35:X45" si="26">+P35-T35</f>
        <v>-429.29679999998189</v>
      </c>
      <c r="Y35" s="1"/>
      <c r="Z35" s="5">
        <f t="shared" ref="Z35:Z45" si="27">IF(T35=0,0,X35/T35)</f>
        <v>-1.7294956274390043E-3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6">
        <v>12606.98</v>
      </c>
      <c r="E37" s="2"/>
      <c r="F37" s="7">
        <f t="shared" si="20"/>
        <v>0.26586302391358074</v>
      </c>
      <c r="G37" s="2"/>
      <c r="H37" s="6">
        <v>8899.1506461538502</v>
      </c>
      <c r="I37" s="2"/>
      <c r="J37" s="7">
        <f t="shared" si="21"/>
        <v>6.9524614423076961E-2</v>
      </c>
      <c r="K37" s="2"/>
      <c r="L37" s="6">
        <f t="shared" si="22"/>
        <v>3707.8293538461494</v>
      </c>
      <c r="M37" s="2"/>
      <c r="N37" s="7">
        <f t="shared" si="23"/>
        <v>0.41664980190538148</v>
      </c>
      <c r="O37" s="11"/>
      <c r="P37" s="6">
        <v>97485.84</v>
      </c>
      <c r="Q37" s="2"/>
      <c r="R37" s="7">
        <f t="shared" si="24"/>
        <v>0.13514517198813034</v>
      </c>
      <c r="S37" s="2"/>
      <c r="T37" s="6">
        <v>86766.718800000002</v>
      </c>
      <c r="U37" s="2"/>
      <c r="V37" s="7">
        <f t="shared" si="25"/>
        <v>9.1690498573391108E-2</v>
      </c>
      <c r="W37" s="2"/>
      <c r="X37" s="6">
        <f t="shared" si="26"/>
        <v>10719.121199999994</v>
      </c>
      <c r="Y37" s="2"/>
      <c r="Z37" s="7">
        <f t="shared" si="27"/>
        <v>0.12353954774650293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>
        <v>45.5</v>
      </c>
      <c r="Q40" s="2"/>
      <c r="R40" s="7">
        <f t="shared" si="24"/>
        <v>6.3076907635610771E-5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45.5</v>
      </c>
      <c r="Y40" s="2"/>
      <c r="Z40" s="7">
        <f t="shared" si="27"/>
        <v>0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6">
        <v>21205.929999999997</v>
      </c>
      <c r="E42" s="2"/>
      <c r="F42" s="7">
        <f t="shared" si="20"/>
        <v>0.44720247630278775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21205.929999999997</v>
      </c>
      <c r="M42" s="2"/>
      <c r="N42" s="7">
        <f t="shared" si="23"/>
        <v>0</v>
      </c>
      <c r="O42" s="11"/>
      <c r="P42" s="6">
        <v>142995.32</v>
      </c>
      <c r="Q42" s="2"/>
      <c r="R42" s="7">
        <f t="shared" si="24"/>
        <v>0.19823522180141992</v>
      </c>
      <c r="S42" s="2"/>
      <c r="T42" s="6">
        <v>18800</v>
      </c>
      <c r="U42" s="2"/>
      <c r="V42" s="7">
        <f t="shared" si="25"/>
        <v>1.9866849836204164E-2</v>
      </c>
      <c r="W42" s="2"/>
      <c r="X42" s="6">
        <f t="shared" si="26"/>
        <v>124195.32</v>
      </c>
      <c r="Y42" s="2"/>
      <c r="Z42" s="7">
        <f t="shared" si="27"/>
        <v>6.606134042553192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6">
        <v>1411.41</v>
      </c>
      <c r="E43" s="2"/>
      <c r="F43" s="7">
        <f t="shared" si="20"/>
        <v>2.9764601084626696E-2</v>
      </c>
      <c r="G43" s="2"/>
      <c r="H43" s="6">
        <v>22406.351999999999</v>
      </c>
      <c r="I43" s="2"/>
      <c r="J43" s="7">
        <f t="shared" si="21"/>
        <v>0.17504962499999999</v>
      </c>
      <c r="K43" s="2"/>
      <c r="L43" s="6">
        <f t="shared" si="22"/>
        <v>-20994.941999999999</v>
      </c>
      <c r="M43" s="2"/>
      <c r="N43" s="7">
        <f t="shared" si="23"/>
        <v>-0.93700848759316113</v>
      </c>
      <c r="O43" s="11"/>
      <c r="P43" s="6">
        <v>7264.85</v>
      </c>
      <c r="Q43" s="2"/>
      <c r="R43" s="7">
        <f t="shared" si="24"/>
        <v>1.007130269091356E-2</v>
      </c>
      <c r="S43" s="2"/>
      <c r="T43" s="6">
        <v>142654.08799999999</v>
      </c>
      <c r="U43" s="2"/>
      <c r="V43" s="7">
        <f t="shared" si="25"/>
        <v>0.15074932685194969</v>
      </c>
      <c r="W43" s="2"/>
      <c r="X43" s="6">
        <f t="shared" si="26"/>
        <v>-135389.23799999998</v>
      </c>
      <c r="Y43" s="2"/>
      <c r="Z43" s="7">
        <f t="shared" si="27"/>
        <v>-0.94907366412100291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7" customFormat="1" outlineLevel="1" collapsed="1" x14ac:dyDescent="0.25">
      <c r="A46" s="26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12.96</v>
      </c>
      <c r="E46" s="1"/>
      <c r="F46" s="5">
        <f t="shared" ref="F46:F55" si="28">IF(D$12=0,0,D46/D$12)</f>
        <v>2.7330770651813575E-4</v>
      </c>
      <c r="G46" s="1"/>
      <c r="H46" s="1">
        <f>SUM(OSRRefH22_2x_0)</f>
        <v>150</v>
      </c>
      <c r="I46" s="1"/>
      <c r="J46" s="5">
        <f t="shared" ref="J46:J55" si="29">IF(H$12=0,0,H46/H$12)</f>
        <v>1.171875E-3</v>
      </c>
      <c r="K46" s="1"/>
      <c r="L46" s="1">
        <f t="shared" ref="L46:L55" si="30">+D46-H46</f>
        <v>-137.04</v>
      </c>
      <c r="M46" s="1"/>
      <c r="N46" s="5">
        <f t="shared" ref="N46:N55" si="31">IF(H46=0,0,L46/H46)</f>
        <v>-0.91359999999999997</v>
      </c>
      <c r="O46" s="13"/>
      <c r="P46" s="1">
        <f>SUM(OSRRefP22_2x_0)</f>
        <v>1365.62</v>
      </c>
      <c r="Q46" s="1"/>
      <c r="R46" s="5">
        <f t="shared" ref="R46:R55" si="32">IF(P$12=0,0,P46/P$12)</f>
        <v>1.8931667385789623E-3</v>
      </c>
      <c r="S46" s="1"/>
      <c r="T46" s="1">
        <f>SUM(OSRRefT22_2x_0)</f>
        <v>1350</v>
      </c>
      <c r="U46" s="1"/>
      <c r="V46" s="5">
        <f t="shared" ref="V46:V55" si="33">IF(T$12=0,0,T46/T$12)</f>
        <v>1.4266088978125331E-3</v>
      </c>
      <c r="W46" s="1"/>
      <c r="X46" s="1">
        <f t="shared" ref="X46:X55" si="34">+P46-T46</f>
        <v>15.619999999999891</v>
      </c>
      <c r="Y46" s="1"/>
      <c r="Z46" s="5">
        <f t="shared" ref="Z46:Z55" si="35">IF(T46=0,0,X46/T46)</f>
        <v>1.157037037037029E-2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6">
        <v>12.96</v>
      </c>
      <c r="E47" s="2"/>
      <c r="F47" s="7">
        <f t="shared" si="28"/>
        <v>2.7330770651813575E-4</v>
      </c>
      <c r="G47" s="2"/>
      <c r="H47" s="6">
        <v>150</v>
      </c>
      <c r="I47" s="2"/>
      <c r="J47" s="7">
        <f t="shared" si="29"/>
        <v>1.171875E-3</v>
      </c>
      <c r="K47" s="2"/>
      <c r="L47" s="6">
        <f t="shared" si="30"/>
        <v>-137.04</v>
      </c>
      <c r="M47" s="2"/>
      <c r="N47" s="7">
        <f t="shared" si="31"/>
        <v>-0.91359999999999997</v>
      </c>
      <c r="O47" s="11"/>
      <c r="P47" s="6">
        <v>1365.62</v>
      </c>
      <c r="Q47" s="2"/>
      <c r="R47" s="7">
        <f t="shared" si="32"/>
        <v>1.8931667385789623E-3</v>
      </c>
      <c r="S47" s="2"/>
      <c r="T47" s="6">
        <v>1350</v>
      </c>
      <c r="U47" s="2"/>
      <c r="V47" s="7">
        <f t="shared" si="33"/>
        <v>1.4266088978125331E-3</v>
      </c>
      <c r="W47" s="2"/>
      <c r="X47" s="6">
        <f t="shared" si="34"/>
        <v>15.619999999999891</v>
      </c>
      <c r="Y47" s="2"/>
      <c r="Z47" s="7">
        <f t="shared" si="35"/>
        <v>1.157037037037029E-2</v>
      </c>
    </row>
    <row r="48" spans="1:26" s="27" customFormat="1" outlineLevel="1" collapsed="1" x14ac:dyDescent="0.25">
      <c r="A48" s="26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21.35</v>
      </c>
      <c r="E48" s="1"/>
      <c r="F48" s="5">
        <f t="shared" si="28"/>
        <v>4.502407047964659E-4</v>
      </c>
      <c r="G48" s="1"/>
      <c r="H48" s="1">
        <f>SUM(OSRRefH22_3x_0)</f>
        <v>20</v>
      </c>
      <c r="I48" s="1"/>
      <c r="J48" s="5">
        <f t="shared" si="29"/>
        <v>1.5625E-4</v>
      </c>
      <c r="K48" s="1"/>
      <c r="L48" s="1">
        <f t="shared" si="30"/>
        <v>1.3500000000000014</v>
      </c>
      <c r="M48" s="1"/>
      <c r="N48" s="5">
        <f t="shared" si="31"/>
        <v>6.7500000000000074E-2</v>
      </c>
      <c r="O48" s="13"/>
      <c r="P48" s="1">
        <f>SUM(OSRRefP22_3x_0)</f>
        <v>195.92</v>
      </c>
      <c r="Q48" s="1"/>
      <c r="R48" s="5">
        <f t="shared" si="32"/>
        <v>2.7160500536195303E-4</v>
      </c>
      <c r="S48" s="1"/>
      <c r="T48" s="1">
        <f>SUM(OSRRefT22_3x_0)</f>
        <v>180</v>
      </c>
      <c r="U48" s="1"/>
      <c r="V48" s="5">
        <f t="shared" si="33"/>
        <v>1.9021451970833774E-4</v>
      </c>
      <c r="W48" s="1"/>
      <c r="X48" s="1">
        <f t="shared" si="34"/>
        <v>15.919999999999987</v>
      </c>
      <c r="Y48" s="1"/>
      <c r="Z48" s="5">
        <f t="shared" si="35"/>
        <v>8.8444444444444381E-2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6">
        <v>21.35</v>
      </c>
      <c r="E49" s="2"/>
      <c r="F49" s="7">
        <f t="shared" si="28"/>
        <v>4.502407047964659E-4</v>
      </c>
      <c r="G49" s="2"/>
      <c r="H49" s="6">
        <v>20</v>
      </c>
      <c r="I49" s="2"/>
      <c r="J49" s="7">
        <f t="shared" si="29"/>
        <v>1.5625E-4</v>
      </c>
      <c r="K49" s="2"/>
      <c r="L49" s="6">
        <f t="shared" si="30"/>
        <v>1.3500000000000014</v>
      </c>
      <c r="M49" s="2"/>
      <c r="N49" s="7">
        <f t="shared" si="31"/>
        <v>6.7500000000000074E-2</v>
      </c>
      <c r="O49" s="11"/>
      <c r="P49" s="6">
        <v>195.92</v>
      </c>
      <c r="Q49" s="2"/>
      <c r="R49" s="7">
        <f t="shared" si="32"/>
        <v>2.7160500536195303E-4</v>
      </c>
      <c r="S49" s="2"/>
      <c r="T49" s="6">
        <v>180</v>
      </c>
      <c r="U49" s="2"/>
      <c r="V49" s="7">
        <f t="shared" si="33"/>
        <v>1.9021451970833774E-4</v>
      </c>
      <c r="W49" s="2"/>
      <c r="X49" s="6">
        <f t="shared" si="34"/>
        <v>15.919999999999987</v>
      </c>
      <c r="Y49" s="2"/>
      <c r="Z49" s="7">
        <f t="shared" si="35"/>
        <v>8.8444444444444381E-2</v>
      </c>
    </row>
    <row r="50" spans="1:26" s="27" customFormat="1" outlineLevel="1" collapsed="1" x14ac:dyDescent="0.25">
      <c r="A50" s="26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2335.52</v>
      </c>
      <c r="E50" s="1"/>
      <c r="F50" s="5">
        <f t="shared" si="28"/>
        <v>4.9252748049941078E-2</v>
      </c>
      <c r="G50" s="1"/>
      <c r="H50" s="1">
        <f>SUM(OSRRefH22_4x_0)</f>
        <v>0</v>
      </c>
      <c r="I50" s="1"/>
      <c r="J50" s="5">
        <f t="shared" si="29"/>
        <v>0</v>
      </c>
      <c r="K50" s="1"/>
      <c r="L50" s="1">
        <f t="shared" si="30"/>
        <v>2335.52</v>
      </c>
      <c r="M50" s="1"/>
      <c r="N50" s="5">
        <f t="shared" si="31"/>
        <v>0</v>
      </c>
      <c r="O50" s="13"/>
      <c r="P50" s="1">
        <f>SUM(OSRRefP22_4x_0)</f>
        <v>24434.190000000002</v>
      </c>
      <c r="Q50" s="1"/>
      <c r="R50" s="5">
        <f t="shared" si="32"/>
        <v>3.3873255951229989E-2</v>
      </c>
      <c r="S50" s="1"/>
      <c r="T50" s="1">
        <f>SUM(OSRRefT22_4x_0)</f>
        <v>0</v>
      </c>
      <c r="U50" s="1"/>
      <c r="V50" s="5">
        <f t="shared" si="33"/>
        <v>0</v>
      </c>
      <c r="W50" s="1"/>
      <c r="X50" s="1">
        <f t="shared" si="34"/>
        <v>24434.190000000002</v>
      </c>
      <c r="Y50" s="1"/>
      <c r="Z50" s="5">
        <f t="shared" si="35"/>
        <v>0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6">
        <v>2335.52</v>
      </c>
      <c r="E51" s="2"/>
      <c r="F51" s="7">
        <f t="shared" si="28"/>
        <v>4.9252748049941078E-2</v>
      </c>
      <c r="G51" s="2"/>
      <c r="H51" s="6"/>
      <c r="I51" s="2"/>
      <c r="J51" s="7">
        <f t="shared" si="29"/>
        <v>0</v>
      </c>
      <c r="K51" s="2"/>
      <c r="L51" s="6">
        <f t="shared" si="30"/>
        <v>2335.52</v>
      </c>
      <c r="M51" s="2"/>
      <c r="N51" s="7">
        <f t="shared" si="31"/>
        <v>0</v>
      </c>
      <c r="O51" s="11"/>
      <c r="P51" s="6">
        <v>24434.190000000002</v>
      </c>
      <c r="Q51" s="2"/>
      <c r="R51" s="7">
        <f t="shared" si="32"/>
        <v>3.3873255951229989E-2</v>
      </c>
      <c r="S51" s="2"/>
      <c r="T51" s="6"/>
      <c r="U51" s="2"/>
      <c r="V51" s="7">
        <f t="shared" si="33"/>
        <v>0</v>
      </c>
      <c r="W51" s="2"/>
      <c r="X51" s="6">
        <f t="shared" si="34"/>
        <v>24434.190000000002</v>
      </c>
      <c r="Y51" s="2"/>
      <c r="Z51" s="7">
        <f t="shared" si="35"/>
        <v>0</v>
      </c>
    </row>
    <row r="52" spans="1:26" s="27" customFormat="1" outlineLevel="1" collapsed="1" x14ac:dyDescent="0.25">
      <c r="A52" s="26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5719.08</v>
      </c>
      <c r="E52" s="1"/>
      <c r="F52" s="5">
        <f t="shared" si="28"/>
        <v>0.12060714800877621</v>
      </c>
      <c r="G52" s="1"/>
      <c r="H52" s="1">
        <f>SUM(OSRRefH22_5x_0)</f>
        <v>6318</v>
      </c>
      <c r="I52" s="1"/>
      <c r="J52" s="5">
        <f t="shared" si="29"/>
        <v>4.9359374999999997E-2</v>
      </c>
      <c r="K52" s="1"/>
      <c r="L52" s="1">
        <f t="shared" si="30"/>
        <v>-598.92000000000007</v>
      </c>
      <c r="M52" s="1"/>
      <c r="N52" s="5">
        <f t="shared" si="31"/>
        <v>-9.4795821462488147E-2</v>
      </c>
      <c r="O52" s="13"/>
      <c r="P52" s="1">
        <f>SUM(OSRRefP22_5x_0)</f>
        <v>50619.64</v>
      </c>
      <c r="Q52" s="1"/>
      <c r="R52" s="5">
        <f t="shared" si="32"/>
        <v>7.0174293556656456E-2</v>
      </c>
      <c r="S52" s="1"/>
      <c r="T52" s="1">
        <f>SUM(OSRRefT22_5x_0)</f>
        <v>55528</v>
      </c>
      <c r="U52" s="1"/>
      <c r="V52" s="5">
        <f t="shared" si="33"/>
        <v>5.8679065835358764E-2</v>
      </c>
      <c r="W52" s="1"/>
      <c r="X52" s="1">
        <f t="shared" si="34"/>
        <v>-4908.3600000000006</v>
      </c>
      <c r="Y52" s="1"/>
      <c r="Z52" s="5">
        <f t="shared" si="35"/>
        <v>-8.8394323584497919E-2</v>
      </c>
    </row>
    <row r="53" spans="1:26" s="24" customFormat="1" hidden="1" outlineLevel="2" x14ac:dyDescent="0.25">
      <c r="A53" s="25"/>
      <c r="B53" s="11" t="str">
        <f>CONCATENATE("          ", "6321", " - ", "BUILDING DEPRECIATION")</f>
        <v xml:space="preserve">          6321 - BUILDING DEPRECIATION</v>
      </c>
      <c r="C53" s="11"/>
      <c r="D53" s="6">
        <v>4626.5</v>
      </c>
      <c r="E53" s="2"/>
      <c r="F53" s="7">
        <f t="shared" si="28"/>
        <v>9.7566211744302078E-2</v>
      </c>
      <c r="G53" s="2"/>
      <c r="H53" s="6">
        <v>5165</v>
      </c>
      <c r="I53" s="2"/>
      <c r="J53" s="7">
        <f t="shared" si="29"/>
        <v>4.03515625E-2</v>
      </c>
      <c r="K53" s="2"/>
      <c r="L53" s="6">
        <f t="shared" si="30"/>
        <v>-538.5</v>
      </c>
      <c r="M53" s="2"/>
      <c r="N53" s="7">
        <f t="shared" si="31"/>
        <v>-0.1042594385285576</v>
      </c>
      <c r="O53" s="11"/>
      <c r="P53" s="6">
        <v>41638.5</v>
      </c>
      <c r="Q53" s="2"/>
      <c r="R53" s="7">
        <f t="shared" si="32"/>
        <v>5.7723688320557784E-2</v>
      </c>
      <c r="S53" s="2"/>
      <c r="T53" s="6">
        <v>46485</v>
      </c>
      <c r="U53" s="2"/>
      <c r="V53" s="7">
        <f t="shared" si="33"/>
        <v>4.9122899714678217E-2</v>
      </c>
      <c r="W53" s="2"/>
      <c r="X53" s="6">
        <f t="shared" si="34"/>
        <v>-4846.5</v>
      </c>
      <c r="Y53" s="2"/>
      <c r="Z53" s="7">
        <f t="shared" si="35"/>
        <v>-0.1042594385285576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1092.58</v>
      </c>
      <c r="E54" s="2"/>
      <c r="F54" s="7">
        <f t="shared" si="28"/>
        <v>2.3040936264474128E-2</v>
      </c>
      <c r="G54" s="2"/>
      <c r="H54" s="6">
        <v>486</v>
      </c>
      <c r="I54" s="2"/>
      <c r="J54" s="7">
        <f t="shared" si="29"/>
        <v>3.7968749999999999E-3</v>
      </c>
      <c r="K54" s="2"/>
      <c r="L54" s="6">
        <f t="shared" si="30"/>
        <v>606.57999999999993</v>
      </c>
      <c r="M54" s="2"/>
      <c r="N54" s="7">
        <f t="shared" si="31"/>
        <v>1.2481069958847735</v>
      </c>
      <c r="O54" s="11"/>
      <c r="P54" s="6">
        <v>8981.14</v>
      </c>
      <c r="Q54" s="2"/>
      <c r="R54" s="7">
        <f t="shared" si="32"/>
        <v>1.2450605236098667E-2</v>
      </c>
      <c r="S54" s="2"/>
      <c r="T54" s="6">
        <v>4374</v>
      </c>
      <c r="U54" s="2"/>
      <c r="V54" s="7">
        <f t="shared" si="33"/>
        <v>4.6222128289126066E-3</v>
      </c>
      <c r="W54" s="2"/>
      <c r="X54" s="6">
        <f t="shared" si="34"/>
        <v>4607.1399999999994</v>
      </c>
      <c r="Y54" s="2"/>
      <c r="Z54" s="7">
        <f t="shared" si="35"/>
        <v>1.0533013260173754</v>
      </c>
    </row>
    <row r="55" spans="1:26" s="24" customFormat="1" hidden="1" outlineLevel="2" x14ac:dyDescent="0.25">
      <c r="A55" s="25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8"/>
        <v>0</v>
      </c>
      <c r="G55" s="2"/>
      <c r="H55" s="6">
        <v>667</v>
      </c>
      <c r="I55" s="2"/>
      <c r="J55" s="7">
        <f t="shared" si="29"/>
        <v>5.2109375000000003E-3</v>
      </c>
      <c r="K55" s="2"/>
      <c r="L55" s="6">
        <f t="shared" si="30"/>
        <v>-667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4669</v>
      </c>
      <c r="U55" s="2"/>
      <c r="V55" s="7">
        <f t="shared" si="33"/>
        <v>4.9339532917679384E-3</v>
      </c>
      <c r="W55" s="2"/>
      <c r="X55" s="6">
        <f t="shared" si="34"/>
        <v>-4669</v>
      </c>
      <c r="Y55" s="2"/>
      <c r="Z55" s="7">
        <f t="shared" si="35"/>
        <v>-1</v>
      </c>
    </row>
    <row r="56" spans="1:26" s="27" customFormat="1" outlineLevel="1" collapsed="1" x14ac:dyDescent="0.25">
      <c r="A56" s="26"/>
      <c r="B56" s="13" t="str">
        <f>CONCATENATE("     ","Donations                                         ")</f>
        <v xml:space="preserve">     Donations                                         </v>
      </c>
      <c r="C56" s="13"/>
      <c r="D56" s="1">
        <f>SUM(OSRRefD22_6x_0)</f>
        <v>0</v>
      </c>
      <c r="E56" s="1"/>
      <c r="F56" s="5">
        <f t="shared" ref="F56:F69" si="36">IF(D$12=0,0,D56/D$12)</f>
        <v>0</v>
      </c>
      <c r="G56" s="1"/>
      <c r="H56" s="1">
        <f>SUM(OSRRefH22_6x_0)</f>
        <v>0</v>
      </c>
      <c r="I56" s="1"/>
      <c r="J56" s="5">
        <f t="shared" ref="J56:J69" si="37">IF(H$12=0,0,H56/H$12)</f>
        <v>0</v>
      </c>
      <c r="K56" s="1"/>
      <c r="L56" s="1">
        <f t="shared" ref="L56:L69" si="38">+D56-H56</f>
        <v>0</v>
      </c>
      <c r="M56" s="1"/>
      <c r="N56" s="5">
        <f t="shared" ref="N56:N69" si="39">IF(H56=0,0,L56/H56)</f>
        <v>0</v>
      </c>
      <c r="O56" s="13"/>
      <c r="P56" s="1">
        <f>SUM(OSRRefP22_6x_0)</f>
        <v>0</v>
      </c>
      <c r="Q56" s="1"/>
      <c r="R56" s="5">
        <f t="shared" ref="R56:R69" si="40">IF(P$12=0,0,P56/P$12)</f>
        <v>0</v>
      </c>
      <c r="S56" s="1"/>
      <c r="T56" s="1">
        <f>SUM(OSRRefT22_6x_0)</f>
        <v>2000</v>
      </c>
      <c r="U56" s="1"/>
      <c r="V56" s="5">
        <f t="shared" ref="V56:V69" si="41">IF(T$12=0,0,T56/T$12)</f>
        <v>2.1134946634259748E-3</v>
      </c>
      <c r="W56" s="1"/>
      <c r="X56" s="1">
        <f t="shared" ref="X56:X69" si="42">+P56-T56</f>
        <v>-2000</v>
      </c>
      <c r="Y56" s="1"/>
      <c r="Z56" s="5">
        <f t="shared" ref="Z56:Z69" si="43">IF(T56=0,0,X56/T56)</f>
        <v>-1</v>
      </c>
    </row>
    <row r="57" spans="1:26" s="24" customFormat="1" hidden="1" outlineLevel="2" x14ac:dyDescent="0.25">
      <c r="A57" s="25"/>
      <c r="B57" s="11" t="str">
        <f>CONCATENATE("          ", "6399", " - ", "DONATION-ON CAMPUS")</f>
        <v xml:space="preserve">          6399 - DONATION-ON CAMPUS</v>
      </c>
      <c r="C57" s="11"/>
      <c r="D57" s="6"/>
      <c r="E57" s="2"/>
      <c r="F57" s="7">
        <f t="shared" si="36"/>
        <v>0</v>
      </c>
      <c r="G57" s="2"/>
      <c r="H57" s="6"/>
      <c r="I57" s="2"/>
      <c r="J57" s="7">
        <f t="shared" si="37"/>
        <v>0</v>
      </c>
      <c r="K57" s="2"/>
      <c r="L57" s="6">
        <f t="shared" si="38"/>
        <v>0</v>
      </c>
      <c r="M57" s="2"/>
      <c r="N57" s="7">
        <f t="shared" si="39"/>
        <v>0</v>
      </c>
      <c r="O57" s="11"/>
      <c r="P57" s="6"/>
      <c r="Q57" s="2"/>
      <c r="R57" s="7">
        <f t="shared" si="40"/>
        <v>0</v>
      </c>
      <c r="S57" s="2"/>
      <c r="T57" s="6">
        <v>2000</v>
      </c>
      <c r="U57" s="2"/>
      <c r="V57" s="7">
        <f t="shared" si="41"/>
        <v>2.1134946634259748E-3</v>
      </c>
      <c r="W57" s="2"/>
      <c r="X57" s="6">
        <f t="shared" si="42"/>
        <v>-2000</v>
      </c>
      <c r="Y57" s="2"/>
      <c r="Z57" s="7">
        <f t="shared" si="43"/>
        <v>-1</v>
      </c>
    </row>
    <row r="58" spans="1:26" s="27" customFormat="1" outlineLevel="1" collapsed="1" x14ac:dyDescent="0.25">
      <c r="A58" s="26"/>
      <c r="B58" s="13" t="str">
        <f>CONCATENATE("     ","Employees' Appreciation                           ")</f>
        <v xml:space="preserve">     Employees' Appreciation                           </v>
      </c>
      <c r="C58" s="13"/>
      <c r="D58" s="1">
        <f>SUM(OSRRefD22_7x_0)</f>
        <v>0</v>
      </c>
      <c r="E58" s="1"/>
      <c r="F58" s="5">
        <f t="shared" si="36"/>
        <v>0</v>
      </c>
      <c r="G58" s="1"/>
      <c r="H58" s="1">
        <f>SUM(OSRRefH22_7x_0)</f>
        <v>75</v>
      </c>
      <c r="I58" s="1"/>
      <c r="J58" s="5">
        <f t="shared" si="37"/>
        <v>5.8593749999999998E-4</v>
      </c>
      <c r="K58" s="1"/>
      <c r="L58" s="1">
        <f t="shared" si="38"/>
        <v>-75</v>
      </c>
      <c r="M58" s="1"/>
      <c r="N58" s="5">
        <f t="shared" si="39"/>
        <v>-1</v>
      </c>
      <c r="O58" s="13"/>
      <c r="P58" s="1">
        <f>SUM(OSRRefP22_7x_0)</f>
        <v>186.48</v>
      </c>
      <c r="Q58" s="1"/>
      <c r="R58" s="5">
        <f t="shared" si="40"/>
        <v>2.585182799096417E-4</v>
      </c>
      <c r="S58" s="1"/>
      <c r="T58" s="1">
        <f>SUM(OSRRefT22_7x_0)</f>
        <v>750</v>
      </c>
      <c r="U58" s="1"/>
      <c r="V58" s="5">
        <f t="shared" si="41"/>
        <v>7.925604987847406E-4</v>
      </c>
      <c r="W58" s="1"/>
      <c r="X58" s="1">
        <f t="shared" si="42"/>
        <v>-563.52</v>
      </c>
      <c r="Y58" s="1"/>
      <c r="Z58" s="5">
        <f t="shared" si="43"/>
        <v>-0.75136000000000003</v>
      </c>
    </row>
    <row r="59" spans="1:26" s="24" customFormat="1" hidden="1" outlineLevel="2" x14ac:dyDescent="0.25">
      <c r="A59" s="25"/>
      <c r="B59" s="11" t="str">
        <f>CONCATENATE("          ", "6277", " - ", "EMPLOYEE APPRECIATION")</f>
        <v xml:space="preserve">          6277 - EMPLOYEE APPRECIATION</v>
      </c>
      <c r="C59" s="11"/>
      <c r="D59" s="6"/>
      <c r="E59" s="2"/>
      <c r="F59" s="7">
        <f t="shared" si="36"/>
        <v>0</v>
      </c>
      <c r="G59" s="2"/>
      <c r="H59" s="6">
        <v>75</v>
      </c>
      <c r="I59" s="2"/>
      <c r="J59" s="7">
        <f t="shared" si="37"/>
        <v>5.8593749999999998E-4</v>
      </c>
      <c r="K59" s="2"/>
      <c r="L59" s="6">
        <f t="shared" si="38"/>
        <v>-75</v>
      </c>
      <c r="M59" s="2"/>
      <c r="N59" s="7">
        <f t="shared" si="39"/>
        <v>-1</v>
      </c>
      <c r="O59" s="11"/>
      <c r="P59" s="6">
        <v>186.48</v>
      </c>
      <c r="Q59" s="2"/>
      <c r="R59" s="7">
        <f t="shared" si="40"/>
        <v>2.585182799096417E-4</v>
      </c>
      <c r="S59" s="2"/>
      <c r="T59" s="6">
        <v>750</v>
      </c>
      <c r="U59" s="2"/>
      <c r="V59" s="7">
        <f t="shared" si="41"/>
        <v>7.925604987847406E-4</v>
      </c>
      <c r="W59" s="2"/>
      <c r="X59" s="6">
        <f t="shared" si="42"/>
        <v>-563.52</v>
      </c>
      <c r="Y59" s="2"/>
      <c r="Z59" s="7">
        <f t="shared" si="43"/>
        <v>-0.75136000000000003</v>
      </c>
    </row>
    <row r="60" spans="1:26" s="27" customFormat="1" outlineLevel="1" collapsed="1" x14ac:dyDescent="0.25">
      <c r="A60" s="26"/>
      <c r="B60" s="13" t="str">
        <f>CONCATENATE("     ","Equipment Rental                                  ")</f>
        <v xml:space="preserve">     Equipment Rental                                  </v>
      </c>
      <c r="C60" s="13"/>
      <c r="D60" s="1">
        <f>SUM(OSRRefD22_8x_0)</f>
        <v>241.57</v>
      </c>
      <c r="E60" s="1"/>
      <c r="F60" s="5">
        <f t="shared" si="36"/>
        <v>5.0943628598446025E-3</v>
      </c>
      <c r="G60" s="1"/>
      <c r="H60" s="1">
        <f>SUM(OSRRefH22_8x_0)</f>
        <v>115</v>
      </c>
      <c r="I60" s="1"/>
      <c r="J60" s="5">
        <f t="shared" si="37"/>
        <v>8.9843750000000004E-4</v>
      </c>
      <c r="K60" s="1"/>
      <c r="L60" s="1">
        <f t="shared" si="38"/>
        <v>126.57</v>
      </c>
      <c r="M60" s="1"/>
      <c r="N60" s="5">
        <f t="shared" si="39"/>
        <v>1.1006086956521739</v>
      </c>
      <c r="O60" s="13"/>
      <c r="P60" s="1">
        <f>SUM(OSRRefP22_8x_0)</f>
        <v>3281</v>
      </c>
      <c r="Q60" s="1"/>
      <c r="R60" s="5">
        <f t="shared" si="40"/>
        <v>4.5484688780755818E-3</v>
      </c>
      <c r="S60" s="1"/>
      <c r="T60" s="1">
        <f>SUM(OSRRefT22_8x_0)</f>
        <v>1035</v>
      </c>
      <c r="U60" s="1"/>
      <c r="V60" s="5">
        <f t="shared" si="41"/>
        <v>1.0937334883229419E-3</v>
      </c>
      <c r="W60" s="1"/>
      <c r="X60" s="1">
        <f t="shared" si="42"/>
        <v>2246</v>
      </c>
      <c r="Y60" s="1"/>
      <c r="Z60" s="5">
        <f t="shared" si="43"/>
        <v>2.1700483091787439</v>
      </c>
    </row>
    <row r="61" spans="1:26" s="24" customFormat="1" hidden="1" outlineLevel="2" x14ac:dyDescent="0.25">
      <c r="A61" s="25"/>
      <c r="B61" s="11" t="str">
        <f>CONCATENATE("          ", "6351", " - ", "EQUIPMENT RENTAL")</f>
        <v xml:space="preserve">          6351 - EQUIPMENT RENTAL</v>
      </c>
      <c r="C61" s="11"/>
      <c r="D61" s="6">
        <v>241.57</v>
      </c>
      <c r="E61" s="2"/>
      <c r="F61" s="7">
        <f t="shared" si="36"/>
        <v>5.0943628598446025E-3</v>
      </c>
      <c r="G61" s="2"/>
      <c r="H61" s="6">
        <v>115</v>
      </c>
      <c r="I61" s="2"/>
      <c r="J61" s="7">
        <f t="shared" si="37"/>
        <v>8.9843750000000004E-4</v>
      </c>
      <c r="K61" s="2"/>
      <c r="L61" s="6">
        <f t="shared" si="38"/>
        <v>126.57</v>
      </c>
      <c r="M61" s="2"/>
      <c r="N61" s="7">
        <f t="shared" si="39"/>
        <v>1.1006086956521739</v>
      </c>
      <c r="O61" s="11"/>
      <c r="P61" s="6">
        <v>3281</v>
      </c>
      <c r="Q61" s="2"/>
      <c r="R61" s="7">
        <f t="shared" si="40"/>
        <v>4.5484688780755818E-3</v>
      </c>
      <c r="S61" s="2"/>
      <c r="T61" s="6">
        <v>1035</v>
      </c>
      <c r="U61" s="2"/>
      <c r="V61" s="7">
        <f t="shared" si="41"/>
        <v>1.0937334883229419E-3</v>
      </c>
      <c r="W61" s="2"/>
      <c r="X61" s="6">
        <f t="shared" si="42"/>
        <v>2246</v>
      </c>
      <c r="Y61" s="2"/>
      <c r="Z61" s="7">
        <f t="shared" si="43"/>
        <v>2.1700483091787439</v>
      </c>
    </row>
    <row r="62" spans="1:26" s="27" customFormat="1" outlineLevel="1" collapsed="1" x14ac:dyDescent="0.25">
      <c r="A62" s="26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SUM(OSRRefD22_9x_0)</f>
        <v>968.06</v>
      </c>
      <c r="E62" s="1"/>
      <c r="F62" s="5">
        <f t="shared" si="36"/>
        <v>2.0414989071909449E-2</v>
      </c>
      <c r="G62" s="1"/>
      <c r="H62" s="1">
        <f>SUM(OSRRefH22_9x_0)</f>
        <v>1000</v>
      </c>
      <c r="I62" s="1"/>
      <c r="J62" s="5">
        <f t="shared" si="37"/>
        <v>7.8125E-3</v>
      </c>
      <c r="K62" s="1"/>
      <c r="L62" s="1">
        <f t="shared" si="38"/>
        <v>-31.940000000000055</v>
      </c>
      <c r="M62" s="1"/>
      <c r="N62" s="5">
        <f t="shared" si="39"/>
        <v>-3.1940000000000052E-2</v>
      </c>
      <c r="O62" s="13"/>
      <c r="P62" s="1">
        <f>SUM(OSRRefP22_9x_0)</f>
        <v>9308.4599999999991</v>
      </c>
      <c r="Q62" s="1"/>
      <c r="R62" s="5">
        <f t="shared" si="40"/>
        <v>1.2904370805489614E-2</v>
      </c>
      <c r="S62" s="1"/>
      <c r="T62" s="1">
        <f>SUM(OSRRefT22_9x_0)</f>
        <v>9000</v>
      </c>
      <c r="U62" s="1"/>
      <c r="V62" s="5">
        <f t="shared" si="41"/>
        <v>9.5107259854168864E-3</v>
      </c>
      <c r="W62" s="1"/>
      <c r="X62" s="1">
        <f t="shared" si="42"/>
        <v>308.45999999999913</v>
      </c>
      <c r="Y62" s="1"/>
      <c r="Z62" s="5">
        <f t="shared" si="43"/>
        <v>3.4273333333333239E-2</v>
      </c>
    </row>
    <row r="63" spans="1:26" s="24" customFormat="1" hidden="1" outlineLevel="2" x14ac:dyDescent="0.25">
      <c r="A63" s="25"/>
      <c r="B63" s="11" t="str">
        <f>CONCATENATE("          ", "6279", " - ", "GENERAL EXPENSE")</f>
        <v xml:space="preserve">          6279 - GENERAL EXPENSE</v>
      </c>
      <c r="C63" s="11"/>
      <c r="D63" s="6">
        <v>968.06</v>
      </c>
      <c r="E63" s="2"/>
      <c r="F63" s="7">
        <f t="shared" si="36"/>
        <v>2.0414989071909449E-2</v>
      </c>
      <c r="G63" s="2"/>
      <c r="H63" s="6">
        <v>1000</v>
      </c>
      <c r="I63" s="2"/>
      <c r="J63" s="7">
        <f t="shared" si="37"/>
        <v>7.8125E-3</v>
      </c>
      <c r="K63" s="2"/>
      <c r="L63" s="6">
        <f t="shared" si="38"/>
        <v>-31.940000000000055</v>
      </c>
      <c r="M63" s="2"/>
      <c r="N63" s="7">
        <f t="shared" si="39"/>
        <v>-3.1940000000000052E-2</v>
      </c>
      <c r="O63" s="11"/>
      <c r="P63" s="6">
        <v>9308.4599999999991</v>
      </c>
      <c r="Q63" s="2"/>
      <c r="R63" s="7">
        <f t="shared" si="40"/>
        <v>1.2904370805489614E-2</v>
      </c>
      <c r="S63" s="2"/>
      <c r="T63" s="6">
        <v>9000</v>
      </c>
      <c r="U63" s="2"/>
      <c r="V63" s="7">
        <f t="shared" si="41"/>
        <v>9.5107259854168864E-3</v>
      </c>
      <c r="W63" s="2"/>
      <c r="X63" s="6">
        <f t="shared" si="42"/>
        <v>308.45999999999913</v>
      </c>
      <c r="Y63" s="2"/>
      <c r="Z63" s="7">
        <f t="shared" si="43"/>
        <v>3.4273333333333239E-2</v>
      </c>
    </row>
    <row r="64" spans="1:26" s="27" customFormat="1" outlineLevel="1" collapsed="1" x14ac:dyDescent="0.25">
      <c r="A64" s="26"/>
      <c r="B64" s="13" t="str">
        <f>CONCATENATE("     ","Rent                                              ")</f>
        <v xml:space="preserve">     Rent                                              </v>
      </c>
      <c r="C64" s="13"/>
      <c r="D64" s="1">
        <f>SUM(OSRRefD22_10x_0)</f>
        <v>1850</v>
      </c>
      <c r="E64" s="1"/>
      <c r="F64" s="5">
        <f t="shared" si="36"/>
        <v>3.9013831563159809E-2</v>
      </c>
      <c r="G64" s="1"/>
      <c r="H64" s="1">
        <f>SUM(OSRRefH22_10x_0)</f>
        <v>1850</v>
      </c>
      <c r="I64" s="1"/>
      <c r="J64" s="5">
        <f t="shared" si="37"/>
        <v>1.4453125000000001E-2</v>
      </c>
      <c r="K64" s="1"/>
      <c r="L64" s="1">
        <f t="shared" si="38"/>
        <v>0</v>
      </c>
      <c r="M64" s="1"/>
      <c r="N64" s="5">
        <f t="shared" si="39"/>
        <v>0</v>
      </c>
      <c r="O64" s="13"/>
      <c r="P64" s="1">
        <f>SUM(OSRRefP22_10x_0)</f>
        <v>16650</v>
      </c>
      <c r="Q64" s="1"/>
      <c r="R64" s="5">
        <f t="shared" si="40"/>
        <v>2.308198927764658E-2</v>
      </c>
      <c r="S64" s="1"/>
      <c r="T64" s="1">
        <f>SUM(OSRRefT22_10x_0)</f>
        <v>16650</v>
      </c>
      <c r="U64" s="1"/>
      <c r="V64" s="5">
        <f t="shared" si="41"/>
        <v>1.7594843073021241E-2</v>
      </c>
      <c r="W64" s="1"/>
      <c r="X64" s="1">
        <f t="shared" si="42"/>
        <v>0</v>
      </c>
      <c r="Y64" s="1"/>
      <c r="Z64" s="5">
        <f t="shared" si="43"/>
        <v>0</v>
      </c>
    </row>
    <row r="65" spans="1:26" s="24" customFormat="1" hidden="1" outlineLevel="2" x14ac:dyDescent="0.25">
      <c r="A65" s="25"/>
      <c r="B65" s="11" t="str">
        <f>CONCATENATE("          ", "6273", " - ", "RENT")</f>
        <v xml:space="preserve">          6273 - RENT</v>
      </c>
      <c r="C65" s="11"/>
      <c r="D65" s="6">
        <v>1850</v>
      </c>
      <c r="E65" s="2"/>
      <c r="F65" s="7">
        <f t="shared" si="36"/>
        <v>3.9013831563159809E-2</v>
      </c>
      <c r="G65" s="2"/>
      <c r="H65" s="6">
        <v>1850</v>
      </c>
      <c r="I65" s="2"/>
      <c r="J65" s="7">
        <f t="shared" si="37"/>
        <v>1.4453125000000001E-2</v>
      </c>
      <c r="K65" s="2"/>
      <c r="L65" s="6">
        <f t="shared" si="38"/>
        <v>0</v>
      </c>
      <c r="M65" s="2"/>
      <c r="N65" s="7">
        <f t="shared" si="39"/>
        <v>0</v>
      </c>
      <c r="O65" s="11"/>
      <c r="P65" s="6">
        <v>16650</v>
      </c>
      <c r="Q65" s="2"/>
      <c r="R65" s="7">
        <f t="shared" si="40"/>
        <v>2.308198927764658E-2</v>
      </c>
      <c r="S65" s="2"/>
      <c r="T65" s="6">
        <v>16650</v>
      </c>
      <c r="U65" s="2"/>
      <c r="V65" s="7">
        <f t="shared" si="41"/>
        <v>1.7594843073021241E-2</v>
      </c>
      <c r="W65" s="2"/>
      <c r="X65" s="6">
        <f t="shared" si="42"/>
        <v>0</v>
      </c>
      <c r="Y65" s="2"/>
      <c r="Z65" s="7">
        <f t="shared" si="43"/>
        <v>0</v>
      </c>
    </row>
    <row r="66" spans="1:26" s="27" customFormat="1" outlineLevel="1" collapsed="1" x14ac:dyDescent="0.25">
      <c r="A66" s="26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2509.71</v>
      </c>
      <c r="E66" s="1"/>
      <c r="F66" s="5">
        <f t="shared" si="36"/>
        <v>5.2926163898582596E-2</v>
      </c>
      <c r="G66" s="1"/>
      <c r="H66" s="1">
        <f>SUM(OSRRefH22_11x_0)</f>
        <v>1300</v>
      </c>
      <c r="I66" s="1"/>
      <c r="J66" s="5">
        <f t="shared" si="37"/>
        <v>1.015625E-2</v>
      </c>
      <c r="K66" s="1"/>
      <c r="L66" s="1">
        <f t="shared" si="38"/>
        <v>1209.71</v>
      </c>
      <c r="M66" s="1"/>
      <c r="N66" s="5">
        <f t="shared" si="39"/>
        <v>0.93054615384615391</v>
      </c>
      <c r="O66" s="13"/>
      <c r="P66" s="1">
        <f>SUM(OSRRefP22_11x_0)</f>
        <v>25335.79</v>
      </c>
      <c r="Q66" s="1"/>
      <c r="R66" s="5">
        <f t="shared" si="40"/>
        <v>3.5123149136378706E-2</v>
      </c>
      <c r="S66" s="1"/>
      <c r="T66" s="1">
        <f>SUM(OSRRefT22_11x_0)</f>
        <v>10700</v>
      </c>
      <c r="U66" s="1"/>
      <c r="V66" s="5">
        <f t="shared" si="41"/>
        <v>1.1307196449328965E-2</v>
      </c>
      <c r="W66" s="1"/>
      <c r="X66" s="1">
        <f t="shared" si="42"/>
        <v>14635.79</v>
      </c>
      <c r="Y66" s="1"/>
      <c r="Z66" s="5">
        <f t="shared" si="43"/>
        <v>1.3678308411214954</v>
      </c>
    </row>
    <row r="67" spans="1:26" s="24" customFormat="1" hidden="1" outlineLevel="2" x14ac:dyDescent="0.25">
      <c r="A67" s="25"/>
      <c r="B67" s="11" t="str">
        <f>CONCATENATE("          ", "6372", " - ", "COMPUTER HARDWARE MAINTENANCE")</f>
        <v xml:space="preserve">          6372 - COMPUTER HARDWARE MAINTENANCE</v>
      </c>
      <c r="C67" s="11"/>
      <c r="D67" s="6"/>
      <c r="E67" s="2"/>
      <c r="F67" s="7">
        <f t="shared" si="36"/>
        <v>0</v>
      </c>
      <c r="G67" s="2"/>
      <c r="H67" s="6"/>
      <c r="I67" s="2"/>
      <c r="J67" s="7">
        <f t="shared" si="37"/>
        <v>0</v>
      </c>
      <c r="K67" s="2"/>
      <c r="L67" s="6">
        <f t="shared" si="38"/>
        <v>0</v>
      </c>
      <c r="M67" s="2"/>
      <c r="N67" s="7">
        <f t="shared" si="39"/>
        <v>0</v>
      </c>
      <c r="O67" s="11"/>
      <c r="P67" s="6"/>
      <c r="Q67" s="2"/>
      <c r="R67" s="7">
        <f t="shared" si="40"/>
        <v>0</v>
      </c>
      <c r="S67" s="2"/>
      <c r="T67" s="6">
        <v>200</v>
      </c>
      <c r="U67" s="2"/>
      <c r="V67" s="7">
        <f t="shared" si="41"/>
        <v>2.1134946634259749E-4</v>
      </c>
      <c r="W67" s="2"/>
      <c r="X67" s="6">
        <f t="shared" si="42"/>
        <v>-200</v>
      </c>
      <c r="Y67" s="2"/>
      <c r="Z67" s="7">
        <f t="shared" si="43"/>
        <v>-1</v>
      </c>
    </row>
    <row r="68" spans="1:26" s="24" customFormat="1" hidden="1" outlineLevel="2" x14ac:dyDescent="0.25">
      <c r="A68" s="25"/>
      <c r="B68" s="11" t="str">
        <f>CONCATENATE("          ", "6373", " - ", "MAINTENANCE CONTRACTS")</f>
        <v xml:space="preserve">          6373 - MAINTENANCE CONTRACTS</v>
      </c>
      <c r="C68" s="11"/>
      <c r="D68" s="6">
        <v>1870.35</v>
      </c>
      <c r="E68" s="2"/>
      <c r="F68" s="7">
        <f t="shared" si="36"/>
        <v>3.9442983710354561E-2</v>
      </c>
      <c r="G68" s="2"/>
      <c r="H68" s="6">
        <v>1000</v>
      </c>
      <c r="I68" s="2"/>
      <c r="J68" s="7">
        <f t="shared" si="37"/>
        <v>7.8125E-3</v>
      </c>
      <c r="K68" s="2"/>
      <c r="L68" s="6">
        <f t="shared" si="38"/>
        <v>870.34999999999991</v>
      </c>
      <c r="M68" s="2"/>
      <c r="N68" s="7">
        <f t="shared" si="39"/>
        <v>0.87034999999999996</v>
      </c>
      <c r="O68" s="11"/>
      <c r="P68" s="6">
        <v>16388.759999999998</v>
      </c>
      <c r="Q68" s="2"/>
      <c r="R68" s="7">
        <f t="shared" si="40"/>
        <v>2.271983078642181E-2</v>
      </c>
      <c r="S68" s="2"/>
      <c r="T68" s="6">
        <v>9000</v>
      </c>
      <c r="U68" s="2"/>
      <c r="V68" s="7">
        <f t="shared" si="41"/>
        <v>9.5107259854168864E-3</v>
      </c>
      <c r="W68" s="2"/>
      <c r="X68" s="6">
        <f t="shared" si="42"/>
        <v>7388.7599999999984</v>
      </c>
      <c r="Y68" s="2"/>
      <c r="Z68" s="7">
        <f t="shared" si="43"/>
        <v>0.82097333333333311</v>
      </c>
    </row>
    <row r="69" spans="1:26" s="24" customFormat="1" hidden="1" outlineLevel="2" x14ac:dyDescent="0.25">
      <c r="A69" s="25"/>
      <c r="B69" s="11" t="str">
        <f>CONCATENATE("          ", "6375", " - ", "OUTSIDE REPAIRS &amp; MAINTENANCE")</f>
        <v xml:space="preserve">          6375 - OUTSIDE REPAIRS &amp; MAINTENANCE</v>
      </c>
      <c r="C69" s="11"/>
      <c r="D69" s="6">
        <v>639.36</v>
      </c>
      <c r="E69" s="2"/>
      <c r="F69" s="7">
        <f t="shared" si="36"/>
        <v>1.348318018822803E-2</v>
      </c>
      <c r="G69" s="2"/>
      <c r="H69" s="6">
        <v>300</v>
      </c>
      <c r="I69" s="2"/>
      <c r="J69" s="7">
        <f t="shared" si="37"/>
        <v>2.3437499999999999E-3</v>
      </c>
      <c r="K69" s="2"/>
      <c r="L69" s="6">
        <f t="shared" si="38"/>
        <v>339.36</v>
      </c>
      <c r="M69" s="2"/>
      <c r="N69" s="7">
        <f t="shared" si="39"/>
        <v>1.1312</v>
      </c>
      <c r="O69" s="11"/>
      <c r="P69" s="6">
        <v>8947.0300000000007</v>
      </c>
      <c r="Q69" s="2"/>
      <c r="R69" s="7">
        <f t="shared" si="40"/>
        <v>1.2403318349956895E-2</v>
      </c>
      <c r="S69" s="2"/>
      <c r="T69" s="6">
        <v>1500</v>
      </c>
      <c r="U69" s="2"/>
      <c r="V69" s="7">
        <f t="shared" si="41"/>
        <v>1.5851209975694812E-3</v>
      </c>
      <c r="W69" s="2"/>
      <c r="X69" s="6">
        <f t="shared" si="42"/>
        <v>7447.0300000000007</v>
      </c>
      <c r="Y69" s="2"/>
      <c r="Z69" s="7">
        <f t="shared" si="43"/>
        <v>4.9646866666666671</v>
      </c>
    </row>
    <row r="70" spans="1:26" s="27" customFormat="1" outlineLevel="1" collapsed="1" x14ac:dyDescent="0.25">
      <c r="A70" s="26"/>
      <c r="B70" s="13" t="str">
        <f>CONCATENATE("     ","Royalty &amp; Commissions                             ")</f>
        <v xml:space="preserve">     Royalty &amp; Commissions                             </v>
      </c>
      <c r="C70" s="13"/>
      <c r="D70" s="1">
        <f>SUM(OSRRefD22_12x_0)</f>
        <v>3792.52</v>
      </c>
      <c r="E70" s="1"/>
      <c r="F70" s="5">
        <f t="shared" ref="F70:F75" si="44">IF(D$12=0,0,D70/D$12)</f>
        <v>7.9978776475629634E-2</v>
      </c>
      <c r="G70" s="1"/>
      <c r="H70" s="1">
        <f>SUM(OSRRefH22_12x_0)</f>
        <v>10240</v>
      </c>
      <c r="I70" s="1"/>
      <c r="J70" s="5">
        <f t="shared" ref="J70:J75" si="45">IF(H$12=0,0,H70/H$12)</f>
        <v>0.08</v>
      </c>
      <c r="K70" s="1"/>
      <c r="L70" s="1">
        <f t="shared" ref="L70:L75" si="46">+D70-H70</f>
        <v>-6447.48</v>
      </c>
      <c r="M70" s="1"/>
      <c r="N70" s="5">
        <f t="shared" ref="N70:N75" si="47">IF(H70=0,0,L70/H70)</f>
        <v>-0.62963671874999994</v>
      </c>
      <c r="O70" s="13"/>
      <c r="P70" s="1">
        <f>SUM(OSRRefP22_12x_0)</f>
        <v>60535.320000000007</v>
      </c>
      <c r="Q70" s="1"/>
      <c r="R70" s="5">
        <f t="shared" ref="R70:R75" si="48">IF(P$12=0,0,P70/P$12)</f>
        <v>8.3920456886420705E-2</v>
      </c>
      <c r="S70" s="1"/>
      <c r="T70" s="1">
        <f>SUM(OSRRefT22_12x_0)</f>
        <v>75704</v>
      </c>
      <c r="U70" s="1"/>
      <c r="V70" s="5">
        <f t="shared" ref="V70:V75" si="49">IF(T$12=0,0,T70/T$12)</f>
        <v>0.08</v>
      </c>
      <c r="W70" s="1"/>
      <c r="X70" s="1">
        <f t="shared" ref="X70:X75" si="50">+P70-T70</f>
        <v>-15168.679999999993</v>
      </c>
      <c r="Y70" s="1"/>
      <c r="Z70" s="5">
        <f t="shared" ref="Z70:Z75" si="51">IF(T70=0,0,X70/T70)</f>
        <v>-0.20036827644510188</v>
      </c>
    </row>
    <row r="71" spans="1:26" s="24" customFormat="1" hidden="1" outlineLevel="2" x14ac:dyDescent="0.25">
      <c r="A71" s="25"/>
      <c r="B71" s="11" t="str">
        <f>CONCATENATE("          ", "6259", " - ", "ROYALTY &amp; COMMISSIONS")</f>
        <v xml:space="preserve">          6259 - ROYALTY &amp; COMMISSIONS</v>
      </c>
      <c r="C71" s="11"/>
      <c r="D71" s="6">
        <v>3792.52</v>
      </c>
      <c r="E71" s="2"/>
      <c r="F71" s="7">
        <f t="shared" si="44"/>
        <v>7.9978776475629634E-2</v>
      </c>
      <c r="G71" s="2"/>
      <c r="H71" s="6">
        <v>10240</v>
      </c>
      <c r="I71" s="2"/>
      <c r="J71" s="7">
        <f t="shared" si="45"/>
        <v>0.08</v>
      </c>
      <c r="K71" s="2"/>
      <c r="L71" s="6">
        <f t="shared" si="46"/>
        <v>-6447.48</v>
      </c>
      <c r="M71" s="2"/>
      <c r="N71" s="7">
        <f t="shared" si="47"/>
        <v>-0.62963671874999994</v>
      </c>
      <c r="O71" s="11"/>
      <c r="P71" s="6">
        <v>60535.320000000007</v>
      </c>
      <c r="Q71" s="2"/>
      <c r="R71" s="7">
        <f t="shared" si="48"/>
        <v>8.3920456886420705E-2</v>
      </c>
      <c r="S71" s="2"/>
      <c r="T71" s="6">
        <v>75704</v>
      </c>
      <c r="U71" s="2"/>
      <c r="V71" s="7">
        <f t="shared" si="49"/>
        <v>0.08</v>
      </c>
      <c r="W71" s="2"/>
      <c r="X71" s="6">
        <f t="shared" si="50"/>
        <v>-15168.679999999993</v>
      </c>
      <c r="Y71" s="2"/>
      <c r="Z71" s="7">
        <f t="shared" si="51"/>
        <v>-0.20036827644510188</v>
      </c>
    </row>
    <row r="72" spans="1:26" s="27" customFormat="1" outlineLevel="1" collapsed="1" x14ac:dyDescent="0.25">
      <c r="A72" s="26"/>
      <c r="B72" s="13" t="str">
        <f>CONCATENATE("     ","Services                                          ")</f>
        <v xml:space="preserve">     Services                                          </v>
      </c>
      <c r="C72" s="13"/>
      <c r="D72" s="1">
        <f>SUM(OSRRefD22_13x_0)</f>
        <v>115</v>
      </c>
      <c r="E72" s="1"/>
      <c r="F72" s="5">
        <f t="shared" si="44"/>
        <v>2.4251841241964204E-3</v>
      </c>
      <c r="G72" s="1"/>
      <c r="H72" s="1">
        <f>SUM(OSRRefH22_13x_0)</f>
        <v>360</v>
      </c>
      <c r="I72" s="1"/>
      <c r="J72" s="5">
        <f t="shared" si="45"/>
        <v>2.8124999999999999E-3</v>
      </c>
      <c r="K72" s="1"/>
      <c r="L72" s="1">
        <f t="shared" si="46"/>
        <v>-245</v>
      </c>
      <c r="M72" s="1"/>
      <c r="N72" s="5">
        <f t="shared" si="47"/>
        <v>-0.68055555555555558</v>
      </c>
      <c r="O72" s="13"/>
      <c r="P72" s="1">
        <f>SUM(OSRRefP22_13x_0)</f>
        <v>3678.39</v>
      </c>
      <c r="Q72" s="1"/>
      <c r="R72" s="5">
        <f t="shared" si="48"/>
        <v>5.0993728852253692E-3</v>
      </c>
      <c r="S72" s="1"/>
      <c r="T72" s="1">
        <f>SUM(OSRRefT22_13x_0)</f>
        <v>3240</v>
      </c>
      <c r="U72" s="1"/>
      <c r="V72" s="5">
        <f t="shared" si="49"/>
        <v>3.4238613547500794E-3</v>
      </c>
      <c r="W72" s="1"/>
      <c r="X72" s="1">
        <f t="shared" si="50"/>
        <v>438.38999999999987</v>
      </c>
      <c r="Y72" s="1"/>
      <c r="Z72" s="5">
        <f t="shared" si="51"/>
        <v>0.13530555555555551</v>
      </c>
    </row>
    <row r="73" spans="1:26" s="24" customFormat="1" hidden="1" outlineLevel="2" x14ac:dyDescent="0.25">
      <c r="A73" s="25"/>
      <c r="B73" s="11" t="str">
        <f>CONCATENATE("          ", "6282", " - ", "JANITORIAL/EXTERMINATOR EXPENS")</f>
        <v xml:space="preserve">          6282 - JANITORIAL/EXTERMINATOR EXPENS</v>
      </c>
      <c r="C73" s="11"/>
      <c r="D73" s="6"/>
      <c r="E73" s="2"/>
      <c r="F73" s="7">
        <f t="shared" si="44"/>
        <v>0</v>
      </c>
      <c r="G73" s="2"/>
      <c r="H73" s="6">
        <v>100</v>
      </c>
      <c r="I73" s="2"/>
      <c r="J73" s="7">
        <f t="shared" si="45"/>
        <v>7.8125000000000004E-4</v>
      </c>
      <c r="K73" s="2"/>
      <c r="L73" s="6">
        <f t="shared" si="46"/>
        <v>-100</v>
      </c>
      <c r="M73" s="2"/>
      <c r="N73" s="7">
        <f t="shared" si="47"/>
        <v>-1</v>
      </c>
      <c r="O73" s="11"/>
      <c r="P73" s="6">
        <v>872.64</v>
      </c>
      <c r="Q73" s="2"/>
      <c r="R73" s="7">
        <f t="shared" si="48"/>
        <v>1.2097457731678985E-3</v>
      </c>
      <c r="S73" s="2"/>
      <c r="T73" s="6">
        <v>900</v>
      </c>
      <c r="U73" s="2"/>
      <c r="V73" s="7">
        <f t="shared" si="49"/>
        <v>9.5107259854168872E-4</v>
      </c>
      <c r="W73" s="2"/>
      <c r="X73" s="6">
        <f t="shared" si="50"/>
        <v>-27.360000000000014</v>
      </c>
      <c r="Y73" s="2"/>
      <c r="Z73" s="7">
        <f t="shared" si="51"/>
        <v>-3.0400000000000014E-2</v>
      </c>
    </row>
    <row r="74" spans="1:26" s="24" customFormat="1" hidden="1" outlineLevel="2" x14ac:dyDescent="0.25">
      <c r="A74" s="25"/>
      <c r="B74" s="11" t="str">
        <f>CONCATENATE("          ", "6284", " - ", "TRASH REMOVAL EXPENSE")</f>
        <v xml:space="preserve">          6284 - TRASH REMOVAL EXPENSE</v>
      </c>
      <c r="C74" s="11"/>
      <c r="D74" s="6">
        <v>115</v>
      </c>
      <c r="E74" s="2"/>
      <c r="F74" s="7">
        <f t="shared" si="44"/>
        <v>2.4251841241964204E-3</v>
      </c>
      <c r="G74" s="2"/>
      <c r="H74" s="6">
        <v>40</v>
      </c>
      <c r="I74" s="2"/>
      <c r="J74" s="7">
        <f t="shared" si="45"/>
        <v>3.1250000000000001E-4</v>
      </c>
      <c r="K74" s="2"/>
      <c r="L74" s="6">
        <f t="shared" si="46"/>
        <v>75</v>
      </c>
      <c r="M74" s="2"/>
      <c r="N74" s="7">
        <f t="shared" si="47"/>
        <v>1.875</v>
      </c>
      <c r="O74" s="11"/>
      <c r="P74" s="6">
        <v>939</v>
      </c>
      <c r="Q74" s="2"/>
      <c r="R74" s="7">
        <f t="shared" si="48"/>
        <v>1.3017410169195278E-3</v>
      </c>
      <c r="S74" s="2"/>
      <c r="T74" s="6">
        <v>360</v>
      </c>
      <c r="U74" s="2"/>
      <c r="V74" s="7">
        <f t="shared" si="49"/>
        <v>3.8042903941667549E-4</v>
      </c>
      <c r="W74" s="2"/>
      <c r="X74" s="6">
        <f t="shared" si="50"/>
        <v>579</v>
      </c>
      <c r="Y74" s="2"/>
      <c r="Z74" s="7">
        <f t="shared" si="51"/>
        <v>1.6083333333333334</v>
      </c>
    </row>
    <row r="75" spans="1:26" s="24" customFormat="1" hidden="1" outlineLevel="2" x14ac:dyDescent="0.25">
      <c r="A75" s="25"/>
      <c r="B75" s="11" t="str">
        <f>CONCATENATE("          ", "6286", " - ", "LAUNDRY EXPENSE")</f>
        <v xml:space="preserve">          6286 - LAUNDRY EXPENSE</v>
      </c>
      <c r="C75" s="11"/>
      <c r="D75" s="6"/>
      <c r="E75" s="2"/>
      <c r="F75" s="7">
        <f t="shared" si="44"/>
        <v>0</v>
      </c>
      <c r="G75" s="2"/>
      <c r="H75" s="6">
        <v>220</v>
      </c>
      <c r="I75" s="2"/>
      <c r="J75" s="7">
        <f t="shared" si="45"/>
        <v>1.71875E-3</v>
      </c>
      <c r="K75" s="2"/>
      <c r="L75" s="6">
        <f t="shared" si="46"/>
        <v>-220</v>
      </c>
      <c r="M75" s="2"/>
      <c r="N75" s="7">
        <f t="shared" si="47"/>
        <v>-1</v>
      </c>
      <c r="O75" s="11"/>
      <c r="P75" s="6">
        <v>1866.75</v>
      </c>
      <c r="Q75" s="2"/>
      <c r="R75" s="7">
        <f t="shared" si="48"/>
        <v>2.5878860951379433E-3</v>
      </c>
      <c r="S75" s="2"/>
      <c r="T75" s="6">
        <v>1980</v>
      </c>
      <c r="U75" s="2"/>
      <c r="V75" s="7">
        <f t="shared" si="49"/>
        <v>2.0923597167917152E-3</v>
      </c>
      <c r="W75" s="2"/>
      <c r="X75" s="6">
        <f t="shared" si="50"/>
        <v>-113.25</v>
      </c>
      <c r="Y75" s="2"/>
      <c r="Z75" s="7">
        <f t="shared" si="51"/>
        <v>-5.7196969696969698E-2</v>
      </c>
    </row>
    <row r="76" spans="1:26" s="27" customFormat="1" outlineLevel="1" collapsed="1" x14ac:dyDescent="0.25">
      <c r="A76" s="26"/>
      <c r="B76" s="13" t="str">
        <f>CONCATENATE("     ","Subscriptions &amp; Dues                              ")</f>
        <v xml:space="preserve">     Subscriptions &amp; Dues                              </v>
      </c>
      <c r="C76" s="13"/>
      <c r="D76" s="1">
        <f>SUM(OSRRefD22_14x_0)</f>
        <v>0</v>
      </c>
      <c r="E76" s="1"/>
      <c r="F76" s="5">
        <f t="shared" ref="F76:F78" si="52">IF(D$12=0,0,D76/D$12)</f>
        <v>0</v>
      </c>
      <c r="G76" s="1"/>
      <c r="H76" s="1">
        <f>SUM(OSRRefH22_14x_0)</f>
        <v>0</v>
      </c>
      <c r="I76" s="1"/>
      <c r="J76" s="5">
        <f t="shared" ref="J76:J78" si="53">IF(H$12=0,0,H76/H$12)</f>
        <v>0</v>
      </c>
      <c r="K76" s="1"/>
      <c r="L76" s="1">
        <f t="shared" ref="L76:L78" si="54">+D76-H76</f>
        <v>0</v>
      </c>
      <c r="M76" s="1"/>
      <c r="N76" s="5">
        <f t="shared" ref="N76:N78" si="55">IF(H76=0,0,L76/H76)</f>
        <v>0</v>
      </c>
      <c r="O76" s="13"/>
      <c r="P76" s="1">
        <f>SUM(OSRRefP22_14x_0)</f>
        <v>1101.72</v>
      </c>
      <c r="Q76" s="1"/>
      <c r="R76" s="5">
        <f t="shared" ref="R76:R78" si="56">IF(P$12=0,0,P76/P$12)</f>
        <v>1.5273206742924198E-3</v>
      </c>
      <c r="S76" s="1"/>
      <c r="T76" s="1">
        <f>SUM(OSRRefT22_14x_0)</f>
        <v>0</v>
      </c>
      <c r="U76" s="1"/>
      <c r="V76" s="5">
        <f t="shared" ref="V76:V78" si="57">IF(T$12=0,0,T76/T$12)</f>
        <v>0</v>
      </c>
      <c r="W76" s="1"/>
      <c r="X76" s="1">
        <f t="shared" ref="X76:X78" si="58">+P76-T76</f>
        <v>1101.72</v>
      </c>
      <c r="Y76" s="1"/>
      <c r="Z76" s="5">
        <f t="shared" ref="Z76:Z78" si="59">IF(T76=0,0,X76/T76)</f>
        <v>0</v>
      </c>
    </row>
    <row r="77" spans="1:26" s="24" customFormat="1" hidden="1" outlineLevel="2" x14ac:dyDescent="0.25">
      <c r="A77" s="25"/>
      <c r="B77" s="11" t="str">
        <f>CONCATENATE("          ", "6258", " - ", "MEMBERSHIP DUES")</f>
        <v xml:space="preserve">          6258 - MEMBERSHIP DUES</v>
      </c>
      <c r="C77" s="11"/>
      <c r="D77" s="6"/>
      <c r="E77" s="2"/>
      <c r="F77" s="7">
        <f t="shared" si="52"/>
        <v>0</v>
      </c>
      <c r="G77" s="2"/>
      <c r="H77" s="6"/>
      <c r="I77" s="2"/>
      <c r="J77" s="7">
        <f t="shared" si="53"/>
        <v>0</v>
      </c>
      <c r="K77" s="2"/>
      <c r="L77" s="6">
        <f t="shared" si="54"/>
        <v>0</v>
      </c>
      <c r="M77" s="2"/>
      <c r="N77" s="7">
        <f t="shared" si="55"/>
        <v>0</v>
      </c>
      <c r="O77" s="11"/>
      <c r="P77" s="6">
        <v>979</v>
      </c>
      <c r="Q77" s="2"/>
      <c r="R77" s="7">
        <f t="shared" si="56"/>
        <v>1.3571932434123725E-3</v>
      </c>
      <c r="S77" s="2"/>
      <c r="T77" s="6"/>
      <c r="U77" s="2"/>
      <c r="V77" s="7">
        <f t="shared" si="57"/>
        <v>0</v>
      </c>
      <c r="W77" s="2"/>
      <c r="X77" s="6">
        <f t="shared" si="58"/>
        <v>979</v>
      </c>
      <c r="Y77" s="2"/>
      <c r="Z77" s="7">
        <f t="shared" si="59"/>
        <v>0</v>
      </c>
    </row>
    <row r="78" spans="1:26" s="24" customFormat="1" hidden="1" outlineLevel="2" x14ac:dyDescent="0.25">
      <c r="A78" s="25"/>
      <c r="B78" s="11" t="str">
        <f>CONCATENATE("          ", "6275", " - ", "SUBSCRIPTIONS")</f>
        <v xml:space="preserve">          6275 - SUBSCRIPTIONS</v>
      </c>
      <c r="C78" s="11"/>
      <c r="D78" s="6"/>
      <c r="E78" s="2"/>
      <c r="F78" s="7">
        <f t="shared" si="52"/>
        <v>0</v>
      </c>
      <c r="G78" s="2"/>
      <c r="H78" s="6"/>
      <c r="I78" s="2"/>
      <c r="J78" s="7">
        <f t="shared" si="53"/>
        <v>0</v>
      </c>
      <c r="K78" s="2"/>
      <c r="L78" s="6">
        <f t="shared" si="54"/>
        <v>0</v>
      </c>
      <c r="M78" s="2"/>
      <c r="N78" s="7">
        <f t="shared" si="55"/>
        <v>0</v>
      </c>
      <c r="O78" s="11"/>
      <c r="P78" s="6">
        <v>122.72</v>
      </c>
      <c r="Q78" s="2"/>
      <c r="R78" s="7">
        <f t="shared" si="56"/>
        <v>1.7012743088004736E-4</v>
      </c>
      <c r="S78" s="2"/>
      <c r="T78" s="6"/>
      <c r="U78" s="2"/>
      <c r="V78" s="7">
        <f t="shared" si="57"/>
        <v>0</v>
      </c>
      <c r="W78" s="2"/>
      <c r="X78" s="6">
        <f t="shared" si="58"/>
        <v>122.72</v>
      </c>
      <c r="Y78" s="2"/>
      <c r="Z78" s="7">
        <f t="shared" si="59"/>
        <v>0</v>
      </c>
    </row>
    <row r="79" spans="1:26" s="27" customFormat="1" outlineLevel="1" collapsed="1" x14ac:dyDescent="0.25">
      <c r="A79" s="26"/>
      <c r="B79" s="13" t="str">
        <f>CONCATENATE("     ","Supplies                                          ")</f>
        <v xml:space="preserve">     Supplies                                          </v>
      </c>
      <c r="C79" s="13"/>
      <c r="D79" s="1">
        <f>SUM(OSRRefD22_15x_0)</f>
        <v>1290.1799999999998</v>
      </c>
      <c r="E79" s="1"/>
      <c r="F79" s="5">
        <f t="shared" ref="F79:F88" si="60">IF(D$12=0,0,D79/D$12)</f>
        <v>2.720803524657163E-2</v>
      </c>
      <c r="G79" s="1"/>
      <c r="H79" s="1">
        <f>SUM(OSRRefH22_15x_0)</f>
        <v>400</v>
      </c>
      <c r="I79" s="1"/>
      <c r="J79" s="5">
        <f t="shared" ref="J79:J88" si="61">IF(H$12=0,0,H79/H$12)</f>
        <v>3.1250000000000002E-3</v>
      </c>
      <c r="K79" s="1"/>
      <c r="L79" s="1">
        <f t="shared" ref="L79:L88" si="62">+D79-H79</f>
        <v>890.17999999999984</v>
      </c>
      <c r="M79" s="1"/>
      <c r="N79" s="5">
        <f t="shared" ref="N79:N88" si="63">IF(H79=0,0,L79/H79)</f>
        <v>2.2254499999999995</v>
      </c>
      <c r="O79" s="13"/>
      <c r="P79" s="1">
        <f>SUM(OSRRefP22_15x_0)</f>
        <v>11997.33</v>
      </c>
      <c r="Q79" s="1"/>
      <c r="R79" s="5">
        <f t="shared" ref="R79:R88" si="64">IF(P$12=0,0,P79/P$12)</f>
        <v>1.6631966511734993E-2</v>
      </c>
      <c r="S79" s="1"/>
      <c r="T79" s="1">
        <f>SUM(OSRRefT22_15x_0)</f>
        <v>10950</v>
      </c>
      <c r="U79" s="1"/>
      <c r="V79" s="5">
        <f t="shared" ref="V79:V88" si="65">IF(T$12=0,0,T79/T$12)</f>
        <v>1.1571383282257212E-2</v>
      </c>
      <c r="W79" s="1"/>
      <c r="X79" s="1">
        <f t="shared" ref="X79:X88" si="66">+P79-T79</f>
        <v>1047.33</v>
      </c>
      <c r="Y79" s="1"/>
      <c r="Z79" s="5">
        <f t="shared" ref="Z79:Z88" si="67">IF(T79=0,0,X79/T79)</f>
        <v>9.5646575342465748E-2</v>
      </c>
    </row>
    <row r="80" spans="1:26" s="24" customFormat="1" hidden="1" outlineLevel="2" x14ac:dyDescent="0.25">
      <c r="A80" s="25"/>
      <c r="B80" s="11" t="str">
        <f>CONCATENATE("          ", "6237", " - ", "JANITORIAL SUPPLIES")</f>
        <v xml:space="preserve">          6237 - JANITORIAL SUPPLIES</v>
      </c>
      <c r="C80" s="11"/>
      <c r="D80" s="6">
        <v>395.21</v>
      </c>
      <c r="E80" s="2"/>
      <c r="F80" s="7">
        <f t="shared" si="60"/>
        <v>8.3344088497710189E-3</v>
      </c>
      <c r="G80" s="2"/>
      <c r="H80" s="6">
        <v>100</v>
      </c>
      <c r="I80" s="2"/>
      <c r="J80" s="7">
        <f t="shared" si="61"/>
        <v>7.8125000000000004E-4</v>
      </c>
      <c r="K80" s="2"/>
      <c r="L80" s="6">
        <f t="shared" si="62"/>
        <v>295.20999999999998</v>
      </c>
      <c r="M80" s="2"/>
      <c r="N80" s="7">
        <f t="shared" si="63"/>
        <v>2.9520999999999997</v>
      </c>
      <c r="O80" s="11"/>
      <c r="P80" s="6">
        <v>2140.12</v>
      </c>
      <c r="Q80" s="2"/>
      <c r="R80" s="7">
        <f t="shared" si="64"/>
        <v>2.9668604740466665E-3</v>
      </c>
      <c r="S80" s="2"/>
      <c r="T80" s="6">
        <v>900</v>
      </c>
      <c r="U80" s="2"/>
      <c r="V80" s="7">
        <f t="shared" si="65"/>
        <v>9.5107259854168872E-4</v>
      </c>
      <c r="W80" s="2"/>
      <c r="X80" s="6">
        <f t="shared" si="66"/>
        <v>1240.1199999999999</v>
      </c>
      <c r="Y80" s="2"/>
      <c r="Z80" s="7">
        <f t="shared" si="67"/>
        <v>1.3779111111111111</v>
      </c>
    </row>
    <row r="81" spans="1:26" s="24" customFormat="1" hidden="1" outlineLevel="2" x14ac:dyDescent="0.25">
      <c r="A81" s="25"/>
      <c r="B81" s="11" t="str">
        <f>CONCATENATE("          ", "6239", " - ", "KITCHEN SUPPLIES")</f>
        <v xml:space="preserve">          6239 - KITCHEN SUPPLIES</v>
      </c>
      <c r="C81" s="11"/>
      <c r="D81" s="6">
        <v>150.38</v>
      </c>
      <c r="E81" s="2"/>
      <c r="F81" s="7">
        <f t="shared" si="60"/>
        <v>3.1712972921448495E-3</v>
      </c>
      <c r="G81" s="2"/>
      <c r="H81" s="6"/>
      <c r="I81" s="2"/>
      <c r="J81" s="7">
        <f t="shared" si="61"/>
        <v>0</v>
      </c>
      <c r="K81" s="2"/>
      <c r="L81" s="6">
        <f t="shared" si="62"/>
        <v>150.38</v>
      </c>
      <c r="M81" s="2"/>
      <c r="N81" s="7">
        <f t="shared" si="63"/>
        <v>0</v>
      </c>
      <c r="O81" s="11"/>
      <c r="P81" s="6">
        <v>4435.24</v>
      </c>
      <c r="Q81" s="2"/>
      <c r="R81" s="7">
        <f t="shared" si="64"/>
        <v>6.1485983257531058E-3</v>
      </c>
      <c r="S81" s="2"/>
      <c r="T81" s="6">
        <v>4900</v>
      </c>
      <c r="U81" s="2"/>
      <c r="V81" s="7">
        <f t="shared" si="65"/>
        <v>5.1780619253936387E-3</v>
      </c>
      <c r="W81" s="2"/>
      <c r="X81" s="6">
        <f t="shared" si="66"/>
        <v>-464.76000000000022</v>
      </c>
      <c r="Y81" s="2"/>
      <c r="Z81" s="7">
        <f t="shared" si="67"/>
        <v>-9.4848979591836774E-2</v>
      </c>
    </row>
    <row r="82" spans="1:26" s="24" customFormat="1" hidden="1" outlineLevel="2" x14ac:dyDescent="0.25">
      <c r="A82" s="25"/>
      <c r="B82" s="11" t="str">
        <f>CONCATENATE("          ", "6241", " - ", "OFFICE EXPENSE")</f>
        <v xml:space="preserve">          6241 - OFFICE EXPENSE</v>
      </c>
      <c r="C82" s="11"/>
      <c r="D82" s="6">
        <v>9.91</v>
      </c>
      <c r="E82" s="2"/>
      <c r="F82" s="7">
        <f t="shared" si="60"/>
        <v>2.0898760583292633E-4</v>
      </c>
      <c r="G82" s="2"/>
      <c r="H82" s="6">
        <v>100</v>
      </c>
      <c r="I82" s="2"/>
      <c r="J82" s="7">
        <f t="shared" si="61"/>
        <v>7.8125000000000004E-4</v>
      </c>
      <c r="K82" s="2"/>
      <c r="L82" s="6">
        <f t="shared" si="62"/>
        <v>-90.09</v>
      </c>
      <c r="M82" s="2"/>
      <c r="N82" s="7">
        <f t="shared" si="63"/>
        <v>-0.90090000000000003</v>
      </c>
      <c r="O82" s="11"/>
      <c r="P82" s="6">
        <v>1415.33</v>
      </c>
      <c r="Q82" s="2"/>
      <c r="R82" s="7">
        <f t="shared" si="64"/>
        <v>1.9620799930529448E-3</v>
      </c>
      <c r="S82" s="2"/>
      <c r="T82" s="6">
        <v>900</v>
      </c>
      <c r="U82" s="2"/>
      <c r="V82" s="7">
        <f t="shared" si="65"/>
        <v>9.5107259854168872E-4</v>
      </c>
      <c r="W82" s="2"/>
      <c r="X82" s="6">
        <f t="shared" si="66"/>
        <v>515.32999999999993</v>
      </c>
      <c r="Y82" s="2"/>
      <c r="Z82" s="7">
        <f t="shared" si="67"/>
        <v>0.57258888888888881</v>
      </c>
    </row>
    <row r="83" spans="1:26" s="24" customFormat="1" hidden="1" outlineLevel="2" x14ac:dyDescent="0.25">
      <c r="A83" s="25"/>
      <c r="B83" s="11" t="str">
        <f>CONCATENATE("          ", "6243", " - ", "PAPER SUPPLIES")</f>
        <v xml:space="preserve">          6243 - PAPER SUPPLIES</v>
      </c>
      <c r="C83" s="11"/>
      <c r="D83" s="6">
        <v>519.91999999999996</v>
      </c>
      <c r="E83" s="2"/>
      <c r="F83" s="7">
        <f t="shared" si="60"/>
        <v>1.0964362868280024E-2</v>
      </c>
      <c r="G83" s="2"/>
      <c r="H83" s="6"/>
      <c r="I83" s="2"/>
      <c r="J83" s="7">
        <f t="shared" si="61"/>
        <v>0</v>
      </c>
      <c r="K83" s="2"/>
      <c r="L83" s="6">
        <f t="shared" si="62"/>
        <v>519.91999999999996</v>
      </c>
      <c r="M83" s="2"/>
      <c r="N83" s="7">
        <f t="shared" si="63"/>
        <v>0</v>
      </c>
      <c r="O83" s="11"/>
      <c r="P83" s="6">
        <v>5057.43</v>
      </c>
      <c r="Q83" s="2"/>
      <c r="R83" s="7">
        <f t="shared" si="64"/>
        <v>7.0111438457926816E-3</v>
      </c>
      <c r="S83" s="2"/>
      <c r="T83" s="6"/>
      <c r="U83" s="2"/>
      <c r="V83" s="7">
        <f t="shared" si="65"/>
        <v>0</v>
      </c>
      <c r="W83" s="2"/>
      <c r="X83" s="6">
        <f t="shared" si="66"/>
        <v>5057.43</v>
      </c>
      <c r="Y83" s="2"/>
      <c r="Z83" s="7">
        <f t="shared" si="67"/>
        <v>0</v>
      </c>
    </row>
    <row r="84" spans="1:26" s="24" customFormat="1" hidden="1" outlineLevel="2" x14ac:dyDescent="0.25">
      <c r="A84" s="25"/>
      <c r="B84" s="11" t="str">
        <f>CONCATENATE("          ", "6244", " - ", "SAFETY SUPPLY EXPENSE")</f>
        <v xml:space="preserve">          6244 - SAFETY SUPPLY EXPENSE</v>
      </c>
      <c r="C84" s="11"/>
      <c r="D84" s="6"/>
      <c r="E84" s="2"/>
      <c r="F84" s="7">
        <f t="shared" si="60"/>
        <v>0</v>
      </c>
      <c r="G84" s="2"/>
      <c r="H84" s="6">
        <v>50</v>
      </c>
      <c r="I84" s="2"/>
      <c r="J84" s="7">
        <f t="shared" si="61"/>
        <v>3.9062500000000002E-4</v>
      </c>
      <c r="K84" s="2"/>
      <c r="L84" s="6">
        <f t="shared" si="62"/>
        <v>-50</v>
      </c>
      <c r="M84" s="2"/>
      <c r="N84" s="7">
        <f t="shared" si="63"/>
        <v>-1</v>
      </c>
      <c r="O84" s="11"/>
      <c r="P84" s="6"/>
      <c r="Q84" s="2"/>
      <c r="R84" s="7">
        <f t="shared" si="64"/>
        <v>0</v>
      </c>
      <c r="S84" s="2"/>
      <c r="T84" s="6">
        <v>450</v>
      </c>
      <c r="U84" s="2"/>
      <c r="V84" s="7">
        <f t="shared" si="65"/>
        <v>4.7553629927084436E-4</v>
      </c>
      <c r="W84" s="2"/>
      <c r="X84" s="6">
        <f t="shared" si="66"/>
        <v>-450</v>
      </c>
      <c r="Y84" s="2"/>
      <c r="Z84" s="7">
        <f t="shared" si="67"/>
        <v>-1</v>
      </c>
    </row>
    <row r="85" spans="1:26" s="24" customFormat="1" hidden="1" outlineLevel="2" x14ac:dyDescent="0.25">
      <c r="A85" s="25"/>
      <c r="B85" s="11" t="str">
        <f>CONCATENATE("          ", "6245", " - ", "PRINTING")</f>
        <v xml:space="preserve">          6245 - PRINTING</v>
      </c>
      <c r="C85" s="11"/>
      <c r="D85" s="6"/>
      <c r="E85" s="2"/>
      <c r="F85" s="7">
        <f t="shared" si="60"/>
        <v>0</v>
      </c>
      <c r="G85" s="2"/>
      <c r="H85" s="6">
        <v>50</v>
      </c>
      <c r="I85" s="2"/>
      <c r="J85" s="7">
        <f t="shared" si="61"/>
        <v>3.9062500000000002E-4</v>
      </c>
      <c r="K85" s="2"/>
      <c r="L85" s="6">
        <f t="shared" si="62"/>
        <v>-50</v>
      </c>
      <c r="M85" s="2"/>
      <c r="N85" s="7">
        <f t="shared" si="63"/>
        <v>-1</v>
      </c>
      <c r="O85" s="11"/>
      <c r="P85" s="6">
        <v>66.930000000000007</v>
      </c>
      <c r="Q85" s="2"/>
      <c r="R85" s="7">
        <f t="shared" si="64"/>
        <v>9.2785437979152295E-5</v>
      </c>
      <c r="S85" s="2"/>
      <c r="T85" s="6">
        <v>550</v>
      </c>
      <c r="U85" s="2"/>
      <c r="V85" s="7">
        <f t="shared" si="65"/>
        <v>5.8121103244214304E-4</v>
      </c>
      <c r="W85" s="2"/>
      <c r="X85" s="6">
        <f t="shared" si="66"/>
        <v>-483.07</v>
      </c>
      <c r="Y85" s="2"/>
      <c r="Z85" s="7">
        <f t="shared" si="67"/>
        <v>-0.87830909090909093</v>
      </c>
    </row>
    <row r="86" spans="1:26" s="24" customFormat="1" hidden="1" outlineLevel="2" x14ac:dyDescent="0.25">
      <c r="A86" s="25"/>
      <c r="B86" s="11" t="str">
        <f>CONCATENATE("          ", "6246", " - ", "REPLACEMENTS")</f>
        <v xml:space="preserve">          6246 - REPLACEMENTS</v>
      </c>
      <c r="C86" s="11"/>
      <c r="D86" s="6"/>
      <c r="E86" s="2"/>
      <c r="F86" s="7">
        <f t="shared" si="60"/>
        <v>0</v>
      </c>
      <c r="G86" s="2"/>
      <c r="H86" s="6"/>
      <c r="I86" s="2"/>
      <c r="J86" s="7">
        <f t="shared" si="61"/>
        <v>0</v>
      </c>
      <c r="K86" s="2"/>
      <c r="L86" s="6">
        <f t="shared" si="62"/>
        <v>0</v>
      </c>
      <c r="M86" s="2"/>
      <c r="N86" s="7">
        <f t="shared" si="63"/>
        <v>0</v>
      </c>
      <c r="O86" s="11"/>
      <c r="P86" s="6"/>
      <c r="Q86" s="2"/>
      <c r="R86" s="7">
        <f t="shared" si="64"/>
        <v>0</v>
      </c>
      <c r="S86" s="2"/>
      <c r="T86" s="6">
        <v>2400</v>
      </c>
      <c r="U86" s="2"/>
      <c r="V86" s="7">
        <f t="shared" si="65"/>
        <v>2.5361935961111699E-3</v>
      </c>
      <c r="W86" s="2"/>
      <c r="X86" s="6">
        <f t="shared" si="66"/>
        <v>-2400</v>
      </c>
      <c r="Y86" s="2"/>
      <c r="Z86" s="7">
        <f t="shared" si="67"/>
        <v>-1</v>
      </c>
    </row>
    <row r="87" spans="1:26" s="24" customFormat="1" hidden="1" outlineLevel="2" x14ac:dyDescent="0.25">
      <c r="A87" s="25"/>
      <c r="B87" s="11" t="str">
        <f>CONCATENATE("          ", "6247", " - ", "STORE SUPPLIES")</f>
        <v xml:space="preserve">          6247 - STORE SUPPLIES</v>
      </c>
      <c r="C87" s="11"/>
      <c r="D87" s="6">
        <v>214.76</v>
      </c>
      <c r="E87" s="2"/>
      <c r="F87" s="7">
        <f t="shared" si="60"/>
        <v>4.528978630542811E-3</v>
      </c>
      <c r="G87" s="2"/>
      <c r="H87" s="6">
        <v>100</v>
      </c>
      <c r="I87" s="2"/>
      <c r="J87" s="7">
        <f t="shared" si="61"/>
        <v>7.8125000000000004E-4</v>
      </c>
      <c r="K87" s="2"/>
      <c r="L87" s="6">
        <f t="shared" si="62"/>
        <v>114.75999999999999</v>
      </c>
      <c r="M87" s="2"/>
      <c r="N87" s="7">
        <f t="shared" si="63"/>
        <v>1.1476</v>
      </c>
      <c r="O87" s="11"/>
      <c r="P87" s="6">
        <v>-1251.8</v>
      </c>
      <c r="Q87" s="2"/>
      <c r="R87" s="7">
        <f t="shared" si="64"/>
        <v>-1.7353774280935729E-3</v>
      </c>
      <c r="S87" s="2"/>
      <c r="T87" s="6">
        <v>850</v>
      </c>
      <c r="U87" s="2"/>
      <c r="V87" s="7">
        <f t="shared" si="65"/>
        <v>8.9823523195603928E-4</v>
      </c>
      <c r="W87" s="2"/>
      <c r="X87" s="6">
        <f t="shared" si="66"/>
        <v>-2101.8000000000002</v>
      </c>
      <c r="Y87" s="2"/>
      <c r="Z87" s="7">
        <f t="shared" si="67"/>
        <v>-2.4727058823529413</v>
      </c>
    </row>
    <row r="88" spans="1:26" s="24" customFormat="1" hidden="1" outlineLevel="2" x14ac:dyDescent="0.25">
      <c r="A88" s="25"/>
      <c r="B88" s="11" t="str">
        <f>CONCATENATE("          ", "6248", " - ", "UNIFORMS")</f>
        <v xml:space="preserve">          6248 - UNIFORMS</v>
      </c>
      <c r="C88" s="11"/>
      <c r="D88" s="6"/>
      <c r="E88" s="2"/>
      <c r="F88" s="7">
        <f t="shared" si="60"/>
        <v>0</v>
      </c>
      <c r="G88" s="2"/>
      <c r="H88" s="6"/>
      <c r="I88" s="2"/>
      <c r="J88" s="7">
        <f t="shared" si="61"/>
        <v>0</v>
      </c>
      <c r="K88" s="2"/>
      <c r="L88" s="6">
        <f t="shared" si="62"/>
        <v>0</v>
      </c>
      <c r="M88" s="2"/>
      <c r="N88" s="7">
        <f t="shared" si="63"/>
        <v>0</v>
      </c>
      <c r="O88" s="11"/>
      <c r="P88" s="6">
        <v>134.08000000000001</v>
      </c>
      <c r="Q88" s="2"/>
      <c r="R88" s="7">
        <f t="shared" si="64"/>
        <v>1.8587586320401524E-4</v>
      </c>
      <c r="S88" s="2"/>
      <c r="T88" s="6"/>
      <c r="U88" s="2"/>
      <c r="V88" s="7">
        <f t="shared" si="65"/>
        <v>0</v>
      </c>
      <c r="W88" s="2"/>
      <c r="X88" s="6">
        <f t="shared" si="66"/>
        <v>134.08000000000001</v>
      </c>
      <c r="Y88" s="2"/>
      <c r="Z88" s="7">
        <f t="shared" si="67"/>
        <v>0</v>
      </c>
    </row>
    <row r="89" spans="1:26" s="27" customFormat="1" outlineLevel="1" collapsed="1" x14ac:dyDescent="0.25">
      <c r="A89" s="26"/>
      <c r="B89" s="13" t="str">
        <f>CONCATENATE("     ","Telephone/Data Lines                              ")</f>
        <v xml:space="preserve">     Telephone/Data Lines                              </v>
      </c>
      <c r="C89" s="13"/>
      <c r="D89" s="1">
        <f>SUM(OSRRefD22_16x_0)</f>
        <v>74.150000000000006</v>
      </c>
      <c r="E89" s="1"/>
      <c r="F89" s="5">
        <f t="shared" ref="F89:F96" si="68">IF(D$12=0,0,D89/D$12)</f>
        <v>1.5637165461666485E-3</v>
      </c>
      <c r="G89" s="1"/>
      <c r="H89" s="1">
        <f>SUM(OSRRefH22_16x_0)</f>
        <v>50</v>
      </c>
      <c r="I89" s="1"/>
      <c r="J89" s="5">
        <f t="shared" ref="J89:J96" si="69">IF(H$12=0,0,H89/H$12)</f>
        <v>3.9062500000000002E-4</v>
      </c>
      <c r="K89" s="1"/>
      <c r="L89" s="1">
        <f t="shared" ref="L89:L96" si="70">+D89-H89</f>
        <v>24.150000000000006</v>
      </c>
      <c r="M89" s="1"/>
      <c r="N89" s="5">
        <f t="shared" ref="N89:N96" si="71">IF(H89=0,0,L89/H89)</f>
        <v>0.4830000000000001</v>
      </c>
      <c r="O89" s="13"/>
      <c r="P89" s="1">
        <f>SUM(OSRRefP22_16x_0)</f>
        <v>1462.8</v>
      </c>
      <c r="Q89" s="1"/>
      <c r="R89" s="5">
        <f t="shared" ref="R89:R96" si="72">IF(P$12=0,0,P89/P$12)</f>
        <v>2.0278879228433281E-3</v>
      </c>
      <c r="S89" s="1"/>
      <c r="T89" s="1">
        <f>SUM(OSRRefT22_16x_0)</f>
        <v>450</v>
      </c>
      <c r="U89" s="1"/>
      <c r="V89" s="5">
        <f t="shared" ref="V89:V96" si="73">IF(T$12=0,0,T89/T$12)</f>
        <v>4.7553629927084436E-4</v>
      </c>
      <c r="W89" s="1"/>
      <c r="X89" s="1">
        <f t="shared" ref="X89:X96" si="74">+P89-T89</f>
        <v>1012.8</v>
      </c>
      <c r="Y89" s="1"/>
      <c r="Z89" s="5">
        <f t="shared" ref="Z89:Z96" si="75">IF(T89=0,0,X89/T89)</f>
        <v>2.2506666666666666</v>
      </c>
    </row>
    <row r="90" spans="1:26" s="24" customFormat="1" hidden="1" outlineLevel="2" x14ac:dyDescent="0.25">
      <c r="A90" s="25"/>
      <c r="B90" s="11" t="str">
        <f>CONCATENATE("          ", "6309", " - ", "TELEPHONE")</f>
        <v xml:space="preserve">          6309 - TELEPHONE</v>
      </c>
      <c r="C90" s="11"/>
      <c r="D90" s="6">
        <v>74.150000000000006</v>
      </c>
      <c r="E90" s="2"/>
      <c r="F90" s="7">
        <f t="shared" si="68"/>
        <v>1.5637165461666485E-3</v>
      </c>
      <c r="G90" s="2"/>
      <c r="H90" s="6">
        <v>50</v>
      </c>
      <c r="I90" s="2"/>
      <c r="J90" s="7">
        <f t="shared" si="69"/>
        <v>3.9062500000000002E-4</v>
      </c>
      <c r="K90" s="2"/>
      <c r="L90" s="6">
        <f t="shared" si="70"/>
        <v>24.150000000000006</v>
      </c>
      <c r="M90" s="2"/>
      <c r="N90" s="7">
        <f t="shared" si="71"/>
        <v>0.4830000000000001</v>
      </c>
      <c r="O90" s="11"/>
      <c r="P90" s="6">
        <v>1462.8</v>
      </c>
      <c r="Q90" s="2"/>
      <c r="R90" s="7">
        <f t="shared" si="72"/>
        <v>2.0278879228433281E-3</v>
      </c>
      <c r="S90" s="2"/>
      <c r="T90" s="6">
        <v>450</v>
      </c>
      <c r="U90" s="2"/>
      <c r="V90" s="7">
        <f t="shared" si="73"/>
        <v>4.7553629927084436E-4</v>
      </c>
      <c r="W90" s="2"/>
      <c r="X90" s="6">
        <f t="shared" si="74"/>
        <v>1012.8</v>
      </c>
      <c r="Y90" s="2"/>
      <c r="Z90" s="7">
        <f t="shared" si="75"/>
        <v>2.2506666666666666</v>
      </c>
    </row>
    <row r="91" spans="1:26" s="27" customFormat="1" outlineLevel="1" collapsed="1" x14ac:dyDescent="0.25">
      <c r="A91" s="26"/>
      <c r="B91" s="13" t="str">
        <f>CONCATENATE("     ","Training                                          ")</f>
        <v xml:space="preserve">     Training                                          </v>
      </c>
      <c r="C91" s="13"/>
      <c r="D91" s="1">
        <f>SUM(OSRRefD22_17x_0)</f>
        <v>0</v>
      </c>
      <c r="E91" s="1"/>
      <c r="F91" s="5">
        <f t="shared" si="68"/>
        <v>0</v>
      </c>
      <c r="G91" s="1"/>
      <c r="H91" s="1">
        <f>SUM(OSRRefH22_17x_0)</f>
        <v>0</v>
      </c>
      <c r="I91" s="1"/>
      <c r="J91" s="5">
        <f t="shared" si="69"/>
        <v>0</v>
      </c>
      <c r="K91" s="1"/>
      <c r="L91" s="1">
        <f t="shared" si="70"/>
        <v>0</v>
      </c>
      <c r="M91" s="1"/>
      <c r="N91" s="5">
        <f t="shared" si="71"/>
        <v>0</v>
      </c>
      <c r="O91" s="13"/>
      <c r="P91" s="1">
        <f>SUM(OSRRefP22_17x_0)</f>
        <v>465.65</v>
      </c>
      <c r="Q91" s="1"/>
      <c r="R91" s="5">
        <f t="shared" si="72"/>
        <v>6.4553323165982761E-4</v>
      </c>
      <c r="S91" s="1"/>
      <c r="T91" s="1">
        <f>SUM(OSRRefT22_17x_0)</f>
        <v>1000</v>
      </c>
      <c r="U91" s="1"/>
      <c r="V91" s="5">
        <f t="shared" si="73"/>
        <v>1.0567473317129874E-3</v>
      </c>
      <c r="W91" s="1"/>
      <c r="X91" s="1">
        <f t="shared" si="74"/>
        <v>-534.35</v>
      </c>
      <c r="Y91" s="1"/>
      <c r="Z91" s="5">
        <f t="shared" si="75"/>
        <v>-0.53434999999999999</v>
      </c>
    </row>
    <row r="92" spans="1:26" s="24" customFormat="1" hidden="1" outlineLevel="2" x14ac:dyDescent="0.25">
      <c r="A92" s="25"/>
      <c r="B92" s="11" t="str">
        <f>CONCATENATE("          ", "6376", " - ", "TRAINING")</f>
        <v xml:space="preserve">          6376 - TRAINING</v>
      </c>
      <c r="C92" s="11"/>
      <c r="D92" s="6"/>
      <c r="E92" s="2"/>
      <c r="F92" s="7">
        <f t="shared" si="68"/>
        <v>0</v>
      </c>
      <c r="G92" s="2"/>
      <c r="H92" s="6"/>
      <c r="I92" s="2"/>
      <c r="J92" s="7">
        <f t="shared" si="69"/>
        <v>0</v>
      </c>
      <c r="K92" s="2"/>
      <c r="L92" s="6">
        <f t="shared" si="70"/>
        <v>0</v>
      </c>
      <c r="M92" s="2"/>
      <c r="N92" s="7">
        <f t="shared" si="71"/>
        <v>0</v>
      </c>
      <c r="O92" s="11"/>
      <c r="P92" s="6">
        <v>465.65</v>
      </c>
      <c r="Q92" s="2"/>
      <c r="R92" s="7">
        <f t="shared" si="72"/>
        <v>6.4553323165982761E-4</v>
      </c>
      <c r="S92" s="2"/>
      <c r="T92" s="6">
        <v>1000</v>
      </c>
      <c r="U92" s="2"/>
      <c r="V92" s="7">
        <f t="shared" si="73"/>
        <v>1.0567473317129874E-3</v>
      </c>
      <c r="W92" s="2"/>
      <c r="X92" s="6">
        <f t="shared" si="74"/>
        <v>-534.35</v>
      </c>
      <c r="Y92" s="2"/>
      <c r="Z92" s="7">
        <f t="shared" si="75"/>
        <v>-0.53434999999999999</v>
      </c>
    </row>
    <row r="93" spans="1:26" s="27" customFormat="1" outlineLevel="1" collapsed="1" x14ac:dyDescent="0.25">
      <c r="A93" s="26"/>
      <c r="B93" s="13" t="str">
        <f>CONCATENATE("     ","Travel                                            ")</f>
        <v xml:space="preserve">     Travel                                            </v>
      </c>
      <c r="C93" s="13"/>
      <c r="D93" s="1">
        <f>SUM(OSRRefD22_18x_0)</f>
        <v>0</v>
      </c>
      <c r="E93" s="1"/>
      <c r="F93" s="5">
        <f t="shared" si="68"/>
        <v>0</v>
      </c>
      <c r="G93" s="1"/>
      <c r="H93" s="1">
        <f>SUM(OSRRefH22_18x_0)</f>
        <v>0</v>
      </c>
      <c r="I93" s="1"/>
      <c r="J93" s="5">
        <f t="shared" si="69"/>
        <v>0</v>
      </c>
      <c r="K93" s="1"/>
      <c r="L93" s="1">
        <f t="shared" si="70"/>
        <v>0</v>
      </c>
      <c r="M93" s="1"/>
      <c r="N93" s="5">
        <f t="shared" si="71"/>
        <v>0</v>
      </c>
      <c r="O93" s="13"/>
      <c r="P93" s="1">
        <f>SUM(OSRRefP22_18x_0)</f>
        <v>0</v>
      </c>
      <c r="Q93" s="1"/>
      <c r="R93" s="5">
        <f t="shared" si="72"/>
        <v>0</v>
      </c>
      <c r="S93" s="1"/>
      <c r="T93" s="1">
        <f>SUM(OSRRefT22_18x_0)</f>
        <v>1000</v>
      </c>
      <c r="U93" s="1"/>
      <c r="V93" s="5">
        <f t="shared" si="73"/>
        <v>1.0567473317129874E-3</v>
      </c>
      <c r="W93" s="1"/>
      <c r="X93" s="1">
        <f t="shared" si="74"/>
        <v>-1000</v>
      </c>
      <c r="Y93" s="1"/>
      <c r="Z93" s="5">
        <f t="shared" si="75"/>
        <v>-1</v>
      </c>
    </row>
    <row r="94" spans="1:26" s="24" customFormat="1" hidden="1" outlineLevel="2" x14ac:dyDescent="0.25">
      <c r="A94" s="25"/>
      <c r="B94" s="11" t="str">
        <f>CONCATENATE("          ", "6292", " - ", "TRAVEL/CONFERENCE")</f>
        <v xml:space="preserve">          6292 - TRAVEL/CONFERENCE</v>
      </c>
      <c r="C94" s="11"/>
      <c r="D94" s="6"/>
      <c r="E94" s="2"/>
      <c r="F94" s="7">
        <f t="shared" si="68"/>
        <v>0</v>
      </c>
      <c r="G94" s="2"/>
      <c r="H94" s="6"/>
      <c r="I94" s="2"/>
      <c r="J94" s="7">
        <f t="shared" si="69"/>
        <v>0</v>
      </c>
      <c r="K94" s="2"/>
      <c r="L94" s="6">
        <f t="shared" si="70"/>
        <v>0</v>
      </c>
      <c r="M94" s="2"/>
      <c r="N94" s="7">
        <f t="shared" si="71"/>
        <v>0</v>
      </c>
      <c r="O94" s="11"/>
      <c r="P94" s="6"/>
      <c r="Q94" s="2"/>
      <c r="R94" s="7">
        <f t="shared" si="72"/>
        <v>0</v>
      </c>
      <c r="S94" s="2"/>
      <c r="T94" s="6">
        <v>1000</v>
      </c>
      <c r="U94" s="2"/>
      <c r="V94" s="7">
        <f t="shared" si="73"/>
        <v>1.0567473317129874E-3</v>
      </c>
      <c r="W94" s="2"/>
      <c r="X94" s="6">
        <f t="shared" si="74"/>
        <v>-1000</v>
      </c>
      <c r="Y94" s="2"/>
      <c r="Z94" s="7">
        <f t="shared" si="75"/>
        <v>-1</v>
      </c>
    </row>
    <row r="95" spans="1:26" s="27" customFormat="1" outlineLevel="1" collapsed="1" x14ac:dyDescent="0.25">
      <c r="A95" s="26"/>
      <c r="B95" s="13" t="str">
        <f>CONCATENATE("     ","Utilities                                         ")</f>
        <v xml:space="preserve">     Utilities                                         </v>
      </c>
      <c r="C95" s="13"/>
      <c r="D95" s="1">
        <f>SUM(OSRRefD22_19x_0)</f>
        <v>348</v>
      </c>
      <c r="E95" s="1"/>
      <c r="F95" s="5">
        <f t="shared" si="68"/>
        <v>7.3388180453943849E-3</v>
      </c>
      <c r="G95" s="1"/>
      <c r="H95" s="1">
        <f>SUM(OSRRefH22_19x_0)</f>
        <v>350</v>
      </c>
      <c r="I95" s="1"/>
      <c r="J95" s="5">
        <f t="shared" si="69"/>
        <v>2.7343749999999998E-3</v>
      </c>
      <c r="K95" s="1"/>
      <c r="L95" s="1">
        <f t="shared" si="70"/>
        <v>-2</v>
      </c>
      <c r="M95" s="1"/>
      <c r="N95" s="5">
        <f t="shared" si="71"/>
        <v>-5.7142857142857143E-3</v>
      </c>
      <c r="O95" s="13"/>
      <c r="P95" s="1">
        <f>SUM(OSRRefP22_19x_0)</f>
        <v>3128</v>
      </c>
      <c r="Q95" s="1"/>
      <c r="R95" s="5">
        <f t="shared" si="72"/>
        <v>4.3363641117404508E-3</v>
      </c>
      <c r="S95" s="1"/>
      <c r="T95" s="1">
        <f>SUM(OSRRefT22_19x_0)</f>
        <v>3150</v>
      </c>
      <c r="U95" s="1"/>
      <c r="V95" s="5">
        <f t="shared" si="73"/>
        <v>3.3287540948959103E-3</v>
      </c>
      <c r="W95" s="1"/>
      <c r="X95" s="1">
        <f t="shared" si="74"/>
        <v>-22</v>
      </c>
      <c r="Y95" s="1"/>
      <c r="Z95" s="5">
        <f t="shared" si="75"/>
        <v>-6.9841269841269841E-3</v>
      </c>
    </row>
    <row r="96" spans="1:26" s="24" customFormat="1" hidden="1" outlineLevel="2" x14ac:dyDescent="0.25">
      <c r="A96" s="25"/>
      <c r="B96" s="11" t="str">
        <f>CONCATENATE("          ", "6274", " - ", "UTILITIES")</f>
        <v xml:space="preserve">          6274 - UTILITIES</v>
      </c>
      <c r="C96" s="11"/>
      <c r="D96" s="6">
        <v>348</v>
      </c>
      <c r="E96" s="2"/>
      <c r="F96" s="7">
        <f t="shared" si="68"/>
        <v>7.3388180453943849E-3</v>
      </c>
      <c r="G96" s="2"/>
      <c r="H96" s="6">
        <v>350</v>
      </c>
      <c r="I96" s="2"/>
      <c r="J96" s="7">
        <f t="shared" si="69"/>
        <v>2.7343749999999998E-3</v>
      </c>
      <c r="K96" s="2"/>
      <c r="L96" s="6">
        <f t="shared" si="70"/>
        <v>-2</v>
      </c>
      <c r="M96" s="2"/>
      <c r="N96" s="7">
        <f t="shared" si="71"/>
        <v>-5.7142857142857143E-3</v>
      </c>
      <c r="O96" s="11"/>
      <c r="P96" s="6">
        <v>3128</v>
      </c>
      <c r="Q96" s="2"/>
      <c r="R96" s="7">
        <f t="shared" si="72"/>
        <v>4.3363641117404508E-3</v>
      </c>
      <c r="S96" s="2"/>
      <c r="T96" s="6">
        <v>3150</v>
      </c>
      <c r="U96" s="2"/>
      <c r="V96" s="7">
        <f t="shared" si="73"/>
        <v>3.3287540948959103E-3</v>
      </c>
      <c r="W96" s="2"/>
      <c r="X96" s="6">
        <f t="shared" si="74"/>
        <v>-22</v>
      </c>
      <c r="Y96" s="2"/>
      <c r="Z96" s="7">
        <f t="shared" si="75"/>
        <v>-6.9841269841269841E-3</v>
      </c>
    </row>
    <row r="97" spans="1:26" s="56" customFormat="1" x14ac:dyDescent="0.25">
      <c r="A97" s="36"/>
      <c r="B97" s="36"/>
      <c r="C97" s="36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6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x14ac:dyDescent="0.25">
      <c r="A98" s="10"/>
      <c r="B98" s="29" t="s">
        <v>0</v>
      </c>
      <c r="C98" s="10"/>
      <c r="D98" s="4">
        <f>SUM(0)</f>
        <v>0</v>
      </c>
      <c r="E98" s="4"/>
      <c r="F98" s="12">
        <f>IF(D$12=0,0,D98/D$12)</f>
        <v>0</v>
      </c>
      <c r="G98" s="4"/>
      <c r="H98" s="4">
        <f>SUM(0)</f>
        <v>0</v>
      </c>
      <c r="I98" s="4"/>
      <c r="J98" s="12">
        <f>IF(H$12=0,0,H98/H$12)</f>
        <v>0</v>
      </c>
      <c r="K98" s="4"/>
      <c r="L98" s="4">
        <f>+D98-H98</f>
        <v>0</v>
      </c>
      <c r="M98" s="4"/>
      <c r="N98" s="12">
        <f>IF(H98=0,0,L98/H98)</f>
        <v>0</v>
      </c>
      <c r="O98" s="10"/>
      <c r="P98" s="4">
        <f>SUM(0)</f>
        <v>0</v>
      </c>
      <c r="Q98" s="4"/>
      <c r="R98" s="12">
        <f>IF(P$12=0,0,P98/P$12)</f>
        <v>0</v>
      </c>
      <c r="S98" s="4"/>
      <c r="T98" s="4">
        <f>SUM(0)</f>
        <v>0</v>
      </c>
      <c r="U98" s="4"/>
      <c r="V98" s="12">
        <f>IF(T$12=0,0,T98/T$12)</f>
        <v>0</v>
      </c>
      <c r="W98" s="4"/>
      <c r="X98" s="4">
        <f>+P98-T98</f>
        <v>0</v>
      </c>
      <c r="Y98" s="4"/>
      <c r="Z98" s="12">
        <f>IF(T98=0,0,X98/T98)</f>
        <v>0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10"/>
      <c r="B100" s="28" t="s">
        <v>3</v>
      </c>
      <c r="C100" s="28"/>
      <c r="D100" s="20">
        <f>+D22-D24+D98</f>
        <v>-29632.429999999986</v>
      </c>
      <c r="E100" s="14"/>
      <c r="F100" s="22">
        <f>IF(D$12=0,0,D100/D$12)</f>
        <v>-0.62490520693357998</v>
      </c>
      <c r="G100" s="14"/>
      <c r="H100" s="20">
        <f>+H22-H24+H98</f>
        <v>28082.01059759999</v>
      </c>
      <c r="I100" s="14"/>
      <c r="J100" s="22">
        <f>IF(H$12=0,0,H100/H$12)</f>
        <v>0.21939070779374992</v>
      </c>
      <c r="K100" s="16"/>
      <c r="L100" s="20">
        <f>+D100-H100</f>
        <v>-57714.440597599976</v>
      </c>
      <c r="M100" s="16"/>
      <c r="N100" s="22">
        <f>IF(H100=0,0,L100/H100)</f>
        <v>-2.0552104129799202</v>
      </c>
      <c r="O100" s="29"/>
      <c r="P100" s="20">
        <f>+P22-P24+P98</f>
        <v>-66929.51999999996</v>
      </c>
      <c r="Q100" s="14"/>
      <c r="R100" s="22">
        <f>IF(P$12=0,0,P100/P$12)</f>
        <v>-9.2784772552434322E-2</v>
      </c>
      <c r="S100" s="14"/>
      <c r="T100" s="20">
        <f>+T22-T24+T98</f>
        <v>137313.54338819999</v>
      </c>
      <c r="U100" s="14"/>
      <c r="V100" s="22">
        <f>IF(T$12=0,0,T100/T$12)</f>
        <v>0.14510572058353588</v>
      </c>
      <c r="W100" s="16"/>
      <c r="X100" s="20">
        <f>+P100-T100</f>
        <v>-204243.06338819995</v>
      </c>
      <c r="Y100" s="16"/>
      <c r="Z100" s="22">
        <f>IF(T100=0,0,X100/T100)</f>
        <v>-1.4874211119203522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52"/>
      <c r="B102" s="10" t="s">
        <v>14</v>
      </c>
      <c r="C102" s="10"/>
      <c r="D102" s="4">
        <v>8607.4599999999991</v>
      </c>
      <c r="E102" s="4"/>
      <c r="F102" s="12">
        <f>IF(D$12=0,0,D102/D$12)</f>
        <v>0.18151891601439754</v>
      </c>
      <c r="G102" s="4"/>
      <c r="H102" s="4">
        <v>12212</v>
      </c>
      <c r="I102" s="4"/>
      <c r="J102" s="12">
        <f>IF(H$12=0,0,H102/H$12)</f>
        <v>9.5406249999999998E-2</v>
      </c>
      <c r="K102" s="4"/>
      <c r="L102" s="4">
        <f>+D102-H102</f>
        <v>-3604.5400000000009</v>
      </c>
      <c r="M102" s="4"/>
      <c r="N102" s="12">
        <f>IF(H102=0,0,L102/H102)</f>
        <v>-0.29516377333770072</v>
      </c>
      <c r="O102" s="10"/>
      <c r="P102" s="4">
        <v>77293.5</v>
      </c>
      <c r="Q102" s="4"/>
      <c r="R102" s="12">
        <f>IF(P$12=0,0,P102/P$12)</f>
        <v>0.10715241671061718</v>
      </c>
      <c r="S102" s="4"/>
      <c r="T102" s="4">
        <v>110614</v>
      </c>
      <c r="U102" s="4"/>
      <c r="V102" s="12">
        <f>IF(T$12=0,0,T102/T$12)</f>
        <v>0.11689104935010039</v>
      </c>
      <c r="W102" s="4"/>
      <c r="X102" s="4">
        <f>+P102-T102</f>
        <v>-33320.5</v>
      </c>
      <c r="Y102" s="4"/>
      <c r="Z102" s="12">
        <f>IF(T102=0,0,X102/T102)</f>
        <v>-0.30123221292060681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8" t="s">
        <v>4</v>
      </c>
      <c r="C104" s="28"/>
      <c r="D104" s="31">
        <f>+D100-D102</f>
        <v>-38239.889999999985</v>
      </c>
      <c r="E104" s="14"/>
      <c r="F104" s="34">
        <f>IF(D$12=0,0,D104/D$12)</f>
        <v>-0.80642412294797761</v>
      </c>
      <c r="G104" s="14"/>
      <c r="H104" s="31">
        <f>+H100-H102</f>
        <v>15870.01059759999</v>
      </c>
      <c r="I104" s="14"/>
      <c r="J104" s="34">
        <f>IF(H$12=0,0,H104/H$12)</f>
        <v>0.12398445779374992</v>
      </c>
      <c r="K104" s="16"/>
      <c r="L104" s="31">
        <f>D104-H104</f>
        <v>-54109.900597599975</v>
      </c>
      <c r="M104" s="16"/>
      <c r="N104" s="34">
        <f>IF(H104=0,0,L104/H104)</f>
        <v>-3.409569279417052</v>
      </c>
      <c r="O104" s="29"/>
      <c r="P104" s="31">
        <f>+P100-P102</f>
        <v>-144223.01999999996</v>
      </c>
      <c r="Q104" s="14"/>
      <c r="R104" s="34">
        <f>IF(P$12=0,0,P104/P$12)</f>
        <v>-0.19993718926305148</v>
      </c>
      <c r="S104" s="14"/>
      <c r="T104" s="31">
        <f>+T100-T102</f>
        <v>26699.543388199992</v>
      </c>
      <c r="U104" s="14"/>
      <c r="V104" s="34">
        <f>IF(T$12=0,0,T104/T$12)</f>
        <v>2.8214671233435476E-2</v>
      </c>
      <c r="W104" s="16"/>
      <c r="X104" s="31">
        <f>P104-T104</f>
        <v>-170922.56338819995</v>
      </c>
      <c r="Y104" s="16"/>
      <c r="Z104" s="34">
        <f>IF(T104=0,0,X104/T104)</f>
        <v>-6.4017036135434475</v>
      </c>
    </row>
    <row r="105" spans="1:26" ht="15.75" thickTop="1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8" t="s">
        <v>5</v>
      </c>
      <c r="C107" s="28"/>
      <c r="D107" s="32">
        <f>SUM(D104:D106)</f>
        <v>-38239.889999999985</v>
      </c>
      <c r="E107" s="14"/>
      <c r="F107" s="35">
        <f>IF(D$12=0,0,D107/D$12)</f>
        <v>-0.80642412294797761</v>
      </c>
      <c r="G107" s="14"/>
      <c r="H107" s="32">
        <f>SUM(H104:H106)</f>
        <v>15870.01059759999</v>
      </c>
      <c r="I107" s="14"/>
      <c r="J107" s="35">
        <f>IF(H$12=0,0,H107/H$12)</f>
        <v>0.12398445779374992</v>
      </c>
      <c r="K107" s="16"/>
      <c r="L107" s="32">
        <f>+D107-H107</f>
        <v>-54109.900597599975</v>
      </c>
      <c r="M107" s="16"/>
      <c r="N107" s="35">
        <f>IF(H107=0,0,L107/H107)</f>
        <v>-3.409569279417052</v>
      </c>
      <c r="O107" s="29"/>
      <c r="P107" s="32">
        <f>SUM(P104:P106)</f>
        <v>-144223.01999999996</v>
      </c>
      <c r="Q107" s="14"/>
      <c r="R107" s="35">
        <f>IF(P$12=0,0,P107/P$12)</f>
        <v>-0.19993718926305148</v>
      </c>
      <c r="S107" s="14"/>
      <c r="T107" s="32">
        <f>SUM(T104:T106)</f>
        <v>26699.543388199992</v>
      </c>
      <c r="U107" s="14"/>
      <c r="V107" s="35">
        <f>IF(T$12=0,0,T107/T$12)</f>
        <v>2.8214671233435476E-2</v>
      </c>
      <c r="W107" s="16"/>
      <c r="X107" s="32">
        <f>+P107-T107</f>
        <v>-170922.56338819995</v>
      </c>
      <c r="Y107" s="16"/>
      <c r="Z107" s="35">
        <f>IF(T107=0,0,X107/T107)</f>
        <v>-6.4017036135434475</v>
      </c>
    </row>
    <row r="108" spans="1:26" ht="15.75" thickTop="1" x14ac:dyDescent="0.25">
      <c r="A108" s="9"/>
      <c r="C108" s="9"/>
      <c r="D108" s="18"/>
      <c r="E108" s="18"/>
      <c r="G108" s="18"/>
      <c r="H108" s="18"/>
      <c r="I108" s="18"/>
      <c r="J108" s="42"/>
      <c r="K108" s="18"/>
      <c r="L108" s="18"/>
      <c r="M108" s="18"/>
      <c r="P108" s="18"/>
      <c r="Q108" s="18"/>
      <c r="R108" s="42"/>
      <c r="S108" s="18"/>
      <c r="T108" s="18"/>
      <c r="U108" s="18"/>
      <c r="V108" s="42"/>
      <c r="W108" s="18"/>
      <c r="X108" s="18"/>
    </row>
    <row r="109" spans="1:26" x14ac:dyDescent="0.25">
      <c r="A109" s="9"/>
      <c r="B109" s="57">
        <v>43934.4666784375</v>
      </c>
      <c r="D109" s="18"/>
      <c r="E109" s="18"/>
      <c r="G109" s="18"/>
      <c r="H109" s="18"/>
      <c r="I109" s="18"/>
      <c r="J109" s="42"/>
      <c r="K109" s="18"/>
      <c r="L109" s="18"/>
      <c r="M109" s="18"/>
      <c r="P109" s="18"/>
      <c r="Q109" s="18"/>
      <c r="R109" s="42"/>
      <c r="S109" s="18"/>
      <c r="T109" s="18"/>
      <c r="U109" s="18"/>
      <c r="V109" s="42"/>
      <c r="W109" s="18"/>
      <c r="X109" s="18"/>
    </row>
    <row r="110" spans="1:26" x14ac:dyDescent="0.25">
      <c r="A110" s="9"/>
      <c r="B110" s="62" t="s">
        <v>314</v>
      </c>
      <c r="D110" s="18"/>
      <c r="E110" s="18"/>
      <c r="G110" s="18"/>
      <c r="H110" s="18"/>
      <c r="I110" s="18"/>
      <c r="J110" s="42"/>
      <c r="K110" s="18"/>
      <c r="L110" s="18"/>
      <c r="M110" s="18"/>
      <c r="P110" s="18"/>
      <c r="Q110" s="18"/>
      <c r="R110" s="42"/>
      <c r="S110" s="18"/>
      <c r="T110" s="18"/>
      <c r="U110" s="18"/>
      <c r="V110" s="42"/>
      <c r="W110" s="18"/>
      <c r="X110" s="18"/>
    </row>
    <row r="111" spans="1:26" x14ac:dyDescent="0.25">
      <c r="A111" s="9"/>
      <c r="B111" s="60"/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  <row r="112" spans="1:26" x14ac:dyDescent="0.25"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","406", " - ", "OPA! Greek")</f>
        <v>Department 406 - OPA! Greek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11336.27</v>
      </c>
      <c r="E12" s="4"/>
      <c r="F12" s="12"/>
      <c r="G12" s="4"/>
      <c r="H12" s="4">
        <f>SUM(OSRRefH13x_0)</f>
        <v>46000</v>
      </c>
      <c r="I12" s="4"/>
      <c r="J12" s="12"/>
      <c r="K12" s="4"/>
      <c r="L12" s="4">
        <f t="shared" ref="L12:L16" si="0">+D12-H12</f>
        <v>-34663.729999999996</v>
      </c>
      <c r="M12" s="4"/>
      <c r="N12" s="12">
        <f t="shared" ref="N12:N16" si="1">IF(H12=0,0,L12/H12)</f>
        <v>-0.75355934782608691</v>
      </c>
      <c r="O12" s="10"/>
      <c r="P12" s="4">
        <f>SUM(OSRRefP13x_0)</f>
        <v>189965.58000000002</v>
      </c>
      <c r="Q12" s="4"/>
      <c r="R12" s="12"/>
      <c r="S12" s="4"/>
      <c r="T12" s="4">
        <f>SUM(OSRRefT13x_0)</f>
        <v>333000</v>
      </c>
      <c r="U12" s="4"/>
      <c r="V12" s="12"/>
      <c r="W12" s="4"/>
      <c r="X12" s="4">
        <f t="shared" ref="X12:X16" si="2">+P12-T12</f>
        <v>-143034.41999999998</v>
      </c>
      <c r="Y12" s="4"/>
      <c r="Z12" s="12">
        <f t="shared" ref="Z12:Z16" si="3">IF(T12=0,0,X12/T12)</f>
        <v>-0.42953279279279272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6000</v>
      </c>
      <c r="I13" s="2"/>
      <c r="J13" s="19"/>
      <c r="K13" s="2"/>
      <c r="L13" s="2">
        <f t="shared" si="0"/>
        <v>-6000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51000</v>
      </c>
      <c r="U13" s="2"/>
      <c r="V13" s="19"/>
      <c r="W13" s="2"/>
      <c r="X13" s="2">
        <f t="shared" si="2"/>
        <v>-51000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--2192.2</f>
        <v>2192.1999999999998</v>
      </c>
      <c r="E14" s="2"/>
      <c r="F14" s="19"/>
      <c r="G14" s="2"/>
      <c r="H14" s="2"/>
      <c r="I14" s="2"/>
      <c r="J14" s="19"/>
      <c r="K14" s="2"/>
      <c r="L14" s="2">
        <f t="shared" si="0"/>
        <v>2192.1999999999998</v>
      </c>
      <c r="M14" s="2"/>
      <c r="N14" s="19">
        <f t="shared" si="1"/>
        <v>0</v>
      </c>
      <c r="O14" s="11"/>
      <c r="P14" s="2">
        <f>--43841.85</f>
        <v>43841.85</v>
      </c>
      <c r="Q14" s="2"/>
      <c r="R14" s="19"/>
      <c r="S14" s="2"/>
      <c r="T14" s="2"/>
      <c r="U14" s="2"/>
      <c r="V14" s="19"/>
      <c r="W14" s="2"/>
      <c r="X14" s="2">
        <f t="shared" si="2"/>
        <v>43841.85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40000</v>
      </c>
      <c r="I15" s="2"/>
      <c r="J15" s="19"/>
      <c r="K15" s="2"/>
      <c r="L15" s="2">
        <f t="shared" si="0"/>
        <v>-40000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282000</v>
      </c>
      <c r="U15" s="2"/>
      <c r="V15" s="19"/>
      <c r="W15" s="2"/>
      <c r="X15" s="2">
        <f t="shared" si="2"/>
        <v>-282000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--9144.07</f>
        <v>9144.07</v>
      </c>
      <c r="E16" s="2"/>
      <c r="F16" s="19"/>
      <c r="G16" s="2"/>
      <c r="H16" s="2"/>
      <c r="I16" s="2"/>
      <c r="J16" s="19"/>
      <c r="K16" s="2"/>
      <c r="L16" s="2">
        <f t="shared" si="0"/>
        <v>9144.07</v>
      </c>
      <c r="M16" s="2"/>
      <c r="N16" s="19">
        <f t="shared" si="1"/>
        <v>0</v>
      </c>
      <c r="O16" s="11"/>
      <c r="P16" s="2">
        <f>--146123.73</f>
        <v>146123.73000000001</v>
      </c>
      <c r="Q16" s="2"/>
      <c r="R16" s="19"/>
      <c r="S16" s="2"/>
      <c r="T16" s="2"/>
      <c r="U16" s="2"/>
      <c r="V16" s="19"/>
      <c r="W16" s="2"/>
      <c r="X16" s="2">
        <f t="shared" si="2"/>
        <v>146123.73000000001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3628.26</v>
      </c>
      <c r="E18" s="4"/>
      <c r="F18" s="12">
        <f t="shared" ref="F18:F21" si="4">IF(D$12=0,0,D18/D$12)</f>
        <v>0.32005765564863931</v>
      </c>
      <c r="G18" s="4"/>
      <c r="H18" s="4">
        <f>SUM(OSRRefH16x_0)</f>
        <v>14720</v>
      </c>
      <c r="I18" s="4"/>
      <c r="J18" s="12">
        <f t="shared" ref="J18:J21" si="5">IF(H$12=0,0,H18/H$12)</f>
        <v>0.32</v>
      </c>
      <c r="K18" s="4"/>
      <c r="L18" s="4">
        <f t="shared" ref="L18:L21" si="6">+D18-H18</f>
        <v>-11091.74</v>
      </c>
      <c r="M18" s="4"/>
      <c r="N18" s="12">
        <f t="shared" ref="N18:N21" si="7">IF(H18=0,0,L18/H18)</f>
        <v>-0.75351494565217392</v>
      </c>
      <c r="O18" s="10"/>
      <c r="P18" s="4">
        <f>SUM(OSRRefP16x_0)</f>
        <v>66670.559999999998</v>
      </c>
      <c r="Q18" s="4"/>
      <c r="R18" s="12">
        <f t="shared" ref="R18:R21" si="8">IF(P$12=0,0,P18/P$12)</f>
        <v>0.35096126361417679</v>
      </c>
      <c r="S18" s="4"/>
      <c r="T18" s="4">
        <f>SUM(OSRRefT16x_0)</f>
        <v>106560</v>
      </c>
      <c r="U18" s="4"/>
      <c r="V18" s="12">
        <f t="shared" ref="V18:V21" si="9">IF(T$12=0,0,T18/T$12)</f>
        <v>0.32</v>
      </c>
      <c r="W18" s="4"/>
      <c r="X18" s="4">
        <f t="shared" ref="X18:X21" si="10">+P18-T18</f>
        <v>-39889.440000000002</v>
      </c>
      <c r="Y18" s="4"/>
      <c r="Z18" s="12">
        <f t="shared" ref="Z18:Z21" si="11">IF(T18=0,0,X18/T18)</f>
        <v>-0.37433783783783786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14720</v>
      </c>
      <c r="I19" s="2"/>
      <c r="J19" s="19">
        <f t="shared" si="5"/>
        <v>0.32</v>
      </c>
      <c r="K19" s="2"/>
      <c r="L19" s="2">
        <f t="shared" si="6"/>
        <v>-14720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106560</v>
      </c>
      <c r="U19" s="2"/>
      <c r="V19" s="19">
        <f t="shared" si="9"/>
        <v>0.32</v>
      </c>
      <c r="W19" s="2"/>
      <c r="X19" s="2">
        <f t="shared" si="10"/>
        <v>-106560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5315.26</v>
      </c>
      <c r="E20" s="2"/>
      <c r="F20" s="19">
        <f t="shared" si="4"/>
        <v>0.46887203639292291</v>
      </c>
      <c r="G20" s="2"/>
      <c r="H20" s="2"/>
      <c r="I20" s="2"/>
      <c r="J20" s="19">
        <f t="shared" si="5"/>
        <v>0</v>
      </c>
      <c r="K20" s="2"/>
      <c r="L20" s="2">
        <f t="shared" si="6"/>
        <v>5315.26</v>
      </c>
      <c r="M20" s="2"/>
      <c r="N20" s="19">
        <f t="shared" si="7"/>
        <v>0</v>
      </c>
      <c r="O20" s="11"/>
      <c r="P20" s="2">
        <v>69616.179999999993</v>
      </c>
      <c r="Q20" s="2"/>
      <c r="R20" s="19">
        <f t="shared" si="8"/>
        <v>0.36646733581946783</v>
      </c>
      <c r="S20" s="2"/>
      <c r="T20" s="2"/>
      <c r="U20" s="2"/>
      <c r="V20" s="19">
        <f t="shared" si="9"/>
        <v>0</v>
      </c>
      <c r="W20" s="2"/>
      <c r="X20" s="2">
        <f t="shared" si="10"/>
        <v>69616.179999999993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-1687</v>
      </c>
      <c r="E21" s="2"/>
      <c r="F21" s="19">
        <f t="shared" si="4"/>
        <v>-0.1488143807442836</v>
      </c>
      <c r="G21" s="2"/>
      <c r="H21" s="2"/>
      <c r="I21" s="2"/>
      <c r="J21" s="19">
        <f t="shared" si="5"/>
        <v>0</v>
      </c>
      <c r="K21" s="2"/>
      <c r="L21" s="2">
        <f t="shared" si="6"/>
        <v>-1687</v>
      </c>
      <c r="M21" s="2"/>
      <c r="N21" s="19">
        <f t="shared" si="7"/>
        <v>0</v>
      </c>
      <c r="O21" s="11"/>
      <c r="P21" s="2">
        <v>-2945.62</v>
      </c>
      <c r="Q21" s="2"/>
      <c r="R21" s="19">
        <f t="shared" si="8"/>
        <v>-1.5506072205291084E-2</v>
      </c>
      <c r="S21" s="2"/>
      <c r="T21" s="2"/>
      <c r="U21" s="2"/>
      <c r="V21" s="19">
        <f t="shared" si="9"/>
        <v>0</v>
      </c>
      <c r="W21" s="2"/>
      <c r="X21" s="2">
        <f t="shared" si="10"/>
        <v>-2945.62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0">
        <f>D12-D18</f>
        <v>7708.01</v>
      </c>
      <c r="E23" s="14"/>
      <c r="F23" s="22">
        <f>IF(D$12=0,0,D23/D$12)</f>
        <v>0.67994234435136069</v>
      </c>
      <c r="G23" s="14"/>
      <c r="H23" s="20">
        <f>H12-H18</f>
        <v>31280</v>
      </c>
      <c r="I23" s="14"/>
      <c r="J23" s="22">
        <f>IF(H$12=0,0,H23/H$12)</f>
        <v>0.68</v>
      </c>
      <c r="K23" s="16"/>
      <c r="L23" s="20">
        <f>+D23-H23</f>
        <v>-23571.989999999998</v>
      </c>
      <c r="M23" s="16"/>
      <c r="N23" s="22">
        <f>IF(H23=0,0,L23/H23)</f>
        <v>-0.75358024296675186</v>
      </c>
      <c r="O23" s="29"/>
      <c r="P23" s="20">
        <f>P12-P18</f>
        <v>123295.02000000002</v>
      </c>
      <c r="Q23" s="14"/>
      <c r="R23" s="22">
        <f>IF(P$12=0,0,P23/P$12)</f>
        <v>0.64903873638582321</v>
      </c>
      <c r="S23" s="14"/>
      <c r="T23" s="20">
        <f>T12-T18</f>
        <v>226440</v>
      </c>
      <c r="U23" s="14"/>
      <c r="V23" s="22">
        <f>IF(T$12=0,0,T23/T$12)</f>
        <v>0.68</v>
      </c>
      <c r="W23" s="16"/>
      <c r="X23" s="20">
        <f>+P23-T23</f>
        <v>-103144.97999999998</v>
      </c>
      <c r="Y23" s="16"/>
      <c r="Z23" s="22">
        <f>IF(T23=0,0,X23/T23)</f>
        <v>-0.4555068892421833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1">
        <f>SUM(OSRRefD22x_0)</f>
        <v>18603.919999999998</v>
      </c>
      <c r="E25" s="21"/>
      <c r="F25" s="30">
        <f t="shared" ref="F25:F35" si="12">IF(D$12=0,0,D25/D$12)</f>
        <v>1.6410971157179564</v>
      </c>
      <c r="G25" s="21"/>
      <c r="H25" s="21">
        <f>SUM(OSRRefH22x_0)</f>
        <v>20019.465776799996</v>
      </c>
      <c r="I25" s="21"/>
      <c r="J25" s="30">
        <f t="shared" ref="J25:J35" si="13">IF(H$12=0,0,H25/H$12)</f>
        <v>0.43520577775652164</v>
      </c>
      <c r="K25" s="4"/>
      <c r="L25" s="21">
        <f t="shared" ref="L25:L35" si="14">+D25-H25</f>
        <v>-1415.5457767999978</v>
      </c>
      <c r="M25" s="4"/>
      <c r="N25" s="30">
        <f t="shared" ref="N25:N35" si="15">IF(H25=0,0,L25/H25)</f>
        <v>-7.0708469076154593E-2</v>
      </c>
      <c r="O25" s="10"/>
      <c r="P25" s="21">
        <f>SUM(OSRRefP22x_0)</f>
        <v>183415.76000000007</v>
      </c>
      <c r="Q25" s="21"/>
      <c r="R25" s="30">
        <f t="shared" ref="R25:R35" si="16">IF(P$12=0,0,P25/P$12)</f>
        <v>0.96552101701792536</v>
      </c>
      <c r="S25" s="21"/>
      <c r="T25" s="21">
        <f>SUM(OSRRefT22x_0)</f>
        <v>164042.51411699998</v>
      </c>
      <c r="U25" s="21"/>
      <c r="V25" s="30">
        <f t="shared" ref="V25:V35" si="17">IF(T$12=0,0,T25/T$12)</f>
        <v>0.49262016251351348</v>
      </c>
      <c r="W25" s="4"/>
      <c r="X25" s="21">
        <f t="shared" ref="X25:X35" si="18">+P25-T25</f>
        <v>19373.245883000083</v>
      </c>
      <c r="Y25" s="4"/>
      <c r="Z25" s="30">
        <f t="shared" ref="Z25:Z35" si="19">IF(T25=0,0,X25/T25)</f>
        <v>0.11809893299478762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1867.0100000000002</v>
      </c>
      <c r="E26" s="1"/>
      <c r="F26" s="5">
        <f t="shared" si="12"/>
        <v>0.16469350147799938</v>
      </c>
      <c r="G26" s="1"/>
      <c r="H26" s="1">
        <f>SUM(OSRRefH22_0x_0)</f>
        <v>2352.1673152615381</v>
      </c>
      <c r="I26" s="1"/>
      <c r="J26" s="5">
        <f t="shared" si="13"/>
        <v>5.1134072070903001E-2</v>
      </c>
      <c r="K26" s="1"/>
      <c r="L26" s="1">
        <f t="shared" si="14"/>
        <v>-485.15731526153786</v>
      </c>
      <c r="M26" s="1"/>
      <c r="N26" s="5">
        <f t="shared" si="15"/>
        <v>-0.20625969594666912</v>
      </c>
      <c r="O26" s="13"/>
      <c r="P26" s="1">
        <f>SUM(OSRRefP22_0x_0)</f>
        <v>19406.679999999997</v>
      </c>
      <c r="Q26" s="1"/>
      <c r="R26" s="5">
        <f t="shared" si="16"/>
        <v>0.10215892794894736</v>
      </c>
      <c r="S26" s="1"/>
      <c r="T26" s="1">
        <f>SUM(OSRRefT22_0x_0)</f>
        <v>20243.664116999997</v>
      </c>
      <c r="U26" s="1"/>
      <c r="V26" s="5">
        <f t="shared" si="17"/>
        <v>6.0791784135135127E-2</v>
      </c>
      <c r="W26" s="1"/>
      <c r="X26" s="1">
        <f t="shared" si="18"/>
        <v>-836.98411699999997</v>
      </c>
      <c r="Y26" s="1"/>
      <c r="Z26" s="5">
        <f t="shared" si="19"/>
        <v>-4.13454852917228E-2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6">
        <v>858.07</v>
      </c>
      <c r="E27" s="2"/>
      <c r="F27" s="7">
        <f t="shared" si="12"/>
        <v>7.5692445575131856E-2</v>
      </c>
      <c r="G27" s="2"/>
      <c r="H27" s="6">
        <v>583.30506664615405</v>
      </c>
      <c r="I27" s="2"/>
      <c r="J27" s="7">
        <f t="shared" si="13"/>
        <v>1.2680544927090306E-2</v>
      </c>
      <c r="K27" s="2"/>
      <c r="L27" s="6">
        <f t="shared" si="14"/>
        <v>274.764933353846</v>
      </c>
      <c r="M27" s="2"/>
      <c r="N27" s="7">
        <f t="shared" si="15"/>
        <v>0.47104842571258615</v>
      </c>
      <c r="O27" s="11"/>
      <c r="P27" s="6">
        <v>6800.35</v>
      </c>
      <c r="Q27" s="2"/>
      <c r="R27" s="7">
        <f t="shared" si="16"/>
        <v>3.5797800843710738E-2</v>
      </c>
      <c r="S27" s="2"/>
      <c r="T27" s="6">
        <v>5030.3857769999995</v>
      </c>
      <c r="U27" s="2"/>
      <c r="V27" s="7">
        <f t="shared" si="17"/>
        <v>1.5106263594594592E-2</v>
      </c>
      <c r="W27" s="2"/>
      <c r="X27" s="6">
        <f t="shared" si="18"/>
        <v>1769.9642230000009</v>
      </c>
      <c r="Y27" s="2"/>
      <c r="Z27" s="7">
        <f t="shared" si="19"/>
        <v>0.35185456970172269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6">
        <v>536.36</v>
      </c>
      <c r="E28" s="2"/>
      <c r="F28" s="7">
        <f t="shared" si="12"/>
        <v>4.7313622558390014E-2</v>
      </c>
      <c r="G28" s="2"/>
      <c r="H28" s="6">
        <v>496.86945723076906</v>
      </c>
      <c r="I28" s="2"/>
      <c r="J28" s="7">
        <f t="shared" si="13"/>
        <v>1.0801509939799328E-2</v>
      </c>
      <c r="K28" s="2"/>
      <c r="L28" s="6">
        <f t="shared" si="14"/>
        <v>39.490542769230956</v>
      </c>
      <c r="M28" s="2"/>
      <c r="N28" s="7">
        <f t="shared" si="15"/>
        <v>7.9478708531061371E-2</v>
      </c>
      <c r="O28" s="11"/>
      <c r="P28" s="6">
        <v>4016.54</v>
      </c>
      <c r="Q28" s="2"/>
      <c r="R28" s="7">
        <f t="shared" si="16"/>
        <v>2.1143514525105021E-2</v>
      </c>
      <c r="S28" s="2"/>
      <c r="T28" s="6">
        <v>3800.7742800000001</v>
      </c>
      <c r="U28" s="2"/>
      <c r="V28" s="7">
        <f t="shared" si="17"/>
        <v>1.1413736576576577E-2</v>
      </c>
      <c r="W28" s="2"/>
      <c r="X28" s="6">
        <f t="shared" si="18"/>
        <v>215.76571999999987</v>
      </c>
      <c r="Y28" s="2"/>
      <c r="Z28" s="7">
        <f t="shared" si="19"/>
        <v>5.6768885522978194E-2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6"/>
      <c r="E29" s="2"/>
      <c r="F29" s="7">
        <f t="shared" si="12"/>
        <v>0</v>
      </c>
      <c r="G29" s="2"/>
      <c r="H29" s="6">
        <v>0</v>
      </c>
      <c r="I29" s="2"/>
      <c r="J29" s="7">
        <f t="shared" si="13"/>
        <v>0</v>
      </c>
      <c r="K29" s="2"/>
      <c r="L29" s="6">
        <f t="shared" si="14"/>
        <v>0</v>
      </c>
      <c r="M29" s="2"/>
      <c r="N29" s="7">
        <f t="shared" si="15"/>
        <v>0</v>
      </c>
      <c r="O29" s="11"/>
      <c r="P29" s="6">
        <v>281.92</v>
      </c>
      <c r="Q29" s="2"/>
      <c r="R29" s="7">
        <f t="shared" si="16"/>
        <v>1.4840583225655931E-3</v>
      </c>
      <c r="S29" s="2"/>
      <c r="T29" s="6">
        <v>0</v>
      </c>
      <c r="U29" s="2"/>
      <c r="V29" s="7">
        <f t="shared" si="17"/>
        <v>0</v>
      </c>
      <c r="W29" s="2"/>
      <c r="X29" s="6">
        <f t="shared" si="18"/>
        <v>281.92</v>
      </c>
      <c r="Y29" s="2"/>
      <c r="Z29" s="7">
        <f t="shared" si="19"/>
        <v>0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6">
        <v>35.94</v>
      </c>
      <c r="E30" s="2"/>
      <c r="F30" s="7">
        <f t="shared" si="12"/>
        <v>3.170354975666599E-3</v>
      </c>
      <c r="G30" s="2"/>
      <c r="H30" s="6">
        <v>33.295375999999997</v>
      </c>
      <c r="I30" s="2"/>
      <c r="J30" s="7">
        <f t="shared" si="13"/>
        <v>7.2381252173913042E-4</v>
      </c>
      <c r="K30" s="2"/>
      <c r="L30" s="6">
        <f t="shared" si="14"/>
        <v>2.6446240000000003</v>
      </c>
      <c r="M30" s="2"/>
      <c r="N30" s="7">
        <f t="shared" si="15"/>
        <v>7.9429167581708662E-2</v>
      </c>
      <c r="O30" s="11"/>
      <c r="P30" s="6">
        <v>319.64</v>
      </c>
      <c r="Q30" s="2"/>
      <c r="R30" s="7">
        <f t="shared" si="16"/>
        <v>1.6826206094809383E-3</v>
      </c>
      <c r="S30" s="2"/>
      <c r="T30" s="6">
        <v>254.69105999999999</v>
      </c>
      <c r="U30" s="2"/>
      <c r="V30" s="7">
        <f t="shared" si="17"/>
        <v>7.6483801801801796E-4</v>
      </c>
      <c r="W30" s="2"/>
      <c r="X30" s="6">
        <f t="shared" si="18"/>
        <v>64.948939999999993</v>
      </c>
      <c r="Y30" s="2"/>
      <c r="Z30" s="7">
        <f t="shared" si="19"/>
        <v>0.25501067842742497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6">
        <v>157.72999999999999</v>
      </c>
      <c r="E31" s="2"/>
      <c r="F31" s="7">
        <f t="shared" si="12"/>
        <v>1.3913747643625282E-2</v>
      </c>
      <c r="G31" s="2"/>
      <c r="H31" s="6">
        <v>388.38923076923101</v>
      </c>
      <c r="I31" s="2"/>
      <c r="J31" s="7">
        <f t="shared" si="13"/>
        <v>8.4432441471571952E-3</v>
      </c>
      <c r="K31" s="2"/>
      <c r="L31" s="6">
        <f t="shared" si="14"/>
        <v>-230.65923076923102</v>
      </c>
      <c r="M31" s="2"/>
      <c r="N31" s="7">
        <f t="shared" si="15"/>
        <v>-0.59388678288631969</v>
      </c>
      <c r="O31" s="11"/>
      <c r="P31" s="6">
        <v>2839.06</v>
      </c>
      <c r="Q31" s="2"/>
      <c r="R31" s="7">
        <f t="shared" si="16"/>
        <v>1.4945128480643702E-2</v>
      </c>
      <c r="S31" s="2"/>
      <c r="T31" s="6">
        <v>3786.7950000000033</v>
      </c>
      <c r="U31" s="2"/>
      <c r="V31" s="7">
        <f t="shared" si="17"/>
        <v>1.1371756756756767E-2</v>
      </c>
      <c r="W31" s="2"/>
      <c r="X31" s="6">
        <f t="shared" si="18"/>
        <v>-947.73500000000331</v>
      </c>
      <c r="Y31" s="2"/>
      <c r="Z31" s="7">
        <f t="shared" si="19"/>
        <v>-0.25027364829625121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6">
        <v>86.94</v>
      </c>
      <c r="E33" s="2"/>
      <c r="F33" s="7">
        <f t="shared" si="12"/>
        <v>7.6691892483153621E-3</v>
      </c>
      <c r="G33" s="2"/>
      <c r="H33" s="6">
        <v>225.80769230769201</v>
      </c>
      <c r="I33" s="2"/>
      <c r="J33" s="7">
        <f t="shared" si="13"/>
        <v>4.9088628762541742E-3</v>
      </c>
      <c r="K33" s="2"/>
      <c r="L33" s="6">
        <f t="shared" si="14"/>
        <v>-138.86769230769201</v>
      </c>
      <c r="M33" s="2"/>
      <c r="N33" s="7">
        <f t="shared" si="15"/>
        <v>-0.61498211548288151</v>
      </c>
      <c r="O33" s="11"/>
      <c r="P33" s="6">
        <v>1634.87</v>
      </c>
      <c r="Q33" s="2"/>
      <c r="R33" s="7">
        <f t="shared" si="16"/>
        <v>8.6061380172134331E-3</v>
      </c>
      <c r="S33" s="2"/>
      <c r="T33" s="6">
        <v>2201.6249999999973</v>
      </c>
      <c r="U33" s="2"/>
      <c r="V33" s="7">
        <f t="shared" si="17"/>
        <v>6.6114864864864785E-3</v>
      </c>
      <c r="W33" s="2"/>
      <c r="X33" s="6">
        <f t="shared" si="18"/>
        <v>-566.75499999999738</v>
      </c>
      <c r="Y33" s="2"/>
      <c r="Z33" s="7">
        <f t="shared" si="19"/>
        <v>-0.25742576505989806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6">
        <v>104.15</v>
      </c>
      <c r="E34" s="2"/>
      <c r="F34" s="7">
        <f t="shared" si="12"/>
        <v>9.187325284242525E-3</v>
      </c>
      <c r="G34" s="2"/>
      <c r="H34" s="6">
        <v>474.50049230769201</v>
      </c>
      <c r="I34" s="2"/>
      <c r="J34" s="7">
        <f t="shared" si="13"/>
        <v>1.0315228093645478E-2</v>
      </c>
      <c r="K34" s="2"/>
      <c r="L34" s="6">
        <f t="shared" si="14"/>
        <v>-370.35049230769198</v>
      </c>
      <c r="M34" s="2"/>
      <c r="N34" s="7">
        <f t="shared" si="15"/>
        <v>-0.78050602330573882</v>
      </c>
      <c r="O34" s="11"/>
      <c r="P34" s="6">
        <v>1996.53</v>
      </c>
      <c r="Q34" s="2"/>
      <c r="R34" s="7">
        <f t="shared" si="16"/>
        <v>1.0509956593189144E-2</v>
      </c>
      <c r="S34" s="2"/>
      <c r="T34" s="6">
        <v>3819.3929999999968</v>
      </c>
      <c r="U34" s="2"/>
      <c r="V34" s="7">
        <f t="shared" si="17"/>
        <v>1.1469648648648639E-2</v>
      </c>
      <c r="W34" s="2"/>
      <c r="X34" s="6">
        <f t="shared" si="18"/>
        <v>-1822.8629999999969</v>
      </c>
      <c r="Y34" s="2"/>
      <c r="Z34" s="7">
        <f t="shared" si="19"/>
        <v>-0.47726510469071876</v>
      </c>
    </row>
    <row r="35" spans="1:26" s="24" customFormat="1" hidden="1" outlineLevel="2" x14ac:dyDescent="0.25">
      <c r="A35" s="25"/>
      <c r="B35" s="11" t="str">
        <f>CONCATENATE("          ", "6156", " - ", "EMPLOYEE MEALS")</f>
        <v xml:space="preserve">          6156 - EMPLOYEE MEALS</v>
      </c>
      <c r="C35" s="11"/>
      <c r="D35" s="6">
        <v>87.82</v>
      </c>
      <c r="E35" s="2"/>
      <c r="F35" s="7">
        <f t="shared" si="12"/>
        <v>7.7468161926277333E-3</v>
      </c>
      <c r="G35" s="2"/>
      <c r="H35" s="6">
        <v>150</v>
      </c>
      <c r="I35" s="2"/>
      <c r="J35" s="7">
        <f t="shared" si="13"/>
        <v>3.2608695652173911E-3</v>
      </c>
      <c r="K35" s="2"/>
      <c r="L35" s="6">
        <f t="shared" si="14"/>
        <v>-62.180000000000007</v>
      </c>
      <c r="M35" s="2"/>
      <c r="N35" s="7">
        <f t="shared" si="15"/>
        <v>-0.41453333333333336</v>
      </c>
      <c r="O35" s="11"/>
      <c r="P35" s="6">
        <v>1517.77</v>
      </c>
      <c r="Q35" s="2"/>
      <c r="R35" s="7">
        <f t="shared" si="16"/>
        <v>7.9897105570388063E-3</v>
      </c>
      <c r="S35" s="2"/>
      <c r="T35" s="6">
        <v>1350</v>
      </c>
      <c r="U35" s="2"/>
      <c r="V35" s="7">
        <f t="shared" si="17"/>
        <v>4.0540540540540543E-3</v>
      </c>
      <c r="W35" s="2"/>
      <c r="X35" s="6">
        <f t="shared" si="18"/>
        <v>167.76999999999998</v>
      </c>
      <c r="Y35" s="2"/>
      <c r="Z35" s="7">
        <f t="shared" si="19"/>
        <v>0.12427407407407406</v>
      </c>
    </row>
    <row r="36" spans="1:26" s="27" customFormat="1" outlineLevel="1" collapsed="1" x14ac:dyDescent="0.25">
      <c r="A36" s="26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12149.649999999998</v>
      </c>
      <c r="E36" s="1"/>
      <c r="F36" s="5">
        <f t="shared" ref="F36:F46" si="20">IF(D$12=0,0,D36/D$12)</f>
        <v>1.0717502317781773</v>
      </c>
      <c r="G36" s="1"/>
      <c r="H36" s="1">
        <f>SUM(OSRRefH22_1x_0)</f>
        <v>12354.298461538459</v>
      </c>
      <c r="I36" s="1"/>
      <c r="J36" s="5">
        <f t="shared" ref="J36:J46" si="21">IF(H$12=0,0,H36/H$12)</f>
        <v>0.26857170568561867</v>
      </c>
      <c r="K36" s="1"/>
      <c r="L36" s="1">
        <f t="shared" ref="L36:L46" si="22">+D36-H36</f>
        <v>-204.64846153846156</v>
      </c>
      <c r="M36" s="1"/>
      <c r="N36" s="5">
        <f t="shared" ref="N36:N46" si="23">IF(H36=0,0,L36/H36)</f>
        <v>-1.6564960137200459E-2</v>
      </c>
      <c r="O36" s="13"/>
      <c r="P36" s="1">
        <f>SUM(OSRRefP22_1x_0)</f>
        <v>111964.78</v>
      </c>
      <c r="Q36" s="1"/>
      <c r="R36" s="5">
        <f t="shared" ref="R36:R46" si="24">IF(P$12=0,0,P36/P$12)</f>
        <v>0.58939508936303087</v>
      </c>
      <c r="S36" s="1"/>
      <c r="T36" s="1">
        <f>SUM(OSRRefT22_1x_0)</f>
        <v>93554.85</v>
      </c>
      <c r="U36" s="1"/>
      <c r="V36" s="5">
        <f t="shared" ref="V36:V46" si="25">IF(T$12=0,0,T36/T$12)</f>
        <v>0.28094549549549552</v>
      </c>
      <c r="W36" s="1"/>
      <c r="X36" s="1">
        <f t="shared" ref="X36:X46" si="26">+P36-T36</f>
        <v>18409.929999999993</v>
      </c>
      <c r="Y36" s="1"/>
      <c r="Z36" s="5">
        <f t="shared" ref="Z36:Z46" si="27">IF(T36=0,0,X36/T36)</f>
        <v>0.19678220851190495</v>
      </c>
    </row>
    <row r="37" spans="1:26" s="24" customFormat="1" hidden="1" outlineLevel="2" x14ac:dyDescent="0.25">
      <c r="A37" s="25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4064.5384615384596</v>
      </c>
      <c r="I37" s="2"/>
      <c r="J37" s="7">
        <f t="shared" si="21"/>
        <v>8.8359531772575203E-2</v>
      </c>
      <c r="K37" s="2"/>
      <c r="L37" s="6">
        <f t="shared" si="22"/>
        <v>-4064.5384615384596</v>
      </c>
      <c r="M37" s="2"/>
      <c r="N37" s="7">
        <f t="shared" si="23"/>
        <v>-1</v>
      </c>
      <c r="O37" s="11"/>
      <c r="P37" s="6"/>
      <c r="Q37" s="2"/>
      <c r="R37" s="7">
        <f t="shared" si="24"/>
        <v>0</v>
      </c>
      <c r="S37" s="2"/>
      <c r="T37" s="6">
        <v>39629.25</v>
      </c>
      <c r="U37" s="2"/>
      <c r="V37" s="7">
        <f t="shared" si="25"/>
        <v>0.11900675675675676</v>
      </c>
      <c r="W37" s="2"/>
      <c r="X37" s="6">
        <f t="shared" si="26"/>
        <v>-39629.25</v>
      </c>
      <c r="Y37" s="2"/>
      <c r="Z37" s="7">
        <f t="shared" si="27"/>
        <v>-1</v>
      </c>
    </row>
    <row r="38" spans="1:26" s="24" customFormat="1" hidden="1" outlineLevel="2" x14ac:dyDescent="0.25">
      <c r="A38" s="25"/>
      <c r="B38" s="11" t="str">
        <f>CONCATENATE("          ", "6002", " - ", "STAFF SALARIES")</f>
        <v xml:space="preserve">          6002 - STAFF SALARIES</v>
      </c>
      <c r="C38" s="11"/>
      <c r="D38" s="6">
        <v>1052.57</v>
      </c>
      <c r="E38" s="2"/>
      <c r="F38" s="7">
        <f t="shared" si="20"/>
        <v>9.2849764516900177E-2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1052.57</v>
      </c>
      <c r="M38" s="2"/>
      <c r="N38" s="7">
        <f t="shared" si="23"/>
        <v>0</v>
      </c>
      <c r="O38" s="11"/>
      <c r="P38" s="6">
        <v>37546.44</v>
      </c>
      <c r="Q38" s="2"/>
      <c r="R38" s="7">
        <f t="shared" si="24"/>
        <v>0.19764864771818136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37546.44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"6004", " - ", "STAFF HOURLY")</f>
        <v xml:space="preserve">          6004 - STAFF HOURLY</v>
      </c>
      <c r="C40" s="11"/>
      <c r="D40" s="6">
        <v>1387.21</v>
      </c>
      <c r="E40" s="2"/>
      <c r="F40" s="7">
        <f t="shared" si="20"/>
        <v>0.12236917434041356</v>
      </c>
      <c r="G40" s="2"/>
      <c r="H40" s="6">
        <v>3105.76</v>
      </c>
      <c r="I40" s="2"/>
      <c r="J40" s="7">
        <f t="shared" si="21"/>
        <v>6.7516521739130433E-2</v>
      </c>
      <c r="K40" s="2"/>
      <c r="L40" s="6">
        <f t="shared" si="22"/>
        <v>-1718.5500000000002</v>
      </c>
      <c r="M40" s="2"/>
      <c r="N40" s="7">
        <f t="shared" si="23"/>
        <v>-0.55334282108083044</v>
      </c>
      <c r="O40" s="11"/>
      <c r="P40" s="6">
        <v>2076.31</v>
      </c>
      <c r="Q40" s="2"/>
      <c r="R40" s="7">
        <f t="shared" si="24"/>
        <v>1.0929927411060466E-2</v>
      </c>
      <c r="S40" s="2"/>
      <c r="T40" s="6">
        <v>21698.400000000001</v>
      </c>
      <c r="U40" s="2"/>
      <c r="V40" s="7">
        <f t="shared" si="25"/>
        <v>6.5160360360360367E-2</v>
      </c>
      <c r="W40" s="2"/>
      <c r="X40" s="6">
        <f t="shared" si="26"/>
        <v>-19622.09</v>
      </c>
      <c r="Y40" s="2"/>
      <c r="Z40" s="7">
        <f t="shared" si="27"/>
        <v>-0.90431045607049365</v>
      </c>
    </row>
    <row r="41" spans="1:26" s="24" customFormat="1" hidden="1" outlineLevel="2" x14ac:dyDescent="0.25">
      <c r="A41" s="25"/>
      <c r="B41" s="11" t="str">
        <f>CONCATENATE("          ", "6005", " - ", "TEMPORARY WAGES-HOURLY")</f>
        <v xml:space="preserve">          6005 - TEMPORARY WAGES-HOURLY</v>
      </c>
      <c r="C41" s="11"/>
      <c r="D41" s="6">
        <v>6916.91</v>
      </c>
      <c r="E41" s="2"/>
      <c r="F41" s="7">
        <f t="shared" si="20"/>
        <v>0.61015748566327366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6916.91</v>
      </c>
      <c r="M41" s="2"/>
      <c r="N41" s="7">
        <f t="shared" si="23"/>
        <v>0</v>
      </c>
      <c r="O41" s="11"/>
      <c r="P41" s="6">
        <v>40119.120000000003</v>
      </c>
      <c r="Q41" s="2"/>
      <c r="R41" s="7">
        <f t="shared" si="24"/>
        <v>0.21119152216943721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40119.120000000003</v>
      </c>
      <c r="Y41" s="2"/>
      <c r="Z41" s="7">
        <f t="shared" si="27"/>
        <v>0</v>
      </c>
    </row>
    <row r="42" spans="1:26" s="24" customFormat="1" hidden="1" outlineLevel="2" x14ac:dyDescent="0.25">
      <c r="A42" s="25"/>
      <c r="B42" s="11" t="str">
        <f>CONCATENATE("          ", "6006", " - ", "TEMPORARY PART TIME")</f>
        <v xml:space="preserve">          6006 - TEMPORARY PART TIME</v>
      </c>
      <c r="C42" s="11"/>
      <c r="D42" s="6">
        <v>589.54999999999995</v>
      </c>
      <c r="E42" s="2"/>
      <c r="F42" s="7">
        <f t="shared" si="20"/>
        <v>5.2005642067452514E-2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589.54999999999995</v>
      </c>
      <c r="M42" s="2"/>
      <c r="N42" s="7">
        <f t="shared" si="23"/>
        <v>0</v>
      </c>
      <c r="O42" s="11"/>
      <c r="P42" s="6">
        <v>1294.4100000000001</v>
      </c>
      <c r="Q42" s="2"/>
      <c r="R42" s="7">
        <f t="shared" si="24"/>
        <v>6.8139186056758285E-3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1294.4100000000001</v>
      </c>
      <c r="Y42" s="2"/>
      <c r="Z42" s="7">
        <f t="shared" si="27"/>
        <v>0</v>
      </c>
    </row>
    <row r="43" spans="1:26" s="24" customFormat="1" hidden="1" outlineLevel="2" x14ac:dyDescent="0.25">
      <c r="A43" s="25"/>
      <c r="B43" s="11" t="str">
        <f>CONCATENATE("          ", "6007", " - ", "STUDENT HOURLY")</f>
        <v xml:space="preserve">          6007 - STUDENT HOURLY</v>
      </c>
      <c r="C43" s="11"/>
      <c r="D43" s="6">
        <v>1664.17</v>
      </c>
      <c r="E43" s="2"/>
      <c r="F43" s="7">
        <f t="shared" si="20"/>
        <v>0.1468004908139979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1664.17</v>
      </c>
      <c r="M43" s="2"/>
      <c r="N43" s="7">
        <f t="shared" si="23"/>
        <v>0</v>
      </c>
      <c r="O43" s="11"/>
      <c r="P43" s="6">
        <v>28330.86</v>
      </c>
      <c r="Q43" s="2"/>
      <c r="R43" s="7">
        <f t="shared" si="24"/>
        <v>0.14913680678362889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28330.86</v>
      </c>
      <c r="Y43" s="2"/>
      <c r="Z43" s="7">
        <f t="shared" si="27"/>
        <v>0</v>
      </c>
    </row>
    <row r="44" spans="1:26" s="24" customFormat="1" hidden="1" outlineLevel="2" x14ac:dyDescent="0.25">
      <c r="A44" s="25"/>
      <c r="B44" s="11" t="str">
        <f>CONCATENATE("          ", "6008", " - ", "STUDENT HOURLY-FICA EXEMPT")</f>
        <v xml:space="preserve">          6008 - STUDENT HOURLY-FICA EXEMPT</v>
      </c>
      <c r="C44" s="11"/>
      <c r="D44" s="6">
        <v>539.24</v>
      </c>
      <c r="E44" s="2"/>
      <c r="F44" s="7">
        <f t="shared" si="20"/>
        <v>4.7567674376139596E-2</v>
      </c>
      <c r="G44" s="2"/>
      <c r="H44" s="6">
        <v>5184</v>
      </c>
      <c r="I44" s="2"/>
      <c r="J44" s="7">
        <f t="shared" si="21"/>
        <v>0.11269565217391304</v>
      </c>
      <c r="K44" s="2"/>
      <c r="L44" s="6">
        <f t="shared" si="22"/>
        <v>-4644.76</v>
      </c>
      <c r="M44" s="2"/>
      <c r="N44" s="7">
        <f t="shared" si="23"/>
        <v>-0.89597993827160494</v>
      </c>
      <c r="O44" s="11"/>
      <c r="P44" s="6">
        <v>2597.64</v>
      </c>
      <c r="Q44" s="2"/>
      <c r="R44" s="7">
        <f t="shared" si="24"/>
        <v>1.367426667504713E-2</v>
      </c>
      <c r="S44" s="2"/>
      <c r="T44" s="6">
        <v>32227.200000000001</v>
      </c>
      <c r="U44" s="2"/>
      <c r="V44" s="7">
        <f t="shared" si="25"/>
        <v>9.6778378378378382E-2</v>
      </c>
      <c r="W44" s="2"/>
      <c r="X44" s="6">
        <f t="shared" si="26"/>
        <v>-29629.56</v>
      </c>
      <c r="Y44" s="2"/>
      <c r="Z44" s="7">
        <f t="shared" si="27"/>
        <v>-0.91939603812928217</v>
      </c>
    </row>
    <row r="45" spans="1:26" s="24" customFormat="1" hidden="1" outlineLevel="2" x14ac:dyDescent="0.25">
      <c r="A45" s="25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5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7" customFormat="1" outlineLevel="1" collapsed="1" x14ac:dyDescent="0.25">
      <c r="A47" s="26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0</v>
      </c>
      <c r="E47" s="1"/>
      <c r="F47" s="5">
        <f t="shared" ref="F47:F55" si="28">IF(D$12=0,0,D47/D$12)</f>
        <v>0</v>
      </c>
      <c r="G47" s="1"/>
      <c r="H47" s="1">
        <f>SUM(OSRRefH22_2x_0)</f>
        <v>200</v>
      </c>
      <c r="I47" s="1"/>
      <c r="J47" s="5">
        <f t="shared" ref="J47:J55" si="29">IF(H$12=0,0,H47/H$12)</f>
        <v>4.3478260869565218E-3</v>
      </c>
      <c r="K47" s="1"/>
      <c r="L47" s="1">
        <f t="shared" ref="L47:L55" si="30">+D47-H47</f>
        <v>-200</v>
      </c>
      <c r="M47" s="1"/>
      <c r="N47" s="5">
        <f t="shared" ref="N47:N55" si="31">IF(H47=0,0,L47/H47)</f>
        <v>-1</v>
      </c>
      <c r="O47" s="13"/>
      <c r="P47" s="1">
        <f>SUM(OSRRefP22_2x_0)</f>
        <v>3228.7</v>
      </c>
      <c r="Q47" s="1"/>
      <c r="R47" s="5">
        <f t="shared" ref="R47:R55" si="32">IF(P$12=0,0,P47/P$12)</f>
        <v>1.6996236897231592E-2</v>
      </c>
      <c r="S47" s="1"/>
      <c r="T47" s="1">
        <f>SUM(OSRRefT22_2x_0)</f>
        <v>1600</v>
      </c>
      <c r="U47" s="1"/>
      <c r="V47" s="5">
        <f t="shared" ref="V47:V55" si="33">IF(T$12=0,0,T47/T$12)</f>
        <v>4.8048048048048046E-3</v>
      </c>
      <c r="W47" s="1"/>
      <c r="X47" s="1">
        <f t="shared" ref="X47:X55" si="34">+P47-T47</f>
        <v>1628.6999999999998</v>
      </c>
      <c r="Y47" s="1"/>
      <c r="Z47" s="5">
        <f t="shared" ref="Z47:Z55" si="35">IF(T47=0,0,X47/T47)</f>
        <v>1.0179374999999999</v>
      </c>
    </row>
    <row r="48" spans="1:26" s="24" customFormat="1" hidden="1" outlineLevel="2" x14ac:dyDescent="0.25">
      <c r="A48" s="25"/>
      <c r="B48" s="11" t="str">
        <f>CONCATENATE("          ", "6362", " - ", "ADVERTISING EXPENSE")</f>
        <v xml:space="preserve">          6362 - ADVERTISING EXPENSE</v>
      </c>
      <c r="C48" s="11"/>
      <c r="D48" s="6"/>
      <c r="E48" s="2"/>
      <c r="F48" s="7">
        <f t="shared" si="28"/>
        <v>0</v>
      </c>
      <c r="G48" s="2"/>
      <c r="H48" s="6">
        <v>200</v>
      </c>
      <c r="I48" s="2"/>
      <c r="J48" s="7">
        <f t="shared" si="29"/>
        <v>4.3478260869565218E-3</v>
      </c>
      <c r="K48" s="2"/>
      <c r="L48" s="6">
        <f t="shared" si="30"/>
        <v>-200</v>
      </c>
      <c r="M48" s="2"/>
      <c r="N48" s="7">
        <f t="shared" si="31"/>
        <v>-1</v>
      </c>
      <c r="O48" s="11"/>
      <c r="P48" s="6">
        <v>3228.7</v>
      </c>
      <c r="Q48" s="2"/>
      <c r="R48" s="7">
        <f t="shared" si="32"/>
        <v>1.6996236897231592E-2</v>
      </c>
      <c r="S48" s="2"/>
      <c r="T48" s="6">
        <v>1600</v>
      </c>
      <c r="U48" s="2"/>
      <c r="V48" s="7">
        <f t="shared" si="33"/>
        <v>4.8048048048048046E-3</v>
      </c>
      <c r="W48" s="2"/>
      <c r="X48" s="6">
        <f t="shared" si="34"/>
        <v>1628.6999999999998</v>
      </c>
      <c r="Y48" s="2"/>
      <c r="Z48" s="7">
        <f t="shared" si="35"/>
        <v>1.0179374999999999</v>
      </c>
    </row>
    <row r="49" spans="1:26" s="27" customFormat="1" outlineLevel="1" collapsed="1" x14ac:dyDescent="0.25">
      <c r="A49" s="26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-6</v>
      </c>
      <c r="E49" s="1"/>
      <c r="F49" s="5">
        <f t="shared" si="28"/>
        <v>-5.2927462031161928E-4</v>
      </c>
      <c r="G49" s="1"/>
      <c r="H49" s="1">
        <f>SUM(OSRRefH22_3x_0)</f>
        <v>25</v>
      </c>
      <c r="I49" s="1"/>
      <c r="J49" s="5">
        <f t="shared" si="29"/>
        <v>5.4347826086956522E-4</v>
      </c>
      <c r="K49" s="1"/>
      <c r="L49" s="1">
        <f t="shared" si="30"/>
        <v>-31</v>
      </c>
      <c r="M49" s="1"/>
      <c r="N49" s="5">
        <f t="shared" si="31"/>
        <v>-1.24</v>
      </c>
      <c r="O49" s="13"/>
      <c r="P49" s="1">
        <f>SUM(OSRRefP22_3x_0)</f>
        <v>-42.37</v>
      </c>
      <c r="Q49" s="1"/>
      <c r="R49" s="5">
        <f t="shared" si="32"/>
        <v>-2.2304040553030709E-4</v>
      </c>
      <c r="S49" s="1"/>
      <c r="T49" s="1">
        <f>SUM(OSRRefT22_3x_0)</f>
        <v>200</v>
      </c>
      <c r="U49" s="1"/>
      <c r="V49" s="5">
        <f t="shared" si="33"/>
        <v>6.0060060060060057E-4</v>
      </c>
      <c r="W49" s="1"/>
      <c r="X49" s="1">
        <f t="shared" si="34"/>
        <v>-242.37</v>
      </c>
      <c r="Y49" s="1"/>
      <c r="Z49" s="5">
        <f t="shared" si="35"/>
        <v>-1.2118500000000001</v>
      </c>
    </row>
    <row r="50" spans="1:26" s="24" customFormat="1" hidden="1" outlineLevel="2" x14ac:dyDescent="0.25">
      <c r="A50" s="25"/>
      <c r="B50" s="11" t="str">
        <f>CONCATENATE("          ", "6272", " - ", "CASH (OVER/SHORT)")</f>
        <v xml:space="preserve">          6272 - CASH (OVER/SHORT)</v>
      </c>
      <c r="C50" s="11"/>
      <c r="D50" s="6">
        <v>-6</v>
      </c>
      <c r="E50" s="2"/>
      <c r="F50" s="7">
        <f t="shared" si="28"/>
        <v>-5.2927462031161928E-4</v>
      </c>
      <c r="G50" s="2"/>
      <c r="H50" s="6">
        <v>25</v>
      </c>
      <c r="I50" s="2"/>
      <c r="J50" s="7">
        <f t="shared" si="29"/>
        <v>5.4347826086956522E-4</v>
      </c>
      <c r="K50" s="2"/>
      <c r="L50" s="6">
        <f t="shared" si="30"/>
        <v>-31</v>
      </c>
      <c r="M50" s="2"/>
      <c r="N50" s="7">
        <f t="shared" si="31"/>
        <v>-1.24</v>
      </c>
      <c r="O50" s="11"/>
      <c r="P50" s="6">
        <v>-42.37</v>
      </c>
      <c r="Q50" s="2"/>
      <c r="R50" s="7">
        <f t="shared" si="32"/>
        <v>-2.2304040553030709E-4</v>
      </c>
      <c r="S50" s="2"/>
      <c r="T50" s="6">
        <v>200</v>
      </c>
      <c r="U50" s="2"/>
      <c r="V50" s="7">
        <f t="shared" si="33"/>
        <v>6.0060060060060057E-4</v>
      </c>
      <c r="W50" s="2"/>
      <c r="X50" s="6">
        <f t="shared" si="34"/>
        <v>-242.37</v>
      </c>
      <c r="Y50" s="2"/>
      <c r="Z50" s="7">
        <f t="shared" si="35"/>
        <v>-1.2118500000000001</v>
      </c>
    </row>
    <row r="51" spans="1:26" s="27" customFormat="1" outlineLevel="1" collapsed="1" x14ac:dyDescent="0.25">
      <c r="A51" s="26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476.16</v>
      </c>
      <c r="E51" s="1"/>
      <c r="F51" s="5">
        <f t="shared" si="28"/>
        <v>4.2003233867930104E-2</v>
      </c>
      <c r="G51" s="1"/>
      <c r="H51" s="1">
        <f>SUM(OSRRefH22_4x_0)</f>
        <v>1080</v>
      </c>
      <c r="I51" s="1"/>
      <c r="J51" s="5">
        <f t="shared" si="29"/>
        <v>2.3478260869565216E-2</v>
      </c>
      <c r="K51" s="1"/>
      <c r="L51" s="1">
        <f t="shared" si="30"/>
        <v>-603.83999999999992</v>
      </c>
      <c r="M51" s="1"/>
      <c r="N51" s="5">
        <f t="shared" si="31"/>
        <v>-0.559111111111111</v>
      </c>
      <c r="O51" s="13"/>
      <c r="P51" s="1">
        <f>SUM(OSRRefP22_4x_0)</f>
        <v>6990.97</v>
      </c>
      <c r="Q51" s="1"/>
      <c r="R51" s="5">
        <f t="shared" si="32"/>
        <v>3.6801245783578268E-2</v>
      </c>
      <c r="S51" s="1"/>
      <c r="T51" s="1">
        <f>SUM(OSRRefT22_4x_0)</f>
        <v>7622</v>
      </c>
      <c r="U51" s="1"/>
      <c r="V51" s="5">
        <f t="shared" si="33"/>
        <v>2.2888888888888889E-2</v>
      </c>
      <c r="W51" s="1"/>
      <c r="X51" s="1">
        <f t="shared" si="34"/>
        <v>-631.02999999999975</v>
      </c>
      <c r="Y51" s="1"/>
      <c r="Z51" s="5">
        <f t="shared" si="35"/>
        <v>-8.2790606140120668E-2</v>
      </c>
    </row>
    <row r="52" spans="1:26" s="24" customFormat="1" hidden="1" outlineLevel="2" x14ac:dyDescent="0.25">
      <c r="A52" s="25"/>
      <c r="B52" s="11" t="str">
        <f>CONCATENATE("          ", "6381", " - ", "BANK/CREDIT CARD FEES")</f>
        <v xml:space="preserve">          6381 - BANK/CREDIT CARD FEES</v>
      </c>
      <c r="C52" s="11"/>
      <c r="D52" s="6">
        <v>476.16</v>
      </c>
      <c r="E52" s="2"/>
      <c r="F52" s="7">
        <f t="shared" si="28"/>
        <v>4.2003233867930104E-2</v>
      </c>
      <c r="G52" s="2"/>
      <c r="H52" s="6">
        <v>1080</v>
      </c>
      <c r="I52" s="2"/>
      <c r="J52" s="7">
        <f t="shared" si="29"/>
        <v>2.3478260869565216E-2</v>
      </c>
      <c r="K52" s="2"/>
      <c r="L52" s="6">
        <f t="shared" si="30"/>
        <v>-603.83999999999992</v>
      </c>
      <c r="M52" s="2"/>
      <c r="N52" s="7">
        <f t="shared" si="31"/>
        <v>-0.559111111111111</v>
      </c>
      <c r="O52" s="11"/>
      <c r="P52" s="6">
        <v>6990.97</v>
      </c>
      <c r="Q52" s="2"/>
      <c r="R52" s="7">
        <f t="shared" si="32"/>
        <v>3.6801245783578268E-2</v>
      </c>
      <c r="S52" s="2"/>
      <c r="T52" s="6">
        <v>7622</v>
      </c>
      <c r="U52" s="2"/>
      <c r="V52" s="7">
        <f t="shared" si="33"/>
        <v>2.2888888888888889E-2</v>
      </c>
      <c r="W52" s="2"/>
      <c r="X52" s="6">
        <f t="shared" si="34"/>
        <v>-631.02999999999975</v>
      </c>
      <c r="Y52" s="2"/>
      <c r="Z52" s="7">
        <f t="shared" si="35"/>
        <v>-8.2790606140120668E-2</v>
      </c>
    </row>
    <row r="53" spans="1:26" s="27" customFormat="1" outlineLevel="1" collapsed="1" x14ac:dyDescent="0.25">
      <c r="A53" s="26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2775.29</v>
      </c>
      <c r="E53" s="1"/>
      <c r="F53" s="5">
        <f t="shared" si="28"/>
        <v>0.2448150935007723</v>
      </c>
      <c r="G53" s="1"/>
      <c r="H53" s="1">
        <f>SUM(OSRRefH22_5x_0)</f>
        <v>2906</v>
      </c>
      <c r="I53" s="1"/>
      <c r="J53" s="5">
        <f t="shared" si="29"/>
        <v>6.3173913043478261E-2</v>
      </c>
      <c r="K53" s="1"/>
      <c r="L53" s="1">
        <f t="shared" si="30"/>
        <v>-130.71000000000004</v>
      </c>
      <c r="M53" s="1"/>
      <c r="N53" s="5">
        <f t="shared" si="31"/>
        <v>-4.4979353062629054E-2</v>
      </c>
      <c r="O53" s="13"/>
      <c r="P53" s="1">
        <f>SUM(OSRRefP22_5x_0)</f>
        <v>24977.85</v>
      </c>
      <c r="Q53" s="1"/>
      <c r="R53" s="5">
        <f t="shared" si="32"/>
        <v>0.13148618818209065</v>
      </c>
      <c r="S53" s="1"/>
      <c r="T53" s="1">
        <f>SUM(OSRRefT22_5x_0)</f>
        <v>25404</v>
      </c>
      <c r="U53" s="1"/>
      <c r="V53" s="5">
        <f t="shared" si="33"/>
        <v>7.6288288288288292E-2</v>
      </c>
      <c r="W53" s="1"/>
      <c r="X53" s="1">
        <f t="shared" si="34"/>
        <v>-426.15000000000146</v>
      </c>
      <c r="Y53" s="1"/>
      <c r="Z53" s="5">
        <f t="shared" si="35"/>
        <v>-1.6774917335852679E-2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2775.29</v>
      </c>
      <c r="E54" s="2"/>
      <c r="F54" s="7">
        <f t="shared" si="28"/>
        <v>0.2448150935007723</v>
      </c>
      <c r="G54" s="2"/>
      <c r="H54" s="6">
        <v>2656</v>
      </c>
      <c r="I54" s="2"/>
      <c r="J54" s="7">
        <f t="shared" si="29"/>
        <v>5.7739130434782605E-2</v>
      </c>
      <c r="K54" s="2"/>
      <c r="L54" s="6">
        <f t="shared" si="30"/>
        <v>119.28999999999996</v>
      </c>
      <c r="M54" s="2"/>
      <c r="N54" s="7">
        <f t="shared" si="31"/>
        <v>4.4913403614457816E-2</v>
      </c>
      <c r="O54" s="11"/>
      <c r="P54" s="6">
        <v>24977.85</v>
      </c>
      <c r="Q54" s="2"/>
      <c r="R54" s="7">
        <f t="shared" si="32"/>
        <v>0.13148618818209065</v>
      </c>
      <c r="S54" s="2"/>
      <c r="T54" s="6">
        <v>23904</v>
      </c>
      <c r="U54" s="2"/>
      <c r="V54" s="7">
        <f t="shared" si="33"/>
        <v>7.1783783783783778E-2</v>
      </c>
      <c r="W54" s="2"/>
      <c r="X54" s="6">
        <f t="shared" si="34"/>
        <v>1073.8499999999985</v>
      </c>
      <c r="Y54" s="2"/>
      <c r="Z54" s="7">
        <f t="shared" si="35"/>
        <v>4.4923443775100338E-2</v>
      </c>
    </row>
    <row r="55" spans="1:26" s="24" customFormat="1" hidden="1" outlineLevel="2" x14ac:dyDescent="0.25">
      <c r="A55" s="25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8"/>
        <v>0</v>
      </c>
      <c r="G55" s="2"/>
      <c r="H55" s="6">
        <v>250</v>
      </c>
      <c r="I55" s="2"/>
      <c r="J55" s="7">
        <f t="shared" si="29"/>
        <v>5.434782608695652E-3</v>
      </c>
      <c r="K55" s="2"/>
      <c r="L55" s="6">
        <f t="shared" si="30"/>
        <v>-250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1500</v>
      </c>
      <c r="U55" s="2"/>
      <c r="V55" s="7">
        <f t="shared" si="33"/>
        <v>4.5045045045045045E-3</v>
      </c>
      <c r="W55" s="2"/>
      <c r="X55" s="6">
        <f t="shared" si="34"/>
        <v>-1500</v>
      </c>
      <c r="Y55" s="2"/>
      <c r="Z55" s="7">
        <f t="shared" si="35"/>
        <v>-1</v>
      </c>
    </row>
    <row r="56" spans="1:26" s="27" customFormat="1" outlineLevel="1" collapsed="1" x14ac:dyDescent="0.25">
      <c r="A56" s="26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ref="F56:F65" si="36">IF(D$12=0,0,D56/D$12)</f>
        <v>0</v>
      </c>
      <c r="G56" s="1"/>
      <c r="H56" s="1">
        <f>SUM(OSRRefH22_6x_0)</f>
        <v>0</v>
      </c>
      <c r="I56" s="1"/>
      <c r="J56" s="5">
        <f t="shared" ref="J56:J65" si="37">IF(H$12=0,0,H56/H$12)</f>
        <v>0</v>
      </c>
      <c r="K56" s="1"/>
      <c r="L56" s="1">
        <f t="shared" ref="L56:L65" si="38">+D56-H56</f>
        <v>0</v>
      </c>
      <c r="M56" s="1"/>
      <c r="N56" s="5">
        <f t="shared" ref="N56:N65" si="39">IF(H56=0,0,L56/H56)</f>
        <v>0</v>
      </c>
      <c r="O56" s="13"/>
      <c r="P56" s="1">
        <f>SUM(OSRRefP22_6x_0)</f>
        <v>107.51</v>
      </c>
      <c r="Q56" s="1"/>
      <c r="R56" s="5">
        <f t="shared" ref="R56:R65" si="40">IF(P$12=0,0,P56/P$12)</f>
        <v>5.6594463060097517E-4</v>
      </c>
      <c r="S56" s="1"/>
      <c r="T56" s="1">
        <f>SUM(OSRRefT22_6x_0)</f>
        <v>300</v>
      </c>
      <c r="U56" s="1"/>
      <c r="V56" s="5">
        <f t="shared" ref="V56:V65" si="41">IF(T$12=0,0,T56/T$12)</f>
        <v>9.0090090090090091E-4</v>
      </c>
      <c r="W56" s="1"/>
      <c r="X56" s="1">
        <f t="shared" ref="X56:X65" si="42">+P56-T56</f>
        <v>-192.49</v>
      </c>
      <c r="Y56" s="1"/>
      <c r="Z56" s="5">
        <f t="shared" ref="Z56:Z65" si="43">IF(T56=0,0,X56/T56)</f>
        <v>-0.64163333333333339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36"/>
        <v>0</v>
      </c>
      <c r="G57" s="2"/>
      <c r="H57" s="6"/>
      <c r="I57" s="2"/>
      <c r="J57" s="7">
        <f t="shared" si="37"/>
        <v>0</v>
      </c>
      <c r="K57" s="2"/>
      <c r="L57" s="6">
        <f t="shared" si="38"/>
        <v>0</v>
      </c>
      <c r="M57" s="2"/>
      <c r="N57" s="7">
        <f t="shared" si="39"/>
        <v>0</v>
      </c>
      <c r="O57" s="11"/>
      <c r="P57" s="6">
        <v>107.51</v>
      </c>
      <c r="Q57" s="2"/>
      <c r="R57" s="7">
        <f t="shared" si="40"/>
        <v>5.6594463060097517E-4</v>
      </c>
      <c r="S57" s="2"/>
      <c r="T57" s="6">
        <v>300</v>
      </c>
      <c r="U57" s="2"/>
      <c r="V57" s="7">
        <f t="shared" si="41"/>
        <v>9.0090090090090091E-4</v>
      </c>
      <c r="W57" s="2"/>
      <c r="X57" s="6">
        <f t="shared" si="42"/>
        <v>-192.49</v>
      </c>
      <c r="Y57" s="2"/>
      <c r="Z57" s="7">
        <f t="shared" si="43"/>
        <v>-0.64163333333333339</v>
      </c>
    </row>
    <row r="58" spans="1:26" s="27" customFormat="1" outlineLevel="1" collapsed="1" x14ac:dyDescent="0.25">
      <c r="A58" s="26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183.5</v>
      </c>
      <c r="E58" s="1"/>
      <c r="F58" s="5">
        <f t="shared" si="36"/>
        <v>1.6186982137863688E-2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183.5</v>
      </c>
      <c r="M58" s="1"/>
      <c r="N58" s="5">
        <f t="shared" si="39"/>
        <v>0</v>
      </c>
      <c r="O58" s="13"/>
      <c r="P58" s="1">
        <f>SUM(OSRRefP22_7x_0)</f>
        <v>1520.72</v>
      </c>
      <c r="Q58" s="1"/>
      <c r="R58" s="5">
        <f t="shared" si="40"/>
        <v>8.0052396860525992E-3</v>
      </c>
      <c r="S58" s="1"/>
      <c r="T58" s="1">
        <f>SUM(OSRRefT22_7x_0)</f>
        <v>0</v>
      </c>
      <c r="U58" s="1"/>
      <c r="V58" s="5">
        <f t="shared" si="41"/>
        <v>0</v>
      </c>
      <c r="W58" s="1"/>
      <c r="X58" s="1">
        <f t="shared" si="42"/>
        <v>1520.72</v>
      </c>
      <c r="Y58" s="1"/>
      <c r="Z58" s="5">
        <f t="shared" si="43"/>
        <v>0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6">
        <v>183.5</v>
      </c>
      <c r="E59" s="2"/>
      <c r="F59" s="7">
        <f t="shared" si="36"/>
        <v>1.6186982137863688E-2</v>
      </c>
      <c r="G59" s="2"/>
      <c r="H59" s="6"/>
      <c r="I59" s="2"/>
      <c r="J59" s="7">
        <f t="shared" si="37"/>
        <v>0</v>
      </c>
      <c r="K59" s="2"/>
      <c r="L59" s="6">
        <f t="shared" si="38"/>
        <v>183.5</v>
      </c>
      <c r="M59" s="2"/>
      <c r="N59" s="7">
        <f t="shared" si="39"/>
        <v>0</v>
      </c>
      <c r="O59" s="11"/>
      <c r="P59" s="6">
        <v>1520.72</v>
      </c>
      <c r="Q59" s="2"/>
      <c r="R59" s="7">
        <f t="shared" si="40"/>
        <v>8.0052396860525992E-3</v>
      </c>
      <c r="S59" s="2"/>
      <c r="T59" s="6"/>
      <c r="U59" s="2"/>
      <c r="V59" s="7">
        <f t="shared" si="41"/>
        <v>0</v>
      </c>
      <c r="W59" s="2"/>
      <c r="X59" s="6">
        <f t="shared" si="42"/>
        <v>1520.72</v>
      </c>
      <c r="Y59" s="2"/>
      <c r="Z59" s="7">
        <f t="shared" si="43"/>
        <v>0</v>
      </c>
    </row>
    <row r="60" spans="1:26" s="27" customFormat="1" outlineLevel="1" collapsed="1" x14ac:dyDescent="0.25">
      <c r="A60" s="26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6.6</v>
      </c>
      <c r="E60" s="1"/>
      <c r="F60" s="5">
        <f t="shared" si="36"/>
        <v>5.8220208234278112E-4</v>
      </c>
      <c r="G60" s="1"/>
      <c r="H60" s="1">
        <f>SUM(OSRRefH22_8x_0)</f>
        <v>0</v>
      </c>
      <c r="I60" s="1"/>
      <c r="J60" s="5">
        <f t="shared" si="37"/>
        <v>0</v>
      </c>
      <c r="K60" s="1"/>
      <c r="L60" s="1">
        <f t="shared" si="38"/>
        <v>6.6</v>
      </c>
      <c r="M60" s="1"/>
      <c r="N60" s="5">
        <f t="shared" si="39"/>
        <v>0</v>
      </c>
      <c r="O60" s="13"/>
      <c r="P60" s="1">
        <f>SUM(OSRRefP22_8x_0)</f>
        <v>768.15</v>
      </c>
      <c r="Q60" s="1"/>
      <c r="R60" s="5">
        <f t="shared" si="40"/>
        <v>4.0436272718457726E-3</v>
      </c>
      <c r="S60" s="1"/>
      <c r="T60" s="1">
        <f>SUM(OSRRefT22_8x_0)</f>
        <v>0</v>
      </c>
      <c r="U60" s="1"/>
      <c r="V60" s="5">
        <f t="shared" si="41"/>
        <v>0</v>
      </c>
      <c r="W60" s="1"/>
      <c r="X60" s="1">
        <f t="shared" si="42"/>
        <v>768.15</v>
      </c>
      <c r="Y60" s="1"/>
      <c r="Z60" s="5">
        <f t="shared" si="43"/>
        <v>0</v>
      </c>
    </row>
    <row r="61" spans="1:26" s="24" customFormat="1" hidden="1" outlineLevel="2" x14ac:dyDescent="0.25">
      <c r="A61" s="25"/>
      <c r="B61" s="11" t="str">
        <f>CONCATENATE("          ", "6279", " - ", "GENERAL EXPENSE")</f>
        <v xml:space="preserve">          6279 - GENERAL EXPENSE</v>
      </c>
      <c r="C61" s="11"/>
      <c r="D61" s="6">
        <v>6.6</v>
      </c>
      <c r="E61" s="2"/>
      <c r="F61" s="7">
        <f t="shared" si="36"/>
        <v>5.8220208234278112E-4</v>
      </c>
      <c r="G61" s="2"/>
      <c r="H61" s="6"/>
      <c r="I61" s="2"/>
      <c r="J61" s="7">
        <f t="shared" si="37"/>
        <v>0</v>
      </c>
      <c r="K61" s="2"/>
      <c r="L61" s="6">
        <f t="shared" si="38"/>
        <v>6.6</v>
      </c>
      <c r="M61" s="2"/>
      <c r="N61" s="7">
        <f t="shared" si="39"/>
        <v>0</v>
      </c>
      <c r="O61" s="11"/>
      <c r="P61" s="6">
        <v>768.15</v>
      </c>
      <c r="Q61" s="2"/>
      <c r="R61" s="7">
        <f t="shared" si="40"/>
        <v>4.0436272718457726E-3</v>
      </c>
      <c r="S61" s="2"/>
      <c r="T61" s="6"/>
      <c r="U61" s="2"/>
      <c r="V61" s="7">
        <f t="shared" si="41"/>
        <v>0</v>
      </c>
      <c r="W61" s="2"/>
      <c r="X61" s="6">
        <f t="shared" si="42"/>
        <v>768.15</v>
      </c>
      <c r="Y61" s="2"/>
      <c r="Z61" s="7">
        <f t="shared" si="43"/>
        <v>0</v>
      </c>
    </row>
    <row r="62" spans="1:26" s="27" customFormat="1" outlineLevel="1" collapsed="1" x14ac:dyDescent="0.25">
      <c r="A62" s="26"/>
      <c r="B62" s="13" t="str">
        <f>CONCATENATE("     ","Repair and Maintenance                            ")</f>
        <v xml:space="preserve">     Repair and Maintenance                            </v>
      </c>
      <c r="C62" s="13"/>
      <c r="D62" s="1">
        <f>SUM(OSRRefD22_9x_0)</f>
        <v>69.290000000000006</v>
      </c>
      <c r="E62" s="1"/>
      <c r="F62" s="5">
        <f t="shared" si="36"/>
        <v>6.1122397402320165E-3</v>
      </c>
      <c r="G62" s="1"/>
      <c r="H62" s="1">
        <f>SUM(OSRRefH22_9x_0)</f>
        <v>50</v>
      </c>
      <c r="I62" s="1"/>
      <c r="J62" s="5">
        <f t="shared" si="37"/>
        <v>1.0869565217391304E-3</v>
      </c>
      <c r="K62" s="1"/>
      <c r="L62" s="1">
        <f t="shared" si="38"/>
        <v>19.290000000000006</v>
      </c>
      <c r="M62" s="1"/>
      <c r="N62" s="5">
        <f t="shared" si="39"/>
        <v>0.38580000000000014</v>
      </c>
      <c r="O62" s="13"/>
      <c r="P62" s="1">
        <f>SUM(OSRRefP22_9x_0)</f>
        <v>5494.59</v>
      </c>
      <c r="Q62" s="1"/>
      <c r="R62" s="5">
        <f t="shared" si="40"/>
        <v>2.8924134572168282E-2</v>
      </c>
      <c r="S62" s="1"/>
      <c r="T62" s="1">
        <f>SUM(OSRRefT22_9x_0)</f>
        <v>1250</v>
      </c>
      <c r="U62" s="1"/>
      <c r="V62" s="5">
        <f t="shared" si="41"/>
        <v>3.7537537537537537E-3</v>
      </c>
      <c r="W62" s="1"/>
      <c r="X62" s="1">
        <f t="shared" si="42"/>
        <v>4244.59</v>
      </c>
      <c r="Y62" s="1"/>
      <c r="Z62" s="5">
        <f t="shared" si="43"/>
        <v>3.3956720000000002</v>
      </c>
    </row>
    <row r="63" spans="1:26" s="24" customFormat="1" hidden="1" outlineLevel="2" x14ac:dyDescent="0.25">
      <c r="A63" s="25"/>
      <c r="B63" s="11" t="str">
        <f>CONCATENATE("          ", "6371", " - ", "COMPUTER SOFTWARE MAINTENANCE")</f>
        <v xml:space="preserve">          6371 - COMPUTER SOFTWARE MAINTENANCE</v>
      </c>
      <c r="C63" s="11"/>
      <c r="D63" s="6"/>
      <c r="E63" s="2"/>
      <c r="F63" s="7">
        <f t="shared" si="36"/>
        <v>0</v>
      </c>
      <c r="G63" s="2"/>
      <c r="H63" s="6">
        <v>50</v>
      </c>
      <c r="I63" s="2"/>
      <c r="J63" s="7">
        <f t="shared" si="37"/>
        <v>1.0869565217391304E-3</v>
      </c>
      <c r="K63" s="2"/>
      <c r="L63" s="6">
        <f t="shared" si="38"/>
        <v>-50</v>
      </c>
      <c r="M63" s="2"/>
      <c r="N63" s="7">
        <f t="shared" si="39"/>
        <v>-1</v>
      </c>
      <c r="O63" s="11"/>
      <c r="P63" s="6">
        <v>2186.54</v>
      </c>
      <c r="Q63" s="2"/>
      <c r="R63" s="7">
        <f t="shared" si="40"/>
        <v>1.1510190425023312E-2</v>
      </c>
      <c r="S63" s="2"/>
      <c r="T63" s="6">
        <v>450</v>
      </c>
      <c r="U63" s="2"/>
      <c r="V63" s="7">
        <f t="shared" si="41"/>
        <v>1.3513513513513514E-3</v>
      </c>
      <c r="W63" s="2"/>
      <c r="X63" s="6">
        <f t="shared" si="42"/>
        <v>1736.54</v>
      </c>
      <c r="Y63" s="2"/>
      <c r="Z63" s="7">
        <f t="shared" si="43"/>
        <v>3.8589777777777776</v>
      </c>
    </row>
    <row r="64" spans="1:26" s="24" customFormat="1" hidden="1" outlineLevel="2" x14ac:dyDescent="0.25">
      <c r="A64" s="25"/>
      <c r="B64" s="11" t="str">
        <f>CONCATENATE("          ", "6373", " - ", "MAINTENANCE CONTRACTS")</f>
        <v xml:space="preserve">          6373 - MAINTENANCE CONTRACTS</v>
      </c>
      <c r="C64" s="11"/>
      <c r="D64" s="6">
        <v>69.290000000000006</v>
      </c>
      <c r="E64" s="2"/>
      <c r="F64" s="7">
        <f t="shared" si="36"/>
        <v>6.1122397402320165E-3</v>
      </c>
      <c r="G64" s="2"/>
      <c r="H64" s="6"/>
      <c r="I64" s="2"/>
      <c r="J64" s="7">
        <f t="shared" si="37"/>
        <v>0</v>
      </c>
      <c r="K64" s="2"/>
      <c r="L64" s="6">
        <f t="shared" si="38"/>
        <v>69.290000000000006</v>
      </c>
      <c r="M64" s="2"/>
      <c r="N64" s="7">
        <f t="shared" si="39"/>
        <v>0</v>
      </c>
      <c r="O64" s="11"/>
      <c r="P64" s="6">
        <v>909.57</v>
      </c>
      <c r="Q64" s="2"/>
      <c r="R64" s="7">
        <f t="shared" si="40"/>
        <v>4.7880779244324151E-3</v>
      </c>
      <c r="S64" s="2"/>
      <c r="T64" s="6"/>
      <c r="U64" s="2"/>
      <c r="V64" s="7">
        <f t="shared" si="41"/>
        <v>0</v>
      </c>
      <c r="W64" s="2"/>
      <c r="X64" s="6">
        <f t="shared" si="42"/>
        <v>909.57</v>
      </c>
      <c r="Y64" s="2"/>
      <c r="Z64" s="7">
        <f t="shared" si="43"/>
        <v>0</v>
      </c>
    </row>
    <row r="65" spans="1:26" s="24" customFormat="1" hidden="1" outlineLevel="2" x14ac:dyDescent="0.25">
      <c r="A65" s="25"/>
      <c r="B65" s="11" t="str">
        <f>CONCATENATE("          ", "6375", " - ", "OUTSIDE REPAIRS &amp; MAINTENANCE")</f>
        <v xml:space="preserve">          6375 - OUTSIDE REPAIRS &amp; MAINTENANCE</v>
      </c>
      <c r="C65" s="11"/>
      <c r="D65" s="6"/>
      <c r="E65" s="2"/>
      <c r="F65" s="7">
        <f t="shared" si="36"/>
        <v>0</v>
      </c>
      <c r="G65" s="2"/>
      <c r="H65" s="6"/>
      <c r="I65" s="2"/>
      <c r="J65" s="7">
        <f t="shared" si="37"/>
        <v>0</v>
      </c>
      <c r="K65" s="2"/>
      <c r="L65" s="6">
        <f t="shared" si="38"/>
        <v>0</v>
      </c>
      <c r="M65" s="2"/>
      <c r="N65" s="7">
        <f t="shared" si="39"/>
        <v>0</v>
      </c>
      <c r="O65" s="11"/>
      <c r="P65" s="6">
        <v>2398.48</v>
      </c>
      <c r="Q65" s="2"/>
      <c r="R65" s="7">
        <f t="shared" si="40"/>
        <v>1.2625866222712556E-2</v>
      </c>
      <c r="S65" s="2"/>
      <c r="T65" s="6">
        <v>800</v>
      </c>
      <c r="U65" s="2"/>
      <c r="V65" s="7">
        <f t="shared" si="41"/>
        <v>2.4024024024024023E-3</v>
      </c>
      <c r="W65" s="2"/>
      <c r="X65" s="6">
        <f t="shared" si="42"/>
        <v>1598.48</v>
      </c>
      <c r="Y65" s="2"/>
      <c r="Z65" s="7">
        <f t="shared" si="43"/>
        <v>1.9981</v>
      </c>
    </row>
    <row r="66" spans="1:26" s="27" customFormat="1" outlineLevel="1" collapsed="1" x14ac:dyDescent="0.25">
      <c r="A66" s="26"/>
      <c r="B66" s="13" t="str">
        <f>CONCATENATE("     ","Services                                          ")</f>
        <v xml:space="preserve">     Services                                          </v>
      </c>
      <c r="C66" s="13"/>
      <c r="D66" s="1">
        <f>SUM(OSRRefD22_10x_0)</f>
        <v>701.05</v>
      </c>
      <c r="E66" s="1"/>
      <c r="F66" s="5">
        <f t="shared" ref="F66:F69" si="44">IF(D$12=0,0,D66/D$12)</f>
        <v>6.1841328761576775E-2</v>
      </c>
      <c r="G66" s="1"/>
      <c r="H66" s="1">
        <f>SUM(OSRRefH22_10x_0)</f>
        <v>546</v>
      </c>
      <c r="I66" s="1"/>
      <c r="J66" s="5">
        <f t="shared" ref="J66:J69" si="45">IF(H$12=0,0,H66/H$12)</f>
        <v>1.1869565217391305E-2</v>
      </c>
      <c r="K66" s="1"/>
      <c r="L66" s="1">
        <f t="shared" ref="L66:L69" si="46">+D66-H66</f>
        <v>155.04999999999995</v>
      </c>
      <c r="M66" s="1"/>
      <c r="N66" s="5">
        <f t="shared" ref="N66:N69" si="47">IF(H66=0,0,L66/H66)</f>
        <v>0.28397435897435891</v>
      </c>
      <c r="O66" s="13"/>
      <c r="P66" s="1">
        <f>SUM(OSRRefP22_10x_0)</f>
        <v>1739.62</v>
      </c>
      <c r="Q66" s="1"/>
      <c r="R66" s="5">
        <f t="shared" ref="R66:R69" si="48">IF(P$12=0,0,P66/P$12)</f>
        <v>9.1575536999913346E-3</v>
      </c>
      <c r="S66" s="1"/>
      <c r="T66" s="1">
        <f>SUM(OSRRefT22_10x_0)</f>
        <v>4914</v>
      </c>
      <c r="U66" s="1"/>
      <c r="V66" s="5">
        <f t="shared" ref="V66:V69" si="49">IF(T$12=0,0,T66/T$12)</f>
        <v>1.4756756756756757E-2</v>
      </c>
      <c r="W66" s="1"/>
      <c r="X66" s="1">
        <f t="shared" ref="X66:X69" si="50">+P66-T66</f>
        <v>-3174.38</v>
      </c>
      <c r="Y66" s="1"/>
      <c r="Z66" s="5">
        <f t="shared" ref="Z66:Z69" si="51">IF(T66=0,0,X66/T66)</f>
        <v>-0.64598697598697596</v>
      </c>
    </row>
    <row r="67" spans="1:26" s="24" customFormat="1" hidden="1" outlineLevel="2" x14ac:dyDescent="0.25">
      <c r="A67" s="25"/>
      <c r="B67" s="11" t="str">
        <f>CONCATENATE("          ", "6282", " - ", "JANITORIAL/EXTERMINATOR EXPENS")</f>
        <v xml:space="preserve">          6282 - JANITORIAL/EXTERMINATOR EXPENS</v>
      </c>
      <c r="C67" s="11"/>
      <c r="D67" s="6"/>
      <c r="E67" s="2"/>
      <c r="F67" s="7">
        <f t="shared" si="44"/>
        <v>0</v>
      </c>
      <c r="G67" s="2"/>
      <c r="H67" s="6">
        <v>50</v>
      </c>
      <c r="I67" s="2"/>
      <c r="J67" s="7">
        <f t="shared" si="45"/>
        <v>1.0869565217391304E-3</v>
      </c>
      <c r="K67" s="2"/>
      <c r="L67" s="6">
        <f t="shared" si="46"/>
        <v>-50</v>
      </c>
      <c r="M67" s="2"/>
      <c r="N67" s="7">
        <f t="shared" si="47"/>
        <v>-1</v>
      </c>
      <c r="O67" s="11"/>
      <c r="P67" s="6"/>
      <c r="Q67" s="2"/>
      <c r="R67" s="7">
        <f t="shared" si="48"/>
        <v>0</v>
      </c>
      <c r="S67" s="2"/>
      <c r="T67" s="6">
        <v>450</v>
      </c>
      <c r="U67" s="2"/>
      <c r="V67" s="7">
        <f t="shared" si="49"/>
        <v>1.3513513513513514E-3</v>
      </c>
      <c r="W67" s="2"/>
      <c r="X67" s="6">
        <f t="shared" si="50"/>
        <v>-450</v>
      </c>
      <c r="Y67" s="2"/>
      <c r="Z67" s="7">
        <f t="shared" si="51"/>
        <v>-1</v>
      </c>
    </row>
    <row r="68" spans="1:26" s="24" customFormat="1" hidden="1" outlineLevel="2" x14ac:dyDescent="0.25">
      <c r="A68" s="25"/>
      <c r="B68" s="11" t="str">
        <f>CONCATENATE("          ", "6285", " - ", "JANITORIAL SERVICES")</f>
        <v xml:space="preserve">          6285 - JANITORIAL SERVICES</v>
      </c>
      <c r="C68" s="11"/>
      <c r="D68" s="6">
        <v>668.25</v>
      </c>
      <c r="E68" s="2"/>
      <c r="F68" s="7">
        <f t="shared" si="44"/>
        <v>5.8947960837206589E-2</v>
      </c>
      <c r="G68" s="2"/>
      <c r="H68" s="6">
        <v>396</v>
      </c>
      <c r="I68" s="2"/>
      <c r="J68" s="7">
        <f t="shared" si="45"/>
        <v>8.6086956521739134E-3</v>
      </c>
      <c r="K68" s="2"/>
      <c r="L68" s="6">
        <f t="shared" si="46"/>
        <v>272.25</v>
      </c>
      <c r="M68" s="2"/>
      <c r="N68" s="7">
        <f t="shared" si="47"/>
        <v>0.6875</v>
      </c>
      <c r="O68" s="11"/>
      <c r="P68" s="6">
        <v>1305.25</v>
      </c>
      <c r="Q68" s="2"/>
      <c r="R68" s="7">
        <f t="shared" si="48"/>
        <v>6.8709815746621043E-3</v>
      </c>
      <c r="S68" s="2"/>
      <c r="T68" s="6">
        <v>3564</v>
      </c>
      <c r="U68" s="2"/>
      <c r="V68" s="7">
        <f t="shared" si="49"/>
        <v>1.0702702702702703E-2</v>
      </c>
      <c r="W68" s="2"/>
      <c r="X68" s="6">
        <f t="shared" si="50"/>
        <v>-2258.75</v>
      </c>
      <c r="Y68" s="2"/>
      <c r="Z68" s="7">
        <f t="shared" si="51"/>
        <v>-0.63376823793490455</v>
      </c>
    </row>
    <row r="69" spans="1:26" s="24" customFormat="1" hidden="1" outlineLevel="2" x14ac:dyDescent="0.25">
      <c r="A69" s="25"/>
      <c r="B69" s="11" t="str">
        <f>CONCATENATE("          ", "6286", " - ", "LAUNDRY EXPENSE")</f>
        <v xml:space="preserve">          6286 - LAUNDRY EXPENSE</v>
      </c>
      <c r="C69" s="11"/>
      <c r="D69" s="6">
        <v>32.799999999999997</v>
      </c>
      <c r="E69" s="2"/>
      <c r="F69" s="7">
        <f t="shared" si="44"/>
        <v>2.893367924370185E-3</v>
      </c>
      <c r="G69" s="2"/>
      <c r="H69" s="6">
        <v>100</v>
      </c>
      <c r="I69" s="2"/>
      <c r="J69" s="7">
        <f t="shared" si="45"/>
        <v>2.1739130434782609E-3</v>
      </c>
      <c r="K69" s="2"/>
      <c r="L69" s="6">
        <f t="shared" si="46"/>
        <v>-67.2</v>
      </c>
      <c r="M69" s="2"/>
      <c r="N69" s="7">
        <f t="shared" si="47"/>
        <v>-0.67200000000000004</v>
      </c>
      <c r="O69" s="11"/>
      <c r="P69" s="6">
        <v>434.37</v>
      </c>
      <c r="Q69" s="2"/>
      <c r="R69" s="7">
        <f t="shared" si="48"/>
        <v>2.2865721253292307E-3</v>
      </c>
      <c r="S69" s="2"/>
      <c r="T69" s="6">
        <v>900</v>
      </c>
      <c r="U69" s="2"/>
      <c r="V69" s="7">
        <f t="shared" si="49"/>
        <v>2.7027027027027029E-3</v>
      </c>
      <c r="W69" s="2"/>
      <c r="X69" s="6">
        <f t="shared" si="50"/>
        <v>-465.63</v>
      </c>
      <c r="Y69" s="2"/>
      <c r="Z69" s="7">
        <f t="shared" si="51"/>
        <v>-0.51736666666666664</v>
      </c>
    </row>
    <row r="70" spans="1:26" s="27" customFormat="1" outlineLevel="1" collapsed="1" x14ac:dyDescent="0.25">
      <c r="A70" s="26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SUM(OSRRefD22_11x_0)</f>
        <v>283.87</v>
      </c>
      <c r="E70" s="1"/>
      <c r="F70" s="5">
        <f t="shared" ref="F70:F76" si="52">IF(D$12=0,0,D70/D$12)</f>
        <v>2.5040864411309892E-2</v>
      </c>
      <c r="G70" s="1"/>
      <c r="H70" s="1">
        <f>SUM(OSRRefH22_11x_0)</f>
        <v>411</v>
      </c>
      <c r="I70" s="1"/>
      <c r="J70" s="5">
        <f t="shared" ref="J70:J76" si="53">IF(H$12=0,0,H70/H$12)</f>
        <v>8.9347826086956517E-3</v>
      </c>
      <c r="K70" s="1"/>
      <c r="L70" s="1">
        <f t="shared" ref="L70:L76" si="54">+D70-H70</f>
        <v>-127.13</v>
      </c>
      <c r="M70" s="1"/>
      <c r="N70" s="5">
        <f t="shared" ref="N70:N76" si="55">IF(H70=0,0,L70/H70)</f>
        <v>-0.30931873479318733</v>
      </c>
      <c r="O70" s="13"/>
      <c r="P70" s="1">
        <f>SUM(OSRRefP22_11x_0)</f>
        <v>6296.61</v>
      </c>
      <c r="Q70" s="1"/>
      <c r="R70" s="5">
        <f t="shared" ref="R70:R76" si="56">IF(P$12=0,0,P70/P$12)</f>
        <v>3.3146057301538516E-2</v>
      </c>
      <c r="S70" s="1"/>
      <c r="T70" s="1">
        <f>SUM(OSRRefT22_11x_0)</f>
        <v>4099</v>
      </c>
      <c r="U70" s="1"/>
      <c r="V70" s="5">
        <f t="shared" ref="V70:V76" si="57">IF(T$12=0,0,T70/T$12)</f>
        <v>1.230930930930931E-2</v>
      </c>
      <c r="W70" s="1"/>
      <c r="X70" s="1">
        <f t="shared" ref="X70:X76" si="58">+P70-T70</f>
        <v>2197.6099999999997</v>
      </c>
      <c r="Y70" s="1"/>
      <c r="Z70" s="5">
        <f t="shared" ref="Z70:Z76" si="59">IF(T70=0,0,X70/T70)</f>
        <v>0.53613320322029756</v>
      </c>
    </row>
    <row r="71" spans="1:26" s="24" customFormat="1" hidden="1" outlineLevel="2" x14ac:dyDescent="0.25">
      <c r="A71" s="25"/>
      <c r="B71" s="11" t="str">
        <f>CONCATENATE("          ", "6237", " - ", "JANITORIAL SUPPLIES")</f>
        <v xml:space="preserve">          6237 - JANITORIAL SUPPLIES</v>
      </c>
      <c r="C71" s="11"/>
      <c r="D71" s="6">
        <v>10.95</v>
      </c>
      <c r="E71" s="2"/>
      <c r="F71" s="7">
        <f t="shared" si="52"/>
        <v>9.6592618206870504E-4</v>
      </c>
      <c r="G71" s="2"/>
      <c r="H71" s="6">
        <v>11</v>
      </c>
      <c r="I71" s="2"/>
      <c r="J71" s="7">
        <f t="shared" si="53"/>
        <v>2.391304347826087E-4</v>
      </c>
      <c r="K71" s="2"/>
      <c r="L71" s="6">
        <f t="shared" si="54"/>
        <v>-5.0000000000000711E-2</v>
      </c>
      <c r="M71" s="2"/>
      <c r="N71" s="7">
        <f t="shared" si="55"/>
        <v>-4.5454545454546103E-3</v>
      </c>
      <c r="O71" s="11"/>
      <c r="P71" s="6">
        <v>10.95</v>
      </c>
      <c r="Q71" s="2"/>
      <c r="R71" s="7">
        <f t="shared" si="56"/>
        <v>5.7642021254587271E-5</v>
      </c>
      <c r="S71" s="2"/>
      <c r="T71" s="6">
        <v>99</v>
      </c>
      <c r="U71" s="2"/>
      <c r="V71" s="7">
        <f t="shared" si="57"/>
        <v>2.9729729729729732E-4</v>
      </c>
      <c r="W71" s="2"/>
      <c r="X71" s="6">
        <f t="shared" si="58"/>
        <v>-88.05</v>
      </c>
      <c r="Y71" s="2"/>
      <c r="Z71" s="7">
        <f t="shared" si="59"/>
        <v>-0.8893939393939394</v>
      </c>
    </row>
    <row r="72" spans="1:26" s="24" customFormat="1" hidden="1" outlineLevel="2" x14ac:dyDescent="0.25">
      <c r="A72" s="25"/>
      <c r="B72" s="11" t="str">
        <f>CONCATENATE("          ", "6239", " - ", "KITCHEN SUPPLIES")</f>
        <v xml:space="preserve">          6239 - KITCHEN SUPPLIES</v>
      </c>
      <c r="C72" s="11"/>
      <c r="D72" s="6"/>
      <c r="E72" s="2"/>
      <c r="F72" s="7">
        <f t="shared" si="52"/>
        <v>0</v>
      </c>
      <c r="G72" s="2"/>
      <c r="H72" s="6"/>
      <c r="I72" s="2"/>
      <c r="J72" s="7">
        <f t="shared" si="53"/>
        <v>0</v>
      </c>
      <c r="K72" s="2"/>
      <c r="L72" s="6">
        <f t="shared" si="54"/>
        <v>0</v>
      </c>
      <c r="M72" s="2"/>
      <c r="N72" s="7">
        <f t="shared" si="55"/>
        <v>0</v>
      </c>
      <c r="O72" s="11"/>
      <c r="P72" s="6">
        <v>2898.22</v>
      </c>
      <c r="Q72" s="2"/>
      <c r="R72" s="7">
        <f t="shared" si="56"/>
        <v>1.5256553318764375E-2</v>
      </c>
      <c r="S72" s="2"/>
      <c r="T72" s="6">
        <v>300</v>
      </c>
      <c r="U72" s="2"/>
      <c r="V72" s="7">
        <f t="shared" si="57"/>
        <v>9.0090090090090091E-4</v>
      </c>
      <c r="W72" s="2"/>
      <c r="X72" s="6">
        <f t="shared" si="58"/>
        <v>2598.2199999999998</v>
      </c>
      <c r="Y72" s="2"/>
      <c r="Z72" s="7">
        <f t="shared" si="59"/>
        <v>8.660733333333333</v>
      </c>
    </row>
    <row r="73" spans="1:26" s="24" customFormat="1" hidden="1" outlineLevel="2" x14ac:dyDescent="0.25">
      <c r="A73" s="25"/>
      <c r="B73" s="11" t="str">
        <f>CONCATENATE("          ", "6241", " - ", "OFFICE EXPENSE")</f>
        <v xml:space="preserve">          6241 - OFFICE EXPENSE</v>
      </c>
      <c r="C73" s="11"/>
      <c r="D73" s="6">
        <v>138.91999999999999</v>
      </c>
      <c r="E73" s="2"/>
      <c r="F73" s="7">
        <f t="shared" si="52"/>
        <v>1.2254471708948356E-2</v>
      </c>
      <c r="G73" s="2"/>
      <c r="H73" s="6"/>
      <c r="I73" s="2"/>
      <c r="J73" s="7">
        <f t="shared" si="53"/>
        <v>0</v>
      </c>
      <c r="K73" s="2"/>
      <c r="L73" s="6">
        <f t="shared" si="54"/>
        <v>138.91999999999999</v>
      </c>
      <c r="M73" s="2"/>
      <c r="N73" s="7">
        <f t="shared" si="55"/>
        <v>0</v>
      </c>
      <c r="O73" s="11"/>
      <c r="P73" s="6">
        <v>788.91</v>
      </c>
      <c r="Q73" s="2"/>
      <c r="R73" s="7">
        <f t="shared" si="56"/>
        <v>4.1529102272106341E-3</v>
      </c>
      <c r="S73" s="2"/>
      <c r="T73" s="6"/>
      <c r="U73" s="2"/>
      <c r="V73" s="7">
        <f t="shared" si="57"/>
        <v>0</v>
      </c>
      <c r="W73" s="2"/>
      <c r="X73" s="6">
        <f t="shared" si="58"/>
        <v>788.91</v>
      </c>
      <c r="Y73" s="2"/>
      <c r="Z73" s="7">
        <f t="shared" si="59"/>
        <v>0</v>
      </c>
    </row>
    <row r="74" spans="1:26" s="24" customFormat="1" hidden="1" outlineLevel="2" x14ac:dyDescent="0.25">
      <c r="A74" s="25"/>
      <c r="B74" s="11" t="str">
        <f>CONCATENATE("          ", "6243", " - ", "PAPER SUPPLIES")</f>
        <v xml:space="preserve">          6243 - PAPER SUPPLIES</v>
      </c>
      <c r="C74" s="11"/>
      <c r="D74" s="6">
        <v>134</v>
      </c>
      <c r="E74" s="2"/>
      <c r="F74" s="7">
        <f t="shared" si="52"/>
        <v>1.182046652029283E-2</v>
      </c>
      <c r="G74" s="2"/>
      <c r="H74" s="6">
        <v>400</v>
      </c>
      <c r="I74" s="2"/>
      <c r="J74" s="7">
        <f t="shared" si="53"/>
        <v>8.6956521739130436E-3</v>
      </c>
      <c r="K74" s="2"/>
      <c r="L74" s="6">
        <f t="shared" si="54"/>
        <v>-266</v>
      </c>
      <c r="M74" s="2"/>
      <c r="N74" s="7">
        <f t="shared" si="55"/>
        <v>-0.66500000000000004</v>
      </c>
      <c r="O74" s="11"/>
      <c r="P74" s="6">
        <v>1858.86</v>
      </c>
      <c r="Q74" s="2"/>
      <c r="R74" s="7">
        <f t="shared" si="56"/>
        <v>9.7852463588403733E-3</v>
      </c>
      <c r="S74" s="2"/>
      <c r="T74" s="6">
        <v>3100</v>
      </c>
      <c r="U74" s="2"/>
      <c r="V74" s="7">
        <f t="shared" si="57"/>
        <v>9.3093093093093091E-3</v>
      </c>
      <c r="W74" s="2"/>
      <c r="X74" s="6">
        <f t="shared" si="58"/>
        <v>-1241.1400000000001</v>
      </c>
      <c r="Y74" s="2"/>
      <c r="Z74" s="7">
        <f t="shared" si="59"/>
        <v>-0.40036774193548391</v>
      </c>
    </row>
    <row r="75" spans="1:26" s="24" customFormat="1" hidden="1" outlineLevel="2" x14ac:dyDescent="0.25">
      <c r="A75" s="25"/>
      <c r="B75" s="11" t="str">
        <f>CONCATENATE("          ", "6247", " - ", "STORE SUPPLIES")</f>
        <v xml:space="preserve">          6247 - STORE SUPPLIES</v>
      </c>
      <c r="C75" s="11"/>
      <c r="D75" s="6"/>
      <c r="E75" s="2"/>
      <c r="F75" s="7">
        <f t="shared" si="52"/>
        <v>0</v>
      </c>
      <c r="G75" s="2"/>
      <c r="H75" s="6"/>
      <c r="I75" s="2"/>
      <c r="J75" s="7">
        <f t="shared" si="53"/>
        <v>0</v>
      </c>
      <c r="K75" s="2"/>
      <c r="L75" s="6">
        <f t="shared" si="54"/>
        <v>0</v>
      </c>
      <c r="M75" s="2"/>
      <c r="N75" s="7">
        <f t="shared" si="55"/>
        <v>0</v>
      </c>
      <c r="O75" s="11"/>
      <c r="P75" s="6">
        <v>102.64</v>
      </c>
      <c r="Q75" s="2"/>
      <c r="R75" s="7">
        <f t="shared" si="56"/>
        <v>5.4030840744939159E-4</v>
      </c>
      <c r="S75" s="2"/>
      <c r="T75" s="6"/>
      <c r="U75" s="2"/>
      <c r="V75" s="7">
        <f t="shared" si="57"/>
        <v>0</v>
      </c>
      <c r="W75" s="2"/>
      <c r="X75" s="6">
        <f t="shared" si="58"/>
        <v>102.64</v>
      </c>
      <c r="Y75" s="2"/>
      <c r="Z75" s="7">
        <f t="shared" si="59"/>
        <v>0</v>
      </c>
    </row>
    <row r="76" spans="1:26" s="24" customFormat="1" hidden="1" outlineLevel="2" x14ac:dyDescent="0.25">
      <c r="A76" s="25"/>
      <c r="B76" s="11" t="str">
        <f>CONCATENATE("          ", "6248", " - ", "UNIFORMS")</f>
        <v xml:space="preserve">          6248 - UNIFORMS</v>
      </c>
      <c r="C76" s="11"/>
      <c r="D76" s="6"/>
      <c r="E76" s="2"/>
      <c r="F76" s="7">
        <f t="shared" si="52"/>
        <v>0</v>
      </c>
      <c r="G76" s="2"/>
      <c r="H76" s="6"/>
      <c r="I76" s="2"/>
      <c r="J76" s="7">
        <f t="shared" si="53"/>
        <v>0</v>
      </c>
      <c r="K76" s="2"/>
      <c r="L76" s="6">
        <f t="shared" si="54"/>
        <v>0</v>
      </c>
      <c r="M76" s="2"/>
      <c r="N76" s="7">
        <f t="shared" si="55"/>
        <v>0</v>
      </c>
      <c r="O76" s="11"/>
      <c r="P76" s="6">
        <v>637.03</v>
      </c>
      <c r="Q76" s="2"/>
      <c r="R76" s="7">
        <f t="shared" si="56"/>
        <v>3.3533969680191534E-3</v>
      </c>
      <c r="S76" s="2"/>
      <c r="T76" s="6">
        <v>600</v>
      </c>
      <c r="U76" s="2"/>
      <c r="V76" s="7">
        <f t="shared" si="57"/>
        <v>1.8018018018018018E-3</v>
      </c>
      <c r="W76" s="2"/>
      <c r="X76" s="6">
        <f t="shared" si="58"/>
        <v>37.029999999999973</v>
      </c>
      <c r="Y76" s="2"/>
      <c r="Z76" s="7">
        <f t="shared" si="59"/>
        <v>6.1716666666666621E-2</v>
      </c>
    </row>
    <row r="77" spans="1:26" s="27" customFormat="1" outlineLevel="1" collapsed="1" x14ac:dyDescent="0.25">
      <c r="A77" s="26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SUM(OSRRefD22_12x_0)</f>
        <v>86</v>
      </c>
      <c r="E77" s="1"/>
      <c r="F77" s="5">
        <f t="shared" ref="F77:F79" si="60">IF(D$12=0,0,D77/D$12)</f>
        <v>7.5862695577998754E-3</v>
      </c>
      <c r="G77" s="1"/>
      <c r="H77" s="1">
        <f>SUM(OSRRefH22_12x_0)</f>
        <v>95</v>
      </c>
      <c r="I77" s="1"/>
      <c r="J77" s="5">
        <f t="shared" ref="J77:J79" si="61">IF(H$12=0,0,H77/H$12)</f>
        <v>2.0652173913043477E-3</v>
      </c>
      <c r="K77" s="1"/>
      <c r="L77" s="1">
        <f t="shared" ref="L77:L79" si="62">+D77-H77</f>
        <v>-9</v>
      </c>
      <c r="M77" s="1"/>
      <c r="N77" s="5">
        <f t="shared" ref="N77:N79" si="63">IF(H77=0,0,L77/H77)</f>
        <v>-9.4736842105263161E-2</v>
      </c>
      <c r="O77" s="13"/>
      <c r="P77" s="1">
        <f>SUM(OSRRefP22_12x_0)</f>
        <v>779.5</v>
      </c>
      <c r="Q77" s="1"/>
      <c r="R77" s="5">
        <f t="shared" ref="R77:R79" si="64">IF(P$12=0,0,P77/P$12)</f>
        <v>4.1033749377123998E-3</v>
      </c>
      <c r="S77" s="1"/>
      <c r="T77" s="1">
        <f>SUM(OSRRefT22_12x_0)</f>
        <v>855</v>
      </c>
      <c r="U77" s="1"/>
      <c r="V77" s="5">
        <f t="shared" ref="V77:V79" si="65">IF(T$12=0,0,T77/T$12)</f>
        <v>2.5675675675675674E-3</v>
      </c>
      <c r="W77" s="1"/>
      <c r="X77" s="1">
        <f t="shared" ref="X77:X79" si="66">+P77-T77</f>
        <v>-75.5</v>
      </c>
      <c r="Y77" s="1"/>
      <c r="Z77" s="5">
        <f t="shared" ref="Z77:Z79" si="67">IF(T77=0,0,X77/T77)</f>
        <v>-8.8304093567251468E-2</v>
      </c>
    </row>
    <row r="78" spans="1:26" s="24" customFormat="1" hidden="1" outlineLevel="2" x14ac:dyDescent="0.25">
      <c r="A78" s="25"/>
      <c r="B78" s="11" t="str">
        <f>CONCATENATE("          ", "6303", " - ", "DATA PHONE LINES")</f>
        <v xml:space="preserve">          6303 - DATA PHONE LINES</v>
      </c>
      <c r="C78" s="11"/>
      <c r="D78" s="6"/>
      <c r="E78" s="2"/>
      <c r="F78" s="7">
        <f t="shared" si="60"/>
        <v>0</v>
      </c>
      <c r="G78" s="2"/>
      <c r="H78" s="6">
        <v>50</v>
      </c>
      <c r="I78" s="2"/>
      <c r="J78" s="7">
        <f t="shared" si="61"/>
        <v>1.0869565217391304E-3</v>
      </c>
      <c r="K78" s="2"/>
      <c r="L78" s="6">
        <f t="shared" si="62"/>
        <v>-50</v>
      </c>
      <c r="M78" s="2"/>
      <c r="N78" s="7">
        <f t="shared" si="63"/>
        <v>-1</v>
      </c>
      <c r="O78" s="11"/>
      <c r="P78" s="6"/>
      <c r="Q78" s="2"/>
      <c r="R78" s="7">
        <f t="shared" si="64"/>
        <v>0</v>
      </c>
      <c r="S78" s="2"/>
      <c r="T78" s="6">
        <v>450</v>
      </c>
      <c r="U78" s="2"/>
      <c r="V78" s="7">
        <f t="shared" si="65"/>
        <v>1.3513513513513514E-3</v>
      </c>
      <c r="W78" s="2"/>
      <c r="X78" s="6">
        <f t="shared" si="66"/>
        <v>-450</v>
      </c>
      <c r="Y78" s="2"/>
      <c r="Z78" s="7">
        <f t="shared" si="67"/>
        <v>-1</v>
      </c>
    </row>
    <row r="79" spans="1:26" s="24" customFormat="1" hidden="1" outlineLevel="2" x14ac:dyDescent="0.25">
      <c r="A79" s="25"/>
      <c r="B79" s="11" t="str">
        <f>CONCATENATE("          ", "6309", " - ", "TELEPHONE")</f>
        <v xml:space="preserve">          6309 - TELEPHONE</v>
      </c>
      <c r="C79" s="11"/>
      <c r="D79" s="6">
        <v>86</v>
      </c>
      <c r="E79" s="2"/>
      <c r="F79" s="7">
        <f t="shared" si="60"/>
        <v>7.5862695577998754E-3</v>
      </c>
      <c r="G79" s="2"/>
      <c r="H79" s="6">
        <v>45</v>
      </c>
      <c r="I79" s="2"/>
      <c r="J79" s="7">
        <f t="shared" si="61"/>
        <v>9.7826086956521747E-4</v>
      </c>
      <c r="K79" s="2"/>
      <c r="L79" s="6">
        <f t="shared" si="62"/>
        <v>41</v>
      </c>
      <c r="M79" s="2"/>
      <c r="N79" s="7">
        <f t="shared" si="63"/>
        <v>0.91111111111111109</v>
      </c>
      <c r="O79" s="11"/>
      <c r="P79" s="6">
        <v>779.5</v>
      </c>
      <c r="Q79" s="2"/>
      <c r="R79" s="7">
        <f t="shared" si="64"/>
        <v>4.1033749377123998E-3</v>
      </c>
      <c r="S79" s="2"/>
      <c r="T79" s="6">
        <v>405</v>
      </c>
      <c r="U79" s="2"/>
      <c r="V79" s="7">
        <f t="shared" si="65"/>
        <v>1.2162162162162162E-3</v>
      </c>
      <c r="W79" s="2"/>
      <c r="X79" s="6">
        <f t="shared" si="66"/>
        <v>374.5</v>
      </c>
      <c r="Y79" s="2"/>
      <c r="Z79" s="7">
        <f t="shared" si="67"/>
        <v>0.92469135802469138</v>
      </c>
    </row>
    <row r="80" spans="1:26" s="27" customFormat="1" outlineLevel="1" collapsed="1" x14ac:dyDescent="0.25">
      <c r="A80" s="26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SUM(OSRRefD22_13x_0)</f>
        <v>0</v>
      </c>
      <c r="E80" s="1"/>
      <c r="F80" s="5">
        <f t="shared" ref="F80:F84" si="68">IF(D$12=0,0,D80/D$12)</f>
        <v>0</v>
      </c>
      <c r="G80" s="1"/>
      <c r="H80" s="1">
        <f>SUM(OSRRefH22_13x_0)</f>
        <v>0</v>
      </c>
      <c r="I80" s="1"/>
      <c r="J80" s="5">
        <f t="shared" ref="J80:J84" si="69">IF(H$12=0,0,H80/H$12)</f>
        <v>0</v>
      </c>
      <c r="K80" s="1"/>
      <c r="L80" s="1">
        <f t="shared" ref="L80:L84" si="70">+D80-H80</f>
        <v>0</v>
      </c>
      <c r="M80" s="1"/>
      <c r="N80" s="5">
        <f t="shared" ref="N80:N84" si="71">IF(H80=0,0,L80/H80)</f>
        <v>0</v>
      </c>
      <c r="O80" s="13"/>
      <c r="P80" s="1">
        <f>SUM(OSRRefP22_13x_0)</f>
        <v>170.95</v>
      </c>
      <c r="Q80" s="1"/>
      <c r="R80" s="5">
        <f t="shared" ref="R80:R84" si="72">IF(P$12=0,0,P80/P$12)</f>
        <v>8.9989986607047435E-4</v>
      </c>
      <c r="S80" s="1"/>
      <c r="T80" s="1">
        <f>SUM(OSRRefT22_13x_0)</f>
        <v>2000</v>
      </c>
      <c r="U80" s="1"/>
      <c r="V80" s="5">
        <f t="shared" ref="V80:V84" si="73">IF(T$12=0,0,T80/T$12)</f>
        <v>6.006006006006006E-3</v>
      </c>
      <c r="W80" s="1"/>
      <c r="X80" s="1">
        <f t="shared" ref="X80:X84" si="74">+P80-T80</f>
        <v>-1829.05</v>
      </c>
      <c r="Y80" s="1"/>
      <c r="Z80" s="5">
        <f t="shared" ref="Z80:Z84" si="75">IF(T80=0,0,X80/T80)</f>
        <v>-0.91452500000000003</v>
      </c>
    </row>
    <row r="81" spans="1:26" s="24" customFormat="1" hidden="1" outlineLevel="2" x14ac:dyDescent="0.25">
      <c r="A81" s="25"/>
      <c r="B81" s="11" t="str">
        <f>CONCATENATE("          ", "6376", " - ", "TRAINING")</f>
        <v xml:space="preserve">          6376 - TRAINING</v>
      </c>
      <c r="C81" s="11"/>
      <c r="D81" s="6"/>
      <c r="E81" s="2"/>
      <c r="F81" s="7">
        <f t="shared" si="68"/>
        <v>0</v>
      </c>
      <c r="G81" s="2"/>
      <c r="H81" s="6"/>
      <c r="I81" s="2"/>
      <c r="J81" s="7">
        <f t="shared" si="69"/>
        <v>0</v>
      </c>
      <c r="K81" s="2"/>
      <c r="L81" s="6">
        <f t="shared" si="70"/>
        <v>0</v>
      </c>
      <c r="M81" s="2"/>
      <c r="N81" s="7">
        <f t="shared" si="71"/>
        <v>0</v>
      </c>
      <c r="O81" s="11"/>
      <c r="P81" s="6">
        <v>170.95</v>
      </c>
      <c r="Q81" s="2"/>
      <c r="R81" s="7">
        <f t="shared" si="72"/>
        <v>8.9989986607047435E-4</v>
      </c>
      <c r="S81" s="2"/>
      <c r="T81" s="6">
        <v>2000</v>
      </c>
      <c r="U81" s="2"/>
      <c r="V81" s="7">
        <f t="shared" si="73"/>
        <v>6.006006006006006E-3</v>
      </c>
      <c r="W81" s="2"/>
      <c r="X81" s="6">
        <f t="shared" si="74"/>
        <v>-1829.05</v>
      </c>
      <c r="Y81" s="2"/>
      <c r="Z81" s="7">
        <f t="shared" si="75"/>
        <v>-0.91452500000000003</v>
      </c>
    </row>
    <row r="82" spans="1:26" s="27" customFormat="1" outlineLevel="1" collapsed="1" x14ac:dyDescent="0.25">
      <c r="A82" s="26"/>
      <c r="B82" s="13" t="str">
        <f>CONCATENATE("     ","Travel                                            ")</f>
        <v xml:space="preserve">     Travel                                            </v>
      </c>
      <c r="C82" s="13"/>
      <c r="D82" s="1">
        <f>SUM(OSRRefD22_14x_0)</f>
        <v>11.5</v>
      </c>
      <c r="E82" s="1"/>
      <c r="F82" s="5">
        <f t="shared" si="68"/>
        <v>1.0144430222639369E-3</v>
      </c>
      <c r="G82" s="1"/>
      <c r="H82" s="1">
        <f>SUM(OSRRefH22_14x_0)</f>
        <v>0</v>
      </c>
      <c r="I82" s="1"/>
      <c r="J82" s="5">
        <f t="shared" si="69"/>
        <v>0</v>
      </c>
      <c r="K82" s="1"/>
      <c r="L82" s="1">
        <f t="shared" si="70"/>
        <v>11.5</v>
      </c>
      <c r="M82" s="1"/>
      <c r="N82" s="5">
        <f t="shared" si="71"/>
        <v>0</v>
      </c>
      <c r="O82" s="13"/>
      <c r="P82" s="1">
        <f>SUM(OSRRefP22_14x_0)</f>
        <v>11.5</v>
      </c>
      <c r="Q82" s="1"/>
      <c r="R82" s="5">
        <f t="shared" si="72"/>
        <v>6.0537282596141888E-5</v>
      </c>
      <c r="S82" s="1"/>
      <c r="T82" s="1">
        <f>SUM(OSRRefT22_14x_0)</f>
        <v>2000</v>
      </c>
      <c r="U82" s="1"/>
      <c r="V82" s="5">
        <f t="shared" si="73"/>
        <v>6.006006006006006E-3</v>
      </c>
      <c r="W82" s="1"/>
      <c r="X82" s="1">
        <f t="shared" si="74"/>
        <v>-1988.5</v>
      </c>
      <c r="Y82" s="1"/>
      <c r="Z82" s="5">
        <f t="shared" si="75"/>
        <v>-0.99424999999999997</v>
      </c>
    </row>
    <row r="83" spans="1:26" s="24" customFormat="1" hidden="1" outlineLevel="2" x14ac:dyDescent="0.25">
      <c r="A83" s="25"/>
      <c r="B83" s="11" t="str">
        <f>CONCATENATE("          ", "6292", " - ", "TRAVEL/CONFERENCE")</f>
        <v xml:space="preserve">          6292 - TRAVEL/CONFERENCE</v>
      </c>
      <c r="C83" s="11"/>
      <c r="D83" s="6"/>
      <c r="E83" s="2"/>
      <c r="F83" s="7">
        <f t="shared" si="68"/>
        <v>0</v>
      </c>
      <c r="G83" s="2"/>
      <c r="H83" s="6"/>
      <c r="I83" s="2"/>
      <c r="J83" s="7">
        <f t="shared" si="69"/>
        <v>0</v>
      </c>
      <c r="K83" s="2"/>
      <c r="L83" s="6">
        <f t="shared" si="70"/>
        <v>0</v>
      </c>
      <c r="M83" s="2"/>
      <c r="N83" s="7">
        <f t="shared" si="71"/>
        <v>0</v>
      </c>
      <c r="O83" s="11"/>
      <c r="P83" s="6"/>
      <c r="Q83" s="2"/>
      <c r="R83" s="7">
        <f t="shared" si="72"/>
        <v>0</v>
      </c>
      <c r="S83" s="2"/>
      <c r="T83" s="6">
        <v>2000</v>
      </c>
      <c r="U83" s="2"/>
      <c r="V83" s="7">
        <f t="shared" si="73"/>
        <v>6.006006006006006E-3</v>
      </c>
      <c r="W83" s="2"/>
      <c r="X83" s="6">
        <f t="shared" si="74"/>
        <v>-2000</v>
      </c>
      <c r="Y83" s="2"/>
      <c r="Z83" s="7">
        <f t="shared" si="75"/>
        <v>-1</v>
      </c>
    </row>
    <row r="84" spans="1:26" s="24" customFormat="1" hidden="1" outlineLevel="2" x14ac:dyDescent="0.25">
      <c r="A84" s="25"/>
      <c r="B84" s="11" t="str">
        <f>CONCATENATE("          ", "6294", " - ", "TRAVEL OPERATIONAL")</f>
        <v xml:space="preserve">          6294 - TRAVEL OPERATIONAL</v>
      </c>
      <c r="C84" s="11"/>
      <c r="D84" s="6">
        <v>11.5</v>
      </c>
      <c r="E84" s="2"/>
      <c r="F84" s="7">
        <f t="shared" si="68"/>
        <v>1.0144430222639369E-3</v>
      </c>
      <c r="G84" s="2"/>
      <c r="H84" s="6"/>
      <c r="I84" s="2"/>
      <c r="J84" s="7">
        <f t="shared" si="69"/>
        <v>0</v>
      </c>
      <c r="K84" s="2"/>
      <c r="L84" s="6">
        <f t="shared" si="70"/>
        <v>11.5</v>
      </c>
      <c r="M84" s="2"/>
      <c r="N84" s="7">
        <f t="shared" si="71"/>
        <v>0</v>
      </c>
      <c r="O84" s="11"/>
      <c r="P84" s="6">
        <v>11.5</v>
      </c>
      <c r="Q84" s="2"/>
      <c r="R84" s="7">
        <f t="shared" si="72"/>
        <v>6.0537282596141888E-5</v>
      </c>
      <c r="S84" s="2"/>
      <c r="T84" s="6"/>
      <c r="U84" s="2"/>
      <c r="V84" s="7">
        <f t="shared" si="73"/>
        <v>0</v>
      </c>
      <c r="W84" s="2"/>
      <c r="X84" s="6">
        <f t="shared" si="74"/>
        <v>11.5</v>
      </c>
      <c r="Y84" s="2"/>
      <c r="Z84" s="7">
        <f t="shared" si="75"/>
        <v>0</v>
      </c>
    </row>
    <row r="85" spans="1:26" s="56" customFormat="1" x14ac:dyDescent="0.25">
      <c r="A85" s="36"/>
      <c r="B85" s="36"/>
      <c r="C85" s="36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6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x14ac:dyDescent="0.25">
      <c r="A86" s="10"/>
      <c r="B86" s="29" t="s">
        <v>0</v>
      </c>
      <c r="C86" s="10"/>
      <c r="D86" s="4">
        <f>SUM(0)</f>
        <v>0</v>
      </c>
      <c r="E86" s="4"/>
      <c r="F86" s="12">
        <f>IF(D$12=0,0,D86/D$12)</f>
        <v>0</v>
      </c>
      <c r="G86" s="4"/>
      <c r="H86" s="4">
        <f>SUM(0)</f>
        <v>0</v>
      </c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>
        <f>SUM(0)</f>
        <v>0</v>
      </c>
      <c r="Q86" s="4"/>
      <c r="R86" s="12">
        <f>IF(P$12=0,0,P86/P$12)</f>
        <v>0</v>
      </c>
      <c r="S86" s="4"/>
      <c r="T86" s="4">
        <f>SUM(0)</f>
        <v>0</v>
      </c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10"/>
      <c r="B88" s="28" t="s">
        <v>3</v>
      </c>
      <c r="C88" s="28"/>
      <c r="D88" s="20">
        <f>+D23-D25+D86</f>
        <v>-10895.909999999998</v>
      </c>
      <c r="E88" s="14"/>
      <c r="F88" s="22">
        <f>IF(D$12=0,0,D88/D$12)</f>
        <v>-0.96115477136659566</v>
      </c>
      <c r="G88" s="14"/>
      <c r="H88" s="20">
        <f>+H23-H25+H86</f>
        <v>11260.534223200004</v>
      </c>
      <c r="I88" s="14"/>
      <c r="J88" s="22">
        <f>IF(H$12=0,0,H88/H$12)</f>
        <v>0.24479422224347835</v>
      </c>
      <c r="K88" s="16"/>
      <c r="L88" s="20">
        <f>+D88-H88</f>
        <v>-22156.4442232</v>
      </c>
      <c r="M88" s="16"/>
      <c r="N88" s="22">
        <f>IF(H88=0,0,L88/H88)</f>
        <v>-1.9676192784487281</v>
      </c>
      <c r="O88" s="29"/>
      <c r="P88" s="20">
        <f>+P23-P25+P86</f>
        <v>-60120.740000000049</v>
      </c>
      <c r="Q88" s="14"/>
      <c r="R88" s="22">
        <f>IF(P$12=0,0,P88/P$12)</f>
        <v>-0.3164822806321021</v>
      </c>
      <c r="S88" s="14"/>
      <c r="T88" s="20">
        <f>+T23-T25+T86</f>
        <v>62397.485883000016</v>
      </c>
      <c r="U88" s="14"/>
      <c r="V88" s="22">
        <f>IF(T$12=0,0,T88/T$12)</f>
        <v>0.18737983748648654</v>
      </c>
      <c r="W88" s="16"/>
      <c r="X88" s="20">
        <f>+P88-T88</f>
        <v>-122518.22588300006</v>
      </c>
      <c r="Y88" s="16"/>
      <c r="Z88" s="22">
        <f>IF(T88=0,0,X88/T88)</f>
        <v>-1.9635122176674067</v>
      </c>
    </row>
    <row r="89" spans="1:26" x14ac:dyDescent="0.25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52"/>
      <c r="B90" s="10" t="s">
        <v>14</v>
      </c>
      <c r="C90" s="10"/>
      <c r="D90" s="4">
        <v>2149.41</v>
      </c>
      <c r="E90" s="4"/>
      <c r="F90" s="12">
        <f>IF(D$12=0,0,D90/D$12)</f>
        <v>0.1896046936073329</v>
      </c>
      <c r="G90" s="4"/>
      <c r="H90" s="4">
        <v>4413</v>
      </c>
      <c r="I90" s="4"/>
      <c r="J90" s="12">
        <f>IF(H$12=0,0,H90/H$12)</f>
        <v>9.5934782608695646E-2</v>
      </c>
      <c r="K90" s="4"/>
      <c r="L90" s="4">
        <f>+D90-H90</f>
        <v>-2263.59</v>
      </c>
      <c r="M90" s="4"/>
      <c r="N90" s="12">
        <f>IF(H90=0,0,L90/H90)</f>
        <v>-0.51293677770224344</v>
      </c>
      <c r="O90" s="10"/>
      <c r="P90" s="4">
        <v>20355.27</v>
      </c>
      <c r="Q90" s="4"/>
      <c r="R90" s="12">
        <f>IF(P$12=0,0,P90/P$12)</f>
        <v>0.10715241150528426</v>
      </c>
      <c r="S90" s="4"/>
      <c r="T90" s="4">
        <v>38925</v>
      </c>
      <c r="U90" s="4"/>
      <c r="V90" s="12">
        <f>IF(T$12=0,0,T90/T$12)</f>
        <v>0.11689189189189189</v>
      </c>
      <c r="W90" s="4"/>
      <c r="X90" s="4">
        <f>+P90-T90</f>
        <v>-18569.73</v>
      </c>
      <c r="Y90" s="4"/>
      <c r="Z90" s="12">
        <f>IF(T90=0,0,X90/T90)</f>
        <v>-0.47706435452793833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8" t="s">
        <v>4</v>
      </c>
      <c r="C92" s="28"/>
      <c r="D92" s="31">
        <f>+D88-D90</f>
        <v>-13045.319999999998</v>
      </c>
      <c r="E92" s="14"/>
      <c r="F92" s="34">
        <f>IF(D$12=0,0,D92/D$12)</f>
        <v>-1.1507594649739286</v>
      </c>
      <c r="G92" s="14"/>
      <c r="H92" s="31">
        <f>+H88-H90</f>
        <v>6847.5342232000039</v>
      </c>
      <c r="I92" s="14"/>
      <c r="J92" s="34">
        <f>IF(H$12=0,0,H92/H$12)</f>
        <v>0.14885943963478268</v>
      </c>
      <c r="K92" s="16"/>
      <c r="L92" s="31">
        <f>D92-H92</f>
        <v>-19892.854223200004</v>
      </c>
      <c r="M92" s="16"/>
      <c r="N92" s="34">
        <f>IF(H92=0,0,L92/H92)</f>
        <v>-2.9051120556362307</v>
      </c>
      <c r="O92" s="29"/>
      <c r="P92" s="31">
        <f>+P88-P90</f>
        <v>-80476.010000000053</v>
      </c>
      <c r="Q92" s="14"/>
      <c r="R92" s="34">
        <f>IF(P$12=0,0,P92/P$12)</f>
        <v>-0.42363469213738641</v>
      </c>
      <c r="S92" s="14"/>
      <c r="T92" s="31">
        <f>+T88-T90</f>
        <v>23472.485883000016</v>
      </c>
      <c r="U92" s="14"/>
      <c r="V92" s="34">
        <f>IF(T$12=0,0,T92/T$12)</f>
        <v>7.0487945594594648E-2</v>
      </c>
      <c r="W92" s="16"/>
      <c r="X92" s="31">
        <f>P92-T92</f>
        <v>-103948.49588300007</v>
      </c>
      <c r="Y92" s="16"/>
      <c r="Z92" s="34">
        <f>IF(T92=0,0,X92/T92)</f>
        <v>-4.4285252274146609</v>
      </c>
    </row>
    <row r="93" spans="1:26" ht="15.75" thickTop="1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8" t="s">
        <v>5</v>
      </c>
      <c r="C95" s="28"/>
      <c r="D95" s="32">
        <f>SUM(D92:D94)</f>
        <v>-13045.319999999998</v>
      </c>
      <c r="E95" s="14"/>
      <c r="F95" s="35">
        <f>IF(D$12=0,0,D95/D$12)</f>
        <v>-1.1507594649739286</v>
      </c>
      <c r="G95" s="14"/>
      <c r="H95" s="32">
        <f>SUM(H92:H94)</f>
        <v>6847.5342232000039</v>
      </c>
      <c r="I95" s="14"/>
      <c r="J95" s="35">
        <f>IF(H$12=0,0,H95/H$12)</f>
        <v>0.14885943963478268</v>
      </c>
      <c r="K95" s="16"/>
      <c r="L95" s="32">
        <f>+D95-H95</f>
        <v>-19892.854223200004</v>
      </c>
      <c r="M95" s="16"/>
      <c r="N95" s="35">
        <f>IF(H95=0,0,L95/H95)</f>
        <v>-2.9051120556362307</v>
      </c>
      <c r="O95" s="29"/>
      <c r="P95" s="32">
        <f>SUM(P92:P94)</f>
        <v>-80476.010000000053</v>
      </c>
      <c r="Q95" s="14"/>
      <c r="R95" s="35">
        <f>IF(P$12=0,0,P95/P$12)</f>
        <v>-0.42363469213738641</v>
      </c>
      <c r="S95" s="14"/>
      <c r="T95" s="32">
        <f>SUM(T92:T94)</f>
        <v>23472.485883000016</v>
      </c>
      <c r="U95" s="14"/>
      <c r="V95" s="35">
        <f>IF(T$12=0,0,T95/T$12)</f>
        <v>7.0487945594594648E-2</v>
      </c>
      <c r="W95" s="16"/>
      <c r="X95" s="32">
        <f>+P95-T95</f>
        <v>-103948.49588300007</v>
      </c>
      <c r="Y95" s="16"/>
      <c r="Z95" s="35">
        <f>IF(T95=0,0,X95/T95)</f>
        <v>-4.4285252274146609</v>
      </c>
    </row>
    <row r="96" spans="1:26" ht="15.75" thickTop="1" x14ac:dyDescent="0.25">
      <c r="A96" s="9"/>
      <c r="C96" s="9"/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1:24" x14ac:dyDescent="0.25">
      <c r="A97" s="9"/>
      <c r="B97" s="57">
        <v>43934.466695601855</v>
      </c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A98" s="9"/>
      <c r="B98" s="62" t="s">
        <v>314</v>
      </c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4" x14ac:dyDescent="0.25">
      <c r="A99" s="9"/>
      <c r="B99" s="60"/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4" x14ac:dyDescent="0.25"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","411", " - ", "University Dining")</f>
        <v>Department 411 - University Dining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66291.73000000001</v>
      </c>
      <c r="E18" s="21"/>
      <c r="F18" s="30">
        <f t="shared" ref="F18:F29" si="0">IF(D$12=0,0,D18/D$12)</f>
        <v>0</v>
      </c>
      <c r="G18" s="21"/>
      <c r="H18" s="21">
        <f>SUM(OSRRefH22x_0)</f>
        <v>100879.61759145722</v>
      </c>
      <c r="I18" s="21"/>
      <c r="J18" s="30">
        <f t="shared" ref="J18:J29" si="1">IF(H$12=0,0,H18/H$12)</f>
        <v>0</v>
      </c>
      <c r="K18" s="4"/>
      <c r="L18" s="21">
        <f t="shared" ref="L18:L29" si="2">+D18-H18</f>
        <v>-34587.887591457213</v>
      </c>
      <c r="M18" s="4"/>
      <c r="N18" s="30">
        <f t="shared" ref="N18:N29" si="3">IF(H18=0,0,L18/H18)</f>
        <v>-0.34286299271604509</v>
      </c>
      <c r="O18" s="10"/>
      <c r="P18" s="21">
        <f>SUM(OSRRefP22x_0)</f>
        <v>881998.12000000011</v>
      </c>
      <c r="Q18" s="21"/>
      <c r="R18" s="30">
        <f t="shared" ref="R18:R29" si="4">IF(P$12=0,0,P18/P$12)</f>
        <v>0</v>
      </c>
      <c r="S18" s="21"/>
      <c r="T18" s="21">
        <f>SUM(OSRRefT22x_0)</f>
        <v>930762.20863812196</v>
      </c>
      <c r="U18" s="21"/>
      <c r="V18" s="30">
        <f t="shared" ref="V18:V29" si="5">IF(T$12=0,0,T18/T$12)</f>
        <v>0</v>
      </c>
      <c r="W18" s="4"/>
      <c r="X18" s="21">
        <f t="shared" ref="X18:X29" si="6">+P18-T18</f>
        <v>-48764.088638121844</v>
      </c>
      <c r="Y18" s="4"/>
      <c r="Z18" s="30">
        <f t="shared" ref="Z18:Z29" si="7">IF(T18=0,0,X18/T18)</f>
        <v>-5.2391564876138198E-2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-17520.190000000002</v>
      </c>
      <c r="E19" s="1"/>
      <c r="F19" s="5">
        <f t="shared" si="0"/>
        <v>0</v>
      </c>
      <c r="G19" s="1"/>
      <c r="H19" s="1">
        <f>SUM(OSRRefH22_0x_0)</f>
        <v>8751.7029145341457</v>
      </c>
      <c r="I19" s="1"/>
      <c r="J19" s="5">
        <f t="shared" si="1"/>
        <v>0</v>
      </c>
      <c r="K19" s="1"/>
      <c r="L19" s="1">
        <f t="shared" si="2"/>
        <v>-26271.892914534146</v>
      </c>
      <c r="M19" s="1"/>
      <c r="N19" s="5">
        <f t="shared" si="3"/>
        <v>-3.001917817720233</v>
      </c>
      <c r="O19" s="13"/>
      <c r="P19" s="1">
        <f>SUM(OSRRefP22_0x_0)</f>
        <v>70075.969999999987</v>
      </c>
      <c r="Q19" s="1"/>
      <c r="R19" s="5">
        <f t="shared" si="4"/>
        <v>0</v>
      </c>
      <c r="S19" s="1"/>
      <c r="T19" s="1">
        <f>SUM(OSRRefT22_0x_0)</f>
        <v>83523.340738121973</v>
      </c>
      <c r="U19" s="1"/>
      <c r="V19" s="5">
        <f t="shared" si="5"/>
        <v>0</v>
      </c>
      <c r="W19" s="1"/>
      <c r="X19" s="1">
        <f t="shared" si="6"/>
        <v>-13447.370738121987</v>
      </c>
      <c r="Y19" s="1"/>
      <c r="Z19" s="5">
        <f t="shared" si="7"/>
        <v>-0.16100135146994063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4206.75</v>
      </c>
      <c r="E20" s="2"/>
      <c r="F20" s="7">
        <f t="shared" si="0"/>
        <v>0</v>
      </c>
      <c r="G20" s="2"/>
      <c r="H20" s="6">
        <v>1421.5060187556901</v>
      </c>
      <c r="I20" s="2"/>
      <c r="J20" s="7">
        <f t="shared" si="1"/>
        <v>0</v>
      </c>
      <c r="K20" s="2"/>
      <c r="L20" s="6">
        <f t="shared" si="2"/>
        <v>2785.2439812443099</v>
      </c>
      <c r="M20" s="2"/>
      <c r="N20" s="7">
        <f t="shared" si="3"/>
        <v>1.9593613706133743</v>
      </c>
      <c r="O20" s="11"/>
      <c r="P20" s="6">
        <v>22144.37</v>
      </c>
      <c r="Q20" s="2"/>
      <c r="R20" s="7">
        <f t="shared" si="4"/>
        <v>0</v>
      </c>
      <c r="S20" s="2"/>
      <c r="T20" s="6">
        <v>14201.826338562001</v>
      </c>
      <c r="U20" s="2"/>
      <c r="V20" s="7">
        <f t="shared" si="5"/>
        <v>0</v>
      </c>
      <c r="W20" s="2"/>
      <c r="X20" s="6">
        <f t="shared" si="6"/>
        <v>7942.5436614379978</v>
      </c>
      <c r="Y20" s="2"/>
      <c r="Z20" s="7">
        <f t="shared" si="7"/>
        <v>0.55926213094661847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1860.3</v>
      </c>
      <c r="E21" s="2"/>
      <c r="F21" s="7">
        <f t="shared" si="0"/>
        <v>0</v>
      </c>
      <c r="G21" s="2"/>
      <c r="H21" s="6">
        <v>1097.1279636184599</v>
      </c>
      <c r="I21" s="2"/>
      <c r="J21" s="7">
        <f t="shared" si="1"/>
        <v>0</v>
      </c>
      <c r="K21" s="2"/>
      <c r="L21" s="6">
        <f t="shared" si="2"/>
        <v>763.17203638154001</v>
      </c>
      <c r="M21" s="2"/>
      <c r="N21" s="7">
        <f t="shared" si="3"/>
        <v>0.69560895509809706</v>
      </c>
      <c r="O21" s="11"/>
      <c r="P21" s="6">
        <v>8359.86</v>
      </c>
      <c r="Q21" s="2"/>
      <c r="R21" s="7">
        <f t="shared" si="4"/>
        <v>0</v>
      </c>
      <c r="S21" s="2"/>
      <c r="T21" s="6">
        <v>10345.322197520001</v>
      </c>
      <c r="U21" s="2"/>
      <c r="V21" s="7">
        <f t="shared" si="5"/>
        <v>0</v>
      </c>
      <c r="W21" s="2"/>
      <c r="X21" s="6">
        <f t="shared" si="6"/>
        <v>-1985.4621975200007</v>
      </c>
      <c r="Y21" s="2"/>
      <c r="Z21" s="7">
        <f t="shared" si="7"/>
        <v>-0.19191883632159462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2994.83</v>
      </c>
      <c r="E22" s="2"/>
      <c r="F22" s="7">
        <f t="shared" si="0"/>
        <v>0</v>
      </c>
      <c r="G22" s="2"/>
      <c r="H22" s="6">
        <v>2600.76923076923</v>
      </c>
      <c r="I22" s="2"/>
      <c r="J22" s="7">
        <f t="shared" si="1"/>
        <v>0</v>
      </c>
      <c r="K22" s="2"/>
      <c r="L22" s="6">
        <f t="shared" si="2"/>
        <v>394.06076923076989</v>
      </c>
      <c r="M22" s="2"/>
      <c r="N22" s="7">
        <f t="shared" si="3"/>
        <v>0.1515170068027214</v>
      </c>
      <c r="O22" s="11"/>
      <c r="P22" s="6">
        <v>30981.53</v>
      </c>
      <c r="Q22" s="2"/>
      <c r="R22" s="7">
        <f t="shared" si="4"/>
        <v>0</v>
      </c>
      <c r="S22" s="2"/>
      <c r="T22" s="6">
        <v>24363</v>
      </c>
      <c r="U22" s="2"/>
      <c r="V22" s="7">
        <f t="shared" si="5"/>
        <v>0</v>
      </c>
      <c r="W22" s="2"/>
      <c r="X22" s="6">
        <f t="shared" si="6"/>
        <v>6618.5299999999988</v>
      </c>
      <c r="Y22" s="2"/>
      <c r="Z22" s="7">
        <f t="shared" si="7"/>
        <v>0.27166317776956855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148.47</v>
      </c>
      <c r="E23" s="2"/>
      <c r="F23" s="7">
        <f t="shared" si="0"/>
        <v>0</v>
      </c>
      <c r="G23" s="2"/>
      <c r="H23" s="6">
        <v>73.518884159999999</v>
      </c>
      <c r="I23" s="2"/>
      <c r="J23" s="7">
        <f t="shared" si="1"/>
        <v>0</v>
      </c>
      <c r="K23" s="2"/>
      <c r="L23" s="6">
        <f t="shared" si="2"/>
        <v>74.95111584</v>
      </c>
      <c r="M23" s="2"/>
      <c r="N23" s="7">
        <f t="shared" si="3"/>
        <v>1.0194811400684893</v>
      </c>
      <c r="O23" s="11"/>
      <c r="P23" s="6">
        <v>772.92</v>
      </c>
      <c r="Q23" s="2"/>
      <c r="R23" s="7">
        <f t="shared" si="4"/>
        <v>0</v>
      </c>
      <c r="S23" s="2"/>
      <c r="T23" s="6">
        <v>693.24324004000005</v>
      </c>
      <c r="U23" s="2"/>
      <c r="V23" s="7">
        <f t="shared" si="5"/>
        <v>0</v>
      </c>
      <c r="W23" s="2"/>
      <c r="X23" s="6">
        <f t="shared" si="6"/>
        <v>79.676759959999913</v>
      </c>
      <c r="Y23" s="2"/>
      <c r="Z23" s="7">
        <f t="shared" si="7"/>
        <v>0.11493333848506417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3077.78</v>
      </c>
      <c r="E24" s="2"/>
      <c r="F24" s="7">
        <f t="shared" si="0"/>
        <v>0</v>
      </c>
      <c r="G24" s="2"/>
      <c r="H24" s="6">
        <v>1096.68853846154</v>
      </c>
      <c r="I24" s="2"/>
      <c r="J24" s="7">
        <f t="shared" si="1"/>
        <v>0</v>
      </c>
      <c r="K24" s="2"/>
      <c r="L24" s="6">
        <f t="shared" si="2"/>
        <v>1981.0914615384602</v>
      </c>
      <c r="M24" s="2"/>
      <c r="N24" s="7">
        <f t="shared" si="3"/>
        <v>1.8064303510617343</v>
      </c>
      <c r="O24" s="11"/>
      <c r="P24" s="6">
        <v>14651.03</v>
      </c>
      <c r="Q24" s="2"/>
      <c r="R24" s="7">
        <f t="shared" si="4"/>
        <v>0</v>
      </c>
      <c r="S24" s="2"/>
      <c r="T24" s="6">
        <v>10692.713250000001</v>
      </c>
      <c r="U24" s="2"/>
      <c r="V24" s="7">
        <f t="shared" si="5"/>
        <v>0</v>
      </c>
      <c r="W24" s="2"/>
      <c r="X24" s="6">
        <f t="shared" si="6"/>
        <v>3958.31675</v>
      </c>
      <c r="Y24" s="2"/>
      <c r="Z24" s="7">
        <f t="shared" si="7"/>
        <v>0.3701882447843628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"6117", " - ", "RETIREMENT STAFF HOURLY")</f>
        <v xml:space="preserve">          6117 - RETIREMENT STAFF HOURLY</v>
      </c>
      <c r="C26" s="11"/>
      <c r="D26" s="6">
        <v>28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28</v>
      </c>
      <c r="M26" s="2"/>
      <c r="N26" s="7">
        <f t="shared" si="3"/>
        <v>0</v>
      </c>
      <c r="O26" s="11"/>
      <c r="P26" s="6">
        <v>504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504</v>
      </c>
      <c r="Y26" s="2"/>
      <c r="Z26" s="7">
        <f t="shared" si="7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6">
        <v>2256.15</v>
      </c>
      <c r="E27" s="2"/>
      <c r="F27" s="7">
        <f t="shared" si="0"/>
        <v>0</v>
      </c>
      <c r="G27" s="2"/>
      <c r="H27" s="6">
        <v>1066.3193846153799</v>
      </c>
      <c r="I27" s="2"/>
      <c r="J27" s="7">
        <f t="shared" si="1"/>
        <v>0</v>
      </c>
      <c r="K27" s="2"/>
      <c r="L27" s="6">
        <f t="shared" si="2"/>
        <v>1189.8306153846202</v>
      </c>
      <c r="M27" s="2"/>
      <c r="N27" s="7">
        <f t="shared" si="3"/>
        <v>1.1158294902552022</v>
      </c>
      <c r="O27" s="11"/>
      <c r="P27" s="6">
        <v>14238.16</v>
      </c>
      <c r="Q27" s="2"/>
      <c r="R27" s="7">
        <f t="shared" si="4"/>
        <v>0</v>
      </c>
      <c r="S27" s="2"/>
      <c r="T27" s="6">
        <v>10396.61399999997</v>
      </c>
      <c r="U27" s="2"/>
      <c r="V27" s="7">
        <f t="shared" si="5"/>
        <v>0</v>
      </c>
      <c r="W27" s="2"/>
      <c r="X27" s="6">
        <f t="shared" si="6"/>
        <v>3841.5460000000294</v>
      </c>
      <c r="Y27" s="2"/>
      <c r="Z27" s="7">
        <f t="shared" si="7"/>
        <v>0.36949972366003397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6">
        <v>-32366.75</v>
      </c>
      <c r="E28" s="2"/>
      <c r="F28" s="7">
        <f t="shared" si="0"/>
        <v>0</v>
      </c>
      <c r="G28" s="2"/>
      <c r="H28" s="6">
        <v>720.77289415384598</v>
      </c>
      <c r="I28" s="2"/>
      <c r="J28" s="7">
        <f t="shared" si="1"/>
        <v>0</v>
      </c>
      <c r="K28" s="2"/>
      <c r="L28" s="6">
        <f t="shared" si="2"/>
        <v>-33087.522894153844</v>
      </c>
      <c r="M28" s="2"/>
      <c r="N28" s="7">
        <f t="shared" si="3"/>
        <v>-45.90561487886842</v>
      </c>
      <c r="O28" s="11"/>
      <c r="P28" s="6">
        <v>-25000.070000000003</v>
      </c>
      <c r="Q28" s="2"/>
      <c r="R28" s="7">
        <f t="shared" si="4"/>
        <v>0</v>
      </c>
      <c r="S28" s="2"/>
      <c r="T28" s="6">
        <v>6755.6217120000001</v>
      </c>
      <c r="U28" s="2"/>
      <c r="V28" s="7">
        <f t="shared" si="5"/>
        <v>0</v>
      </c>
      <c r="W28" s="2"/>
      <c r="X28" s="6">
        <f t="shared" si="6"/>
        <v>-31755.691712000003</v>
      </c>
      <c r="Y28" s="2"/>
      <c r="Z28" s="7">
        <f t="shared" si="7"/>
        <v>-4.7006320166791484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6">
        <v>274.27999999999997</v>
      </c>
      <c r="E29" s="2"/>
      <c r="F29" s="7">
        <f t="shared" si="0"/>
        <v>0</v>
      </c>
      <c r="G29" s="2"/>
      <c r="H29" s="6">
        <v>675</v>
      </c>
      <c r="I29" s="2"/>
      <c r="J29" s="7">
        <f t="shared" si="1"/>
        <v>0</v>
      </c>
      <c r="K29" s="2"/>
      <c r="L29" s="6">
        <f t="shared" si="2"/>
        <v>-400.72</v>
      </c>
      <c r="M29" s="2"/>
      <c r="N29" s="7">
        <f t="shared" si="3"/>
        <v>-0.59365925925925933</v>
      </c>
      <c r="O29" s="11"/>
      <c r="P29" s="6">
        <v>3424.17</v>
      </c>
      <c r="Q29" s="2"/>
      <c r="R29" s="7">
        <f t="shared" si="4"/>
        <v>0</v>
      </c>
      <c r="S29" s="2"/>
      <c r="T29" s="6">
        <v>6075</v>
      </c>
      <c r="U29" s="2"/>
      <c r="V29" s="7">
        <f t="shared" si="5"/>
        <v>0</v>
      </c>
      <c r="W29" s="2"/>
      <c r="X29" s="6">
        <f t="shared" si="6"/>
        <v>-2650.83</v>
      </c>
      <c r="Y29" s="2"/>
      <c r="Z29" s="7">
        <f t="shared" si="7"/>
        <v>-0.43635061728395058</v>
      </c>
    </row>
    <row r="30" spans="1:26" s="27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28342.07</v>
      </c>
      <c r="E30" s="1"/>
      <c r="F30" s="5">
        <f t="shared" ref="F30:F40" si="8">IF(D$12=0,0,D30/D$12)</f>
        <v>0</v>
      </c>
      <c r="G30" s="1"/>
      <c r="H30" s="1">
        <f>SUM(OSRRefH22_1x_0)</f>
        <v>26885.914676923079</v>
      </c>
      <c r="I30" s="1"/>
      <c r="J30" s="5">
        <f t="shared" ref="J30:J40" si="9">IF(H$12=0,0,H30/H$12)</f>
        <v>0</v>
      </c>
      <c r="K30" s="1"/>
      <c r="L30" s="1">
        <f t="shared" ref="L30:L40" si="10">+D30-H30</f>
        <v>1456.1553230769205</v>
      </c>
      <c r="M30" s="1"/>
      <c r="N30" s="5">
        <f t="shared" ref="N30:N40" si="11">IF(H30=0,0,L30/H30)</f>
        <v>5.4160527568986844E-2</v>
      </c>
      <c r="O30" s="13"/>
      <c r="P30" s="1">
        <f>SUM(OSRRefP22_1x_0)</f>
        <v>248799.40000000002</v>
      </c>
      <c r="Q30" s="1"/>
      <c r="R30" s="5">
        <f t="shared" ref="R30:R40" si="12">IF(P$12=0,0,P30/P$12)</f>
        <v>0</v>
      </c>
      <c r="S30" s="1"/>
      <c r="T30" s="1">
        <f>SUM(OSRRefT22_1x_0)</f>
        <v>253073.86790000004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-4274.4679000000178</v>
      </c>
      <c r="Y30" s="1"/>
      <c r="Z30" s="5">
        <f t="shared" ref="Z30:Z40" si="15">IF(T30=0,0,X30/T30)</f>
        <v>-1.689019864227561E-2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6">
        <v>1323.98</v>
      </c>
      <c r="E31" s="2"/>
      <c r="F31" s="7">
        <f t="shared" si="8"/>
        <v>0</v>
      </c>
      <c r="G31" s="2"/>
      <c r="H31" s="6">
        <v>7915.1538461538503</v>
      </c>
      <c r="I31" s="2"/>
      <c r="J31" s="7">
        <f t="shared" si="9"/>
        <v>0</v>
      </c>
      <c r="K31" s="2"/>
      <c r="L31" s="6">
        <f t="shared" si="10"/>
        <v>-6591.1738461538498</v>
      </c>
      <c r="M31" s="2"/>
      <c r="N31" s="7">
        <f t="shared" si="11"/>
        <v>-0.83272845661195183</v>
      </c>
      <c r="O31" s="11"/>
      <c r="P31" s="6">
        <v>67427.61</v>
      </c>
      <c r="Q31" s="2"/>
      <c r="R31" s="7">
        <f t="shared" si="12"/>
        <v>0</v>
      </c>
      <c r="S31" s="2"/>
      <c r="T31" s="6">
        <v>77172.750000000029</v>
      </c>
      <c r="U31" s="2"/>
      <c r="V31" s="7">
        <f t="shared" si="13"/>
        <v>0</v>
      </c>
      <c r="W31" s="2"/>
      <c r="X31" s="6">
        <f t="shared" si="14"/>
        <v>-9745.1400000000285</v>
      </c>
      <c r="Y31" s="2"/>
      <c r="Z31" s="7">
        <f t="shared" si="15"/>
        <v>-0.12627695656821902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6">
        <v>8913.4599999999991</v>
      </c>
      <c r="E32" s="2"/>
      <c r="F32" s="7">
        <f t="shared" si="8"/>
        <v>0</v>
      </c>
      <c r="G32" s="2"/>
      <c r="H32" s="6">
        <v>3561.8192307692298</v>
      </c>
      <c r="I32" s="2"/>
      <c r="J32" s="7">
        <f t="shared" si="9"/>
        <v>0</v>
      </c>
      <c r="K32" s="2"/>
      <c r="L32" s="6">
        <f t="shared" si="10"/>
        <v>5351.6407692307694</v>
      </c>
      <c r="M32" s="2"/>
      <c r="N32" s="7">
        <f t="shared" si="11"/>
        <v>1.502502070571111</v>
      </c>
      <c r="O32" s="11"/>
      <c r="P32" s="6">
        <v>45099.21</v>
      </c>
      <c r="Q32" s="2"/>
      <c r="R32" s="7">
        <f t="shared" si="12"/>
        <v>0</v>
      </c>
      <c r="S32" s="2"/>
      <c r="T32" s="6">
        <v>34727.737500000003</v>
      </c>
      <c r="U32" s="2"/>
      <c r="V32" s="7">
        <f t="shared" si="13"/>
        <v>0</v>
      </c>
      <c r="W32" s="2"/>
      <c r="X32" s="6">
        <f t="shared" si="14"/>
        <v>10371.472499999996</v>
      </c>
      <c r="Y32" s="2"/>
      <c r="Z32" s="7">
        <f t="shared" si="15"/>
        <v>0.29865097027988063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6">
        <v>5474.27</v>
      </c>
      <c r="E34" s="2"/>
      <c r="F34" s="7">
        <f t="shared" si="8"/>
        <v>0</v>
      </c>
      <c r="G34" s="2"/>
      <c r="H34" s="6">
        <v>5706.9416000000001</v>
      </c>
      <c r="I34" s="2"/>
      <c r="J34" s="7">
        <f t="shared" si="9"/>
        <v>0</v>
      </c>
      <c r="K34" s="2"/>
      <c r="L34" s="6">
        <f t="shared" si="10"/>
        <v>-232.67159999999967</v>
      </c>
      <c r="M34" s="2"/>
      <c r="N34" s="7">
        <f t="shared" si="11"/>
        <v>-4.0769928327284738E-2</v>
      </c>
      <c r="O34" s="11"/>
      <c r="P34" s="6">
        <v>23599.230000000003</v>
      </c>
      <c r="Q34" s="2"/>
      <c r="R34" s="7">
        <f t="shared" si="12"/>
        <v>0</v>
      </c>
      <c r="S34" s="2"/>
      <c r="T34" s="6">
        <v>53309.380400000002</v>
      </c>
      <c r="U34" s="2"/>
      <c r="V34" s="7">
        <f t="shared" si="13"/>
        <v>0</v>
      </c>
      <c r="W34" s="2"/>
      <c r="X34" s="6">
        <f t="shared" si="14"/>
        <v>-29710.150399999999</v>
      </c>
      <c r="Y34" s="2"/>
      <c r="Z34" s="7">
        <f t="shared" si="15"/>
        <v>-0.55731562019805425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6">
        <v>13269.5</v>
      </c>
      <c r="E35" s="2"/>
      <c r="F35" s="7">
        <f t="shared" si="8"/>
        <v>0</v>
      </c>
      <c r="G35" s="2"/>
      <c r="H35" s="6">
        <v>7938</v>
      </c>
      <c r="I35" s="2"/>
      <c r="J35" s="7">
        <f t="shared" si="9"/>
        <v>0</v>
      </c>
      <c r="K35" s="2"/>
      <c r="L35" s="6">
        <f t="shared" si="10"/>
        <v>5331.5</v>
      </c>
      <c r="M35" s="2"/>
      <c r="N35" s="7">
        <f t="shared" si="11"/>
        <v>0.67164273116654072</v>
      </c>
      <c r="O35" s="11"/>
      <c r="P35" s="6">
        <v>94654.75</v>
      </c>
      <c r="Q35" s="2"/>
      <c r="R35" s="7">
        <f t="shared" si="12"/>
        <v>0</v>
      </c>
      <c r="S35" s="2"/>
      <c r="T35" s="6">
        <v>72492</v>
      </c>
      <c r="U35" s="2"/>
      <c r="V35" s="7">
        <f t="shared" si="13"/>
        <v>0</v>
      </c>
      <c r="W35" s="2"/>
      <c r="X35" s="6">
        <f t="shared" si="14"/>
        <v>22162.75</v>
      </c>
      <c r="Y35" s="2"/>
      <c r="Z35" s="7">
        <f t="shared" si="15"/>
        <v>0.3057268388235943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>
        <v>1236.8800000000001</v>
      </c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1236.8800000000001</v>
      </c>
      <c r="Y36" s="2"/>
      <c r="Z36" s="7">
        <f t="shared" si="15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6">
        <v>-639.14</v>
      </c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-639.14</v>
      </c>
      <c r="M37" s="2"/>
      <c r="N37" s="7">
        <f t="shared" si="11"/>
        <v>0</v>
      </c>
      <c r="O37" s="11"/>
      <c r="P37" s="6">
        <v>16781.72</v>
      </c>
      <c r="Q37" s="2"/>
      <c r="R37" s="7">
        <f t="shared" si="12"/>
        <v>0</v>
      </c>
      <c r="S37" s="2"/>
      <c r="T37" s="6">
        <v>6804</v>
      </c>
      <c r="U37" s="2"/>
      <c r="V37" s="7">
        <f t="shared" si="13"/>
        <v>0</v>
      </c>
      <c r="W37" s="2"/>
      <c r="X37" s="6">
        <f t="shared" si="14"/>
        <v>9977.7200000000012</v>
      </c>
      <c r="Y37" s="2"/>
      <c r="Z37" s="7">
        <f t="shared" si="15"/>
        <v>1.4664491475602588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8"/>
        <v>0</v>
      </c>
      <c r="G38" s="2"/>
      <c r="H38" s="6">
        <v>1764</v>
      </c>
      <c r="I38" s="2"/>
      <c r="J38" s="7">
        <f t="shared" si="9"/>
        <v>0</v>
      </c>
      <c r="K38" s="2"/>
      <c r="L38" s="6">
        <f t="shared" si="10"/>
        <v>-1764</v>
      </c>
      <c r="M38" s="2"/>
      <c r="N38" s="7">
        <f t="shared" si="11"/>
        <v>-1</v>
      </c>
      <c r="O38" s="11"/>
      <c r="P38" s="6"/>
      <c r="Q38" s="2"/>
      <c r="R38" s="7">
        <f t="shared" si="12"/>
        <v>0</v>
      </c>
      <c r="S38" s="2"/>
      <c r="T38" s="6">
        <v>8568</v>
      </c>
      <c r="U38" s="2"/>
      <c r="V38" s="7">
        <f t="shared" si="13"/>
        <v>0</v>
      </c>
      <c r="W38" s="2"/>
      <c r="X38" s="6">
        <f t="shared" si="14"/>
        <v>-8568</v>
      </c>
      <c r="Y38" s="2"/>
      <c r="Z38" s="7">
        <f t="shared" si="15"/>
        <v>-1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7" customFormat="1" outlineLevel="1" collapsed="1" x14ac:dyDescent="0.25">
      <c r="A41" s="26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314.20999999999998</v>
      </c>
      <c r="E41" s="1"/>
      <c r="F41" s="5">
        <f t="shared" ref="F41:F47" si="16">IF(D$12=0,0,D41/D$12)</f>
        <v>0</v>
      </c>
      <c r="G41" s="1"/>
      <c r="H41" s="1">
        <f>SUM(OSRRefH22_2x_0)</f>
        <v>400</v>
      </c>
      <c r="I41" s="1"/>
      <c r="J41" s="5">
        <f t="shared" ref="J41:J47" si="17">IF(H$12=0,0,H41/H$12)</f>
        <v>0</v>
      </c>
      <c r="K41" s="1"/>
      <c r="L41" s="1">
        <f t="shared" ref="L41:L47" si="18">+D41-H41</f>
        <v>-85.79000000000002</v>
      </c>
      <c r="M41" s="1"/>
      <c r="N41" s="5">
        <f t="shared" ref="N41:N47" si="19">IF(H41=0,0,L41/H41)</f>
        <v>-0.21447500000000005</v>
      </c>
      <c r="O41" s="13"/>
      <c r="P41" s="1">
        <f>SUM(OSRRefP22_2x_0)</f>
        <v>3780.74</v>
      </c>
      <c r="Q41" s="1"/>
      <c r="R41" s="5">
        <f t="shared" ref="R41:R47" si="20">IF(P$12=0,0,P41/P$12)</f>
        <v>0</v>
      </c>
      <c r="S41" s="1"/>
      <c r="T41" s="1">
        <f>SUM(OSRRefT22_2x_0)</f>
        <v>1850</v>
      </c>
      <c r="U41" s="1"/>
      <c r="V41" s="5">
        <f t="shared" ref="V41:V47" si="21">IF(T$12=0,0,T41/T$12)</f>
        <v>0</v>
      </c>
      <c r="W41" s="1"/>
      <c r="X41" s="1">
        <f t="shared" ref="X41:X47" si="22">+P41-T41</f>
        <v>1930.7399999999998</v>
      </c>
      <c r="Y41" s="1"/>
      <c r="Z41" s="5">
        <f t="shared" ref="Z41:Z47" si="23">IF(T41=0,0,X41/T41)</f>
        <v>1.0436432432432432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6">
        <v>314.20999999999998</v>
      </c>
      <c r="E42" s="2"/>
      <c r="F42" s="7">
        <f t="shared" si="16"/>
        <v>0</v>
      </c>
      <c r="G42" s="2"/>
      <c r="H42" s="6">
        <v>400</v>
      </c>
      <c r="I42" s="2"/>
      <c r="J42" s="7">
        <f t="shared" si="17"/>
        <v>0</v>
      </c>
      <c r="K42" s="2"/>
      <c r="L42" s="6">
        <f t="shared" si="18"/>
        <v>-85.79000000000002</v>
      </c>
      <c r="M42" s="2"/>
      <c r="N42" s="7">
        <f t="shared" si="19"/>
        <v>-0.21447500000000005</v>
      </c>
      <c r="O42" s="11"/>
      <c r="P42" s="6">
        <v>3780.74</v>
      </c>
      <c r="Q42" s="2"/>
      <c r="R42" s="7">
        <f t="shared" si="20"/>
        <v>0</v>
      </c>
      <c r="S42" s="2"/>
      <c r="T42" s="6">
        <v>1850</v>
      </c>
      <c r="U42" s="2"/>
      <c r="V42" s="7">
        <f t="shared" si="21"/>
        <v>0</v>
      </c>
      <c r="W42" s="2"/>
      <c r="X42" s="6">
        <f t="shared" si="22"/>
        <v>1930.7399999999998</v>
      </c>
      <c r="Y42" s="2"/>
      <c r="Z42" s="7">
        <f t="shared" si="23"/>
        <v>1.0436432432432432</v>
      </c>
    </row>
    <row r="43" spans="1:26" s="27" customFormat="1" outlineLevel="1" collapsed="1" x14ac:dyDescent="0.25">
      <c r="A43" s="26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SUM(OSRRefD22_3x_0)</f>
        <v>7688.7</v>
      </c>
      <c r="E43" s="1"/>
      <c r="F43" s="5">
        <f t="shared" si="16"/>
        <v>0</v>
      </c>
      <c r="G43" s="1"/>
      <c r="H43" s="1">
        <f>SUM(OSRRefH22_3x_0)</f>
        <v>8207</v>
      </c>
      <c r="I43" s="1"/>
      <c r="J43" s="5">
        <f t="shared" si="17"/>
        <v>0</v>
      </c>
      <c r="K43" s="1"/>
      <c r="L43" s="1">
        <f t="shared" si="18"/>
        <v>-518.30000000000018</v>
      </c>
      <c r="M43" s="1"/>
      <c r="N43" s="5">
        <f t="shared" si="19"/>
        <v>-6.3153405629340825E-2</v>
      </c>
      <c r="O43" s="13"/>
      <c r="P43" s="1">
        <f>SUM(OSRRefP22_3x_0)</f>
        <v>63584.94000000001</v>
      </c>
      <c r="Q43" s="1"/>
      <c r="R43" s="5">
        <f t="shared" si="20"/>
        <v>0</v>
      </c>
      <c r="S43" s="1"/>
      <c r="T43" s="1">
        <f>SUM(OSRRefT22_3x_0)</f>
        <v>64935</v>
      </c>
      <c r="U43" s="1"/>
      <c r="V43" s="5">
        <f t="shared" si="21"/>
        <v>0</v>
      </c>
      <c r="W43" s="1"/>
      <c r="X43" s="1">
        <f t="shared" si="22"/>
        <v>-1350.0599999999904</v>
      </c>
      <c r="Y43" s="1"/>
      <c r="Z43" s="5">
        <f t="shared" si="23"/>
        <v>-2.0790944790944642E-2</v>
      </c>
    </row>
    <row r="44" spans="1:26" s="24" customFormat="1" hidden="1" outlineLevel="2" x14ac:dyDescent="0.25">
      <c r="A44" s="25"/>
      <c r="B44" s="11" t="str">
        <f>CONCATENATE("          ", "6321", " - ", "BUILDING DEPRECIATION")</f>
        <v xml:space="preserve">          6321 - BUILDING DEPRECIATION</v>
      </c>
      <c r="C44" s="11"/>
      <c r="D44" s="6">
        <v>2266.9499999999998</v>
      </c>
      <c r="E44" s="2"/>
      <c r="F44" s="7">
        <f t="shared" si="16"/>
        <v>0</v>
      </c>
      <c r="G44" s="2"/>
      <c r="H44" s="6">
        <v>723</v>
      </c>
      <c r="I44" s="2"/>
      <c r="J44" s="7">
        <f t="shared" si="17"/>
        <v>0</v>
      </c>
      <c r="K44" s="2"/>
      <c r="L44" s="6">
        <f t="shared" si="18"/>
        <v>1543.9499999999998</v>
      </c>
      <c r="M44" s="2"/>
      <c r="N44" s="7">
        <f t="shared" si="19"/>
        <v>2.1354771784232365</v>
      </c>
      <c r="O44" s="11"/>
      <c r="P44" s="6">
        <v>20402.550000000003</v>
      </c>
      <c r="Q44" s="2"/>
      <c r="R44" s="7">
        <f t="shared" si="20"/>
        <v>0</v>
      </c>
      <c r="S44" s="2"/>
      <c r="T44" s="6">
        <v>6753</v>
      </c>
      <c r="U44" s="2"/>
      <c r="V44" s="7">
        <f t="shared" si="21"/>
        <v>0</v>
      </c>
      <c r="W44" s="2"/>
      <c r="X44" s="6">
        <f t="shared" si="22"/>
        <v>13649.550000000003</v>
      </c>
      <c r="Y44" s="2"/>
      <c r="Z44" s="7">
        <f t="shared" si="23"/>
        <v>2.0212572190137719</v>
      </c>
    </row>
    <row r="45" spans="1:26" s="24" customFormat="1" hidden="1" outlineLevel="2" x14ac:dyDescent="0.25">
      <c r="A45" s="25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4997.5</v>
      </c>
      <c r="E45" s="2"/>
      <c r="F45" s="7">
        <f t="shared" si="16"/>
        <v>0</v>
      </c>
      <c r="G45" s="2"/>
      <c r="H45" s="6">
        <v>4902</v>
      </c>
      <c r="I45" s="2"/>
      <c r="J45" s="7">
        <f t="shared" si="17"/>
        <v>0</v>
      </c>
      <c r="K45" s="2"/>
      <c r="L45" s="6">
        <f t="shared" si="18"/>
        <v>95.5</v>
      </c>
      <c r="M45" s="2"/>
      <c r="N45" s="7">
        <f t="shared" si="19"/>
        <v>1.9481844145246837E-2</v>
      </c>
      <c r="O45" s="11"/>
      <c r="P45" s="6">
        <v>39364.140000000007</v>
      </c>
      <c r="Q45" s="2"/>
      <c r="R45" s="7">
        <f t="shared" si="20"/>
        <v>0</v>
      </c>
      <c r="S45" s="2"/>
      <c r="T45" s="6">
        <v>44118</v>
      </c>
      <c r="U45" s="2"/>
      <c r="V45" s="7">
        <f t="shared" si="21"/>
        <v>0</v>
      </c>
      <c r="W45" s="2"/>
      <c r="X45" s="6">
        <f t="shared" si="22"/>
        <v>-4753.8599999999933</v>
      </c>
      <c r="Y45" s="2"/>
      <c r="Z45" s="7">
        <f t="shared" si="23"/>
        <v>-0.10775329797361606</v>
      </c>
    </row>
    <row r="46" spans="1:26" s="24" customFormat="1" hidden="1" outlineLevel="2" x14ac:dyDescent="0.25">
      <c r="A46" s="25"/>
      <c r="B46" s="11" t="str">
        <f>CONCATENATE("          ", "6324", " - ", "FURNITURE + FIXT DEPRECIATION")</f>
        <v xml:space="preserve">          6324 - FURNITURE + FIXT DEPRECIATION</v>
      </c>
      <c r="C46" s="11"/>
      <c r="D46" s="6"/>
      <c r="E46" s="2"/>
      <c r="F46" s="7">
        <f t="shared" si="16"/>
        <v>0</v>
      </c>
      <c r="G46" s="2"/>
      <c r="H46" s="6">
        <v>1158</v>
      </c>
      <c r="I46" s="2"/>
      <c r="J46" s="7">
        <f t="shared" si="17"/>
        <v>0</v>
      </c>
      <c r="K46" s="2"/>
      <c r="L46" s="6">
        <f t="shared" si="18"/>
        <v>-1158</v>
      </c>
      <c r="M46" s="2"/>
      <c r="N46" s="7">
        <f t="shared" si="19"/>
        <v>-1</v>
      </c>
      <c r="O46" s="11"/>
      <c r="P46" s="6"/>
      <c r="Q46" s="2"/>
      <c r="R46" s="7">
        <f t="shared" si="20"/>
        <v>0</v>
      </c>
      <c r="S46" s="2"/>
      <c r="T46" s="6">
        <v>4248</v>
      </c>
      <c r="U46" s="2"/>
      <c r="V46" s="7">
        <f t="shared" si="21"/>
        <v>0</v>
      </c>
      <c r="W46" s="2"/>
      <c r="X46" s="6">
        <f t="shared" si="22"/>
        <v>-4248</v>
      </c>
      <c r="Y46" s="2"/>
      <c r="Z46" s="7">
        <f t="shared" si="23"/>
        <v>-1</v>
      </c>
    </row>
    <row r="47" spans="1:26" s="24" customFormat="1" hidden="1" outlineLevel="2" x14ac:dyDescent="0.25">
      <c r="A47" s="25"/>
      <c r="B47" s="11" t="str">
        <f>CONCATENATE("          ", "6326", " - ", "VEHICLES DEPRECIATION EXPENSE")</f>
        <v xml:space="preserve">          6326 - VEHICLES DEPRECIATION EXPENSE</v>
      </c>
      <c r="C47" s="11"/>
      <c r="D47" s="6">
        <v>424.25</v>
      </c>
      <c r="E47" s="2"/>
      <c r="F47" s="7">
        <f t="shared" si="16"/>
        <v>0</v>
      </c>
      <c r="G47" s="2"/>
      <c r="H47" s="6">
        <v>1424</v>
      </c>
      <c r="I47" s="2"/>
      <c r="J47" s="7">
        <f t="shared" si="17"/>
        <v>0</v>
      </c>
      <c r="K47" s="2"/>
      <c r="L47" s="6">
        <f t="shared" si="18"/>
        <v>-999.75</v>
      </c>
      <c r="M47" s="2"/>
      <c r="N47" s="7">
        <f t="shared" si="19"/>
        <v>-0.70207162921348309</v>
      </c>
      <c r="O47" s="11"/>
      <c r="P47" s="6">
        <v>3818.25</v>
      </c>
      <c r="Q47" s="2"/>
      <c r="R47" s="7">
        <f t="shared" si="20"/>
        <v>0</v>
      </c>
      <c r="S47" s="2"/>
      <c r="T47" s="6">
        <v>9816</v>
      </c>
      <c r="U47" s="2"/>
      <c r="V47" s="7">
        <f t="shared" si="21"/>
        <v>0</v>
      </c>
      <c r="W47" s="2"/>
      <c r="X47" s="6">
        <f t="shared" si="22"/>
        <v>-5997.75</v>
      </c>
      <c r="Y47" s="2"/>
      <c r="Z47" s="7">
        <f t="shared" si="23"/>
        <v>-0.61101772616136918</v>
      </c>
    </row>
    <row r="48" spans="1:26" s="27" customFormat="1" outlineLevel="1" collapsed="1" x14ac:dyDescent="0.25">
      <c r="A48" s="26"/>
      <c r="B48" s="13" t="str">
        <f>CONCATENATE("     ","Donations                                         ")</f>
        <v xml:space="preserve">     Donations                                         </v>
      </c>
      <c r="C48" s="13"/>
      <c r="D48" s="1">
        <f>SUM(OSRRefD22_4x_0)</f>
        <v>0</v>
      </c>
      <c r="E48" s="1"/>
      <c r="F48" s="5">
        <f t="shared" ref="F48:F63" si="24">IF(D$12=0,0,D48/D$12)</f>
        <v>0</v>
      </c>
      <c r="G48" s="1"/>
      <c r="H48" s="1">
        <f>SUM(OSRRefH22_4x_0)</f>
        <v>500</v>
      </c>
      <c r="I48" s="1"/>
      <c r="J48" s="5">
        <f t="shared" ref="J48:J63" si="25">IF(H$12=0,0,H48/H$12)</f>
        <v>0</v>
      </c>
      <c r="K48" s="1"/>
      <c r="L48" s="1">
        <f t="shared" ref="L48:L63" si="26">+D48-H48</f>
        <v>-500</v>
      </c>
      <c r="M48" s="1"/>
      <c r="N48" s="5">
        <f t="shared" ref="N48:N63" si="27">IF(H48=0,0,L48/H48)</f>
        <v>-1</v>
      </c>
      <c r="O48" s="13"/>
      <c r="P48" s="1">
        <f>SUM(OSRRefP22_4x_0)</f>
        <v>163.68</v>
      </c>
      <c r="Q48" s="1"/>
      <c r="R48" s="5">
        <f t="shared" ref="R48:R63" si="28">IF(P$12=0,0,P48/P$12)</f>
        <v>0</v>
      </c>
      <c r="S48" s="1"/>
      <c r="T48" s="1">
        <f>SUM(OSRRefT22_4x_0)</f>
        <v>2000</v>
      </c>
      <c r="U48" s="1"/>
      <c r="V48" s="5">
        <f t="shared" ref="V48:V63" si="29">IF(T$12=0,0,T48/T$12)</f>
        <v>0</v>
      </c>
      <c r="W48" s="1"/>
      <c r="X48" s="1">
        <f t="shared" ref="X48:X63" si="30">+P48-T48</f>
        <v>-1836.32</v>
      </c>
      <c r="Y48" s="1"/>
      <c r="Z48" s="5">
        <f t="shared" ref="Z48:Z63" si="31">IF(T48=0,0,X48/T48)</f>
        <v>-0.91815999999999998</v>
      </c>
    </row>
    <row r="49" spans="1:26" s="24" customFormat="1" hidden="1" outlineLevel="2" x14ac:dyDescent="0.25">
      <c r="A49" s="25"/>
      <c r="B49" s="11" t="str">
        <f>CONCATENATE("          ", "6399", " - ", "DONATION-ON CAMPUS")</f>
        <v xml:space="preserve">          6399 - DONATION-ON CAMPUS</v>
      </c>
      <c r="C49" s="11"/>
      <c r="D49" s="6"/>
      <c r="E49" s="2"/>
      <c r="F49" s="7">
        <f t="shared" si="24"/>
        <v>0</v>
      </c>
      <c r="G49" s="2"/>
      <c r="H49" s="6">
        <v>500</v>
      </c>
      <c r="I49" s="2"/>
      <c r="J49" s="7">
        <f t="shared" si="25"/>
        <v>0</v>
      </c>
      <c r="K49" s="2"/>
      <c r="L49" s="6">
        <f t="shared" si="26"/>
        <v>-500</v>
      </c>
      <c r="M49" s="2"/>
      <c r="N49" s="7">
        <f t="shared" si="27"/>
        <v>-1</v>
      </c>
      <c r="O49" s="11"/>
      <c r="P49" s="6">
        <v>163.68</v>
      </c>
      <c r="Q49" s="2"/>
      <c r="R49" s="7">
        <f t="shared" si="28"/>
        <v>0</v>
      </c>
      <c r="S49" s="2"/>
      <c r="T49" s="6">
        <v>2000</v>
      </c>
      <c r="U49" s="2"/>
      <c r="V49" s="7">
        <f t="shared" si="29"/>
        <v>0</v>
      </c>
      <c r="W49" s="2"/>
      <c r="X49" s="6">
        <f t="shared" si="30"/>
        <v>-1836.32</v>
      </c>
      <c r="Y49" s="2"/>
      <c r="Z49" s="7">
        <f t="shared" si="31"/>
        <v>-0.91815999999999998</v>
      </c>
    </row>
    <row r="50" spans="1:26" s="27" customFormat="1" outlineLevel="1" collapsed="1" x14ac:dyDescent="0.25">
      <c r="A50" s="26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SUM(OSRRefD22_5x_0)</f>
        <v>136.22</v>
      </c>
      <c r="E50" s="1"/>
      <c r="F50" s="5">
        <f t="shared" si="24"/>
        <v>0</v>
      </c>
      <c r="G50" s="1"/>
      <c r="H50" s="1">
        <f>SUM(OSRRefH22_5x_0)</f>
        <v>50</v>
      </c>
      <c r="I50" s="1"/>
      <c r="J50" s="5">
        <f t="shared" si="25"/>
        <v>0</v>
      </c>
      <c r="K50" s="1"/>
      <c r="L50" s="1">
        <f t="shared" si="26"/>
        <v>86.22</v>
      </c>
      <c r="M50" s="1"/>
      <c r="N50" s="5">
        <f t="shared" si="27"/>
        <v>1.7243999999999999</v>
      </c>
      <c r="O50" s="13"/>
      <c r="P50" s="1">
        <f>SUM(OSRRefP22_5x_0)</f>
        <v>502.38</v>
      </c>
      <c r="Q50" s="1"/>
      <c r="R50" s="5">
        <f t="shared" si="28"/>
        <v>0</v>
      </c>
      <c r="S50" s="1"/>
      <c r="T50" s="1">
        <f>SUM(OSRRefT22_5x_0)</f>
        <v>1050</v>
      </c>
      <c r="U50" s="1"/>
      <c r="V50" s="5">
        <f t="shared" si="29"/>
        <v>0</v>
      </c>
      <c r="W50" s="1"/>
      <c r="X50" s="1">
        <f t="shared" si="30"/>
        <v>-547.62</v>
      </c>
      <c r="Y50" s="1"/>
      <c r="Z50" s="5">
        <f t="shared" si="31"/>
        <v>-0.5215428571428572</v>
      </c>
    </row>
    <row r="51" spans="1:26" s="24" customFormat="1" hidden="1" outlineLevel="2" x14ac:dyDescent="0.25">
      <c r="A51" s="25"/>
      <c r="B51" s="11" t="str">
        <f>CONCATENATE("          ", "6277", " - ", "EMPLOYEE APPRECIATION")</f>
        <v xml:space="preserve">          6277 - EMPLOYEE APPRECIATION</v>
      </c>
      <c r="C51" s="11"/>
      <c r="D51" s="6">
        <v>136.22</v>
      </c>
      <c r="E51" s="2"/>
      <c r="F51" s="7">
        <f t="shared" si="24"/>
        <v>0</v>
      </c>
      <c r="G51" s="2"/>
      <c r="H51" s="6">
        <v>50</v>
      </c>
      <c r="I51" s="2"/>
      <c r="J51" s="7">
        <f t="shared" si="25"/>
        <v>0</v>
      </c>
      <c r="K51" s="2"/>
      <c r="L51" s="6">
        <f t="shared" si="26"/>
        <v>86.22</v>
      </c>
      <c r="M51" s="2"/>
      <c r="N51" s="7">
        <f t="shared" si="27"/>
        <v>1.7243999999999999</v>
      </c>
      <c r="O51" s="11"/>
      <c r="P51" s="6">
        <v>502.38</v>
      </c>
      <c r="Q51" s="2"/>
      <c r="R51" s="7">
        <f t="shared" si="28"/>
        <v>0</v>
      </c>
      <c r="S51" s="2"/>
      <c r="T51" s="6">
        <v>1050</v>
      </c>
      <c r="U51" s="2"/>
      <c r="V51" s="7">
        <f t="shared" si="29"/>
        <v>0</v>
      </c>
      <c r="W51" s="2"/>
      <c r="X51" s="6">
        <f t="shared" si="30"/>
        <v>-547.62</v>
      </c>
      <c r="Y51" s="2"/>
      <c r="Z51" s="7">
        <f t="shared" si="31"/>
        <v>-0.5215428571428572</v>
      </c>
    </row>
    <row r="52" spans="1:26" s="27" customFormat="1" outlineLevel="1" collapsed="1" x14ac:dyDescent="0.25">
      <c r="A52" s="26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SUM(OSRRefD22_6x_0)</f>
        <v>916.05</v>
      </c>
      <c r="E52" s="1"/>
      <c r="F52" s="5">
        <f t="shared" si="24"/>
        <v>0</v>
      </c>
      <c r="G52" s="1"/>
      <c r="H52" s="1">
        <f>SUM(OSRRefH22_6x_0)</f>
        <v>1200</v>
      </c>
      <c r="I52" s="1"/>
      <c r="J52" s="5">
        <f t="shared" si="25"/>
        <v>0</v>
      </c>
      <c r="K52" s="1"/>
      <c r="L52" s="1">
        <f t="shared" si="26"/>
        <v>-283.95000000000005</v>
      </c>
      <c r="M52" s="1"/>
      <c r="N52" s="5">
        <f t="shared" si="27"/>
        <v>-0.23662500000000003</v>
      </c>
      <c r="O52" s="13"/>
      <c r="P52" s="1">
        <f>SUM(OSRRefP22_6x_0)</f>
        <v>9633.1200000000008</v>
      </c>
      <c r="Q52" s="1"/>
      <c r="R52" s="5">
        <f t="shared" si="28"/>
        <v>0</v>
      </c>
      <c r="S52" s="1"/>
      <c r="T52" s="1">
        <f>SUM(OSRRefT22_6x_0)</f>
        <v>9600</v>
      </c>
      <c r="U52" s="1"/>
      <c r="V52" s="5">
        <f t="shared" si="29"/>
        <v>0</v>
      </c>
      <c r="W52" s="1"/>
      <c r="X52" s="1">
        <f t="shared" si="30"/>
        <v>33.1200000000008</v>
      </c>
      <c r="Y52" s="1"/>
      <c r="Z52" s="5">
        <f t="shared" si="31"/>
        <v>3.4500000000000832E-3</v>
      </c>
    </row>
    <row r="53" spans="1:26" s="24" customFormat="1" hidden="1" outlineLevel="2" x14ac:dyDescent="0.25">
      <c r="A53" s="25"/>
      <c r="B53" s="11" t="str">
        <f>CONCATENATE("          ", "6351", " - ", "EQUIPMENT RENTAL")</f>
        <v xml:space="preserve">          6351 - EQUIPMENT RENTAL</v>
      </c>
      <c r="C53" s="11"/>
      <c r="D53" s="6">
        <v>916.05</v>
      </c>
      <c r="E53" s="2"/>
      <c r="F53" s="7">
        <f t="shared" si="24"/>
        <v>0</v>
      </c>
      <c r="G53" s="2"/>
      <c r="H53" s="6">
        <v>1200</v>
      </c>
      <c r="I53" s="2"/>
      <c r="J53" s="7">
        <f t="shared" si="25"/>
        <v>0</v>
      </c>
      <c r="K53" s="2"/>
      <c r="L53" s="6">
        <f t="shared" si="26"/>
        <v>-283.95000000000005</v>
      </c>
      <c r="M53" s="2"/>
      <c r="N53" s="7">
        <f t="shared" si="27"/>
        <v>-0.23662500000000003</v>
      </c>
      <c r="O53" s="11"/>
      <c r="P53" s="6">
        <v>9633.1200000000008</v>
      </c>
      <c r="Q53" s="2"/>
      <c r="R53" s="7">
        <f t="shared" si="28"/>
        <v>0</v>
      </c>
      <c r="S53" s="2"/>
      <c r="T53" s="6">
        <v>9600</v>
      </c>
      <c r="U53" s="2"/>
      <c r="V53" s="7">
        <f t="shared" si="29"/>
        <v>0</v>
      </c>
      <c r="W53" s="2"/>
      <c r="X53" s="6">
        <f t="shared" si="30"/>
        <v>33.1200000000008</v>
      </c>
      <c r="Y53" s="2"/>
      <c r="Z53" s="7">
        <f t="shared" si="31"/>
        <v>3.4500000000000832E-3</v>
      </c>
    </row>
    <row r="54" spans="1:26" s="27" customFormat="1" outlineLevel="1" collapsed="1" x14ac:dyDescent="0.25">
      <c r="A54" s="26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SUM(OSRRefD22_7x_0)</f>
        <v>0</v>
      </c>
      <c r="E54" s="1"/>
      <c r="F54" s="5">
        <f t="shared" si="24"/>
        <v>0</v>
      </c>
      <c r="G54" s="1"/>
      <c r="H54" s="1">
        <f>SUM(OSRRefH22_7x_0)</f>
        <v>0</v>
      </c>
      <c r="I54" s="1"/>
      <c r="J54" s="5">
        <f t="shared" si="25"/>
        <v>0</v>
      </c>
      <c r="K54" s="1"/>
      <c r="L54" s="1">
        <f t="shared" si="26"/>
        <v>0</v>
      </c>
      <c r="M54" s="1"/>
      <c r="N54" s="5">
        <f t="shared" si="27"/>
        <v>0</v>
      </c>
      <c r="O54" s="13"/>
      <c r="P54" s="1">
        <f>SUM(OSRRefP22_7x_0)</f>
        <v>23117.710000000003</v>
      </c>
      <c r="Q54" s="1"/>
      <c r="R54" s="5">
        <f t="shared" si="28"/>
        <v>0</v>
      </c>
      <c r="S54" s="1"/>
      <c r="T54" s="1">
        <f>SUM(OSRRefT22_7x_0)</f>
        <v>5000</v>
      </c>
      <c r="U54" s="1"/>
      <c r="V54" s="5">
        <f t="shared" si="29"/>
        <v>0</v>
      </c>
      <c r="W54" s="1"/>
      <c r="X54" s="1">
        <f t="shared" si="30"/>
        <v>18117.710000000003</v>
      </c>
      <c r="Y54" s="1"/>
      <c r="Z54" s="5">
        <f t="shared" si="31"/>
        <v>3.6235420000000005</v>
      </c>
    </row>
    <row r="55" spans="1:26" s="24" customFormat="1" hidden="1" outlineLevel="2" x14ac:dyDescent="0.25">
      <c r="A55" s="25"/>
      <c r="B55" s="11" t="str">
        <f>CONCATENATE("          ", "6279", " - ", "GENERAL EXPENSE")</f>
        <v xml:space="preserve">          6279 - GENERAL EXPENSE</v>
      </c>
      <c r="C55" s="11"/>
      <c r="D55" s="6"/>
      <c r="E55" s="2"/>
      <c r="F55" s="7">
        <f t="shared" si="24"/>
        <v>0</v>
      </c>
      <c r="G55" s="2"/>
      <c r="H55" s="6"/>
      <c r="I55" s="2"/>
      <c r="J55" s="7">
        <f t="shared" si="25"/>
        <v>0</v>
      </c>
      <c r="K55" s="2"/>
      <c r="L55" s="6">
        <f t="shared" si="26"/>
        <v>0</v>
      </c>
      <c r="M55" s="2"/>
      <c r="N55" s="7">
        <f t="shared" si="27"/>
        <v>0</v>
      </c>
      <c r="O55" s="11"/>
      <c r="P55" s="6">
        <v>23117.710000000003</v>
      </c>
      <c r="Q55" s="2"/>
      <c r="R55" s="7">
        <f t="shared" si="28"/>
        <v>0</v>
      </c>
      <c r="S55" s="2"/>
      <c r="T55" s="6">
        <v>5000</v>
      </c>
      <c r="U55" s="2"/>
      <c r="V55" s="7">
        <f t="shared" si="29"/>
        <v>0</v>
      </c>
      <c r="W55" s="2"/>
      <c r="X55" s="6">
        <f t="shared" si="30"/>
        <v>18117.710000000003</v>
      </c>
      <c r="Y55" s="2"/>
      <c r="Z55" s="7">
        <f t="shared" si="31"/>
        <v>3.6235420000000005</v>
      </c>
    </row>
    <row r="56" spans="1:26" s="27" customFormat="1" outlineLevel="1" collapsed="1" x14ac:dyDescent="0.25">
      <c r="A56" s="26"/>
      <c r="B56" s="13" t="str">
        <f>CONCATENATE("     ","Insurance                                         ")</f>
        <v xml:space="preserve">     Insurance                                         </v>
      </c>
      <c r="C56" s="13"/>
      <c r="D56" s="1">
        <f>SUM(OSRRefD22_8x_0)</f>
        <v>3598.85</v>
      </c>
      <c r="E56" s="1"/>
      <c r="F56" s="5">
        <f t="shared" si="24"/>
        <v>0</v>
      </c>
      <c r="G56" s="1"/>
      <c r="H56" s="1">
        <f>SUM(OSRRefH22_8x_0)</f>
        <v>3400</v>
      </c>
      <c r="I56" s="1"/>
      <c r="J56" s="5">
        <f t="shared" si="25"/>
        <v>0</v>
      </c>
      <c r="K56" s="1"/>
      <c r="L56" s="1">
        <f t="shared" si="26"/>
        <v>198.84999999999991</v>
      </c>
      <c r="M56" s="1"/>
      <c r="N56" s="5">
        <f t="shared" si="27"/>
        <v>5.8485294117647031E-2</v>
      </c>
      <c r="O56" s="13"/>
      <c r="P56" s="1">
        <f>SUM(OSRRefP22_8x_0)</f>
        <v>38150.65</v>
      </c>
      <c r="Q56" s="1"/>
      <c r="R56" s="5">
        <f t="shared" si="28"/>
        <v>0</v>
      </c>
      <c r="S56" s="1"/>
      <c r="T56" s="1">
        <f>SUM(OSRRefT22_8x_0)</f>
        <v>30600</v>
      </c>
      <c r="U56" s="1"/>
      <c r="V56" s="5">
        <f t="shared" si="29"/>
        <v>0</v>
      </c>
      <c r="W56" s="1"/>
      <c r="X56" s="1">
        <f t="shared" si="30"/>
        <v>7550.6500000000015</v>
      </c>
      <c r="Y56" s="1"/>
      <c r="Z56" s="5">
        <f t="shared" si="31"/>
        <v>0.24675326797385624</v>
      </c>
    </row>
    <row r="57" spans="1:26" s="24" customFormat="1" hidden="1" outlineLevel="2" x14ac:dyDescent="0.25">
      <c r="A57" s="25"/>
      <c r="B57" s="11" t="str">
        <f>CONCATENATE("          ", "6314", " - ", "LIABILITY INSURANCE")</f>
        <v xml:space="preserve">          6314 - LIABILITY INSURANCE</v>
      </c>
      <c r="C57" s="11"/>
      <c r="D57" s="6">
        <v>3598.85</v>
      </c>
      <c r="E57" s="2"/>
      <c r="F57" s="7">
        <f t="shared" si="24"/>
        <v>0</v>
      </c>
      <c r="G57" s="2"/>
      <c r="H57" s="6">
        <v>3400</v>
      </c>
      <c r="I57" s="2"/>
      <c r="J57" s="7">
        <f t="shared" si="25"/>
        <v>0</v>
      </c>
      <c r="K57" s="2"/>
      <c r="L57" s="6">
        <f t="shared" si="26"/>
        <v>198.84999999999991</v>
      </c>
      <c r="M57" s="2"/>
      <c r="N57" s="7">
        <f t="shared" si="27"/>
        <v>5.8485294117647031E-2</v>
      </c>
      <c r="O57" s="11"/>
      <c r="P57" s="6">
        <v>38150.65</v>
      </c>
      <c r="Q57" s="2"/>
      <c r="R57" s="7">
        <f t="shared" si="28"/>
        <v>0</v>
      </c>
      <c r="S57" s="2"/>
      <c r="T57" s="6">
        <v>30600</v>
      </c>
      <c r="U57" s="2"/>
      <c r="V57" s="7">
        <f t="shared" si="29"/>
        <v>0</v>
      </c>
      <c r="W57" s="2"/>
      <c r="X57" s="6">
        <f t="shared" si="30"/>
        <v>7550.6500000000015</v>
      </c>
      <c r="Y57" s="2"/>
      <c r="Z57" s="7">
        <f t="shared" si="31"/>
        <v>0.24675326797385624</v>
      </c>
    </row>
    <row r="58" spans="1:26" s="27" customFormat="1" outlineLevel="1" collapsed="1" x14ac:dyDescent="0.25">
      <c r="A58" s="26"/>
      <c r="B58" s="13" t="str">
        <f>CONCATENATE("     ","Professional Services                             ")</f>
        <v xml:space="preserve">     Professional Services                             </v>
      </c>
      <c r="C58" s="13"/>
      <c r="D58" s="1">
        <f>SUM(OSRRefD22_9x_0)</f>
        <v>0</v>
      </c>
      <c r="E58" s="1"/>
      <c r="F58" s="5">
        <f t="shared" si="24"/>
        <v>0</v>
      </c>
      <c r="G58" s="1"/>
      <c r="H58" s="1">
        <f>SUM(OSRRefH22_9x_0)</f>
        <v>0</v>
      </c>
      <c r="I58" s="1"/>
      <c r="J58" s="5">
        <f t="shared" si="25"/>
        <v>0</v>
      </c>
      <c r="K58" s="1"/>
      <c r="L58" s="1">
        <f t="shared" si="26"/>
        <v>0</v>
      </c>
      <c r="M58" s="1"/>
      <c r="N58" s="5">
        <f t="shared" si="27"/>
        <v>0</v>
      </c>
      <c r="O58" s="13"/>
      <c r="P58" s="1">
        <f>SUM(OSRRefP22_9x_0)</f>
        <v>125</v>
      </c>
      <c r="Q58" s="1"/>
      <c r="R58" s="5">
        <f t="shared" si="28"/>
        <v>0</v>
      </c>
      <c r="S58" s="1"/>
      <c r="T58" s="1">
        <f>SUM(OSRRefT22_9x_0)</f>
        <v>0</v>
      </c>
      <c r="U58" s="1"/>
      <c r="V58" s="5">
        <f t="shared" si="29"/>
        <v>0</v>
      </c>
      <c r="W58" s="1"/>
      <c r="X58" s="1">
        <f t="shared" si="30"/>
        <v>125</v>
      </c>
      <c r="Y58" s="1"/>
      <c r="Z58" s="5">
        <f t="shared" si="31"/>
        <v>0</v>
      </c>
    </row>
    <row r="59" spans="1:26" s="24" customFormat="1" hidden="1" outlineLevel="2" x14ac:dyDescent="0.25">
      <c r="A59" s="25"/>
      <c r="B59" s="11" t="str">
        <f>CONCATENATE("          ", "6336", " - ", "PROFESSIONAL SERVICES")</f>
        <v xml:space="preserve">          6336 - PROFESSIONAL SERVICES</v>
      </c>
      <c r="C59" s="11"/>
      <c r="D59" s="6"/>
      <c r="E59" s="2"/>
      <c r="F59" s="7">
        <f t="shared" si="24"/>
        <v>0</v>
      </c>
      <c r="G59" s="2"/>
      <c r="H59" s="6"/>
      <c r="I59" s="2"/>
      <c r="J59" s="7">
        <f t="shared" si="25"/>
        <v>0</v>
      </c>
      <c r="K59" s="2"/>
      <c r="L59" s="6">
        <f t="shared" si="26"/>
        <v>0</v>
      </c>
      <c r="M59" s="2"/>
      <c r="N59" s="7">
        <f t="shared" si="27"/>
        <v>0</v>
      </c>
      <c r="O59" s="11"/>
      <c r="P59" s="6">
        <v>125</v>
      </c>
      <c r="Q59" s="2"/>
      <c r="R59" s="7">
        <f t="shared" si="28"/>
        <v>0</v>
      </c>
      <c r="S59" s="2"/>
      <c r="T59" s="6"/>
      <c r="U59" s="2"/>
      <c r="V59" s="7">
        <f t="shared" si="29"/>
        <v>0</v>
      </c>
      <c r="W59" s="2"/>
      <c r="X59" s="6">
        <f t="shared" si="30"/>
        <v>125</v>
      </c>
      <c r="Y59" s="2"/>
      <c r="Z59" s="7">
        <f t="shared" si="31"/>
        <v>0</v>
      </c>
    </row>
    <row r="60" spans="1:26" s="27" customFormat="1" outlineLevel="1" collapsed="1" x14ac:dyDescent="0.25">
      <c r="A60" s="26"/>
      <c r="B60" s="13" t="str">
        <f>CONCATENATE("     ","Repair and Maintenance                            ")</f>
        <v xml:space="preserve">     Repair and Maintenance                            </v>
      </c>
      <c r="C60" s="13"/>
      <c r="D60" s="1">
        <f>SUM(OSRRefD22_10x_0)</f>
        <v>5973.49</v>
      </c>
      <c r="E60" s="1"/>
      <c r="F60" s="5">
        <f t="shared" si="24"/>
        <v>0</v>
      </c>
      <c r="G60" s="1"/>
      <c r="H60" s="1">
        <f>SUM(OSRRefH22_10x_0)</f>
        <v>11200</v>
      </c>
      <c r="I60" s="1"/>
      <c r="J60" s="5">
        <f t="shared" si="25"/>
        <v>0</v>
      </c>
      <c r="K60" s="1"/>
      <c r="L60" s="1">
        <f t="shared" si="26"/>
        <v>-5226.51</v>
      </c>
      <c r="M60" s="1"/>
      <c r="N60" s="5">
        <f t="shared" si="27"/>
        <v>-0.46665267857142861</v>
      </c>
      <c r="O60" s="13"/>
      <c r="P60" s="1">
        <f>SUM(OSRRefP22_10x_0)</f>
        <v>99783.59</v>
      </c>
      <c r="Q60" s="1"/>
      <c r="R60" s="5">
        <f t="shared" si="28"/>
        <v>0</v>
      </c>
      <c r="S60" s="1"/>
      <c r="T60" s="1">
        <f>SUM(OSRRefT22_10x_0)</f>
        <v>142300</v>
      </c>
      <c r="U60" s="1"/>
      <c r="V60" s="5">
        <f t="shared" si="29"/>
        <v>0</v>
      </c>
      <c r="W60" s="1"/>
      <c r="X60" s="1">
        <f t="shared" si="30"/>
        <v>-42516.41</v>
      </c>
      <c r="Y60" s="1"/>
      <c r="Z60" s="5">
        <f t="shared" si="31"/>
        <v>-0.29878011243851021</v>
      </c>
    </row>
    <row r="61" spans="1:26" s="24" customFormat="1" hidden="1" outlineLevel="2" x14ac:dyDescent="0.25">
      <c r="A61" s="25"/>
      <c r="B61" s="11" t="str">
        <f>CONCATENATE("          ", "6371", " - ", "COMPUTER SOFTWARE MAINTENANCE")</f>
        <v xml:space="preserve">          6371 - COMPUTER SOFTWARE MAINTENANCE</v>
      </c>
      <c r="C61" s="11"/>
      <c r="D61" s="6"/>
      <c r="E61" s="2"/>
      <c r="F61" s="7">
        <f t="shared" si="24"/>
        <v>0</v>
      </c>
      <c r="G61" s="2"/>
      <c r="H61" s="6"/>
      <c r="I61" s="2"/>
      <c r="J61" s="7">
        <f t="shared" si="25"/>
        <v>0</v>
      </c>
      <c r="K61" s="2"/>
      <c r="L61" s="6">
        <f t="shared" si="26"/>
        <v>0</v>
      </c>
      <c r="M61" s="2"/>
      <c r="N61" s="7">
        <f t="shared" si="27"/>
        <v>0</v>
      </c>
      <c r="O61" s="11"/>
      <c r="P61" s="6"/>
      <c r="Q61" s="2"/>
      <c r="R61" s="7">
        <f t="shared" si="28"/>
        <v>0</v>
      </c>
      <c r="S61" s="2"/>
      <c r="T61" s="6">
        <v>1500</v>
      </c>
      <c r="U61" s="2"/>
      <c r="V61" s="7">
        <f t="shared" si="29"/>
        <v>0</v>
      </c>
      <c r="W61" s="2"/>
      <c r="X61" s="6">
        <f t="shared" si="30"/>
        <v>-1500</v>
      </c>
      <c r="Y61" s="2"/>
      <c r="Z61" s="7">
        <f t="shared" si="31"/>
        <v>-1</v>
      </c>
    </row>
    <row r="62" spans="1:26" s="24" customFormat="1" hidden="1" outlineLevel="2" x14ac:dyDescent="0.25">
      <c r="A62" s="25"/>
      <c r="B62" s="11" t="str">
        <f>CONCATENATE("          ", "6373", " - ", "MAINTENANCE CONTRACTS")</f>
        <v xml:space="preserve">          6373 - MAINTENANCE CONTRACTS</v>
      </c>
      <c r="C62" s="11"/>
      <c r="D62" s="6">
        <v>5099.88</v>
      </c>
      <c r="E62" s="2"/>
      <c r="F62" s="7">
        <f t="shared" si="24"/>
        <v>0</v>
      </c>
      <c r="G62" s="2"/>
      <c r="H62" s="6">
        <v>1200</v>
      </c>
      <c r="I62" s="2"/>
      <c r="J62" s="7">
        <f t="shared" si="25"/>
        <v>0</v>
      </c>
      <c r="K62" s="2"/>
      <c r="L62" s="6">
        <f t="shared" si="26"/>
        <v>3899.88</v>
      </c>
      <c r="M62" s="2"/>
      <c r="N62" s="7">
        <f t="shared" si="27"/>
        <v>3.2499000000000002</v>
      </c>
      <c r="O62" s="11"/>
      <c r="P62" s="6">
        <v>53632.71</v>
      </c>
      <c r="Q62" s="2"/>
      <c r="R62" s="7">
        <f t="shared" si="28"/>
        <v>0</v>
      </c>
      <c r="S62" s="2"/>
      <c r="T62" s="6">
        <v>10800</v>
      </c>
      <c r="U62" s="2"/>
      <c r="V62" s="7">
        <f t="shared" si="29"/>
        <v>0</v>
      </c>
      <c r="W62" s="2"/>
      <c r="X62" s="6">
        <f t="shared" si="30"/>
        <v>42832.71</v>
      </c>
      <c r="Y62" s="2"/>
      <c r="Z62" s="7">
        <f t="shared" si="31"/>
        <v>3.9659916666666666</v>
      </c>
    </row>
    <row r="63" spans="1:26" s="24" customFormat="1" hidden="1" outlineLevel="2" x14ac:dyDescent="0.25">
      <c r="A63" s="25"/>
      <c r="B63" s="11" t="str">
        <f>CONCATENATE("          ", "6375", " - ", "OUTSIDE REPAIRS &amp; MAINTENANCE")</f>
        <v xml:space="preserve">          6375 - OUTSIDE REPAIRS &amp; MAINTENANCE</v>
      </c>
      <c r="C63" s="11"/>
      <c r="D63" s="6">
        <v>873.61</v>
      </c>
      <c r="E63" s="2"/>
      <c r="F63" s="7">
        <f t="shared" si="24"/>
        <v>0</v>
      </c>
      <c r="G63" s="2"/>
      <c r="H63" s="6">
        <v>10000</v>
      </c>
      <c r="I63" s="2"/>
      <c r="J63" s="7">
        <f t="shared" si="25"/>
        <v>0</v>
      </c>
      <c r="K63" s="2"/>
      <c r="L63" s="6">
        <f t="shared" si="26"/>
        <v>-9126.39</v>
      </c>
      <c r="M63" s="2"/>
      <c r="N63" s="7">
        <f t="shared" si="27"/>
        <v>-0.91263899999999998</v>
      </c>
      <c r="O63" s="11"/>
      <c r="P63" s="6">
        <v>46150.879999999997</v>
      </c>
      <c r="Q63" s="2"/>
      <c r="R63" s="7">
        <f t="shared" si="28"/>
        <v>0</v>
      </c>
      <c r="S63" s="2"/>
      <c r="T63" s="6">
        <v>130000</v>
      </c>
      <c r="U63" s="2"/>
      <c r="V63" s="7">
        <f t="shared" si="29"/>
        <v>0</v>
      </c>
      <c r="W63" s="2"/>
      <c r="X63" s="6">
        <f t="shared" si="30"/>
        <v>-83849.119999999995</v>
      </c>
      <c r="Y63" s="2"/>
      <c r="Z63" s="7">
        <f t="shared" si="31"/>
        <v>-0.64499323076923076</v>
      </c>
    </row>
    <row r="64" spans="1:26" s="27" customFormat="1" outlineLevel="1" collapsed="1" x14ac:dyDescent="0.25">
      <c r="A64" s="26"/>
      <c r="B64" s="13" t="str">
        <f>CONCATENATE("     ","Services                                          ")</f>
        <v xml:space="preserve">     Services                                          </v>
      </c>
      <c r="C64" s="13"/>
      <c r="D64" s="1">
        <f>SUM(OSRRefD22_11x_0)</f>
        <v>16291.07</v>
      </c>
      <c r="E64" s="1"/>
      <c r="F64" s="5">
        <f t="shared" ref="F64:F69" si="32">IF(D$12=0,0,D64/D$12)</f>
        <v>0</v>
      </c>
      <c r="G64" s="1"/>
      <c r="H64" s="1">
        <f>SUM(OSRRefH22_11x_0)</f>
        <v>13685</v>
      </c>
      <c r="I64" s="1"/>
      <c r="J64" s="5">
        <f t="shared" ref="J64:J69" si="33">IF(H$12=0,0,H64/H$12)</f>
        <v>0</v>
      </c>
      <c r="K64" s="1"/>
      <c r="L64" s="1">
        <f t="shared" ref="L64:L69" si="34">+D64-H64</f>
        <v>2606.0699999999997</v>
      </c>
      <c r="M64" s="1"/>
      <c r="N64" s="5">
        <f t="shared" ref="N64:N69" si="35">IF(H64=0,0,L64/H64)</f>
        <v>0.19043259042747532</v>
      </c>
      <c r="O64" s="13"/>
      <c r="P64" s="1">
        <f>SUM(OSRRefP22_11x_0)</f>
        <v>130903.21</v>
      </c>
      <c r="Q64" s="1"/>
      <c r="R64" s="5">
        <f t="shared" ref="R64:R69" si="36">IF(P$12=0,0,P64/P$12)</f>
        <v>0</v>
      </c>
      <c r="S64" s="1"/>
      <c r="T64" s="1">
        <f>SUM(OSRRefT22_11x_0)</f>
        <v>123130</v>
      </c>
      <c r="U64" s="1"/>
      <c r="V64" s="5">
        <f t="shared" ref="V64:V69" si="37">IF(T$12=0,0,T64/T$12)</f>
        <v>0</v>
      </c>
      <c r="W64" s="1"/>
      <c r="X64" s="1">
        <f t="shared" ref="X64:X69" si="38">+P64-T64</f>
        <v>7773.2100000000064</v>
      </c>
      <c r="Y64" s="1"/>
      <c r="Z64" s="5">
        <f t="shared" ref="Z64:Z69" si="39">IF(T64=0,0,X64/T64)</f>
        <v>6.3130106391618673E-2</v>
      </c>
    </row>
    <row r="65" spans="1:26" s="24" customFormat="1" hidden="1" outlineLevel="2" x14ac:dyDescent="0.25">
      <c r="A65" s="25"/>
      <c r="B65" s="11" t="str">
        <f>CONCATENATE("          ", "6282", " - ", "JANITORIAL/EXTERMINATOR EXPENS")</f>
        <v xml:space="preserve">          6282 - JANITORIAL/EXTERMINATOR EXPENS</v>
      </c>
      <c r="C65" s="11"/>
      <c r="D65" s="6">
        <v>626.26</v>
      </c>
      <c r="E65" s="2"/>
      <c r="F65" s="7">
        <f t="shared" si="32"/>
        <v>0</v>
      </c>
      <c r="G65" s="2"/>
      <c r="H65" s="6">
        <v>650</v>
      </c>
      <c r="I65" s="2"/>
      <c r="J65" s="7">
        <f t="shared" si="33"/>
        <v>0</v>
      </c>
      <c r="K65" s="2"/>
      <c r="L65" s="6">
        <f t="shared" si="34"/>
        <v>-23.740000000000009</v>
      </c>
      <c r="M65" s="2"/>
      <c r="N65" s="7">
        <f t="shared" si="35"/>
        <v>-3.6523076923076936E-2</v>
      </c>
      <c r="O65" s="11"/>
      <c r="P65" s="6">
        <v>6262.6</v>
      </c>
      <c r="Q65" s="2"/>
      <c r="R65" s="7">
        <f t="shared" si="36"/>
        <v>0</v>
      </c>
      <c r="S65" s="2"/>
      <c r="T65" s="6">
        <v>5850</v>
      </c>
      <c r="U65" s="2"/>
      <c r="V65" s="7">
        <f t="shared" si="37"/>
        <v>0</v>
      </c>
      <c r="W65" s="2"/>
      <c r="X65" s="6">
        <f t="shared" si="38"/>
        <v>412.60000000000036</v>
      </c>
      <c r="Y65" s="2"/>
      <c r="Z65" s="7">
        <f t="shared" si="39"/>
        <v>7.0529914529914597E-2</v>
      </c>
    </row>
    <row r="66" spans="1:26" s="24" customFormat="1" hidden="1" outlineLevel="2" x14ac:dyDescent="0.25">
      <c r="A66" s="25"/>
      <c r="B66" s="11" t="str">
        <f>CONCATENATE("          ", "6283", " - ", "PLANT SERVICE")</f>
        <v xml:space="preserve">          6283 - PLANT SERVICE</v>
      </c>
      <c r="C66" s="11"/>
      <c r="D66" s="6">
        <v>71.06</v>
      </c>
      <c r="E66" s="2"/>
      <c r="F66" s="7">
        <f t="shared" si="32"/>
        <v>0</v>
      </c>
      <c r="G66" s="2"/>
      <c r="H66" s="6">
        <v>35</v>
      </c>
      <c r="I66" s="2"/>
      <c r="J66" s="7">
        <f t="shared" si="33"/>
        <v>0</v>
      </c>
      <c r="K66" s="2"/>
      <c r="L66" s="6">
        <f t="shared" si="34"/>
        <v>36.06</v>
      </c>
      <c r="M66" s="2"/>
      <c r="N66" s="7">
        <f t="shared" si="35"/>
        <v>1.0302857142857142</v>
      </c>
      <c r="O66" s="11"/>
      <c r="P66" s="6">
        <v>248.71</v>
      </c>
      <c r="Q66" s="2"/>
      <c r="R66" s="7">
        <f t="shared" si="36"/>
        <v>0</v>
      </c>
      <c r="S66" s="2"/>
      <c r="T66" s="6">
        <v>280</v>
      </c>
      <c r="U66" s="2"/>
      <c r="V66" s="7">
        <f t="shared" si="37"/>
        <v>0</v>
      </c>
      <c r="W66" s="2"/>
      <c r="X66" s="6">
        <f t="shared" si="38"/>
        <v>-31.289999999999992</v>
      </c>
      <c r="Y66" s="2"/>
      <c r="Z66" s="7">
        <f t="shared" si="39"/>
        <v>-0.11174999999999997</v>
      </c>
    </row>
    <row r="67" spans="1:26" s="24" customFormat="1" hidden="1" outlineLevel="2" x14ac:dyDescent="0.25">
      <c r="A67" s="25"/>
      <c r="B67" s="11" t="str">
        <f>CONCATENATE("          ", "6284", " - ", "TRASH REMOVAL EXPENSE")</f>
        <v xml:space="preserve">          6284 - TRASH REMOVAL EXPENSE</v>
      </c>
      <c r="C67" s="11"/>
      <c r="D67" s="6">
        <v>4254</v>
      </c>
      <c r="E67" s="2"/>
      <c r="F67" s="7">
        <f t="shared" si="32"/>
        <v>0</v>
      </c>
      <c r="G67" s="2"/>
      <c r="H67" s="6">
        <v>3000</v>
      </c>
      <c r="I67" s="2"/>
      <c r="J67" s="7">
        <f t="shared" si="33"/>
        <v>0</v>
      </c>
      <c r="K67" s="2"/>
      <c r="L67" s="6">
        <f t="shared" si="34"/>
        <v>1254</v>
      </c>
      <c r="M67" s="2"/>
      <c r="N67" s="7">
        <f t="shared" si="35"/>
        <v>0.41799999999999998</v>
      </c>
      <c r="O67" s="11"/>
      <c r="P67" s="6">
        <v>30503</v>
      </c>
      <c r="Q67" s="2"/>
      <c r="R67" s="7">
        <f t="shared" si="36"/>
        <v>0</v>
      </c>
      <c r="S67" s="2"/>
      <c r="T67" s="6">
        <v>27000</v>
      </c>
      <c r="U67" s="2"/>
      <c r="V67" s="7">
        <f t="shared" si="37"/>
        <v>0</v>
      </c>
      <c r="W67" s="2"/>
      <c r="X67" s="6">
        <f t="shared" si="38"/>
        <v>3503</v>
      </c>
      <c r="Y67" s="2"/>
      <c r="Z67" s="7">
        <f t="shared" si="39"/>
        <v>0.12974074074074074</v>
      </c>
    </row>
    <row r="68" spans="1:26" s="24" customFormat="1" hidden="1" outlineLevel="2" x14ac:dyDescent="0.25">
      <c r="A68" s="25"/>
      <c r="B68" s="11" t="str">
        <f>CONCATENATE("          ", "6285", " - ", "JANITORIAL SERVICES")</f>
        <v xml:space="preserve">          6285 - JANITORIAL SERVICES</v>
      </c>
      <c r="C68" s="11"/>
      <c r="D68" s="6">
        <v>11290.07</v>
      </c>
      <c r="E68" s="2"/>
      <c r="F68" s="7">
        <f t="shared" si="32"/>
        <v>0</v>
      </c>
      <c r="G68" s="2"/>
      <c r="H68" s="6">
        <v>9500</v>
      </c>
      <c r="I68" s="2"/>
      <c r="J68" s="7">
        <f t="shared" si="33"/>
        <v>0</v>
      </c>
      <c r="K68" s="2"/>
      <c r="L68" s="6">
        <f t="shared" si="34"/>
        <v>1790.0699999999997</v>
      </c>
      <c r="M68" s="2"/>
      <c r="N68" s="7">
        <f t="shared" si="35"/>
        <v>0.18842842105263155</v>
      </c>
      <c r="O68" s="11"/>
      <c r="P68" s="6">
        <v>93144.07</v>
      </c>
      <c r="Q68" s="2"/>
      <c r="R68" s="7">
        <f t="shared" si="36"/>
        <v>0</v>
      </c>
      <c r="S68" s="2"/>
      <c r="T68" s="6">
        <v>85500</v>
      </c>
      <c r="U68" s="2"/>
      <c r="V68" s="7">
        <f t="shared" si="37"/>
        <v>0</v>
      </c>
      <c r="W68" s="2"/>
      <c r="X68" s="6">
        <f t="shared" si="38"/>
        <v>7644.070000000007</v>
      </c>
      <c r="Y68" s="2"/>
      <c r="Z68" s="7">
        <f t="shared" si="39"/>
        <v>8.94043274853802E-2</v>
      </c>
    </row>
    <row r="69" spans="1:26" s="24" customFormat="1" hidden="1" outlineLevel="2" x14ac:dyDescent="0.25">
      <c r="A69" s="25"/>
      <c r="B69" s="11" t="str">
        <f>CONCATENATE("          ", "6286", " - ", "LAUNDRY EXPENSE")</f>
        <v xml:space="preserve">          6286 - LAUNDRY EXPENSE</v>
      </c>
      <c r="C69" s="11"/>
      <c r="D69" s="6">
        <v>49.68</v>
      </c>
      <c r="E69" s="2"/>
      <c r="F69" s="7">
        <f t="shared" si="32"/>
        <v>0</v>
      </c>
      <c r="G69" s="2"/>
      <c r="H69" s="6">
        <v>500</v>
      </c>
      <c r="I69" s="2"/>
      <c r="J69" s="7">
        <f t="shared" si="33"/>
        <v>0</v>
      </c>
      <c r="K69" s="2"/>
      <c r="L69" s="6">
        <f t="shared" si="34"/>
        <v>-450.32</v>
      </c>
      <c r="M69" s="2"/>
      <c r="N69" s="7">
        <f t="shared" si="35"/>
        <v>-0.90064</v>
      </c>
      <c r="O69" s="11"/>
      <c r="P69" s="6">
        <v>744.83</v>
      </c>
      <c r="Q69" s="2"/>
      <c r="R69" s="7">
        <f t="shared" si="36"/>
        <v>0</v>
      </c>
      <c r="S69" s="2"/>
      <c r="T69" s="6">
        <v>4500</v>
      </c>
      <c r="U69" s="2"/>
      <c r="V69" s="7">
        <f t="shared" si="37"/>
        <v>0</v>
      </c>
      <c r="W69" s="2"/>
      <c r="X69" s="6">
        <f t="shared" si="38"/>
        <v>-3755.17</v>
      </c>
      <c r="Y69" s="2"/>
      <c r="Z69" s="7">
        <f t="shared" si="39"/>
        <v>-0.83448222222222224</v>
      </c>
    </row>
    <row r="70" spans="1:26" s="27" customFormat="1" outlineLevel="1" collapsed="1" x14ac:dyDescent="0.25">
      <c r="A70" s="26"/>
      <c r="B70" s="13" t="str">
        <f>CONCATENATE("     ","Subscriptions &amp; Dues                              ")</f>
        <v xml:space="preserve">     Subscriptions &amp; Dues                              </v>
      </c>
      <c r="C70" s="13"/>
      <c r="D70" s="1">
        <f>SUM(OSRRefD22_12x_0)</f>
        <v>0</v>
      </c>
      <c r="E70" s="1"/>
      <c r="F70" s="5">
        <f t="shared" ref="F70:F80" si="40">IF(D$12=0,0,D70/D$12)</f>
        <v>0</v>
      </c>
      <c r="G70" s="1"/>
      <c r="H70" s="1">
        <f>SUM(OSRRefH22_12x_0)</f>
        <v>0</v>
      </c>
      <c r="I70" s="1"/>
      <c r="J70" s="5">
        <f t="shared" ref="J70:J80" si="41">IF(H$12=0,0,H70/H$12)</f>
        <v>0</v>
      </c>
      <c r="K70" s="1"/>
      <c r="L70" s="1">
        <f t="shared" ref="L70:L80" si="42">+D70-H70</f>
        <v>0</v>
      </c>
      <c r="M70" s="1"/>
      <c r="N70" s="5">
        <f t="shared" ref="N70:N80" si="43">IF(H70=0,0,L70/H70)</f>
        <v>0</v>
      </c>
      <c r="O70" s="13"/>
      <c r="P70" s="1">
        <f>SUM(OSRRefP22_12x_0)</f>
        <v>795</v>
      </c>
      <c r="Q70" s="1"/>
      <c r="R70" s="5">
        <f t="shared" ref="R70:R80" si="44">IF(P$12=0,0,P70/P$12)</f>
        <v>0</v>
      </c>
      <c r="S70" s="1"/>
      <c r="T70" s="1">
        <f>SUM(OSRRefT22_12x_0)</f>
        <v>0</v>
      </c>
      <c r="U70" s="1"/>
      <c r="V70" s="5">
        <f t="shared" ref="V70:V80" si="45">IF(T$12=0,0,T70/T$12)</f>
        <v>0</v>
      </c>
      <c r="W70" s="1"/>
      <c r="X70" s="1">
        <f t="shared" ref="X70:X80" si="46">+P70-T70</f>
        <v>795</v>
      </c>
      <c r="Y70" s="1"/>
      <c r="Z70" s="5">
        <f t="shared" ref="Z70:Z80" si="47">IF(T70=0,0,X70/T70)</f>
        <v>0</v>
      </c>
    </row>
    <row r="71" spans="1:26" s="24" customFormat="1" hidden="1" outlineLevel="2" x14ac:dyDescent="0.25">
      <c r="A71" s="25"/>
      <c r="B71" s="11" t="str">
        <f>CONCATENATE("          ", "6258", " - ", "MEMBERSHIP DUES")</f>
        <v xml:space="preserve">          6258 - MEMBERSHIP DUES</v>
      </c>
      <c r="C71" s="11"/>
      <c r="D71" s="6"/>
      <c r="E71" s="2"/>
      <c r="F71" s="7">
        <f t="shared" si="40"/>
        <v>0</v>
      </c>
      <c r="G71" s="2"/>
      <c r="H71" s="6"/>
      <c r="I71" s="2"/>
      <c r="J71" s="7">
        <f t="shared" si="41"/>
        <v>0</v>
      </c>
      <c r="K71" s="2"/>
      <c r="L71" s="6">
        <f t="shared" si="42"/>
        <v>0</v>
      </c>
      <c r="M71" s="2"/>
      <c r="N71" s="7">
        <f t="shared" si="43"/>
        <v>0</v>
      </c>
      <c r="O71" s="11"/>
      <c r="P71" s="6">
        <v>795</v>
      </c>
      <c r="Q71" s="2"/>
      <c r="R71" s="7">
        <f t="shared" si="44"/>
        <v>0</v>
      </c>
      <c r="S71" s="2"/>
      <c r="T71" s="6"/>
      <c r="U71" s="2"/>
      <c r="V71" s="7">
        <f t="shared" si="45"/>
        <v>0</v>
      </c>
      <c r="W71" s="2"/>
      <c r="X71" s="6">
        <f t="shared" si="46"/>
        <v>795</v>
      </c>
      <c r="Y71" s="2"/>
      <c r="Z71" s="7">
        <f t="shared" si="47"/>
        <v>0</v>
      </c>
    </row>
    <row r="72" spans="1:26" s="27" customFormat="1" outlineLevel="1" collapsed="1" x14ac:dyDescent="0.25">
      <c r="A72" s="26"/>
      <c r="B72" s="13" t="str">
        <f>CONCATENATE("     ","Supplies                                          ")</f>
        <v xml:space="preserve">     Supplies                                          </v>
      </c>
      <c r="C72" s="13"/>
      <c r="D72" s="1">
        <f>SUM(OSRRefD22_13x_0)</f>
        <v>6779.8499999999995</v>
      </c>
      <c r="E72" s="1"/>
      <c r="F72" s="5">
        <f t="shared" si="40"/>
        <v>0</v>
      </c>
      <c r="G72" s="1"/>
      <c r="H72" s="1">
        <f>SUM(OSRRefH22_13x_0)</f>
        <v>4100</v>
      </c>
      <c r="I72" s="1"/>
      <c r="J72" s="5">
        <f t="shared" si="41"/>
        <v>0</v>
      </c>
      <c r="K72" s="1"/>
      <c r="L72" s="1">
        <f t="shared" si="42"/>
        <v>2679.8499999999995</v>
      </c>
      <c r="M72" s="1"/>
      <c r="N72" s="5">
        <f t="shared" si="43"/>
        <v>0.65362195121951205</v>
      </c>
      <c r="O72" s="13"/>
      <c r="P72" s="1">
        <f>SUM(OSRRefP22_13x_0)</f>
        <v>65938.28</v>
      </c>
      <c r="Q72" s="1"/>
      <c r="R72" s="5">
        <f t="shared" si="44"/>
        <v>0</v>
      </c>
      <c r="S72" s="1"/>
      <c r="T72" s="1">
        <f>SUM(OSRRefT22_13x_0)</f>
        <v>47700</v>
      </c>
      <c r="U72" s="1"/>
      <c r="V72" s="5">
        <f t="shared" si="45"/>
        <v>0</v>
      </c>
      <c r="W72" s="1"/>
      <c r="X72" s="1">
        <f t="shared" si="46"/>
        <v>18238.28</v>
      </c>
      <c r="Y72" s="1"/>
      <c r="Z72" s="5">
        <f t="shared" si="47"/>
        <v>0.38235387840670859</v>
      </c>
    </row>
    <row r="73" spans="1:26" s="24" customFormat="1" hidden="1" outlineLevel="2" x14ac:dyDescent="0.25">
      <c r="A73" s="25"/>
      <c r="B73" s="11" t="str">
        <f>CONCATENATE("          ", "6234", " - ", "EXPENDABLE SUPPLIES &amp; EQUIPMEN")</f>
        <v xml:space="preserve">          6234 - EXPENDABLE SUPPLIES &amp; EQUIPMEN</v>
      </c>
      <c r="C73" s="11"/>
      <c r="D73" s="6">
        <v>388.93</v>
      </c>
      <c r="E73" s="2"/>
      <c r="F73" s="7">
        <f t="shared" si="40"/>
        <v>0</v>
      </c>
      <c r="G73" s="2"/>
      <c r="H73" s="6"/>
      <c r="I73" s="2"/>
      <c r="J73" s="7">
        <f t="shared" si="41"/>
        <v>0</v>
      </c>
      <c r="K73" s="2"/>
      <c r="L73" s="6">
        <f t="shared" si="42"/>
        <v>388.93</v>
      </c>
      <c r="M73" s="2"/>
      <c r="N73" s="7">
        <f t="shared" si="43"/>
        <v>0</v>
      </c>
      <c r="O73" s="11"/>
      <c r="P73" s="6">
        <v>8480.18</v>
      </c>
      <c r="Q73" s="2"/>
      <c r="R73" s="7">
        <f t="shared" si="44"/>
        <v>0</v>
      </c>
      <c r="S73" s="2"/>
      <c r="T73" s="6"/>
      <c r="U73" s="2"/>
      <c r="V73" s="7">
        <f t="shared" si="45"/>
        <v>0</v>
      </c>
      <c r="W73" s="2"/>
      <c r="X73" s="6">
        <f t="shared" si="46"/>
        <v>8480.18</v>
      </c>
      <c r="Y73" s="2"/>
      <c r="Z73" s="7">
        <f t="shared" si="47"/>
        <v>0</v>
      </c>
    </row>
    <row r="74" spans="1:26" s="24" customFormat="1" hidden="1" outlineLevel="2" x14ac:dyDescent="0.25">
      <c r="A74" s="25"/>
      <c r="B74" s="11" t="str">
        <f>CONCATENATE("          ", "6237", " - ", "JANITORIAL SUPPLIES")</f>
        <v xml:space="preserve">          6237 - JANITORIAL SUPPLIES</v>
      </c>
      <c r="C74" s="11"/>
      <c r="D74" s="6">
        <v>3989.48</v>
      </c>
      <c r="E74" s="2"/>
      <c r="F74" s="7">
        <f t="shared" si="40"/>
        <v>0</v>
      </c>
      <c r="G74" s="2"/>
      <c r="H74" s="6">
        <v>3000</v>
      </c>
      <c r="I74" s="2"/>
      <c r="J74" s="7">
        <f t="shared" si="41"/>
        <v>0</v>
      </c>
      <c r="K74" s="2"/>
      <c r="L74" s="6">
        <f t="shared" si="42"/>
        <v>989.48</v>
      </c>
      <c r="M74" s="2"/>
      <c r="N74" s="7">
        <f t="shared" si="43"/>
        <v>0.32982666666666666</v>
      </c>
      <c r="O74" s="11"/>
      <c r="P74" s="6">
        <v>35461.51</v>
      </c>
      <c r="Q74" s="2"/>
      <c r="R74" s="7">
        <f t="shared" si="44"/>
        <v>0</v>
      </c>
      <c r="S74" s="2"/>
      <c r="T74" s="6">
        <v>30000</v>
      </c>
      <c r="U74" s="2"/>
      <c r="V74" s="7">
        <f t="shared" si="45"/>
        <v>0</v>
      </c>
      <c r="W74" s="2"/>
      <c r="X74" s="6">
        <f t="shared" si="46"/>
        <v>5461.510000000002</v>
      </c>
      <c r="Y74" s="2"/>
      <c r="Z74" s="7">
        <f t="shared" si="47"/>
        <v>0.1820503333333334</v>
      </c>
    </row>
    <row r="75" spans="1:26" s="24" customFormat="1" hidden="1" outlineLevel="2" x14ac:dyDescent="0.25">
      <c r="A75" s="25"/>
      <c r="B75" s="11" t="str">
        <f>CONCATENATE("          ", "6239", " - ", "KITCHEN SUPPLIES")</f>
        <v xml:space="preserve">          6239 - KITCHEN SUPPLIES</v>
      </c>
      <c r="C75" s="11"/>
      <c r="D75" s="6">
        <v>784.02</v>
      </c>
      <c r="E75" s="2"/>
      <c r="F75" s="7">
        <f t="shared" si="40"/>
        <v>0</v>
      </c>
      <c r="G75" s="2"/>
      <c r="H75" s="6"/>
      <c r="I75" s="2"/>
      <c r="J75" s="7">
        <f t="shared" si="41"/>
        <v>0</v>
      </c>
      <c r="K75" s="2"/>
      <c r="L75" s="6">
        <f t="shared" si="42"/>
        <v>784.02</v>
      </c>
      <c r="M75" s="2"/>
      <c r="N75" s="7">
        <f t="shared" si="43"/>
        <v>0</v>
      </c>
      <c r="O75" s="11"/>
      <c r="P75" s="6">
        <v>18397.89</v>
      </c>
      <c r="Q75" s="2"/>
      <c r="R75" s="7">
        <f t="shared" si="44"/>
        <v>0</v>
      </c>
      <c r="S75" s="2"/>
      <c r="T75" s="6">
        <v>7500</v>
      </c>
      <c r="U75" s="2"/>
      <c r="V75" s="7">
        <f t="shared" si="45"/>
        <v>0</v>
      </c>
      <c r="W75" s="2"/>
      <c r="X75" s="6">
        <f t="shared" si="46"/>
        <v>10897.89</v>
      </c>
      <c r="Y75" s="2"/>
      <c r="Z75" s="7">
        <f t="shared" si="47"/>
        <v>1.453052</v>
      </c>
    </row>
    <row r="76" spans="1:26" s="24" customFormat="1" hidden="1" outlineLevel="2" x14ac:dyDescent="0.25">
      <c r="A76" s="25"/>
      <c r="B76" s="11" t="str">
        <f>CONCATENATE("          ", "6241", " - ", "OFFICE EXPENSE")</f>
        <v xml:space="preserve">          6241 - OFFICE EXPENSE</v>
      </c>
      <c r="C76" s="11"/>
      <c r="D76" s="6">
        <v>782.32</v>
      </c>
      <c r="E76" s="2"/>
      <c r="F76" s="7">
        <f t="shared" si="40"/>
        <v>0</v>
      </c>
      <c r="G76" s="2"/>
      <c r="H76" s="6">
        <v>200</v>
      </c>
      <c r="I76" s="2"/>
      <c r="J76" s="7">
        <f t="shared" si="41"/>
        <v>0</v>
      </c>
      <c r="K76" s="2"/>
      <c r="L76" s="6">
        <f t="shared" si="42"/>
        <v>582.32000000000005</v>
      </c>
      <c r="M76" s="2"/>
      <c r="N76" s="7">
        <f t="shared" si="43"/>
        <v>2.9116000000000004</v>
      </c>
      <c r="O76" s="11"/>
      <c r="P76" s="6">
        <v>1941.38</v>
      </c>
      <c r="Q76" s="2"/>
      <c r="R76" s="7">
        <f t="shared" si="44"/>
        <v>0</v>
      </c>
      <c r="S76" s="2"/>
      <c r="T76" s="6">
        <v>2100</v>
      </c>
      <c r="U76" s="2"/>
      <c r="V76" s="7">
        <f t="shared" si="45"/>
        <v>0</v>
      </c>
      <c r="W76" s="2"/>
      <c r="X76" s="6">
        <f t="shared" si="46"/>
        <v>-158.61999999999989</v>
      </c>
      <c r="Y76" s="2"/>
      <c r="Z76" s="7">
        <f t="shared" si="47"/>
        <v>-7.5533333333333286E-2</v>
      </c>
    </row>
    <row r="77" spans="1:26" s="24" customFormat="1" hidden="1" outlineLevel="2" x14ac:dyDescent="0.25">
      <c r="A77" s="25"/>
      <c r="B77" s="11" t="str">
        <f>CONCATENATE("          ", "6243", " - ", "PAPER SUPPLIES")</f>
        <v xml:space="preserve">          6243 - PAPER SUPPLIES</v>
      </c>
      <c r="C77" s="11"/>
      <c r="D77" s="6">
        <v>630.41</v>
      </c>
      <c r="E77" s="2"/>
      <c r="F77" s="7">
        <f t="shared" si="40"/>
        <v>0</v>
      </c>
      <c r="G77" s="2"/>
      <c r="H77" s="6">
        <v>400</v>
      </c>
      <c r="I77" s="2"/>
      <c r="J77" s="7">
        <f t="shared" si="41"/>
        <v>0</v>
      </c>
      <c r="K77" s="2"/>
      <c r="L77" s="6">
        <f t="shared" si="42"/>
        <v>230.40999999999997</v>
      </c>
      <c r="M77" s="2"/>
      <c r="N77" s="7">
        <f t="shared" si="43"/>
        <v>0.5760249999999999</v>
      </c>
      <c r="O77" s="11"/>
      <c r="P77" s="6">
        <v>1027.17</v>
      </c>
      <c r="Q77" s="2"/>
      <c r="R77" s="7">
        <f t="shared" si="44"/>
        <v>0</v>
      </c>
      <c r="S77" s="2"/>
      <c r="T77" s="6">
        <v>3600</v>
      </c>
      <c r="U77" s="2"/>
      <c r="V77" s="7">
        <f t="shared" si="45"/>
        <v>0</v>
      </c>
      <c r="W77" s="2"/>
      <c r="X77" s="6">
        <f t="shared" si="46"/>
        <v>-2572.83</v>
      </c>
      <c r="Y77" s="2"/>
      <c r="Z77" s="7">
        <f t="shared" si="47"/>
        <v>-0.71467499999999995</v>
      </c>
    </row>
    <row r="78" spans="1:26" s="24" customFormat="1" hidden="1" outlineLevel="2" x14ac:dyDescent="0.25">
      <c r="A78" s="25"/>
      <c r="B78" s="11" t="str">
        <f>CONCATENATE("          ", "6245", " - ", "PRINTING")</f>
        <v xml:space="preserve">          6245 - PRINTING</v>
      </c>
      <c r="C78" s="11"/>
      <c r="D78" s="6"/>
      <c r="E78" s="2"/>
      <c r="F78" s="7">
        <f t="shared" si="40"/>
        <v>0</v>
      </c>
      <c r="G78" s="2"/>
      <c r="H78" s="6">
        <v>500</v>
      </c>
      <c r="I78" s="2"/>
      <c r="J78" s="7">
        <f t="shared" si="41"/>
        <v>0</v>
      </c>
      <c r="K78" s="2"/>
      <c r="L78" s="6">
        <f t="shared" si="42"/>
        <v>-500</v>
      </c>
      <c r="M78" s="2"/>
      <c r="N78" s="7">
        <f t="shared" si="43"/>
        <v>-1</v>
      </c>
      <c r="O78" s="11"/>
      <c r="P78" s="6">
        <v>15.99</v>
      </c>
      <c r="Q78" s="2"/>
      <c r="R78" s="7">
        <f t="shared" si="44"/>
        <v>0</v>
      </c>
      <c r="S78" s="2"/>
      <c r="T78" s="6">
        <v>2000</v>
      </c>
      <c r="U78" s="2"/>
      <c r="V78" s="7">
        <f t="shared" si="45"/>
        <v>0</v>
      </c>
      <c r="W78" s="2"/>
      <c r="X78" s="6">
        <f t="shared" si="46"/>
        <v>-1984.01</v>
      </c>
      <c r="Y78" s="2"/>
      <c r="Z78" s="7">
        <f t="shared" si="47"/>
        <v>-0.99200500000000003</v>
      </c>
    </row>
    <row r="79" spans="1:26" s="24" customFormat="1" hidden="1" outlineLevel="2" x14ac:dyDescent="0.25">
      <c r="A79" s="25"/>
      <c r="B79" s="11" t="str">
        <f>CONCATENATE("          ", "6247", " - ", "STORE SUPPLIES")</f>
        <v xml:space="preserve">          6247 - STORE SUPPLIES</v>
      </c>
      <c r="C79" s="11"/>
      <c r="D79" s="6">
        <v>13.11</v>
      </c>
      <c r="E79" s="2"/>
      <c r="F79" s="7">
        <f t="shared" si="40"/>
        <v>0</v>
      </c>
      <c r="G79" s="2"/>
      <c r="H79" s="6"/>
      <c r="I79" s="2"/>
      <c r="J79" s="7">
        <f t="shared" si="41"/>
        <v>0</v>
      </c>
      <c r="K79" s="2"/>
      <c r="L79" s="6">
        <f t="shared" si="42"/>
        <v>13.11</v>
      </c>
      <c r="M79" s="2"/>
      <c r="N79" s="7">
        <f t="shared" si="43"/>
        <v>0</v>
      </c>
      <c r="O79" s="11"/>
      <c r="P79" s="6">
        <v>123.68</v>
      </c>
      <c r="Q79" s="2"/>
      <c r="R79" s="7">
        <f t="shared" si="44"/>
        <v>0</v>
      </c>
      <c r="S79" s="2"/>
      <c r="T79" s="6"/>
      <c r="U79" s="2"/>
      <c r="V79" s="7">
        <f t="shared" si="45"/>
        <v>0</v>
      </c>
      <c r="W79" s="2"/>
      <c r="X79" s="6">
        <f t="shared" si="46"/>
        <v>123.68</v>
      </c>
      <c r="Y79" s="2"/>
      <c r="Z79" s="7">
        <f t="shared" si="47"/>
        <v>0</v>
      </c>
    </row>
    <row r="80" spans="1:26" s="24" customFormat="1" hidden="1" outlineLevel="2" x14ac:dyDescent="0.25">
      <c r="A80" s="25"/>
      <c r="B80" s="11" t="str">
        <f>CONCATENATE("          ", "6248", " - ", "UNIFORMS")</f>
        <v xml:space="preserve">          6248 - UNIFORMS</v>
      </c>
      <c r="C80" s="11"/>
      <c r="D80" s="6">
        <v>191.58</v>
      </c>
      <c r="E80" s="2"/>
      <c r="F80" s="7">
        <f t="shared" si="40"/>
        <v>0</v>
      </c>
      <c r="G80" s="2"/>
      <c r="H80" s="6"/>
      <c r="I80" s="2"/>
      <c r="J80" s="7">
        <f t="shared" si="41"/>
        <v>0</v>
      </c>
      <c r="K80" s="2"/>
      <c r="L80" s="6">
        <f t="shared" si="42"/>
        <v>191.58</v>
      </c>
      <c r="M80" s="2"/>
      <c r="N80" s="7">
        <f t="shared" si="43"/>
        <v>0</v>
      </c>
      <c r="O80" s="11"/>
      <c r="P80" s="6">
        <v>490.48</v>
      </c>
      <c r="Q80" s="2"/>
      <c r="R80" s="7">
        <f t="shared" si="44"/>
        <v>0</v>
      </c>
      <c r="S80" s="2"/>
      <c r="T80" s="6">
        <v>2500</v>
      </c>
      <c r="U80" s="2"/>
      <c r="V80" s="7">
        <f t="shared" si="45"/>
        <v>0</v>
      </c>
      <c r="W80" s="2"/>
      <c r="X80" s="6">
        <f t="shared" si="46"/>
        <v>-2009.52</v>
      </c>
      <c r="Y80" s="2"/>
      <c r="Z80" s="7">
        <f t="shared" si="47"/>
        <v>-0.80380799999999997</v>
      </c>
    </row>
    <row r="81" spans="1:26" s="27" customFormat="1" outlineLevel="1" collapsed="1" x14ac:dyDescent="0.25">
      <c r="A81" s="26"/>
      <c r="B81" s="13" t="str">
        <f>CONCATENATE("     ","Telephone/Data Lines                              ")</f>
        <v xml:space="preserve">     Telephone/Data Lines                              </v>
      </c>
      <c r="C81" s="13"/>
      <c r="D81" s="1">
        <f>SUM(OSRRefD22_14x_0)</f>
        <v>683.59</v>
      </c>
      <c r="E81" s="1"/>
      <c r="F81" s="5">
        <f t="shared" ref="F81:F88" si="48">IF(D$12=0,0,D81/D$12)</f>
        <v>0</v>
      </c>
      <c r="G81" s="1"/>
      <c r="H81" s="1">
        <f>SUM(OSRRefH22_14x_0)</f>
        <v>500</v>
      </c>
      <c r="I81" s="1"/>
      <c r="J81" s="5">
        <f t="shared" ref="J81:J88" si="49">IF(H$12=0,0,H81/H$12)</f>
        <v>0</v>
      </c>
      <c r="K81" s="1"/>
      <c r="L81" s="1">
        <f t="shared" ref="L81:L88" si="50">+D81-H81</f>
        <v>183.59000000000003</v>
      </c>
      <c r="M81" s="1"/>
      <c r="N81" s="5">
        <f t="shared" ref="N81:N88" si="51">IF(H81=0,0,L81/H81)</f>
        <v>0.36718000000000006</v>
      </c>
      <c r="O81" s="13"/>
      <c r="P81" s="1">
        <f>SUM(OSRRefP22_14x_0)</f>
        <v>3933.94</v>
      </c>
      <c r="Q81" s="1"/>
      <c r="R81" s="5">
        <f t="shared" ref="R81:R88" si="52">IF(P$12=0,0,P81/P$12)</f>
        <v>0</v>
      </c>
      <c r="S81" s="1"/>
      <c r="T81" s="1">
        <f>SUM(OSRRefT22_14x_0)</f>
        <v>4500</v>
      </c>
      <c r="U81" s="1"/>
      <c r="V81" s="5">
        <f t="shared" ref="V81:V88" si="53">IF(T$12=0,0,T81/T$12)</f>
        <v>0</v>
      </c>
      <c r="W81" s="1"/>
      <c r="X81" s="1">
        <f t="shared" ref="X81:X88" si="54">+P81-T81</f>
        <v>-566.05999999999995</v>
      </c>
      <c r="Y81" s="1"/>
      <c r="Z81" s="5">
        <f t="shared" ref="Z81:Z88" si="55">IF(T81=0,0,X81/T81)</f>
        <v>-0.1257911111111111</v>
      </c>
    </row>
    <row r="82" spans="1:26" s="24" customFormat="1" hidden="1" outlineLevel="2" x14ac:dyDescent="0.25">
      <c r="A82" s="25"/>
      <c r="B82" s="11" t="str">
        <f>CONCATENATE("          ", "6309", " - ", "TELEPHONE")</f>
        <v xml:space="preserve">          6309 - TELEPHONE</v>
      </c>
      <c r="C82" s="11"/>
      <c r="D82" s="6">
        <v>683.59</v>
      </c>
      <c r="E82" s="2"/>
      <c r="F82" s="7">
        <f t="shared" si="48"/>
        <v>0</v>
      </c>
      <c r="G82" s="2"/>
      <c r="H82" s="6">
        <v>500</v>
      </c>
      <c r="I82" s="2"/>
      <c r="J82" s="7">
        <f t="shared" si="49"/>
        <v>0</v>
      </c>
      <c r="K82" s="2"/>
      <c r="L82" s="6">
        <f t="shared" si="50"/>
        <v>183.59000000000003</v>
      </c>
      <c r="M82" s="2"/>
      <c r="N82" s="7">
        <f t="shared" si="51"/>
        <v>0.36718000000000006</v>
      </c>
      <c r="O82" s="11"/>
      <c r="P82" s="6">
        <v>3933.94</v>
      </c>
      <c r="Q82" s="2"/>
      <c r="R82" s="7">
        <f t="shared" si="52"/>
        <v>0</v>
      </c>
      <c r="S82" s="2"/>
      <c r="T82" s="6">
        <v>4500</v>
      </c>
      <c r="U82" s="2"/>
      <c r="V82" s="7">
        <f t="shared" si="53"/>
        <v>0</v>
      </c>
      <c r="W82" s="2"/>
      <c r="X82" s="6">
        <f t="shared" si="54"/>
        <v>-566.05999999999995</v>
      </c>
      <c r="Y82" s="2"/>
      <c r="Z82" s="7">
        <f t="shared" si="55"/>
        <v>-0.1257911111111111</v>
      </c>
    </row>
    <row r="83" spans="1:26" s="27" customFormat="1" outlineLevel="1" collapsed="1" x14ac:dyDescent="0.25">
      <c r="A83" s="26"/>
      <c r="B83" s="13" t="str">
        <f>CONCATENATE("     ","Training                                          ")</f>
        <v xml:space="preserve">     Training                                          </v>
      </c>
      <c r="C83" s="13"/>
      <c r="D83" s="1">
        <f>SUM(OSRRefD22_15x_0)</f>
        <v>0</v>
      </c>
      <c r="E83" s="1"/>
      <c r="F83" s="5">
        <f t="shared" si="48"/>
        <v>0</v>
      </c>
      <c r="G83" s="1"/>
      <c r="H83" s="1">
        <f>SUM(OSRRefH22_15x_0)</f>
        <v>0</v>
      </c>
      <c r="I83" s="1"/>
      <c r="J83" s="5">
        <f t="shared" si="49"/>
        <v>0</v>
      </c>
      <c r="K83" s="1"/>
      <c r="L83" s="1">
        <f t="shared" si="50"/>
        <v>0</v>
      </c>
      <c r="M83" s="1"/>
      <c r="N83" s="5">
        <f t="shared" si="51"/>
        <v>0</v>
      </c>
      <c r="O83" s="13"/>
      <c r="P83" s="1">
        <f>SUM(OSRRefP22_15x_0)</f>
        <v>240</v>
      </c>
      <c r="Q83" s="1"/>
      <c r="R83" s="5">
        <f t="shared" si="52"/>
        <v>0</v>
      </c>
      <c r="S83" s="1"/>
      <c r="T83" s="1">
        <f>SUM(OSRRefT22_15x_0)</f>
        <v>2500</v>
      </c>
      <c r="U83" s="1"/>
      <c r="V83" s="5">
        <f t="shared" si="53"/>
        <v>0</v>
      </c>
      <c r="W83" s="1"/>
      <c r="X83" s="1">
        <f t="shared" si="54"/>
        <v>-2260</v>
      </c>
      <c r="Y83" s="1"/>
      <c r="Z83" s="5">
        <f t="shared" si="55"/>
        <v>-0.90400000000000003</v>
      </c>
    </row>
    <row r="84" spans="1:26" s="24" customFormat="1" hidden="1" outlineLevel="2" x14ac:dyDescent="0.25">
      <c r="A84" s="25"/>
      <c r="B84" s="11" t="str">
        <f>CONCATENATE("          ", "6376", " - ", "TRAINING")</f>
        <v xml:space="preserve">          6376 - TRAINING</v>
      </c>
      <c r="C84" s="11"/>
      <c r="D84" s="6"/>
      <c r="E84" s="2"/>
      <c r="F84" s="7">
        <f t="shared" si="48"/>
        <v>0</v>
      </c>
      <c r="G84" s="2"/>
      <c r="H84" s="6"/>
      <c r="I84" s="2"/>
      <c r="J84" s="7">
        <f t="shared" si="49"/>
        <v>0</v>
      </c>
      <c r="K84" s="2"/>
      <c r="L84" s="6">
        <f t="shared" si="50"/>
        <v>0</v>
      </c>
      <c r="M84" s="2"/>
      <c r="N84" s="7">
        <f t="shared" si="51"/>
        <v>0</v>
      </c>
      <c r="O84" s="11"/>
      <c r="P84" s="6">
        <v>240</v>
      </c>
      <c r="Q84" s="2"/>
      <c r="R84" s="7">
        <f t="shared" si="52"/>
        <v>0</v>
      </c>
      <c r="S84" s="2"/>
      <c r="T84" s="6">
        <v>2500</v>
      </c>
      <c r="U84" s="2"/>
      <c r="V84" s="7">
        <f t="shared" si="53"/>
        <v>0</v>
      </c>
      <c r="W84" s="2"/>
      <c r="X84" s="6">
        <f t="shared" si="54"/>
        <v>-2260</v>
      </c>
      <c r="Y84" s="2"/>
      <c r="Z84" s="7">
        <f t="shared" si="55"/>
        <v>-0.90400000000000003</v>
      </c>
    </row>
    <row r="85" spans="1:26" s="27" customFormat="1" outlineLevel="1" collapsed="1" x14ac:dyDescent="0.25">
      <c r="A85" s="26"/>
      <c r="B85" s="13" t="str">
        <f>CONCATENATE("     ","Travel                                            ")</f>
        <v xml:space="preserve">     Travel                                            </v>
      </c>
      <c r="C85" s="13"/>
      <c r="D85" s="1">
        <f>SUM(OSRRefD22_16x_0)</f>
        <v>164.82</v>
      </c>
      <c r="E85" s="1"/>
      <c r="F85" s="5">
        <f t="shared" si="48"/>
        <v>0</v>
      </c>
      <c r="G85" s="1"/>
      <c r="H85" s="1">
        <f>SUM(OSRRefH22_16x_0)</f>
        <v>2000</v>
      </c>
      <c r="I85" s="1"/>
      <c r="J85" s="5">
        <f t="shared" si="49"/>
        <v>0</v>
      </c>
      <c r="K85" s="1"/>
      <c r="L85" s="1">
        <f t="shared" si="50"/>
        <v>-1835.18</v>
      </c>
      <c r="M85" s="1"/>
      <c r="N85" s="5">
        <f t="shared" si="51"/>
        <v>-0.91759000000000002</v>
      </c>
      <c r="O85" s="13"/>
      <c r="P85" s="1">
        <f>SUM(OSRRefP22_16x_0)</f>
        <v>2110.5100000000002</v>
      </c>
      <c r="Q85" s="1"/>
      <c r="R85" s="5">
        <f t="shared" si="52"/>
        <v>0</v>
      </c>
      <c r="S85" s="1"/>
      <c r="T85" s="1">
        <f>SUM(OSRRefT22_16x_0)</f>
        <v>4000</v>
      </c>
      <c r="U85" s="1"/>
      <c r="V85" s="5">
        <f t="shared" si="53"/>
        <v>0</v>
      </c>
      <c r="W85" s="1"/>
      <c r="X85" s="1">
        <f t="shared" si="54"/>
        <v>-1889.4899999999998</v>
      </c>
      <c r="Y85" s="1"/>
      <c r="Z85" s="5">
        <f t="shared" si="55"/>
        <v>-0.47237249999999997</v>
      </c>
    </row>
    <row r="86" spans="1:26" s="24" customFormat="1" hidden="1" outlineLevel="2" x14ac:dyDescent="0.25">
      <c r="A86" s="25"/>
      <c r="B86" s="11" t="str">
        <f>CONCATENATE("          ", "6292", " - ", "TRAVEL/CONFERENCE")</f>
        <v xml:space="preserve">          6292 - TRAVEL/CONFERENCE</v>
      </c>
      <c r="C86" s="11"/>
      <c r="D86" s="6"/>
      <c r="E86" s="2"/>
      <c r="F86" s="7">
        <f t="shared" si="48"/>
        <v>0</v>
      </c>
      <c r="G86" s="2"/>
      <c r="H86" s="6">
        <v>2000</v>
      </c>
      <c r="I86" s="2"/>
      <c r="J86" s="7">
        <f t="shared" si="49"/>
        <v>0</v>
      </c>
      <c r="K86" s="2"/>
      <c r="L86" s="6">
        <f t="shared" si="50"/>
        <v>-2000</v>
      </c>
      <c r="M86" s="2"/>
      <c r="N86" s="7">
        <f t="shared" si="51"/>
        <v>-1</v>
      </c>
      <c r="O86" s="11"/>
      <c r="P86" s="6">
        <v>966.72</v>
      </c>
      <c r="Q86" s="2"/>
      <c r="R86" s="7">
        <f t="shared" si="52"/>
        <v>0</v>
      </c>
      <c r="S86" s="2"/>
      <c r="T86" s="6">
        <v>4000</v>
      </c>
      <c r="U86" s="2"/>
      <c r="V86" s="7">
        <f t="shared" si="53"/>
        <v>0</v>
      </c>
      <c r="W86" s="2"/>
      <c r="X86" s="6">
        <f t="shared" si="54"/>
        <v>-3033.2799999999997</v>
      </c>
      <c r="Y86" s="2"/>
      <c r="Z86" s="7">
        <f t="shared" si="55"/>
        <v>-0.75831999999999988</v>
      </c>
    </row>
    <row r="87" spans="1:26" s="24" customFormat="1" hidden="1" outlineLevel="2" x14ac:dyDescent="0.25">
      <c r="A87" s="25"/>
      <c r="B87" s="11" t="str">
        <f>CONCATENATE("          ", "6294", " - ", "TRAVEL OPERATIONAL")</f>
        <v xml:space="preserve">          6294 - TRAVEL OPERATIONAL</v>
      </c>
      <c r="C87" s="11"/>
      <c r="D87" s="6"/>
      <c r="E87" s="2"/>
      <c r="F87" s="7">
        <f t="shared" si="48"/>
        <v>0</v>
      </c>
      <c r="G87" s="2"/>
      <c r="H87" s="6"/>
      <c r="I87" s="2"/>
      <c r="J87" s="7">
        <f t="shared" si="49"/>
        <v>0</v>
      </c>
      <c r="K87" s="2"/>
      <c r="L87" s="6">
        <f t="shared" si="50"/>
        <v>0</v>
      </c>
      <c r="M87" s="2"/>
      <c r="N87" s="7">
        <f t="shared" si="51"/>
        <v>0</v>
      </c>
      <c r="O87" s="11"/>
      <c r="P87" s="6">
        <v>45.49</v>
      </c>
      <c r="Q87" s="2"/>
      <c r="R87" s="7">
        <f t="shared" si="52"/>
        <v>0</v>
      </c>
      <c r="S87" s="2"/>
      <c r="T87" s="6"/>
      <c r="U87" s="2"/>
      <c r="V87" s="7">
        <f t="shared" si="53"/>
        <v>0</v>
      </c>
      <c r="W87" s="2"/>
      <c r="X87" s="6">
        <f t="shared" si="54"/>
        <v>45.49</v>
      </c>
      <c r="Y87" s="2"/>
      <c r="Z87" s="7">
        <f t="shared" si="55"/>
        <v>0</v>
      </c>
    </row>
    <row r="88" spans="1:26" s="24" customFormat="1" hidden="1" outlineLevel="2" x14ac:dyDescent="0.25">
      <c r="A88" s="25"/>
      <c r="B88" s="11" t="str">
        <f>CONCATENATE("          ", "6298", " - ", "VEHICLE MILEAGE")</f>
        <v xml:space="preserve">          6298 - VEHICLE MILEAGE</v>
      </c>
      <c r="C88" s="11"/>
      <c r="D88" s="6">
        <v>164.82</v>
      </c>
      <c r="E88" s="2"/>
      <c r="F88" s="7">
        <f t="shared" si="48"/>
        <v>0</v>
      </c>
      <c r="G88" s="2"/>
      <c r="H88" s="6"/>
      <c r="I88" s="2"/>
      <c r="J88" s="7">
        <f t="shared" si="49"/>
        <v>0</v>
      </c>
      <c r="K88" s="2"/>
      <c r="L88" s="6">
        <f t="shared" si="50"/>
        <v>164.82</v>
      </c>
      <c r="M88" s="2"/>
      <c r="N88" s="7">
        <f t="shared" si="51"/>
        <v>0</v>
      </c>
      <c r="O88" s="11"/>
      <c r="P88" s="6">
        <v>1098.3</v>
      </c>
      <c r="Q88" s="2"/>
      <c r="R88" s="7">
        <f t="shared" si="52"/>
        <v>0</v>
      </c>
      <c r="S88" s="2"/>
      <c r="T88" s="6"/>
      <c r="U88" s="2"/>
      <c r="V88" s="7">
        <f t="shared" si="53"/>
        <v>0</v>
      </c>
      <c r="W88" s="2"/>
      <c r="X88" s="6">
        <f t="shared" si="54"/>
        <v>1098.3</v>
      </c>
      <c r="Y88" s="2"/>
      <c r="Z88" s="7">
        <f t="shared" si="55"/>
        <v>0</v>
      </c>
    </row>
    <row r="89" spans="1:26" s="27" customFormat="1" outlineLevel="1" collapsed="1" x14ac:dyDescent="0.25">
      <c r="A89" s="26"/>
      <c r="B89" s="13" t="str">
        <f>CONCATENATE("     ","Utilities                                         ")</f>
        <v xml:space="preserve">     Utilities                                         </v>
      </c>
      <c r="C89" s="13"/>
      <c r="D89" s="1">
        <f>SUM(OSRRefD22_17x_0)</f>
        <v>12923</v>
      </c>
      <c r="E89" s="1"/>
      <c r="F89" s="5">
        <f t="shared" ref="F89:F90" si="56">IF(D$12=0,0,D89/D$12)</f>
        <v>0</v>
      </c>
      <c r="G89" s="1"/>
      <c r="H89" s="1">
        <f>SUM(OSRRefH22_17x_0)</f>
        <v>20000</v>
      </c>
      <c r="I89" s="1"/>
      <c r="J89" s="5">
        <f t="shared" ref="J89:J90" si="57">IF(H$12=0,0,H89/H$12)</f>
        <v>0</v>
      </c>
      <c r="K89" s="1"/>
      <c r="L89" s="1">
        <f t="shared" ref="L89:L90" si="58">+D89-H89</f>
        <v>-7077</v>
      </c>
      <c r="M89" s="1"/>
      <c r="N89" s="5">
        <f t="shared" ref="N89:N90" si="59">IF(H89=0,0,L89/H89)</f>
        <v>-0.35385</v>
      </c>
      <c r="O89" s="13"/>
      <c r="P89" s="1">
        <f>SUM(OSRRefP22_17x_0)</f>
        <v>120360</v>
      </c>
      <c r="Q89" s="1"/>
      <c r="R89" s="5">
        <f t="shared" ref="R89:R90" si="60">IF(P$12=0,0,P89/P$12)</f>
        <v>0</v>
      </c>
      <c r="S89" s="1"/>
      <c r="T89" s="1">
        <f>SUM(OSRRefT22_17x_0)</f>
        <v>155000</v>
      </c>
      <c r="U89" s="1"/>
      <c r="V89" s="5">
        <f t="shared" ref="V89:V90" si="61">IF(T$12=0,0,T89/T$12)</f>
        <v>0</v>
      </c>
      <c r="W89" s="1"/>
      <c r="X89" s="1">
        <f t="shared" ref="X89:X90" si="62">+P89-T89</f>
        <v>-34640</v>
      </c>
      <c r="Y89" s="1"/>
      <c r="Z89" s="5">
        <f t="shared" ref="Z89:Z90" si="63">IF(T89=0,0,X89/T89)</f>
        <v>-0.22348387096774194</v>
      </c>
    </row>
    <row r="90" spans="1:26" s="24" customFormat="1" hidden="1" outlineLevel="2" x14ac:dyDescent="0.25">
      <c r="A90" s="25"/>
      <c r="B90" s="11" t="str">
        <f>CONCATENATE("          ", "6274", " - ", "UTILITIES")</f>
        <v xml:space="preserve">          6274 - UTILITIES</v>
      </c>
      <c r="C90" s="11"/>
      <c r="D90" s="6">
        <v>12923</v>
      </c>
      <c r="E90" s="2"/>
      <c r="F90" s="7">
        <f t="shared" si="56"/>
        <v>0</v>
      </c>
      <c r="G90" s="2"/>
      <c r="H90" s="6">
        <v>20000</v>
      </c>
      <c r="I90" s="2"/>
      <c r="J90" s="7">
        <f t="shared" si="57"/>
        <v>0</v>
      </c>
      <c r="K90" s="2"/>
      <c r="L90" s="6">
        <f t="shared" si="58"/>
        <v>-7077</v>
      </c>
      <c r="M90" s="2"/>
      <c r="N90" s="7">
        <f t="shared" si="59"/>
        <v>-0.35385</v>
      </c>
      <c r="O90" s="11"/>
      <c r="P90" s="6">
        <v>120360</v>
      </c>
      <c r="Q90" s="2"/>
      <c r="R90" s="7">
        <f t="shared" si="60"/>
        <v>0</v>
      </c>
      <c r="S90" s="2"/>
      <c r="T90" s="6">
        <v>155000</v>
      </c>
      <c r="U90" s="2"/>
      <c r="V90" s="7">
        <f t="shared" si="61"/>
        <v>0</v>
      </c>
      <c r="W90" s="2"/>
      <c r="X90" s="6">
        <f t="shared" si="62"/>
        <v>-34640</v>
      </c>
      <c r="Y90" s="2"/>
      <c r="Z90" s="7">
        <f t="shared" si="63"/>
        <v>-0.22348387096774194</v>
      </c>
    </row>
    <row r="91" spans="1:26" s="56" customFormat="1" x14ac:dyDescent="0.25">
      <c r="A91" s="36"/>
      <c r="B91" s="36"/>
      <c r="C91" s="36"/>
      <c r="D91" s="1"/>
      <c r="E91" s="1"/>
      <c r="F91" s="5"/>
      <c r="G91" s="1"/>
      <c r="H91" s="1"/>
      <c r="I91" s="1"/>
      <c r="J91" s="5"/>
      <c r="K91" s="1"/>
      <c r="L91" s="1"/>
      <c r="M91" s="1"/>
      <c r="N91" s="5"/>
      <c r="O91" s="36"/>
      <c r="P91" s="1"/>
      <c r="Q91" s="1"/>
      <c r="R91" s="5"/>
      <c r="S91" s="1"/>
      <c r="T91" s="1"/>
      <c r="U91" s="1"/>
      <c r="V91" s="5"/>
      <c r="W91" s="1"/>
      <c r="X91" s="1"/>
      <c r="Y91" s="1"/>
      <c r="Z91" s="5"/>
    </row>
    <row r="92" spans="1:26" s="23" customFormat="1" collapsed="1" x14ac:dyDescent="0.25">
      <c r="A92" s="10"/>
      <c r="B92" s="29" t="s">
        <v>0</v>
      </c>
      <c r="C92" s="10"/>
      <c r="D92" s="4">
        <f>SUM(OSRRefD25x_0)</f>
        <v>20162.61</v>
      </c>
      <c r="E92" s="4"/>
      <c r="F92" s="12">
        <f t="shared" ref="F92:F94" si="64">IF(D$12=0,0,D92/D$12)</f>
        <v>0</v>
      </c>
      <c r="G92" s="4"/>
      <c r="H92" s="4">
        <f>SUM(OSRRefH25x_0)</f>
        <v>8794</v>
      </c>
      <c r="I92" s="4"/>
      <c r="J92" s="12">
        <f t="shared" ref="J92:J94" si="65">IF(H$12=0,0,H92/H$12)</f>
        <v>0</v>
      </c>
      <c r="K92" s="4"/>
      <c r="L92" s="4">
        <f t="shared" ref="L92:L94" si="66">+D92-H92</f>
        <v>11368.61</v>
      </c>
      <c r="M92" s="4"/>
      <c r="N92" s="12">
        <f t="shared" ref="N92:N94" si="67">IF(H92=0,0,L92/H92)</f>
        <v>1.2927689333636572</v>
      </c>
      <c r="O92" s="10"/>
      <c r="P92" s="4">
        <f>SUM(OSRRefP25x_0)</f>
        <v>103889.85</v>
      </c>
      <c r="Q92" s="4"/>
      <c r="R92" s="12">
        <f t="shared" ref="R92:R94" si="68">IF(P$12=0,0,P92/P$12)</f>
        <v>0</v>
      </c>
      <c r="S92" s="4"/>
      <c r="T92" s="4">
        <f>SUM(OSRRefT25x_0)</f>
        <v>50422</v>
      </c>
      <c r="U92" s="4"/>
      <c r="V92" s="12">
        <f t="shared" ref="V92:V94" si="69">IF(T$12=0,0,T92/T$12)</f>
        <v>0</v>
      </c>
      <c r="W92" s="4"/>
      <c r="X92" s="4">
        <f t="shared" ref="X92:X94" si="70">+P92-T92</f>
        <v>53467.850000000006</v>
      </c>
      <c r="Y92" s="4"/>
      <c r="Z92" s="12">
        <f t="shared" ref="Z92:Z94" si="71">IF(T92=0,0,X92/T92)</f>
        <v>1.0604071635397248</v>
      </c>
    </row>
    <row r="93" spans="1:26" s="24" customFormat="1" hidden="1" outlineLevel="1" x14ac:dyDescent="0.25">
      <c r="A93" s="44"/>
      <c r="B93" s="11" t="str">
        <f>CONCATENATE("          ", "9150", " - ", "MISC. INCOME")</f>
        <v xml:space="preserve">          9150 - MISC. INCOME</v>
      </c>
      <c r="C93" s="11"/>
      <c r="D93" s="2">
        <f>--20162.61</f>
        <v>20162.61</v>
      </c>
      <c r="E93" s="2"/>
      <c r="F93" s="19">
        <f t="shared" si="64"/>
        <v>0</v>
      </c>
      <c r="G93" s="2"/>
      <c r="H93" s="2">
        <v>8794</v>
      </c>
      <c r="I93" s="2"/>
      <c r="J93" s="19">
        <f t="shared" si="65"/>
        <v>0</v>
      </c>
      <c r="K93" s="2"/>
      <c r="L93" s="2">
        <f t="shared" si="66"/>
        <v>11368.61</v>
      </c>
      <c r="M93" s="2"/>
      <c r="N93" s="19">
        <f t="shared" si="67"/>
        <v>1.2927689333636572</v>
      </c>
      <c r="O93" s="11"/>
      <c r="P93" s="2">
        <f>--101839.82</f>
        <v>101839.82</v>
      </c>
      <c r="Q93" s="2"/>
      <c r="R93" s="19">
        <f t="shared" si="68"/>
        <v>0</v>
      </c>
      <c r="S93" s="2"/>
      <c r="T93" s="2">
        <v>50422</v>
      </c>
      <c r="U93" s="2"/>
      <c r="V93" s="19">
        <f t="shared" si="69"/>
        <v>0</v>
      </c>
      <c r="W93" s="2"/>
      <c r="X93" s="2">
        <f t="shared" si="70"/>
        <v>51417.820000000007</v>
      </c>
      <c r="Y93" s="2"/>
      <c r="Z93" s="19">
        <f t="shared" si="71"/>
        <v>1.0197497124271153</v>
      </c>
    </row>
    <row r="94" spans="1:26" s="24" customFormat="1" hidden="1" outlineLevel="1" x14ac:dyDescent="0.25">
      <c r="A94" s="44"/>
      <c r="B94" s="11" t="str">
        <f>CONCATENATE("          ", "9160", " - ", "MISC. INCOME")</f>
        <v xml:space="preserve">          9160 - MISC. INCOME</v>
      </c>
      <c r="C94" s="11"/>
      <c r="D94" s="2">
        <f>0</f>
        <v>0</v>
      </c>
      <c r="E94" s="2"/>
      <c r="F94" s="19">
        <f t="shared" si="64"/>
        <v>0</v>
      </c>
      <c r="G94" s="2"/>
      <c r="H94" s="2"/>
      <c r="I94" s="2"/>
      <c r="J94" s="19">
        <f t="shared" si="65"/>
        <v>0</v>
      </c>
      <c r="K94" s="2"/>
      <c r="L94" s="2">
        <f t="shared" si="66"/>
        <v>0</v>
      </c>
      <c r="M94" s="2"/>
      <c r="N94" s="19">
        <f t="shared" si="67"/>
        <v>0</v>
      </c>
      <c r="O94" s="11"/>
      <c r="P94" s="2">
        <f>--2050.03</f>
        <v>2050.0300000000002</v>
      </c>
      <c r="Q94" s="2"/>
      <c r="R94" s="19">
        <f t="shared" si="68"/>
        <v>0</v>
      </c>
      <c r="S94" s="2"/>
      <c r="T94" s="2"/>
      <c r="U94" s="2"/>
      <c r="V94" s="19">
        <f t="shared" si="69"/>
        <v>0</v>
      </c>
      <c r="W94" s="2"/>
      <c r="X94" s="2">
        <f t="shared" si="70"/>
        <v>2050.0300000000002</v>
      </c>
      <c r="Y94" s="2"/>
      <c r="Z94" s="19">
        <f t="shared" si="71"/>
        <v>0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10"/>
      <c r="B96" s="28" t="s">
        <v>3</v>
      </c>
      <c r="C96" s="28"/>
      <c r="D96" s="20">
        <f>+D16-D18+D92</f>
        <v>-46129.12000000001</v>
      </c>
      <c r="E96" s="14"/>
      <c r="F96" s="22">
        <f>IF(D$12=0,0,D96/D$12)</f>
        <v>0</v>
      </c>
      <c r="G96" s="14"/>
      <c r="H96" s="20">
        <f>+H16-H18+H92</f>
        <v>-92085.617591457223</v>
      </c>
      <c r="I96" s="14"/>
      <c r="J96" s="22">
        <f>IF(H$12=0,0,H96/H$12)</f>
        <v>0</v>
      </c>
      <c r="K96" s="16"/>
      <c r="L96" s="20">
        <f>+D96-H96</f>
        <v>45956.497591457213</v>
      </c>
      <c r="M96" s="16"/>
      <c r="N96" s="22">
        <f>IF(H96=0,0,L96/H96)</f>
        <v>-0.49906270700540534</v>
      </c>
      <c r="O96" s="29"/>
      <c r="P96" s="20">
        <f>+P16-P18+P92</f>
        <v>-778108.27000000014</v>
      </c>
      <c r="Q96" s="14"/>
      <c r="R96" s="22">
        <f>IF(P$12=0,0,P96/P$12)</f>
        <v>0</v>
      </c>
      <c r="S96" s="14"/>
      <c r="T96" s="20">
        <f>+T16-T18+T92</f>
        <v>-880340.20863812196</v>
      </c>
      <c r="U96" s="14"/>
      <c r="V96" s="22">
        <f>IF(T$12=0,0,T96/T$12)</f>
        <v>0</v>
      </c>
      <c r="W96" s="16"/>
      <c r="X96" s="20">
        <f>+P96-T96</f>
        <v>102231.93863812182</v>
      </c>
      <c r="Y96" s="16"/>
      <c r="Z96" s="22">
        <f>IF(T96=0,0,X96/T96)</f>
        <v>-0.11612776246614212</v>
      </c>
    </row>
    <row r="97" spans="1:26" x14ac:dyDescent="0.25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52"/>
      <c r="B98" s="10" t="s">
        <v>14</v>
      </c>
      <c r="C98" s="10"/>
      <c r="D98" s="4"/>
      <c r="E98" s="4"/>
      <c r="F98" s="12">
        <f>IF(D$12=0,0,D98/D$12)</f>
        <v>0</v>
      </c>
      <c r="G98" s="4"/>
      <c r="H98" s="4"/>
      <c r="I98" s="4"/>
      <c r="J98" s="12">
        <f>IF(H$12=0,0,H98/H$12)</f>
        <v>0</v>
      </c>
      <c r="K98" s="4"/>
      <c r="L98" s="4">
        <f>+D98-H98</f>
        <v>0</v>
      </c>
      <c r="M98" s="4"/>
      <c r="N98" s="12">
        <f>IF(H98=0,0,L98/H98)</f>
        <v>0</v>
      </c>
      <c r="O98" s="10"/>
      <c r="P98" s="4"/>
      <c r="Q98" s="4"/>
      <c r="R98" s="12">
        <f>IF(P$12=0,0,P98/P$12)</f>
        <v>0</v>
      </c>
      <c r="S98" s="4"/>
      <c r="T98" s="4"/>
      <c r="U98" s="4"/>
      <c r="V98" s="12">
        <f>IF(T$12=0,0,T98/T$12)</f>
        <v>0</v>
      </c>
      <c r="W98" s="4"/>
      <c r="X98" s="4">
        <f>+P98-T98</f>
        <v>0</v>
      </c>
      <c r="Y98" s="4"/>
      <c r="Z98" s="12">
        <f>IF(T98=0,0,X98/T98)</f>
        <v>0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8" t="s">
        <v>4</v>
      </c>
      <c r="C100" s="28"/>
      <c r="D100" s="31">
        <f>+D96-D98</f>
        <v>-46129.12000000001</v>
      </c>
      <c r="E100" s="14"/>
      <c r="F100" s="34">
        <f>IF(D$12=0,0,D100/D$12)</f>
        <v>0</v>
      </c>
      <c r="G100" s="14"/>
      <c r="H100" s="31">
        <f>+H96-H98</f>
        <v>-92085.617591457223</v>
      </c>
      <c r="I100" s="14"/>
      <c r="J100" s="34">
        <f>IF(H$12=0,0,H100/H$12)</f>
        <v>0</v>
      </c>
      <c r="K100" s="16"/>
      <c r="L100" s="31">
        <f>D100-H100</f>
        <v>45956.497591457213</v>
      </c>
      <c r="M100" s="16"/>
      <c r="N100" s="34">
        <f>IF(H100=0,0,L100/H100)</f>
        <v>-0.49906270700540534</v>
      </c>
      <c r="O100" s="29"/>
      <c r="P100" s="31">
        <f>+P96-P98</f>
        <v>-778108.27000000014</v>
      </c>
      <c r="Q100" s="14"/>
      <c r="R100" s="34">
        <f>IF(P$12=0,0,P100/P$12)</f>
        <v>0</v>
      </c>
      <c r="S100" s="14"/>
      <c r="T100" s="31">
        <f>+T96-T98</f>
        <v>-880340.20863812196</v>
      </c>
      <c r="U100" s="14"/>
      <c r="V100" s="34">
        <f>IF(T$12=0,0,T100/T$12)</f>
        <v>0</v>
      </c>
      <c r="W100" s="16"/>
      <c r="X100" s="31">
        <f>P100-T100</f>
        <v>102231.93863812182</v>
      </c>
      <c r="Y100" s="16"/>
      <c r="Z100" s="34">
        <f>IF(T100=0,0,X100/T100)</f>
        <v>-0.11612776246614212</v>
      </c>
    </row>
    <row r="101" spans="1:26" ht="15.75" thickTop="1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8" t="s">
        <v>5</v>
      </c>
      <c r="C103" s="28"/>
      <c r="D103" s="32">
        <f>SUM(D100:D102)</f>
        <v>-46129.12000000001</v>
      </c>
      <c r="E103" s="14"/>
      <c r="F103" s="35">
        <f>IF(D$12=0,0,D103/D$12)</f>
        <v>0</v>
      </c>
      <c r="G103" s="14"/>
      <c r="H103" s="32">
        <f>SUM(H100:H102)</f>
        <v>-92085.617591457223</v>
      </c>
      <c r="I103" s="14"/>
      <c r="J103" s="35">
        <f>IF(H$12=0,0,H103/H$12)</f>
        <v>0</v>
      </c>
      <c r="K103" s="16"/>
      <c r="L103" s="32">
        <f>+D103-H103</f>
        <v>45956.497591457213</v>
      </c>
      <c r="M103" s="16"/>
      <c r="N103" s="35">
        <f>IF(H103=0,0,L103/H103)</f>
        <v>-0.49906270700540534</v>
      </c>
      <c r="O103" s="29"/>
      <c r="P103" s="32">
        <f>SUM(P100:P102)</f>
        <v>-778108.27000000014</v>
      </c>
      <c r="Q103" s="14"/>
      <c r="R103" s="35">
        <f>IF(P$12=0,0,P103/P$12)</f>
        <v>0</v>
      </c>
      <c r="S103" s="14"/>
      <c r="T103" s="32">
        <f>SUM(T100:T102)</f>
        <v>-880340.20863812196</v>
      </c>
      <c r="U103" s="14"/>
      <c r="V103" s="35">
        <f>IF(T$12=0,0,T103/T$12)</f>
        <v>0</v>
      </c>
      <c r="W103" s="16"/>
      <c r="X103" s="32">
        <f>+P103-T103</f>
        <v>102231.93863812182</v>
      </c>
      <c r="Y103" s="16"/>
      <c r="Z103" s="35">
        <f>IF(T103=0,0,X103/T103)</f>
        <v>-0.11612776246614212</v>
      </c>
    </row>
    <row r="104" spans="1:26" ht="15.75" thickTop="1" x14ac:dyDescent="0.25">
      <c r="A104" s="9"/>
      <c r="C104" s="9"/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  <row r="105" spans="1:26" x14ac:dyDescent="0.25">
      <c r="A105" s="9"/>
      <c r="B105" s="57">
        <v>43934.466742245371</v>
      </c>
      <c r="D105" s="18"/>
      <c r="E105" s="18"/>
      <c r="G105" s="18"/>
      <c r="H105" s="18"/>
      <c r="I105" s="18"/>
      <c r="J105" s="42"/>
      <c r="K105" s="18"/>
      <c r="L105" s="18"/>
      <c r="M105" s="18"/>
      <c r="P105" s="18"/>
      <c r="Q105" s="18"/>
      <c r="R105" s="42"/>
      <c r="S105" s="18"/>
      <c r="T105" s="18"/>
      <c r="U105" s="18"/>
      <c r="V105" s="42"/>
      <c r="W105" s="18"/>
      <c r="X105" s="18"/>
    </row>
    <row r="106" spans="1:26" x14ac:dyDescent="0.25">
      <c r="A106" s="9"/>
      <c r="B106" s="62" t="s">
        <v>314</v>
      </c>
      <c r="D106" s="18"/>
      <c r="E106" s="18"/>
      <c r="G106" s="18"/>
      <c r="H106" s="18"/>
      <c r="I106" s="18"/>
      <c r="J106" s="42"/>
      <c r="K106" s="18"/>
      <c r="L106" s="18"/>
      <c r="M106" s="18"/>
      <c r="P106" s="18"/>
      <c r="Q106" s="18"/>
      <c r="R106" s="42"/>
      <c r="S106" s="18"/>
      <c r="T106" s="18"/>
      <c r="U106" s="18"/>
      <c r="V106" s="42"/>
      <c r="W106" s="18"/>
      <c r="X106" s="18"/>
    </row>
    <row r="107" spans="1:26" x14ac:dyDescent="0.25">
      <c r="A107" s="9"/>
      <c r="B107" s="60"/>
      <c r="D107" s="18"/>
      <c r="E107" s="18"/>
      <c r="G107" s="18"/>
      <c r="H107" s="18"/>
      <c r="I107" s="18"/>
      <c r="J107" s="42"/>
      <c r="K107" s="18"/>
      <c r="L107" s="18"/>
      <c r="M107" s="18"/>
      <c r="P107" s="18"/>
      <c r="Q107" s="18"/>
      <c r="R107" s="42"/>
      <c r="S107" s="18"/>
      <c r="T107" s="18"/>
      <c r="U107" s="18"/>
      <c r="V107" s="42"/>
      <c r="W107" s="18"/>
      <c r="X107" s="18"/>
    </row>
    <row r="108" spans="1:26" x14ac:dyDescent="0.25">
      <c r="D108" s="18"/>
      <c r="E108" s="18"/>
      <c r="G108" s="18"/>
      <c r="H108" s="18"/>
      <c r="I108" s="18"/>
      <c r="J108" s="42"/>
      <c r="K108" s="18"/>
      <c r="L108" s="18"/>
      <c r="M108" s="18"/>
      <c r="P108" s="18"/>
      <c r="Q108" s="18"/>
      <c r="R108" s="42"/>
      <c r="S108" s="18"/>
      <c r="T108" s="18"/>
      <c r="U108" s="18"/>
      <c r="V108" s="42"/>
      <c r="W108" s="18"/>
      <c r="X108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300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","412", " - ", "Chartroom")</f>
        <v>Department 412 - Chartroom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9205.2200000000012</v>
      </c>
      <c r="E12" s="4"/>
      <c r="F12" s="12"/>
      <c r="G12" s="4"/>
      <c r="H12" s="4">
        <f>SUM(OSRRefH13x_0)</f>
        <v>165000</v>
      </c>
      <c r="I12" s="4"/>
      <c r="J12" s="12"/>
      <c r="K12" s="4"/>
      <c r="L12" s="4">
        <f t="shared" ref="L12:L16" si="0">+D12-H12</f>
        <v>-155794.78</v>
      </c>
      <c r="M12" s="4"/>
      <c r="N12" s="12">
        <f t="shared" ref="N12:N16" si="1">IF(H12=0,0,L12/H12)</f>
        <v>-0.94421078787878787</v>
      </c>
      <c r="O12" s="10"/>
      <c r="P12" s="4">
        <f>SUM(OSRRefP13x_0)</f>
        <v>379973.86</v>
      </c>
      <c r="Q12" s="4"/>
      <c r="R12" s="12"/>
      <c r="S12" s="4"/>
      <c r="T12" s="4">
        <f>SUM(OSRRefT13x_0)</f>
        <v>886000</v>
      </c>
      <c r="U12" s="4"/>
      <c r="V12" s="12"/>
      <c r="W12" s="4"/>
      <c r="X12" s="4">
        <f t="shared" ref="X12:X16" si="2">+P12-T12</f>
        <v>-506026.14</v>
      </c>
      <c r="Y12" s="4"/>
      <c r="Z12" s="12">
        <f t="shared" ref="Z12:Z16" si="3">IF(T12=0,0,X12/T12)</f>
        <v>-0.57113559819413096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160000</v>
      </c>
      <c r="I13" s="2"/>
      <c r="J13" s="19"/>
      <c r="K13" s="2"/>
      <c r="L13" s="2">
        <f t="shared" si="0"/>
        <v>-160000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843000</v>
      </c>
      <c r="U13" s="2"/>
      <c r="V13" s="19"/>
      <c r="W13" s="2"/>
      <c r="X13" s="2">
        <f t="shared" si="2"/>
        <v>-843000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--5738.89</f>
        <v>5738.89</v>
      </c>
      <c r="E14" s="2"/>
      <c r="F14" s="19"/>
      <c r="G14" s="2"/>
      <c r="H14" s="2"/>
      <c r="I14" s="2"/>
      <c r="J14" s="19"/>
      <c r="K14" s="2"/>
      <c r="L14" s="2">
        <f t="shared" si="0"/>
        <v>5738.89</v>
      </c>
      <c r="M14" s="2"/>
      <c r="N14" s="19">
        <f t="shared" si="1"/>
        <v>0</v>
      </c>
      <c r="O14" s="11"/>
      <c r="P14" s="2">
        <f>--329896.47</f>
        <v>329896.46999999997</v>
      </c>
      <c r="Q14" s="2"/>
      <c r="R14" s="19"/>
      <c r="S14" s="2"/>
      <c r="T14" s="2"/>
      <c r="U14" s="2"/>
      <c r="V14" s="19"/>
      <c r="W14" s="2"/>
      <c r="X14" s="2">
        <f t="shared" si="2"/>
        <v>329896.46999999997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5000</v>
      </c>
      <c r="I15" s="2"/>
      <c r="J15" s="19"/>
      <c r="K15" s="2"/>
      <c r="L15" s="2">
        <f t="shared" si="0"/>
        <v>-5000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43000</v>
      </c>
      <c r="U15" s="2"/>
      <c r="V15" s="19"/>
      <c r="W15" s="2"/>
      <c r="X15" s="2">
        <f t="shared" si="2"/>
        <v>-43000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"4152", " - ", "NON-TAXABLE SALES-FOOD")</f>
        <v xml:space="preserve">          4152 - NON-TAXABLE SALES-FOOD</v>
      </c>
      <c r="C16" s="11"/>
      <c r="D16" s="2">
        <f>--3466.33</f>
        <v>3466.33</v>
      </c>
      <c r="E16" s="2"/>
      <c r="F16" s="19"/>
      <c r="G16" s="2"/>
      <c r="H16" s="2"/>
      <c r="I16" s="2"/>
      <c r="J16" s="19"/>
      <c r="K16" s="2"/>
      <c r="L16" s="2">
        <f t="shared" si="0"/>
        <v>3466.33</v>
      </c>
      <c r="M16" s="2"/>
      <c r="N16" s="19">
        <f t="shared" si="1"/>
        <v>0</v>
      </c>
      <c r="O16" s="11"/>
      <c r="P16" s="2">
        <f>--50077.39</f>
        <v>50077.39</v>
      </c>
      <c r="Q16" s="2"/>
      <c r="R16" s="19"/>
      <c r="S16" s="2"/>
      <c r="T16" s="2"/>
      <c r="U16" s="2"/>
      <c r="V16" s="19"/>
      <c r="W16" s="2"/>
      <c r="X16" s="2">
        <f t="shared" si="2"/>
        <v>50077.39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2899.5299999999988</v>
      </c>
      <c r="E18" s="4"/>
      <c r="F18" s="12">
        <f t="shared" ref="F18:F21" si="4">IF(D$12=0,0,D18/D$12)</f>
        <v>0.31498758313217917</v>
      </c>
      <c r="G18" s="4"/>
      <c r="H18" s="4">
        <f>SUM(OSRRefH16x_0)</f>
        <v>52000</v>
      </c>
      <c r="I18" s="4"/>
      <c r="J18" s="12">
        <f t="shared" ref="J18:J21" si="5">IF(H$12=0,0,H18/H$12)</f>
        <v>0.31515151515151513</v>
      </c>
      <c r="K18" s="4"/>
      <c r="L18" s="4">
        <f t="shared" ref="L18:L21" si="6">+D18-H18</f>
        <v>-49100.47</v>
      </c>
      <c r="M18" s="4"/>
      <c r="N18" s="12">
        <f t="shared" ref="N18:N21" si="7">IF(H18=0,0,L18/H18)</f>
        <v>-0.94423980769230775</v>
      </c>
      <c r="O18" s="10"/>
      <c r="P18" s="4">
        <f>SUM(OSRRefP16x_0)</f>
        <v>189241.41999999998</v>
      </c>
      <c r="Q18" s="4"/>
      <c r="R18" s="12">
        <f t="shared" ref="R18:R21" si="8">IF(P$12=0,0,P18/P$12)</f>
        <v>0.49803799661376702</v>
      </c>
      <c r="S18" s="4"/>
      <c r="T18" s="4">
        <f>SUM(OSRRefT16x_0)</f>
        <v>275510</v>
      </c>
      <c r="U18" s="4"/>
      <c r="V18" s="12">
        <f t="shared" ref="V18:V21" si="9">IF(T$12=0,0,T18/T$12)</f>
        <v>0.31095936794582391</v>
      </c>
      <c r="W18" s="4"/>
      <c r="X18" s="4">
        <f t="shared" ref="X18:X21" si="10">+P18-T18</f>
        <v>-86268.580000000016</v>
      </c>
      <c r="Y18" s="4"/>
      <c r="Z18" s="12">
        <f t="shared" ref="Z18:Z21" si="11">IF(T18=0,0,X18/T18)</f>
        <v>-0.31312322601720449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52000</v>
      </c>
      <c r="I19" s="2"/>
      <c r="J19" s="19">
        <f t="shared" si="5"/>
        <v>0.31515151515151513</v>
      </c>
      <c r="K19" s="2"/>
      <c r="L19" s="2">
        <f t="shared" si="6"/>
        <v>-52000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275510</v>
      </c>
      <c r="U19" s="2"/>
      <c r="V19" s="19">
        <f t="shared" si="9"/>
        <v>0.31095936794582391</v>
      </c>
      <c r="W19" s="2"/>
      <c r="X19" s="2">
        <f t="shared" si="10"/>
        <v>-275510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16849.53</v>
      </c>
      <c r="E20" s="2"/>
      <c r="F20" s="19">
        <f t="shared" si="4"/>
        <v>1.8304320809279948</v>
      </c>
      <c r="G20" s="2"/>
      <c r="H20" s="2"/>
      <c r="I20" s="2"/>
      <c r="J20" s="19">
        <f t="shared" si="5"/>
        <v>0</v>
      </c>
      <c r="K20" s="2"/>
      <c r="L20" s="2">
        <f t="shared" si="6"/>
        <v>16849.53</v>
      </c>
      <c r="M20" s="2"/>
      <c r="N20" s="19">
        <f t="shared" si="7"/>
        <v>0</v>
      </c>
      <c r="O20" s="11"/>
      <c r="P20" s="2">
        <v>203191.41999999998</v>
      </c>
      <c r="Q20" s="2"/>
      <c r="R20" s="19">
        <f t="shared" si="8"/>
        <v>0.53475104840106635</v>
      </c>
      <c r="S20" s="2"/>
      <c r="T20" s="2"/>
      <c r="U20" s="2"/>
      <c r="V20" s="19">
        <f t="shared" si="9"/>
        <v>0</v>
      </c>
      <c r="W20" s="2"/>
      <c r="X20" s="2">
        <f t="shared" si="10"/>
        <v>203191.41999999998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-13950</v>
      </c>
      <c r="E21" s="2"/>
      <c r="F21" s="19">
        <f t="shared" si="4"/>
        <v>-1.5154444977958157</v>
      </c>
      <c r="G21" s="2"/>
      <c r="H21" s="2"/>
      <c r="I21" s="2"/>
      <c r="J21" s="19">
        <f t="shared" si="5"/>
        <v>0</v>
      </c>
      <c r="K21" s="2"/>
      <c r="L21" s="2">
        <f t="shared" si="6"/>
        <v>-13950</v>
      </c>
      <c r="M21" s="2"/>
      <c r="N21" s="19">
        <f t="shared" si="7"/>
        <v>0</v>
      </c>
      <c r="O21" s="11"/>
      <c r="P21" s="2">
        <v>-13950</v>
      </c>
      <c r="Q21" s="2"/>
      <c r="R21" s="19">
        <f t="shared" si="8"/>
        <v>-3.6713051787299264E-2</v>
      </c>
      <c r="S21" s="2"/>
      <c r="T21" s="2"/>
      <c r="U21" s="2"/>
      <c r="V21" s="19">
        <f t="shared" si="9"/>
        <v>0</v>
      </c>
      <c r="W21" s="2"/>
      <c r="X21" s="2">
        <f t="shared" si="10"/>
        <v>-13950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0">
        <f>D12-D18</f>
        <v>6305.6900000000023</v>
      </c>
      <c r="E23" s="14"/>
      <c r="F23" s="22">
        <f>IF(D$12=0,0,D23/D$12)</f>
        <v>0.68501241686782077</v>
      </c>
      <c r="G23" s="14"/>
      <c r="H23" s="20">
        <f>H12-H18</f>
        <v>113000</v>
      </c>
      <c r="I23" s="14"/>
      <c r="J23" s="22">
        <f>IF(H$12=0,0,H23/H$12)</f>
        <v>0.68484848484848482</v>
      </c>
      <c r="K23" s="16"/>
      <c r="L23" s="20">
        <f>+D23-H23</f>
        <v>-106694.31</v>
      </c>
      <c r="M23" s="16"/>
      <c r="N23" s="22">
        <f>IF(H23=0,0,L23/H23)</f>
        <v>-0.94419743362831854</v>
      </c>
      <c r="O23" s="29"/>
      <c r="P23" s="20">
        <f>P12-P18</f>
        <v>190732.44</v>
      </c>
      <c r="Q23" s="14"/>
      <c r="R23" s="22">
        <f>IF(P$12=0,0,P23/P$12)</f>
        <v>0.50196200338623298</v>
      </c>
      <c r="S23" s="14"/>
      <c r="T23" s="20">
        <f>T12-T18</f>
        <v>610490</v>
      </c>
      <c r="U23" s="14"/>
      <c r="V23" s="22">
        <f>IF(T$12=0,0,T23/T$12)</f>
        <v>0.68904063205417609</v>
      </c>
      <c r="W23" s="16"/>
      <c r="X23" s="20">
        <f>+P23-T23</f>
        <v>-419757.56</v>
      </c>
      <c r="Y23" s="16"/>
      <c r="Z23" s="22">
        <f>IF(T23=0,0,X23/T23)</f>
        <v>-0.68757483333060332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1">
        <f>SUM(OSRRefD22x_0)</f>
        <v>33581.96</v>
      </c>
      <c r="E25" s="21"/>
      <c r="F25" s="30">
        <f t="shared" ref="F25:F35" si="12">IF(D$12=0,0,D25/D$12)</f>
        <v>3.6481431187956392</v>
      </c>
      <c r="G25" s="21"/>
      <c r="H25" s="21">
        <f>SUM(OSRRefH22x_0)</f>
        <v>89404.608192246189</v>
      </c>
      <c r="I25" s="21"/>
      <c r="J25" s="30">
        <f t="shared" ref="J25:J35" si="13">IF(H$12=0,0,H25/H$12)</f>
        <v>0.54184611025603746</v>
      </c>
      <c r="K25" s="4"/>
      <c r="L25" s="21">
        <f t="shared" ref="L25:L35" si="14">+D25-H25</f>
        <v>-55822.64819224619</v>
      </c>
      <c r="M25" s="4"/>
      <c r="N25" s="30">
        <f t="shared" ref="N25:N35" si="15">IF(H25=0,0,L25/H25)</f>
        <v>-0.62438222504382646</v>
      </c>
      <c r="O25" s="10"/>
      <c r="P25" s="21">
        <f>SUM(OSRRefP22x_0)</f>
        <v>345993.3</v>
      </c>
      <c r="Q25" s="21"/>
      <c r="R25" s="30">
        <f t="shared" ref="R25:R35" si="16">IF(P$12=0,0,P25/P$12)</f>
        <v>0.910571321932514</v>
      </c>
      <c r="S25" s="21"/>
      <c r="T25" s="21">
        <f>SUM(OSRRefT22x_0)</f>
        <v>585256.53007528849</v>
      </c>
      <c r="U25" s="21"/>
      <c r="V25" s="30">
        <f t="shared" ref="V25:V35" si="17">IF(T$12=0,0,T25/T$12)</f>
        <v>0.6605604176921992</v>
      </c>
      <c r="W25" s="4"/>
      <c r="X25" s="21">
        <f t="shared" ref="X25:X35" si="18">+P25-T25</f>
        <v>-239263.23007528851</v>
      </c>
      <c r="Y25" s="4"/>
      <c r="Z25" s="30">
        <f t="shared" ref="Z25:Z35" si="19">IF(T25=0,0,X25/T25)</f>
        <v>-0.40881770263120215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7319.81</v>
      </c>
      <c r="E26" s="1"/>
      <c r="F26" s="5">
        <f t="shared" si="12"/>
        <v>0.79518034332693832</v>
      </c>
      <c r="G26" s="1"/>
      <c r="H26" s="1">
        <f>SUM(OSRRefH22_0x_0)</f>
        <v>18727.205115323079</v>
      </c>
      <c r="I26" s="1"/>
      <c r="J26" s="5">
        <f t="shared" si="13"/>
        <v>0.11349821282013987</v>
      </c>
      <c r="K26" s="1"/>
      <c r="L26" s="1">
        <f t="shared" si="14"/>
        <v>-11407.395115323077</v>
      </c>
      <c r="M26" s="1"/>
      <c r="N26" s="5">
        <f t="shared" si="15"/>
        <v>-0.60913494806490132</v>
      </c>
      <c r="O26" s="13"/>
      <c r="P26" s="1">
        <f>SUM(OSRRefP22_0x_0)</f>
        <v>84996.640000000014</v>
      </c>
      <c r="Q26" s="1"/>
      <c r="R26" s="5">
        <f t="shared" si="16"/>
        <v>0.22369075599042529</v>
      </c>
      <c r="S26" s="1"/>
      <c r="T26" s="1">
        <f>SUM(OSRRefT22_0x_0)</f>
        <v>132490.87382528849</v>
      </c>
      <c r="U26" s="1"/>
      <c r="V26" s="5">
        <f t="shared" si="17"/>
        <v>0.14953823230845203</v>
      </c>
      <c r="W26" s="1"/>
      <c r="X26" s="1">
        <f t="shared" si="18"/>
        <v>-47494.23382528848</v>
      </c>
      <c r="Y26" s="1"/>
      <c r="Z26" s="5">
        <f t="shared" si="19"/>
        <v>-0.3584717381207525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6">
        <v>2433.7399999999998</v>
      </c>
      <c r="E27" s="2"/>
      <c r="F27" s="7">
        <f t="shared" si="12"/>
        <v>0.26438694566778409</v>
      </c>
      <c r="G27" s="2"/>
      <c r="H27" s="6">
        <v>4712.8671633230797</v>
      </c>
      <c r="I27" s="2"/>
      <c r="J27" s="7">
        <f t="shared" si="13"/>
        <v>2.8562831292867151E-2</v>
      </c>
      <c r="K27" s="2"/>
      <c r="L27" s="6">
        <f t="shared" si="14"/>
        <v>-2279.1271633230799</v>
      </c>
      <c r="M27" s="2"/>
      <c r="N27" s="7">
        <f t="shared" si="15"/>
        <v>-0.4835967330163512</v>
      </c>
      <c r="O27" s="11"/>
      <c r="P27" s="6">
        <v>14871.7</v>
      </c>
      <c r="Q27" s="2"/>
      <c r="R27" s="7">
        <f t="shared" si="16"/>
        <v>3.9138744965245768E-2</v>
      </c>
      <c r="S27" s="2"/>
      <c r="T27" s="6">
        <v>29583.848148750028</v>
      </c>
      <c r="U27" s="2"/>
      <c r="V27" s="7">
        <f t="shared" si="17"/>
        <v>3.3390347797686265E-2</v>
      </c>
      <c r="W27" s="2"/>
      <c r="X27" s="6">
        <f t="shared" si="18"/>
        <v>-14712.148148750028</v>
      </c>
      <c r="Y27" s="2"/>
      <c r="Z27" s="7">
        <f t="shared" si="19"/>
        <v>-0.49730339591983214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6">
        <v>1197.97</v>
      </c>
      <c r="E28" s="2"/>
      <c r="F28" s="7">
        <f t="shared" si="12"/>
        <v>0.13014028996591062</v>
      </c>
      <c r="G28" s="2"/>
      <c r="H28" s="6">
        <v>2523.3485686153799</v>
      </c>
      <c r="I28" s="2"/>
      <c r="J28" s="7">
        <f t="shared" si="13"/>
        <v>1.5293021627971999E-2</v>
      </c>
      <c r="K28" s="2"/>
      <c r="L28" s="6">
        <f t="shared" si="14"/>
        <v>-1325.3785686153799</v>
      </c>
      <c r="M28" s="2"/>
      <c r="N28" s="7">
        <f t="shared" si="15"/>
        <v>-0.52524593118050511</v>
      </c>
      <c r="O28" s="11"/>
      <c r="P28" s="6">
        <v>5449.61</v>
      </c>
      <c r="Q28" s="2"/>
      <c r="R28" s="7">
        <f t="shared" si="16"/>
        <v>1.4342065530507809E-2</v>
      </c>
      <c r="S28" s="2"/>
      <c r="T28" s="6">
        <v>15907.029029999969</v>
      </c>
      <c r="U28" s="2"/>
      <c r="V28" s="7">
        <f t="shared" si="17"/>
        <v>1.7953757370203126E-2</v>
      </c>
      <c r="W28" s="2"/>
      <c r="X28" s="6">
        <f t="shared" si="18"/>
        <v>-10457.419029999968</v>
      </c>
      <c r="Y28" s="2"/>
      <c r="Z28" s="7">
        <f t="shared" si="19"/>
        <v>-0.6574086845681697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6">
        <v>2418.6</v>
      </c>
      <c r="E29" s="2"/>
      <c r="F29" s="7">
        <f t="shared" si="12"/>
        <v>0.26274222669311537</v>
      </c>
      <c r="G29" s="2"/>
      <c r="H29" s="6">
        <v>7007.8461538461497</v>
      </c>
      <c r="I29" s="2"/>
      <c r="J29" s="7">
        <f t="shared" si="13"/>
        <v>4.2471794871794845E-2</v>
      </c>
      <c r="K29" s="2"/>
      <c r="L29" s="6">
        <f t="shared" si="14"/>
        <v>-4589.2461538461503</v>
      </c>
      <c r="M29" s="2"/>
      <c r="N29" s="7">
        <f t="shared" si="15"/>
        <v>-0.65487256042677422</v>
      </c>
      <c r="O29" s="11"/>
      <c r="P29" s="6">
        <v>36209.82</v>
      </c>
      <c r="Q29" s="2"/>
      <c r="R29" s="7">
        <f t="shared" si="16"/>
        <v>9.5295555331095669E-2</v>
      </c>
      <c r="S29" s="2"/>
      <c r="T29" s="6">
        <v>51550.788461538483</v>
      </c>
      <c r="U29" s="2"/>
      <c r="V29" s="7">
        <f t="shared" si="17"/>
        <v>5.8183734155235305E-2</v>
      </c>
      <c r="W29" s="2"/>
      <c r="X29" s="6">
        <f t="shared" si="18"/>
        <v>-15340.968461538483</v>
      </c>
      <c r="Y29" s="2"/>
      <c r="Z29" s="7">
        <f t="shared" si="19"/>
        <v>-0.29758940492218122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6">
        <v>86.66</v>
      </c>
      <c r="E30" s="2"/>
      <c r="F30" s="7">
        <f t="shared" si="12"/>
        <v>9.4142236687444723E-3</v>
      </c>
      <c r="G30" s="2"/>
      <c r="H30" s="6">
        <v>169.09036800000001</v>
      </c>
      <c r="I30" s="2"/>
      <c r="J30" s="7">
        <f t="shared" si="13"/>
        <v>1.0247901090909091E-3</v>
      </c>
      <c r="K30" s="2"/>
      <c r="L30" s="6">
        <f t="shared" si="14"/>
        <v>-82.430368000000016</v>
      </c>
      <c r="M30" s="2"/>
      <c r="N30" s="7">
        <f t="shared" si="15"/>
        <v>-0.48749298363346166</v>
      </c>
      <c r="O30" s="11"/>
      <c r="P30" s="6">
        <v>552.04999999999995</v>
      </c>
      <c r="Q30" s="2"/>
      <c r="R30" s="7">
        <f t="shared" si="16"/>
        <v>1.4528630995826923E-3</v>
      </c>
      <c r="S30" s="2"/>
      <c r="T30" s="6">
        <v>1065.934935</v>
      </c>
      <c r="U30" s="2"/>
      <c r="V30" s="7">
        <f t="shared" si="17"/>
        <v>1.2030868340857789E-3</v>
      </c>
      <c r="W30" s="2"/>
      <c r="X30" s="6">
        <f t="shared" si="18"/>
        <v>-513.88493500000004</v>
      </c>
      <c r="Y30" s="2"/>
      <c r="Z30" s="7">
        <f t="shared" si="19"/>
        <v>-0.48209784493084473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6">
        <v>214.92</v>
      </c>
      <c r="E31" s="2"/>
      <c r="F31" s="7">
        <f t="shared" si="12"/>
        <v>2.334762232733166E-2</v>
      </c>
      <c r="G31" s="2"/>
      <c r="H31" s="6">
        <v>1244.75341538462</v>
      </c>
      <c r="I31" s="2"/>
      <c r="J31" s="7">
        <f t="shared" si="13"/>
        <v>7.5439600932401211E-3</v>
      </c>
      <c r="K31" s="2"/>
      <c r="L31" s="6">
        <f t="shared" si="14"/>
        <v>-1029.8334153846199</v>
      </c>
      <c r="M31" s="2"/>
      <c r="N31" s="7">
        <f t="shared" si="15"/>
        <v>-0.82733929680876483</v>
      </c>
      <c r="O31" s="11"/>
      <c r="P31" s="6">
        <v>6215.55</v>
      </c>
      <c r="Q31" s="2"/>
      <c r="R31" s="7">
        <f t="shared" si="16"/>
        <v>1.6357835773229242E-2</v>
      </c>
      <c r="S31" s="2"/>
      <c r="T31" s="6">
        <v>12136.34580000003</v>
      </c>
      <c r="U31" s="2"/>
      <c r="V31" s="7">
        <f t="shared" si="17"/>
        <v>1.3697907223476332E-2</v>
      </c>
      <c r="W31" s="2"/>
      <c r="X31" s="6">
        <f t="shared" si="18"/>
        <v>-5920.7958000000299</v>
      </c>
      <c r="Y31" s="2"/>
      <c r="Z31" s="7">
        <f t="shared" si="19"/>
        <v>-0.48785655069254991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6">
        <v>411.6</v>
      </c>
      <c r="E33" s="2"/>
      <c r="F33" s="7">
        <f t="shared" si="12"/>
        <v>4.4713760236039984E-2</v>
      </c>
      <c r="G33" s="2"/>
      <c r="H33" s="6">
        <v>1118.25673846154</v>
      </c>
      <c r="I33" s="2"/>
      <c r="J33" s="7">
        <f t="shared" si="13"/>
        <v>6.7773135664335755E-3</v>
      </c>
      <c r="K33" s="2"/>
      <c r="L33" s="6">
        <f t="shared" si="14"/>
        <v>-706.65673846153993</v>
      </c>
      <c r="M33" s="2"/>
      <c r="N33" s="7">
        <f t="shared" si="15"/>
        <v>-0.63192710059921886</v>
      </c>
      <c r="O33" s="11"/>
      <c r="P33" s="6">
        <v>7805.68</v>
      </c>
      <c r="Q33" s="2"/>
      <c r="R33" s="7">
        <f t="shared" si="16"/>
        <v>2.0542676277783951E-2</v>
      </c>
      <c r="S33" s="2"/>
      <c r="T33" s="6">
        <v>9947.6781999999967</v>
      </c>
      <c r="U33" s="2"/>
      <c r="V33" s="7">
        <f t="shared" si="17"/>
        <v>1.1227627765237017E-2</v>
      </c>
      <c r="W33" s="2"/>
      <c r="X33" s="6">
        <f t="shared" si="18"/>
        <v>-2141.9981999999964</v>
      </c>
      <c r="Y33" s="2"/>
      <c r="Z33" s="7">
        <f t="shared" si="19"/>
        <v>-0.21532644672804124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6">
        <v>423.1</v>
      </c>
      <c r="E34" s="2"/>
      <c r="F34" s="7">
        <f t="shared" si="12"/>
        <v>4.5963051399097468E-2</v>
      </c>
      <c r="G34" s="2"/>
      <c r="H34" s="6">
        <v>1951.0427076923102</v>
      </c>
      <c r="I34" s="2"/>
      <c r="J34" s="7">
        <f t="shared" si="13"/>
        <v>1.1824501258741274E-2</v>
      </c>
      <c r="K34" s="2"/>
      <c r="L34" s="6">
        <f t="shared" si="14"/>
        <v>-1527.9427076923103</v>
      </c>
      <c r="M34" s="2"/>
      <c r="N34" s="7">
        <f t="shared" si="15"/>
        <v>-0.78314159995993027</v>
      </c>
      <c r="O34" s="11"/>
      <c r="P34" s="6">
        <v>10158.27</v>
      </c>
      <c r="Q34" s="2"/>
      <c r="R34" s="7">
        <f t="shared" si="16"/>
        <v>2.6734128500313155E-2</v>
      </c>
      <c r="S34" s="2"/>
      <c r="T34" s="6">
        <v>12299.249249999999</v>
      </c>
      <c r="U34" s="2"/>
      <c r="V34" s="7">
        <f t="shared" si="17"/>
        <v>1.3881771162528216E-2</v>
      </c>
      <c r="W34" s="2"/>
      <c r="X34" s="6">
        <f t="shared" si="18"/>
        <v>-2140.9792499999985</v>
      </c>
      <c r="Y34" s="2"/>
      <c r="Z34" s="7">
        <f t="shared" si="19"/>
        <v>-0.17407397853978759</v>
      </c>
    </row>
    <row r="35" spans="1:26" s="24" customFormat="1" hidden="1" outlineLevel="2" x14ac:dyDescent="0.25">
      <c r="A35" s="25"/>
      <c r="B35" s="11" t="str">
        <f>CONCATENATE("          ", "6156", " - ", "EMPLOYEE MEALS")</f>
        <v xml:space="preserve">          6156 - EMPLOYEE MEALS</v>
      </c>
      <c r="C35" s="11"/>
      <c r="D35" s="6">
        <v>133.22</v>
      </c>
      <c r="E35" s="2"/>
      <c r="F35" s="7">
        <f t="shared" si="12"/>
        <v>1.4472223368914593E-2</v>
      </c>
      <c r="G35" s="2"/>
      <c r="H35" s="6"/>
      <c r="I35" s="2"/>
      <c r="J35" s="7">
        <f t="shared" si="13"/>
        <v>0</v>
      </c>
      <c r="K35" s="2"/>
      <c r="L35" s="6">
        <f t="shared" si="14"/>
        <v>133.22</v>
      </c>
      <c r="M35" s="2"/>
      <c r="N35" s="7">
        <f t="shared" si="15"/>
        <v>0</v>
      </c>
      <c r="O35" s="11"/>
      <c r="P35" s="6">
        <v>3733.96</v>
      </c>
      <c r="Q35" s="2"/>
      <c r="R35" s="7">
        <f t="shared" si="16"/>
        <v>9.8268865126669505E-3</v>
      </c>
      <c r="S35" s="2"/>
      <c r="T35" s="6"/>
      <c r="U35" s="2"/>
      <c r="V35" s="7">
        <f t="shared" si="17"/>
        <v>0</v>
      </c>
      <c r="W35" s="2"/>
      <c r="X35" s="6">
        <f t="shared" si="18"/>
        <v>3733.96</v>
      </c>
      <c r="Y35" s="2"/>
      <c r="Z35" s="7">
        <f t="shared" si="19"/>
        <v>0</v>
      </c>
    </row>
    <row r="36" spans="1:26" s="27" customFormat="1" outlineLevel="1" collapsed="1" x14ac:dyDescent="0.25">
      <c r="A36" s="26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22524.53</v>
      </c>
      <c r="E36" s="1"/>
      <c r="F36" s="5">
        <f t="shared" ref="F36:F46" si="20">IF(D$12=0,0,D36/D$12)</f>
        <v>2.4469301113933177</v>
      </c>
      <c r="G36" s="1"/>
      <c r="H36" s="1">
        <f>SUM(OSRRefH22_1x_0)</f>
        <v>59968.343076923098</v>
      </c>
      <c r="I36" s="1"/>
      <c r="J36" s="5">
        <f t="shared" ref="J36:J46" si="21">IF(H$12=0,0,H36/H$12)</f>
        <v>0.36344450349650365</v>
      </c>
      <c r="K36" s="1"/>
      <c r="L36" s="1">
        <f t="shared" ref="L36:L46" si="22">+D36-H36</f>
        <v>-37443.813076923099</v>
      </c>
      <c r="M36" s="1"/>
      <c r="N36" s="5">
        <f t="shared" ref="N36:N46" si="23">IF(H36=0,0,L36/H36)</f>
        <v>-0.62439299062995379</v>
      </c>
      <c r="O36" s="13"/>
      <c r="P36" s="1">
        <f>SUM(OSRRefP22_1x_0)</f>
        <v>208459.5</v>
      </c>
      <c r="Q36" s="1"/>
      <c r="R36" s="5">
        <f t="shared" ref="R36:R46" si="24">IF(P$12=0,0,P36/P$12)</f>
        <v>0.54861537054154197</v>
      </c>
      <c r="S36" s="1"/>
      <c r="T36" s="1">
        <f>SUM(OSRRefT22_1x_0)</f>
        <v>367346.79624999996</v>
      </c>
      <c r="U36" s="1"/>
      <c r="V36" s="5">
        <f t="shared" ref="V36:V46" si="25">IF(T$12=0,0,T36/T$12)</f>
        <v>0.41461263685101574</v>
      </c>
      <c r="W36" s="1"/>
      <c r="X36" s="1">
        <f t="shared" ref="X36:X46" si="26">+P36-T36</f>
        <v>-158887.29624999996</v>
      </c>
      <c r="Y36" s="1"/>
      <c r="Z36" s="5">
        <f t="shared" ref="Z36:Z46" si="27">IF(T36=0,0,X36/T36)</f>
        <v>-0.43252669649490644</v>
      </c>
    </row>
    <row r="37" spans="1:26" s="24" customFormat="1" hidden="1" outlineLevel="2" x14ac:dyDescent="0.25">
      <c r="A37" s="25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5"/>
      <c r="B38" s="11" t="str">
        <f>CONCATENATE("          ", "6002", " - ", "STAFF SALARIES")</f>
        <v xml:space="preserve">          6002 - STAFF SALARIES</v>
      </c>
      <c r="C38" s="11"/>
      <c r="D38" s="6">
        <v>3323.37</v>
      </c>
      <c r="E38" s="2"/>
      <c r="F38" s="7">
        <f t="shared" si="20"/>
        <v>0.36103102370176915</v>
      </c>
      <c r="G38" s="2"/>
      <c r="H38" s="6">
        <v>13165.9670769231</v>
      </c>
      <c r="I38" s="2"/>
      <c r="J38" s="7">
        <f t="shared" si="21"/>
        <v>7.9793739860140003E-2</v>
      </c>
      <c r="K38" s="2"/>
      <c r="L38" s="6">
        <f t="shared" si="22"/>
        <v>-9842.5970769230989</v>
      </c>
      <c r="M38" s="2"/>
      <c r="N38" s="7">
        <f t="shared" si="23"/>
        <v>-0.74757873989939549</v>
      </c>
      <c r="O38" s="11"/>
      <c r="P38" s="6">
        <v>60376.42</v>
      </c>
      <c r="Q38" s="2"/>
      <c r="R38" s="7">
        <f t="shared" si="24"/>
        <v>0.15889624617861872</v>
      </c>
      <c r="S38" s="2"/>
      <c r="T38" s="6">
        <v>128368.17899999999</v>
      </c>
      <c r="U38" s="2"/>
      <c r="V38" s="7">
        <f t="shared" si="25"/>
        <v>0.14488507787810381</v>
      </c>
      <c r="W38" s="2"/>
      <c r="X38" s="6">
        <f t="shared" si="26"/>
        <v>-67991.758999999991</v>
      </c>
      <c r="Y38" s="2"/>
      <c r="Z38" s="7">
        <f t="shared" si="27"/>
        <v>-0.52966209795653485</v>
      </c>
    </row>
    <row r="39" spans="1:26" s="24" customFormat="1" hidden="1" outlineLevel="2" x14ac:dyDescent="0.25">
      <c r="A39" s="25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"6004", " - ", "STAFF HOURLY")</f>
        <v xml:space="preserve">          6004 - STAFF HOURLY</v>
      </c>
      <c r="C40" s="11"/>
      <c r="D40" s="6">
        <v>11850.75</v>
      </c>
      <c r="E40" s="2"/>
      <c r="F40" s="7">
        <f t="shared" si="20"/>
        <v>1.2873945435307357</v>
      </c>
      <c r="G40" s="2"/>
      <c r="H40" s="6">
        <v>46802.375999999997</v>
      </c>
      <c r="I40" s="2"/>
      <c r="J40" s="7">
        <f t="shared" si="21"/>
        <v>0.2836507636363636</v>
      </c>
      <c r="K40" s="2"/>
      <c r="L40" s="6">
        <f t="shared" si="22"/>
        <v>-34951.625999999997</v>
      </c>
      <c r="M40" s="2"/>
      <c r="N40" s="7">
        <f t="shared" si="23"/>
        <v>-0.74679170134439321</v>
      </c>
      <c r="O40" s="11"/>
      <c r="P40" s="6">
        <v>54540.13</v>
      </c>
      <c r="Q40" s="2"/>
      <c r="R40" s="7">
        <f t="shared" si="24"/>
        <v>0.14353653169720676</v>
      </c>
      <c r="S40" s="2"/>
      <c r="T40" s="6">
        <v>238978.61724999998</v>
      </c>
      <c r="U40" s="2"/>
      <c r="V40" s="7">
        <f t="shared" si="25"/>
        <v>0.26972755897291195</v>
      </c>
      <c r="W40" s="2"/>
      <c r="X40" s="6">
        <f t="shared" si="26"/>
        <v>-184438.48724999998</v>
      </c>
      <c r="Y40" s="2"/>
      <c r="Z40" s="7">
        <f t="shared" si="27"/>
        <v>-0.77177820079633086</v>
      </c>
    </row>
    <row r="41" spans="1:26" s="24" customFormat="1" hidden="1" outlineLevel="2" x14ac:dyDescent="0.25">
      <c r="A41" s="25"/>
      <c r="B41" s="11" t="str">
        <f>CONCATENATE("          ", "6005", " - ", "TEMPORARY WAGES-HOURLY")</f>
        <v xml:space="preserve">          6005 - TEMPORARY WAGES-HOURLY</v>
      </c>
      <c r="C41" s="11"/>
      <c r="D41" s="6">
        <v>5639.38</v>
      </c>
      <c r="E41" s="2"/>
      <c r="F41" s="7">
        <f t="shared" si="20"/>
        <v>0.61262848688027005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5639.38</v>
      </c>
      <c r="M41" s="2"/>
      <c r="N41" s="7">
        <f t="shared" si="23"/>
        <v>0</v>
      </c>
      <c r="O41" s="11"/>
      <c r="P41" s="6">
        <v>47551.689999999995</v>
      </c>
      <c r="Q41" s="2"/>
      <c r="R41" s="7">
        <f t="shared" si="24"/>
        <v>0.12514463494936204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47551.689999999995</v>
      </c>
      <c r="Y41" s="2"/>
      <c r="Z41" s="7">
        <f t="shared" si="27"/>
        <v>0</v>
      </c>
    </row>
    <row r="42" spans="1:26" s="24" customFormat="1" hidden="1" outlineLevel="2" x14ac:dyDescent="0.25">
      <c r="A42" s="25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>
        <v>1299.6300000000001</v>
      </c>
      <c r="Q42" s="2"/>
      <c r="R42" s="7">
        <f t="shared" si="24"/>
        <v>3.4203142289840681E-3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1299.6300000000001</v>
      </c>
      <c r="Y42" s="2"/>
      <c r="Z42" s="7">
        <f t="shared" si="27"/>
        <v>0</v>
      </c>
    </row>
    <row r="43" spans="1:26" s="24" customFormat="1" hidden="1" outlineLevel="2" x14ac:dyDescent="0.25">
      <c r="A43" s="25"/>
      <c r="B43" s="11" t="str">
        <f>CONCATENATE("          ", "6007", " - ", "STUDENT HOURLY")</f>
        <v xml:space="preserve">          6007 - STUDENT HOURLY</v>
      </c>
      <c r="C43" s="11"/>
      <c r="D43" s="6">
        <v>1711.03</v>
      </c>
      <c r="E43" s="2"/>
      <c r="F43" s="7">
        <f t="shared" si="20"/>
        <v>0.18587605728054296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1711.03</v>
      </c>
      <c r="M43" s="2"/>
      <c r="N43" s="7">
        <f t="shared" si="23"/>
        <v>0</v>
      </c>
      <c r="O43" s="11"/>
      <c r="P43" s="6">
        <v>41286.409999999996</v>
      </c>
      <c r="Q43" s="2"/>
      <c r="R43" s="7">
        <f t="shared" si="24"/>
        <v>0.10865592175209104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41286.409999999996</v>
      </c>
      <c r="Y43" s="2"/>
      <c r="Z43" s="7">
        <f t="shared" si="27"/>
        <v>0</v>
      </c>
    </row>
    <row r="44" spans="1:26" s="24" customFormat="1" hidden="1" outlineLevel="2" x14ac:dyDescent="0.25">
      <c r="A44" s="25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>
        <v>3405.22</v>
      </c>
      <c r="Q44" s="2"/>
      <c r="R44" s="7">
        <f t="shared" si="24"/>
        <v>8.9617217352793693E-3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3405.22</v>
      </c>
      <c r="Y44" s="2"/>
      <c r="Z44" s="7">
        <f t="shared" si="27"/>
        <v>0</v>
      </c>
    </row>
    <row r="45" spans="1:26" s="24" customFormat="1" hidden="1" outlineLevel="2" x14ac:dyDescent="0.25">
      <c r="A45" s="25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5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7" customFormat="1" outlineLevel="1" collapsed="1" x14ac:dyDescent="0.25">
      <c r="A47" s="26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44</v>
      </c>
      <c r="E47" s="1"/>
      <c r="F47" s="5">
        <f t="shared" ref="F47:F56" si="28">IF(D$12=0,0,D47/D$12)</f>
        <v>4.7798966238721064E-3</v>
      </c>
      <c r="G47" s="1"/>
      <c r="H47" s="1">
        <f>SUM(OSRRefH22_2x_0)</f>
        <v>0</v>
      </c>
      <c r="I47" s="1"/>
      <c r="J47" s="5">
        <f t="shared" ref="J47:J56" si="29">IF(H$12=0,0,H47/H$12)</f>
        <v>0</v>
      </c>
      <c r="K47" s="1"/>
      <c r="L47" s="1">
        <f t="shared" ref="L47:L56" si="30">+D47-H47</f>
        <v>44</v>
      </c>
      <c r="M47" s="1"/>
      <c r="N47" s="5">
        <f t="shared" ref="N47:N56" si="31">IF(H47=0,0,L47/H47)</f>
        <v>0</v>
      </c>
      <c r="O47" s="13"/>
      <c r="P47" s="1">
        <f>SUM(OSRRefP22_2x_0)</f>
        <v>462.48</v>
      </c>
      <c r="Q47" s="1"/>
      <c r="R47" s="5">
        <f t="shared" ref="R47:R56" si="32">IF(P$12=0,0,P47/P$12)</f>
        <v>1.2171363577483988E-3</v>
      </c>
      <c r="S47" s="1"/>
      <c r="T47" s="1">
        <f>SUM(OSRRefT22_2x_0)</f>
        <v>1050</v>
      </c>
      <c r="U47" s="1"/>
      <c r="V47" s="5">
        <f t="shared" ref="V47:V56" si="33">IF(T$12=0,0,T47/T$12)</f>
        <v>1.1851015801354402E-3</v>
      </c>
      <c r="W47" s="1"/>
      <c r="X47" s="1">
        <f t="shared" ref="X47:X56" si="34">+P47-T47</f>
        <v>-587.52</v>
      </c>
      <c r="Y47" s="1"/>
      <c r="Z47" s="5">
        <f t="shared" ref="Z47:Z56" si="35">IF(T47=0,0,X47/T47)</f>
        <v>-0.55954285714285712</v>
      </c>
    </row>
    <row r="48" spans="1:26" s="24" customFormat="1" hidden="1" outlineLevel="2" x14ac:dyDescent="0.25">
      <c r="A48" s="25"/>
      <c r="B48" s="11" t="str">
        <f>CONCATENATE("          ", "6362", " - ", "ADVERTISING EXPENSE")</f>
        <v xml:space="preserve">          6362 - ADVERTISING EXPENSE</v>
      </c>
      <c r="C48" s="11"/>
      <c r="D48" s="6">
        <v>44</v>
      </c>
      <c r="E48" s="2"/>
      <c r="F48" s="7">
        <f t="shared" si="28"/>
        <v>4.7798966238721064E-3</v>
      </c>
      <c r="G48" s="2"/>
      <c r="H48" s="6"/>
      <c r="I48" s="2"/>
      <c r="J48" s="7">
        <f t="shared" si="29"/>
        <v>0</v>
      </c>
      <c r="K48" s="2"/>
      <c r="L48" s="6">
        <f t="shared" si="30"/>
        <v>44</v>
      </c>
      <c r="M48" s="2"/>
      <c r="N48" s="7">
        <f t="shared" si="31"/>
        <v>0</v>
      </c>
      <c r="O48" s="11"/>
      <c r="P48" s="6">
        <v>462.48</v>
      </c>
      <c r="Q48" s="2"/>
      <c r="R48" s="7">
        <f t="shared" si="32"/>
        <v>1.2171363577483988E-3</v>
      </c>
      <c r="S48" s="2"/>
      <c r="T48" s="6">
        <v>1050</v>
      </c>
      <c r="U48" s="2"/>
      <c r="V48" s="7">
        <f t="shared" si="33"/>
        <v>1.1851015801354402E-3</v>
      </c>
      <c r="W48" s="2"/>
      <c r="X48" s="6">
        <f t="shared" si="34"/>
        <v>-587.52</v>
      </c>
      <c r="Y48" s="2"/>
      <c r="Z48" s="7">
        <f t="shared" si="35"/>
        <v>-0.55954285714285712</v>
      </c>
    </row>
    <row r="49" spans="1:26" s="27" customFormat="1" outlineLevel="1" collapsed="1" x14ac:dyDescent="0.25">
      <c r="A49" s="26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-0.01</v>
      </c>
      <c r="E49" s="1"/>
      <c r="F49" s="5">
        <f t="shared" si="28"/>
        <v>-1.0863401417891153E-6</v>
      </c>
      <c r="G49" s="1"/>
      <c r="H49" s="1">
        <f>SUM(OSRRefH22_3x_0)</f>
        <v>-1</v>
      </c>
      <c r="I49" s="1"/>
      <c r="J49" s="5">
        <f t="shared" si="29"/>
        <v>-6.060606060606061E-6</v>
      </c>
      <c r="K49" s="1"/>
      <c r="L49" s="1">
        <f t="shared" si="30"/>
        <v>0.99</v>
      </c>
      <c r="M49" s="1"/>
      <c r="N49" s="5">
        <f t="shared" si="31"/>
        <v>-0.99</v>
      </c>
      <c r="O49" s="13"/>
      <c r="P49" s="1">
        <f>SUM(OSRRefP22_3x_0)</f>
        <v>-0.24</v>
      </c>
      <c r="Q49" s="1"/>
      <c r="R49" s="5">
        <f t="shared" si="32"/>
        <v>-6.3162239634063244E-7</v>
      </c>
      <c r="S49" s="1"/>
      <c r="T49" s="1">
        <f>SUM(OSRRefT22_3x_0)</f>
        <v>-9</v>
      </c>
      <c r="U49" s="1"/>
      <c r="V49" s="5">
        <f t="shared" si="33"/>
        <v>-1.0158013544018058E-5</v>
      </c>
      <c r="W49" s="1"/>
      <c r="X49" s="1">
        <f t="shared" si="34"/>
        <v>8.76</v>
      </c>
      <c r="Y49" s="1"/>
      <c r="Z49" s="5">
        <f t="shared" si="35"/>
        <v>-0.97333333333333327</v>
      </c>
    </row>
    <row r="50" spans="1:26" s="24" customFormat="1" hidden="1" outlineLevel="2" x14ac:dyDescent="0.25">
      <c r="A50" s="25"/>
      <c r="B50" s="11" t="str">
        <f>CONCATENATE("          ", "6272", " - ", "CASH (OVER/SHORT)")</f>
        <v xml:space="preserve">          6272 - CASH (OVER/SHORT)</v>
      </c>
      <c r="C50" s="11"/>
      <c r="D50" s="6">
        <v>-0.01</v>
      </c>
      <c r="E50" s="2"/>
      <c r="F50" s="7">
        <f t="shared" si="28"/>
        <v>-1.0863401417891153E-6</v>
      </c>
      <c r="G50" s="2"/>
      <c r="H50" s="6">
        <v>-1</v>
      </c>
      <c r="I50" s="2"/>
      <c r="J50" s="7">
        <f t="shared" si="29"/>
        <v>-6.060606060606061E-6</v>
      </c>
      <c r="K50" s="2"/>
      <c r="L50" s="6">
        <f t="shared" si="30"/>
        <v>0.99</v>
      </c>
      <c r="M50" s="2"/>
      <c r="N50" s="7">
        <f t="shared" si="31"/>
        <v>-0.99</v>
      </c>
      <c r="O50" s="11"/>
      <c r="P50" s="6">
        <v>-0.24</v>
      </c>
      <c r="Q50" s="2"/>
      <c r="R50" s="7">
        <f t="shared" si="32"/>
        <v>-6.3162239634063244E-7</v>
      </c>
      <c r="S50" s="2"/>
      <c r="T50" s="6">
        <v>-9</v>
      </c>
      <c r="U50" s="2"/>
      <c r="V50" s="7">
        <f t="shared" si="33"/>
        <v>-1.0158013544018058E-5</v>
      </c>
      <c r="W50" s="2"/>
      <c r="X50" s="6">
        <f t="shared" si="34"/>
        <v>8.76</v>
      </c>
      <c r="Y50" s="2"/>
      <c r="Z50" s="7">
        <f t="shared" si="35"/>
        <v>-0.97333333333333327</v>
      </c>
    </row>
    <row r="51" spans="1:26" s="27" customFormat="1" outlineLevel="1" collapsed="1" x14ac:dyDescent="0.25">
      <c r="A51" s="26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231.78</v>
      </c>
      <c r="E51" s="1"/>
      <c r="F51" s="5">
        <f t="shared" si="28"/>
        <v>2.5179191806388113E-2</v>
      </c>
      <c r="G51" s="1"/>
      <c r="H51" s="1">
        <f>SUM(OSRRefH22_4x_0)</f>
        <v>800</v>
      </c>
      <c r="I51" s="1"/>
      <c r="J51" s="5">
        <f t="shared" si="29"/>
        <v>4.8484848484848485E-3</v>
      </c>
      <c r="K51" s="1"/>
      <c r="L51" s="1">
        <f t="shared" si="30"/>
        <v>-568.22</v>
      </c>
      <c r="M51" s="1"/>
      <c r="N51" s="5">
        <f t="shared" si="31"/>
        <v>-0.71027499999999999</v>
      </c>
      <c r="O51" s="13"/>
      <c r="P51" s="1">
        <f>SUM(OSRRefP22_4x_0)</f>
        <v>5691.38</v>
      </c>
      <c r="Q51" s="1"/>
      <c r="R51" s="5">
        <f t="shared" si="32"/>
        <v>1.4978346142021455E-2</v>
      </c>
      <c r="S51" s="1"/>
      <c r="T51" s="1">
        <f>SUM(OSRRefT22_4x_0)</f>
        <v>9250</v>
      </c>
      <c r="U51" s="1"/>
      <c r="V51" s="5">
        <f t="shared" si="33"/>
        <v>1.044018058690745E-2</v>
      </c>
      <c r="W51" s="1"/>
      <c r="X51" s="1">
        <f t="shared" si="34"/>
        <v>-3558.62</v>
      </c>
      <c r="Y51" s="1"/>
      <c r="Z51" s="5">
        <f t="shared" si="35"/>
        <v>-0.38471567567567566</v>
      </c>
    </row>
    <row r="52" spans="1:26" s="24" customFormat="1" hidden="1" outlineLevel="2" x14ac:dyDescent="0.25">
      <c r="A52" s="25"/>
      <c r="B52" s="11" t="str">
        <f>CONCATENATE("          ", "6381", " - ", "BANK/CREDIT CARD FEES")</f>
        <v xml:space="preserve">          6381 - BANK/CREDIT CARD FEES</v>
      </c>
      <c r="C52" s="11"/>
      <c r="D52" s="6">
        <v>231.78</v>
      </c>
      <c r="E52" s="2"/>
      <c r="F52" s="7">
        <f t="shared" si="28"/>
        <v>2.5179191806388113E-2</v>
      </c>
      <c r="G52" s="2"/>
      <c r="H52" s="6">
        <v>800</v>
      </c>
      <c r="I52" s="2"/>
      <c r="J52" s="7">
        <f t="shared" si="29"/>
        <v>4.8484848484848485E-3</v>
      </c>
      <c r="K52" s="2"/>
      <c r="L52" s="6">
        <f t="shared" si="30"/>
        <v>-568.22</v>
      </c>
      <c r="M52" s="2"/>
      <c r="N52" s="7">
        <f t="shared" si="31"/>
        <v>-0.71027499999999999</v>
      </c>
      <c r="O52" s="11"/>
      <c r="P52" s="6">
        <v>5691.38</v>
      </c>
      <c r="Q52" s="2"/>
      <c r="R52" s="7">
        <f t="shared" si="32"/>
        <v>1.4978346142021455E-2</v>
      </c>
      <c r="S52" s="2"/>
      <c r="T52" s="6">
        <v>9250</v>
      </c>
      <c r="U52" s="2"/>
      <c r="V52" s="7">
        <f t="shared" si="33"/>
        <v>1.044018058690745E-2</v>
      </c>
      <c r="W52" s="2"/>
      <c r="X52" s="6">
        <f t="shared" si="34"/>
        <v>-3558.62</v>
      </c>
      <c r="Y52" s="2"/>
      <c r="Z52" s="7">
        <f t="shared" si="35"/>
        <v>-0.38471567567567566</v>
      </c>
    </row>
    <row r="53" spans="1:26" s="27" customFormat="1" outlineLevel="1" collapsed="1" x14ac:dyDescent="0.25">
      <c r="A53" s="26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689.04</v>
      </c>
      <c r="E53" s="1"/>
      <c r="F53" s="5">
        <f t="shared" si="28"/>
        <v>7.4853181129837187E-2</v>
      </c>
      <c r="G53" s="1"/>
      <c r="H53" s="1">
        <f>SUM(OSRRefH22_5x_0)</f>
        <v>1621</v>
      </c>
      <c r="I53" s="1"/>
      <c r="J53" s="5">
        <f t="shared" si="29"/>
        <v>9.8242424242424246E-3</v>
      </c>
      <c r="K53" s="1"/>
      <c r="L53" s="1">
        <f t="shared" si="30"/>
        <v>-931.96</v>
      </c>
      <c r="M53" s="1"/>
      <c r="N53" s="5">
        <f t="shared" si="31"/>
        <v>-0.57492905613818635</v>
      </c>
      <c r="O53" s="13"/>
      <c r="P53" s="1">
        <f>SUM(OSRRefP22_5x_0)</f>
        <v>3310.86</v>
      </c>
      <c r="Q53" s="1"/>
      <c r="R53" s="5">
        <f t="shared" si="32"/>
        <v>8.7133888631181107E-3</v>
      </c>
      <c r="S53" s="1"/>
      <c r="T53" s="1">
        <f>SUM(OSRRefT22_5x_0)</f>
        <v>10953</v>
      </c>
      <c r="U53" s="1"/>
      <c r="V53" s="5">
        <f t="shared" si="33"/>
        <v>1.2362302483069977E-2</v>
      </c>
      <c r="W53" s="1"/>
      <c r="X53" s="1">
        <f t="shared" si="34"/>
        <v>-7642.1399999999994</v>
      </c>
      <c r="Y53" s="1"/>
      <c r="Z53" s="5">
        <f t="shared" si="35"/>
        <v>-0.6977211722815666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689.04</v>
      </c>
      <c r="E54" s="2"/>
      <c r="F54" s="7">
        <f t="shared" si="28"/>
        <v>7.4853181129837187E-2</v>
      </c>
      <c r="G54" s="2"/>
      <c r="H54" s="6">
        <v>298</v>
      </c>
      <c r="I54" s="2"/>
      <c r="J54" s="7">
        <f t="shared" si="29"/>
        <v>1.806060606060606E-3</v>
      </c>
      <c r="K54" s="2"/>
      <c r="L54" s="6">
        <f t="shared" si="30"/>
        <v>391.03999999999996</v>
      </c>
      <c r="M54" s="2"/>
      <c r="N54" s="7">
        <f t="shared" si="31"/>
        <v>1.312214765100671</v>
      </c>
      <c r="O54" s="11"/>
      <c r="P54" s="6">
        <v>3310.86</v>
      </c>
      <c r="Q54" s="2"/>
      <c r="R54" s="7">
        <f t="shared" si="32"/>
        <v>8.7133888631181107E-3</v>
      </c>
      <c r="S54" s="2"/>
      <c r="T54" s="6">
        <v>2682</v>
      </c>
      <c r="U54" s="2"/>
      <c r="V54" s="7">
        <f t="shared" si="33"/>
        <v>3.0270880361173815E-3</v>
      </c>
      <c r="W54" s="2"/>
      <c r="X54" s="6">
        <f t="shared" si="34"/>
        <v>628.86000000000013</v>
      </c>
      <c r="Y54" s="2"/>
      <c r="Z54" s="7">
        <f t="shared" si="35"/>
        <v>0.23447427293064882</v>
      </c>
    </row>
    <row r="55" spans="1:26" s="24" customFormat="1" hidden="1" outlineLevel="2" x14ac:dyDescent="0.25">
      <c r="A55" s="25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8"/>
        <v>0</v>
      </c>
      <c r="G55" s="2"/>
      <c r="H55" s="6">
        <v>573</v>
      </c>
      <c r="I55" s="2"/>
      <c r="J55" s="7">
        <f t="shared" si="29"/>
        <v>3.4727272727272727E-3</v>
      </c>
      <c r="K55" s="2"/>
      <c r="L55" s="6">
        <f t="shared" si="30"/>
        <v>-573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3771</v>
      </c>
      <c r="U55" s="2"/>
      <c r="V55" s="7">
        <f t="shared" si="33"/>
        <v>4.2562076749435669E-3</v>
      </c>
      <c r="W55" s="2"/>
      <c r="X55" s="6">
        <f t="shared" si="34"/>
        <v>-3771</v>
      </c>
      <c r="Y55" s="2"/>
      <c r="Z55" s="7">
        <f t="shared" si="35"/>
        <v>-1</v>
      </c>
    </row>
    <row r="56" spans="1:26" s="24" customFormat="1" hidden="1" outlineLevel="2" x14ac:dyDescent="0.25">
      <c r="A56" s="25"/>
      <c r="B56" s="11" t="str">
        <f>CONCATENATE("          ", "6326", " - ", "VEHICLES DEPRECIATION EXPENSE")</f>
        <v xml:space="preserve">          6326 - VEHICLES DEPRECIATION EXPENSE</v>
      </c>
      <c r="C56" s="11"/>
      <c r="D56" s="6"/>
      <c r="E56" s="2"/>
      <c r="F56" s="7">
        <f t="shared" si="28"/>
        <v>0</v>
      </c>
      <c r="G56" s="2"/>
      <c r="H56" s="6">
        <v>750</v>
      </c>
      <c r="I56" s="2"/>
      <c r="J56" s="7">
        <f t="shared" si="29"/>
        <v>4.5454545454545452E-3</v>
      </c>
      <c r="K56" s="2"/>
      <c r="L56" s="6">
        <f t="shared" si="30"/>
        <v>-750</v>
      </c>
      <c r="M56" s="2"/>
      <c r="N56" s="7">
        <f t="shared" si="31"/>
        <v>-1</v>
      </c>
      <c r="O56" s="11"/>
      <c r="P56" s="6"/>
      <c r="Q56" s="2"/>
      <c r="R56" s="7">
        <f t="shared" si="32"/>
        <v>0</v>
      </c>
      <c r="S56" s="2"/>
      <c r="T56" s="6">
        <v>4500</v>
      </c>
      <c r="U56" s="2"/>
      <c r="V56" s="7">
        <f t="shared" si="33"/>
        <v>5.0790067720090292E-3</v>
      </c>
      <c r="W56" s="2"/>
      <c r="X56" s="6">
        <f t="shared" si="34"/>
        <v>-4500</v>
      </c>
      <c r="Y56" s="2"/>
      <c r="Z56" s="7">
        <f t="shared" si="35"/>
        <v>-1</v>
      </c>
    </row>
    <row r="57" spans="1:26" s="27" customFormat="1" outlineLevel="1" collapsed="1" x14ac:dyDescent="0.25">
      <c r="A57" s="26"/>
      <c r="B57" s="13" t="str">
        <f>CONCATENATE("     ","Employees' Appreciation                           ")</f>
        <v xml:space="preserve">     Employees' Appreciation                           </v>
      </c>
      <c r="C57" s="13"/>
      <c r="D57" s="1">
        <f>SUM(OSRRefD22_6x_0)</f>
        <v>0</v>
      </c>
      <c r="E57" s="1"/>
      <c r="F57" s="5">
        <f t="shared" ref="F57:F65" si="36">IF(D$12=0,0,D57/D$12)</f>
        <v>0</v>
      </c>
      <c r="G57" s="1"/>
      <c r="H57" s="1">
        <f>SUM(OSRRefH22_6x_0)</f>
        <v>0</v>
      </c>
      <c r="I57" s="1"/>
      <c r="J57" s="5">
        <f t="shared" ref="J57:J65" si="37">IF(H$12=0,0,H57/H$12)</f>
        <v>0</v>
      </c>
      <c r="K57" s="1"/>
      <c r="L57" s="1">
        <f t="shared" ref="L57:L65" si="38">+D57-H57</f>
        <v>0</v>
      </c>
      <c r="M57" s="1"/>
      <c r="N57" s="5">
        <f t="shared" ref="N57:N65" si="39">IF(H57=0,0,L57/H57)</f>
        <v>0</v>
      </c>
      <c r="O57" s="13"/>
      <c r="P57" s="1">
        <f>SUM(OSRRefP22_6x_0)</f>
        <v>60</v>
      </c>
      <c r="Q57" s="1"/>
      <c r="R57" s="5">
        <f t="shared" ref="R57:R65" si="40">IF(P$12=0,0,P57/P$12)</f>
        <v>1.5790559908515812E-4</v>
      </c>
      <c r="S57" s="1"/>
      <c r="T57" s="1">
        <f>SUM(OSRRefT22_6x_0)</f>
        <v>300</v>
      </c>
      <c r="U57" s="1"/>
      <c r="V57" s="5">
        <f t="shared" ref="V57:V65" si="41">IF(T$12=0,0,T57/T$12)</f>
        <v>3.3860045146726862E-4</v>
      </c>
      <c r="W57" s="1"/>
      <c r="X57" s="1">
        <f t="shared" ref="X57:X65" si="42">+P57-T57</f>
        <v>-240</v>
      </c>
      <c r="Y57" s="1"/>
      <c r="Z57" s="5">
        <f t="shared" ref="Z57:Z65" si="43">IF(T57=0,0,X57/T57)</f>
        <v>-0.8</v>
      </c>
    </row>
    <row r="58" spans="1:26" s="24" customFormat="1" hidden="1" outlineLevel="2" x14ac:dyDescent="0.25">
      <c r="A58" s="25"/>
      <c r="B58" s="11" t="str">
        <f>CONCATENATE("          ", "6277", " - ", "EMPLOYEE APPRECIATION")</f>
        <v xml:space="preserve">          6277 - EMPLOYEE APPRECIATION</v>
      </c>
      <c r="C58" s="11"/>
      <c r="D58" s="6"/>
      <c r="E58" s="2"/>
      <c r="F58" s="7">
        <f t="shared" si="36"/>
        <v>0</v>
      </c>
      <c r="G58" s="2"/>
      <c r="H58" s="6"/>
      <c r="I58" s="2"/>
      <c r="J58" s="7">
        <f t="shared" si="37"/>
        <v>0</v>
      </c>
      <c r="K58" s="2"/>
      <c r="L58" s="6">
        <f t="shared" si="38"/>
        <v>0</v>
      </c>
      <c r="M58" s="2"/>
      <c r="N58" s="7">
        <f t="shared" si="39"/>
        <v>0</v>
      </c>
      <c r="O58" s="11"/>
      <c r="P58" s="6">
        <v>60</v>
      </c>
      <c r="Q58" s="2"/>
      <c r="R58" s="7">
        <f t="shared" si="40"/>
        <v>1.5790559908515812E-4</v>
      </c>
      <c r="S58" s="2"/>
      <c r="T58" s="6">
        <v>300</v>
      </c>
      <c r="U58" s="2"/>
      <c r="V58" s="7">
        <f t="shared" si="41"/>
        <v>3.3860045146726862E-4</v>
      </c>
      <c r="W58" s="2"/>
      <c r="X58" s="6">
        <f t="shared" si="42"/>
        <v>-240</v>
      </c>
      <c r="Y58" s="2"/>
      <c r="Z58" s="7">
        <f t="shared" si="43"/>
        <v>-0.8</v>
      </c>
    </row>
    <row r="59" spans="1:26" s="27" customFormat="1" outlineLevel="1" collapsed="1" x14ac:dyDescent="0.25">
      <c r="A59" s="26"/>
      <c r="B59" s="13" t="str">
        <f>CONCATENATE("     ","Equipment Rental                                  ")</f>
        <v xml:space="preserve">     Equipment Rental                                  </v>
      </c>
      <c r="C59" s="13"/>
      <c r="D59" s="1">
        <f>SUM(OSRRefD22_7x_0)</f>
        <v>46.56</v>
      </c>
      <c r="E59" s="1"/>
      <c r="F59" s="5">
        <f t="shared" si="36"/>
        <v>5.0579997001701203E-3</v>
      </c>
      <c r="G59" s="1"/>
      <c r="H59" s="1">
        <f>SUM(OSRRefH22_7x_0)</f>
        <v>0</v>
      </c>
      <c r="I59" s="1"/>
      <c r="J59" s="5">
        <f t="shared" si="37"/>
        <v>0</v>
      </c>
      <c r="K59" s="1"/>
      <c r="L59" s="1">
        <f t="shared" si="38"/>
        <v>46.56</v>
      </c>
      <c r="M59" s="1"/>
      <c r="N59" s="5">
        <f t="shared" si="39"/>
        <v>0</v>
      </c>
      <c r="O59" s="13"/>
      <c r="P59" s="1">
        <f>SUM(OSRRefP22_7x_0)</f>
        <v>805.28</v>
      </c>
      <c r="Q59" s="1"/>
      <c r="R59" s="5">
        <f t="shared" si="40"/>
        <v>2.1193036805216021E-3</v>
      </c>
      <c r="S59" s="1"/>
      <c r="T59" s="1">
        <f>SUM(OSRRefT22_7x_0)</f>
        <v>725</v>
      </c>
      <c r="U59" s="1"/>
      <c r="V59" s="5">
        <f t="shared" si="41"/>
        <v>8.1828442437923245E-4</v>
      </c>
      <c r="W59" s="1"/>
      <c r="X59" s="1">
        <f t="shared" si="42"/>
        <v>80.279999999999973</v>
      </c>
      <c r="Y59" s="1"/>
      <c r="Z59" s="5">
        <f t="shared" si="43"/>
        <v>0.11073103448275859</v>
      </c>
    </row>
    <row r="60" spans="1:26" s="24" customFormat="1" hidden="1" outlineLevel="2" x14ac:dyDescent="0.25">
      <c r="A60" s="25"/>
      <c r="B60" s="11" t="str">
        <f>CONCATENATE("          ", "6351", " - ", "EQUIPMENT RENTAL")</f>
        <v xml:space="preserve">          6351 - EQUIPMENT RENTAL</v>
      </c>
      <c r="C60" s="11"/>
      <c r="D60" s="6">
        <v>46.56</v>
      </c>
      <c r="E60" s="2"/>
      <c r="F60" s="7">
        <f t="shared" si="36"/>
        <v>5.0579997001701203E-3</v>
      </c>
      <c r="G60" s="2"/>
      <c r="H60" s="6">
        <v>0</v>
      </c>
      <c r="I60" s="2"/>
      <c r="J60" s="7">
        <f t="shared" si="37"/>
        <v>0</v>
      </c>
      <c r="K60" s="2"/>
      <c r="L60" s="6">
        <f t="shared" si="38"/>
        <v>46.56</v>
      </c>
      <c r="M60" s="2"/>
      <c r="N60" s="7">
        <f t="shared" si="39"/>
        <v>0</v>
      </c>
      <c r="O60" s="11"/>
      <c r="P60" s="6">
        <v>805.28</v>
      </c>
      <c r="Q60" s="2"/>
      <c r="R60" s="7">
        <f t="shared" si="40"/>
        <v>2.1193036805216021E-3</v>
      </c>
      <c r="S60" s="2"/>
      <c r="T60" s="6">
        <v>725</v>
      </c>
      <c r="U60" s="2"/>
      <c r="V60" s="7">
        <f t="shared" si="41"/>
        <v>8.1828442437923245E-4</v>
      </c>
      <c r="W60" s="2"/>
      <c r="X60" s="6">
        <f t="shared" si="42"/>
        <v>80.279999999999973</v>
      </c>
      <c r="Y60" s="2"/>
      <c r="Z60" s="7">
        <f t="shared" si="43"/>
        <v>0.11073103448275859</v>
      </c>
    </row>
    <row r="61" spans="1:26" s="27" customFormat="1" outlineLevel="1" collapsed="1" x14ac:dyDescent="0.25">
      <c r="A61" s="26"/>
      <c r="B61" s="13" t="str">
        <f>CONCATENATE("     ","General                                           ")</f>
        <v xml:space="preserve">     General                                           </v>
      </c>
      <c r="C61" s="13"/>
      <c r="D61" s="1">
        <f>SUM(OSRRefD22_8x_0)</f>
        <v>0</v>
      </c>
      <c r="E61" s="1"/>
      <c r="F61" s="5">
        <f t="shared" si="36"/>
        <v>0</v>
      </c>
      <c r="G61" s="1"/>
      <c r="H61" s="1">
        <f>SUM(OSRRefH22_8x_0)</f>
        <v>50</v>
      </c>
      <c r="I61" s="1"/>
      <c r="J61" s="5">
        <f t="shared" si="37"/>
        <v>3.0303030303030303E-4</v>
      </c>
      <c r="K61" s="1"/>
      <c r="L61" s="1">
        <f t="shared" si="38"/>
        <v>-50</v>
      </c>
      <c r="M61" s="1"/>
      <c r="N61" s="5">
        <f t="shared" si="39"/>
        <v>-1</v>
      </c>
      <c r="O61" s="13"/>
      <c r="P61" s="1">
        <f>SUM(OSRRefP22_8x_0)</f>
        <v>2898.74</v>
      </c>
      <c r="Q61" s="1"/>
      <c r="R61" s="5">
        <f t="shared" si="40"/>
        <v>7.6287879382018536E-3</v>
      </c>
      <c r="S61" s="1"/>
      <c r="T61" s="1">
        <f>SUM(OSRRefT22_8x_0)</f>
        <v>3925</v>
      </c>
      <c r="U61" s="1"/>
      <c r="V61" s="5">
        <f t="shared" si="41"/>
        <v>4.430022573363431E-3</v>
      </c>
      <c r="W61" s="1"/>
      <c r="X61" s="1">
        <f t="shared" si="42"/>
        <v>-1026.2600000000002</v>
      </c>
      <c r="Y61" s="1"/>
      <c r="Z61" s="5">
        <f t="shared" si="43"/>
        <v>-0.26146751592356693</v>
      </c>
    </row>
    <row r="62" spans="1:26" s="24" customFormat="1" hidden="1" outlineLevel="2" x14ac:dyDescent="0.25">
      <c r="A62" s="25"/>
      <c r="B62" s="11" t="str">
        <f>CONCATENATE("          ", "6279", " - ", "GENERAL EXPENSE")</f>
        <v xml:space="preserve">          6279 - GENERAL EXPENSE</v>
      </c>
      <c r="C62" s="11"/>
      <c r="D62" s="6"/>
      <c r="E62" s="2"/>
      <c r="F62" s="7">
        <f t="shared" si="36"/>
        <v>0</v>
      </c>
      <c r="G62" s="2"/>
      <c r="H62" s="6">
        <v>50</v>
      </c>
      <c r="I62" s="2"/>
      <c r="J62" s="7">
        <f t="shared" si="37"/>
        <v>3.0303030303030303E-4</v>
      </c>
      <c r="K62" s="2"/>
      <c r="L62" s="6">
        <f t="shared" si="38"/>
        <v>-50</v>
      </c>
      <c r="M62" s="2"/>
      <c r="N62" s="7">
        <f t="shared" si="39"/>
        <v>-1</v>
      </c>
      <c r="O62" s="11"/>
      <c r="P62" s="6">
        <v>2898.74</v>
      </c>
      <c r="Q62" s="2"/>
      <c r="R62" s="7">
        <f t="shared" si="40"/>
        <v>7.6287879382018536E-3</v>
      </c>
      <c r="S62" s="2"/>
      <c r="T62" s="6">
        <v>3925</v>
      </c>
      <c r="U62" s="2"/>
      <c r="V62" s="7">
        <f t="shared" si="41"/>
        <v>4.430022573363431E-3</v>
      </c>
      <c r="W62" s="2"/>
      <c r="X62" s="6">
        <f t="shared" si="42"/>
        <v>-1026.2600000000002</v>
      </c>
      <c r="Y62" s="2"/>
      <c r="Z62" s="7">
        <f t="shared" si="43"/>
        <v>-0.26146751592356693</v>
      </c>
    </row>
    <row r="63" spans="1:26" s="27" customFormat="1" outlineLevel="1" collapsed="1" x14ac:dyDescent="0.25">
      <c r="A63" s="26"/>
      <c r="B63" s="13" t="str">
        <f>CONCATENATE("     ","Repair and Maintenance                            ")</f>
        <v xml:space="preserve">     Repair and Maintenance                            </v>
      </c>
      <c r="C63" s="13"/>
      <c r="D63" s="1">
        <f>SUM(OSRRefD22_9x_0)</f>
        <v>161.49</v>
      </c>
      <c r="E63" s="1"/>
      <c r="F63" s="5">
        <f t="shared" si="36"/>
        <v>1.7543306949752421E-2</v>
      </c>
      <c r="G63" s="1"/>
      <c r="H63" s="1">
        <f>SUM(OSRRefH22_9x_0)</f>
        <v>260</v>
      </c>
      <c r="I63" s="1"/>
      <c r="J63" s="5">
        <f t="shared" si="37"/>
        <v>1.5757575757575758E-3</v>
      </c>
      <c r="K63" s="1"/>
      <c r="L63" s="1">
        <f t="shared" si="38"/>
        <v>-98.509999999999991</v>
      </c>
      <c r="M63" s="1"/>
      <c r="N63" s="5">
        <f t="shared" si="39"/>
        <v>-0.37888461538461538</v>
      </c>
      <c r="O63" s="13"/>
      <c r="P63" s="1">
        <f>SUM(OSRRefP22_9x_0)</f>
        <v>5456.32</v>
      </c>
      <c r="Q63" s="1"/>
      <c r="R63" s="5">
        <f t="shared" si="40"/>
        <v>1.4359724640005499E-2</v>
      </c>
      <c r="S63" s="1"/>
      <c r="T63" s="1">
        <f>SUM(OSRRefT22_9x_0)</f>
        <v>4480</v>
      </c>
      <c r="U63" s="1"/>
      <c r="V63" s="5">
        <f t="shared" si="41"/>
        <v>5.0564334085778781E-3</v>
      </c>
      <c r="W63" s="1"/>
      <c r="X63" s="1">
        <f t="shared" si="42"/>
        <v>976.31999999999971</v>
      </c>
      <c r="Y63" s="1"/>
      <c r="Z63" s="5">
        <f t="shared" si="43"/>
        <v>0.21792857142857136</v>
      </c>
    </row>
    <row r="64" spans="1:26" s="24" customFormat="1" hidden="1" outlineLevel="2" x14ac:dyDescent="0.25">
      <c r="A64" s="25"/>
      <c r="B64" s="11" t="str">
        <f>CONCATENATE("          ", "6373", " - ", "MAINTENANCE CONTRACTS")</f>
        <v xml:space="preserve">          6373 - MAINTENANCE CONTRACTS</v>
      </c>
      <c r="C64" s="11"/>
      <c r="D64" s="6">
        <v>60.6</v>
      </c>
      <c r="E64" s="2"/>
      <c r="F64" s="7">
        <f t="shared" si="36"/>
        <v>6.5832212592420378E-3</v>
      </c>
      <c r="G64" s="2"/>
      <c r="H64" s="6">
        <v>60</v>
      </c>
      <c r="I64" s="2"/>
      <c r="J64" s="7">
        <f t="shared" si="37"/>
        <v>3.6363636363636361E-4</v>
      </c>
      <c r="K64" s="2"/>
      <c r="L64" s="6">
        <f t="shared" si="38"/>
        <v>0.60000000000000142</v>
      </c>
      <c r="M64" s="2"/>
      <c r="N64" s="7">
        <f t="shared" si="39"/>
        <v>1.0000000000000024E-2</v>
      </c>
      <c r="O64" s="11"/>
      <c r="P64" s="6">
        <v>1131.8800000000001</v>
      </c>
      <c r="Q64" s="2"/>
      <c r="R64" s="7">
        <f t="shared" si="40"/>
        <v>2.9788364915418132E-3</v>
      </c>
      <c r="S64" s="2"/>
      <c r="T64" s="6">
        <v>180</v>
      </c>
      <c r="U64" s="2"/>
      <c r="V64" s="7">
        <f t="shared" si="41"/>
        <v>2.0316027088036116E-4</v>
      </c>
      <c r="W64" s="2"/>
      <c r="X64" s="6">
        <f t="shared" si="42"/>
        <v>951.88000000000011</v>
      </c>
      <c r="Y64" s="2"/>
      <c r="Z64" s="7">
        <f t="shared" si="43"/>
        <v>5.288222222222223</v>
      </c>
    </row>
    <row r="65" spans="1:26" s="24" customFormat="1" hidden="1" outlineLevel="2" x14ac:dyDescent="0.25">
      <c r="A65" s="25"/>
      <c r="B65" s="11" t="str">
        <f>CONCATENATE("          ", "6375", " - ", "OUTSIDE REPAIRS &amp; MAINTENANCE")</f>
        <v xml:space="preserve">          6375 - OUTSIDE REPAIRS &amp; MAINTENANCE</v>
      </c>
      <c r="C65" s="11"/>
      <c r="D65" s="6">
        <v>100.89</v>
      </c>
      <c r="E65" s="2"/>
      <c r="F65" s="7">
        <f t="shared" si="36"/>
        <v>1.0960085690510383E-2</v>
      </c>
      <c r="G65" s="2"/>
      <c r="H65" s="6">
        <v>200</v>
      </c>
      <c r="I65" s="2"/>
      <c r="J65" s="7">
        <f t="shared" si="37"/>
        <v>1.2121212121212121E-3</v>
      </c>
      <c r="K65" s="2"/>
      <c r="L65" s="6">
        <f t="shared" si="38"/>
        <v>-99.11</v>
      </c>
      <c r="M65" s="2"/>
      <c r="N65" s="7">
        <f t="shared" si="39"/>
        <v>-0.49554999999999999</v>
      </c>
      <c r="O65" s="11"/>
      <c r="P65" s="6">
        <v>4324.4399999999996</v>
      </c>
      <c r="Q65" s="2"/>
      <c r="R65" s="7">
        <f t="shared" si="40"/>
        <v>1.1380888148463686E-2</v>
      </c>
      <c r="S65" s="2"/>
      <c r="T65" s="6">
        <v>4300</v>
      </c>
      <c r="U65" s="2"/>
      <c r="V65" s="7">
        <f t="shared" si="41"/>
        <v>4.8532731376975165E-3</v>
      </c>
      <c r="W65" s="2"/>
      <c r="X65" s="6">
        <f t="shared" si="42"/>
        <v>24.4399999999996</v>
      </c>
      <c r="Y65" s="2"/>
      <c r="Z65" s="7">
        <f t="shared" si="43"/>
        <v>5.6837209302324655E-3</v>
      </c>
    </row>
    <row r="66" spans="1:26" s="27" customFormat="1" outlineLevel="1" collapsed="1" x14ac:dyDescent="0.25">
      <c r="A66" s="26"/>
      <c r="B66" s="13" t="str">
        <f>CONCATENATE("     ","Royalty &amp; Commissions                             ")</f>
        <v xml:space="preserve">     Royalty &amp; Commissions                             </v>
      </c>
      <c r="C66" s="13"/>
      <c r="D66" s="1">
        <f>SUM(OSRRefD22_10x_0)</f>
        <v>0</v>
      </c>
      <c r="E66" s="1"/>
      <c r="F66" s="5">
        <f t="shared" ref="F66:F71" si="44">IF(D$12=0,0,D66/D$12)</f>
        <v>0</v>
      </c>
      <c r="G66" s="1"/>
      <c r="H66" s="1">
        <f>SUM(OSRRefH22_10x_0)</f>
        <v>0</v>
      </c>
      <c r="I66" s="1"/>
      <c r="J66" s="5">
        <f t="shared" ref="J66:J71" si="45">IF(H$12=0,0,H66/H$12)</f>
        <v>0</v>
      </c>
      <c r="K66" s="1"/>
      <c r="L66" s="1">
        <f t="shared" ref="L66:L71" si="46">+D66-H66</f>
        <v>0</v>
      </c>
      <c r="M66" s="1"/>
      <c r="N66" s="5">
        <f t="shared" ref="N66:N71" si="47">IF(H66=0,0,L66/H66)</f>
        <v>0</v>
      </c>
      <c r="O66" s="13"/>
      <c r="P66" s="1">
        <f>SUM(OSRRefP22_10x_0)</f>
        <v>0</v>
      </c>
      <c r="Q66" s="1"/>
      <c r="R66" s="5">
        <f t="shared" ref="R66:R71" si="48">IF(P$12=0,0,P66/P$12)</f>
        <v>0</v>
      </c>
      <c r="S66" s="1"/>
      <c r="T66" s="1">
        <f>SUM(OSRRefT22_10x_0)</f>
        <v>5000</v>
      </c>
      <c r="U66" s="1"/>
      <c r="V66" s="5">
        <f t="shared" ref="V66:V71" si="49">IF(T$12=0,0,T66/T$12)</f>
        <v>5.6433408577878106E-3</v>
      </c>
      <c r="W66" s="1"/>
      <c r="X66" s="1">
        <f t="shared" ref="X66:X71" si="50">+P66-T66</f>
        <v>-5000</v>
      </c>
      <c r="Y66" s="1"/>
      <c r="Z66" s="5">
        <f t="shared" ref="Z66:Z71" si="51">IF(T66=0,0,X66/T66)</f>
        <v>-1</v>
      </c>
    </row>
    <row r="67" spans="1:26" s="24" customFormat="1" hidden="1" outlineLevel="2" x14ac:dyDescent="0.25">
      <c r="A67" s="25"/>
      <c r="B67" s="11" t="str">
        <f>CONCATENATE("          ", "6254", " - ", "ROYALTY &amp; COMMISSIONS")</f>
        <v xml:space="preserve">          6254 - ROYALTY &amp; COMMISSIONS</v>
      </c>
      <c r="C67" s="11"/>
      <c r="D67" s="6"/>
      <c r="E67" s="2"/>
      <c r="F67" s="7">
        <f t="shared" si="44"/>
        <v>0</v>
      </c>
      <c r="G67" s="2"/>
      <c r="H67" s="6"/>
      <c r="I67" s="2"/>
      <c r="J67" s="7">
        <f t="shared" si="45"/>
        <v>0</v>
      </c>
      <c r="K67" s="2"/>
      <c r="L67" s="6">
        <f t="shared" si="46"/>
        <v>0</v>
      </c>
      <c r="M67" s="2"/>
      <c r="N67" s="7">
        <f t="shared" si="47"/>
        <v>0</v>
      </c>
      <c r="O67" s="11"/>
      <c r="P67" s="6"/>
      <c r="Q67" s="2"/>
      <c r="R67" s="7">
        <f t="shared" si="48"/>
        <v>0</v>
      </c>
      <c r="S67" s="2"/>
      <c r="T67" s="6">
        <v>5000</v>
      </c>
      <c r="U67" s="2"/>
      <c r="V67" s="7">
        <f t="shared" si="49"/>
        <v>5.6433408577878106E-3</v>
      </c>
      <c r="W67" s="2"/>
      <c r="X67" s="6">
        <f t="shared" si="50"/>
        <v>-5000</v>
      </c>
      <c r="Y67" s="2"/>
      <c r="Z67" s="7">
        <f t="shared" si="51"/>
        <v>-1</v>
      </c>
    </row>
    <row r="68" spans="1:26" s="27" customFormat="1" outlineLevel="1" collapsed="1" x14ac:dyDescent="0.25">
      <c r="A68" s="26"/>
      <c r="B68" s="13" t="str">
        <f>CONCATENATE("     ","Services                                          ")</f>
        <v xml:space="preserve">     Services                                          </v>
      </c>
      <c r="C68" s="13"/>
      <c r="D68" s="1">
        <f>SUM(OSRRefD22_11x_0)</f>
        <v>1664.84</v>
      </c>
      <c r="E68" s="1"/>
      <c r="F68" s="5">
        <f t="shared" si="44"/>
        <v>0.18085825216561904</v>
      </c>
      <c r="G68" s="1"/>
      <c r="H68" s="1">
        <f>SUM(OSRRefH22_11x_0)</f>
        <v>3360</v>
      </c>
      <c r="I68" s="1"/>
      <c r="J68" s="5">
        <f t="shared" si="45"/>
        <v>2.0363636363636365E-2</v>
      </c>
      <c r="K68" s="1"/>
      <c r="L68" s="1">
        <f t="shared" si="46"/>
        <v>-1695.16</v>
      </c>
      <c r="M68" s="1"/>
      <c r="N68" s="5">
        <f t="shared" si="47"/>
        <v>-0.50451190476190477</v>
      </c>
      <c r="O68" s="13"/>
      <c r="P68" s="1">
        <f>SUM(OSRRefP22_11x_0)</f>
        <v>19588.91</v>
      </c>
      <c r="Q68" s="1"/>
      <c r="R68" s="5">
        <f t="shared" si="48"/>
        <v>5.1553309482920751E-2</v>
      </c>
      <c r="S68" s="1"/>
      <c r="T68" s="1">
        <f>SUM(OSRRefT22_11x_0)</f>
        <v>25590</v>
      </c>
      <c r="U68" s="1"/>
      <c r="V68" s="5">
        <f t="shared" si="49"/>
        <v>2.8882618510158012E-2</v>
      </c>
      <c r="W68" s="1"/>
      <c r="X68" s="1">
        <f t="shared" si="50"/>
        <v>-6001.09</v>
      </c>
      <c r="Y68" s="1"/>
      <c r="Z68" s="5">
        <f t="shared" si="51"/>
        <v>-0.2345091832747167</v>
      </c>
    </row>
    <row r="69" spans="1:26" s="24" customFormat="1" hidden="1" outlineLevel="2" x14ac:dyDescent="0.25">
      <c r="A69" s="25"/>
      <c r="B69" s="11" t="str">
        <f>CONCATENATE("          ", "6283", " - ", "PLANT SERVICE")</f>
        <v xml:space="preserve">          6283 - PLANT SERVICE</v>
      </c>
      <c r="C69" s="11"/>
      <c r="D69" s="6">
        <v>125.9</v>
      </c>
      <c r="E69" s="2"/>
      <c r="F69" s="7">
        <f t="shared" si="44"/>
        <v>1.367702238512496E-2</v>
      </c>
      <c r="G69" s="2"/>
      <c r="H69" s="6">
        <v>60</v>
      </c>
      <c r="I69" s="2"/>
      <c r="J69" s="7">
        <f t="shared" si="45"/>
        <v>3.6363636363636361E-4</v>
      </c>
      <c r="K69" s="2"/>
      <c r="L69" s="6">
        <f t="shared" si="46"/>
        <v>65.900000000000006</v>
      </c>
      <c r="M69" s="2"/>
      <c r="N69" s="7">
        <f t="shared" si="47"/>
        <v>1.0983333333333334</v>
      </c>
      <c r="O69" s="11"/>
      <c r="P69" s="6">
        <v>440.65</v>
      </c>
      <c r="Q69" s="2"/>
      <c r="R69" s="7">
        <f t="shared" si="48"/>
        <v>1.1596850372812488E-3</v>
      </c>
      <c r="S69" s="2"/>
      <c r="T69" s="6">
        <v>540</v>
      </c>
      <c r="U69" s="2"/>
      <c r="V69" s="7">
        <f t="shared" si="49"/>
        <v>6.0948081264108357E-4</v>
      </c>
      <c r="W69" s="2"/>
      <c r="X69" s="6">
        <f t="shared" si="50"/>
        <v>-99.350000000000023</v>
      </c>
      <c r="Y69" s="2"/>
      <c r="Z69" s="7">
        <f t="shared" si="51"/>
        <v>-0.18398148148148152</v>
      </c>
    </row>
    <row r="70" spans="1:26" s="24" customFormat="1" hidden="1" outlineLevel="2" x14ac:dyDescent="0.25">
      <c r="A70" s="25"/>
      <c r="B70" s="11" t="str">
        <f>CONCATENATE("          ", "6285", " - ", "JANITORIAL SERVICES")</f>
        <v xml:space="preserve">          6285 - JANITORIAL SERVICES</v>
      </c>
      <c r="C70" s="11"/>
      <c r="D70" s="6">
        <v>517.04999999999995</v>
      </c>
      <c r="E70" s="2"/>
      <c r="F70" s="7">
        <f t="shared" si="44"/>
        <v>5.6169217031206198E-2</v>
      </c>
      <c r="G70" s="2"/>
      <c r="H70" s="6"/>
      <c r="I70" s="2"/>
      <c r="J70" s="7">
        <f t="shared" si="45"/>
        <v>0</v>
      </c>
      <c r="K70" s="2"/>
      <c r="L70" s="6">
        <f t="shared" si="46"/>
        <v>517.04999999999995</v>
      </c>
      <c r="M70" s="2"/>
      <c r="N70" s="7">
        <f t="shared" si="47"/>
        <v>0</v>
      </c>
      <c r="O70" s="11"/>
      <c r="P70" s="6">
        <v>517.04999999999995</v>
      </c>
      <c r="Q70" s="2"/>
      <c r="R70" s="7">
        <f t="shared" si="48"/>
        <v>1.3607515001163501E-3</v>
      </c>
      <c r="S70" s="2"/>
      <c r="T70" s="6">
        <v>250</v>
      </c>
      <c r="U70" s="2"/>
      <c r="V70" s="7">
        <f t="shared" si="49"/>
        <v>2.821670428893905E-4</v>
      </c>
      <c r="W70" s="2"/>
      <c r="X70" s="6">
        <f t="shared" si="50"/>
        <v>267.04999999999995</v>
      </c>
      <c r="Y70" s="2"/>
      <c r="Z70" s="7">
        <f t="shared" si="51"/>
        <v>1.0681999999999998</v>
      </c>
    </row>
    <row r="71" spans="1:26" s="24" customFormat="1" hidden="1" outlineLevel="2" x14ac:dyDescent="0.25">
      <c r="A71" s="25"/>
      <c r="B71" s="11" t="str">
        <f>CONCATENATE("          ", "6286", " - ", "LAUNDRY EXPENSE")</f>
        <v xml:space="preserve">          6286 - LAUNDRY EXPENSE</v>
      </c>
      <c r="C71" s="11"/>
      <c r="D71" s="6">
        <v>1021.89</v>
      </c>
      <c r="E71" s="2"/>
      <c r="F71" s="7">
        <f t="shared" si="44"/>
        <v>0.11101201274928789</v>
      </c>
      <c r="G71" s="2"/>
      <c r="H71" s="6">
        <v>3300</v>
      </c>
      <c r="I71" s="2"/>
      <c r="J71" s="7">
        <f t="shared" si="45"/>
        <v>0.02</v>
      </c>
      <c r="K71" s="2"/>
      <c r="L71" s="6">
        <f t="shared" si="46"/>
        <v>-2278.11</v>
      </c>
      <c r="M71" s="2"/>
      <c r="N71" s="7">
        <f t="shared" si="47"/>
        <v>-0.69033636363636364</v>
      </c>
      <c r="O71" s="11"/>
      <c r="P71" s="6">
        <v>18631.21</v>
      </c>
      <c r="Q71" s="2"/>
      <c r="R71" s="7">
        <f t="shared" si="48"/>
        <v>4.9032872945523144E-2</v>
      </c>
      <c r="S71" s="2"/>
      <c r="T71" s="6">
        <v>24800</v>
      </c>
      <c r="U71" s="2"/>
      <c r="V71" s="7">
        <f t="shared" si="49"/>
        <v>2.799097065462754E-2</v>
      </c>
      <c r="W71" s="2"/>
      <c r="X71" s="6">
        <f t="shared" si="50"/>
        <v>-6168.7900000000009</v>
      </c>
      <c r="Y71" s="2"/>
      <c r="Z71" s="7">
        <f t="shared" si="51"/>
        <v>-0.24874153225806456</v>
      </c>
    </row>
    <row r="72" spans="1:26" s="27" customFormat="1" outlineLevel="1" collapsed="1" x14ac:dyDescent="0.25">
      <c r="A72" s="26"/>
      <c r="B72" s="13" t="str">
        <f>CONCATENATE("     ","Supplies                                          ")</f>
        <v xml:space="preserve">     Supplies                                          </v>
      </c>
      <c r="C72" s="13"/>
      <c r="D72" s="1">
        <f>SUM(OSRRefD22_12x_0)</f>
        <v>725.27</v>
      </c>
      <c r="E72" s="1"/>
      <c r="F72" s="5">
        <f t="shared" ref="F72:F80" si="52">IF(D$12=0,0,D72/D$12)</f>
        <v>7.8788991463539154E-2</v>
      </c>
      <c r="G72" s="1"/>
      <c r="H72" s="1">
        <f>SUM(OSRRefH22_12x_0)</f>
        <v>4424.0600000000004</v>
      </c>
      <c r="I72" s="1"/>
      <c r="J72" s="5">
        <f t="shared" ref="J72:J80" si="53">IF(H$12=0,0,H72/H$12)</f>
        <v>2.6812484848484849E-2</v>
      </c>
      <c r="K72" s="1"/>
      <c r="L72" s="1">
        <f t="shared" ref="L72:L80" si="54">+D72-H72</f>
        <v>-3698.7900000000004</v>
      </c>
      <c r="M72" s="1"/>
      <c r="N72" s="5">
        <f t="shared" ref="N72:N80" si="55">IF(H72=0,0,L72/H72)</f>
        <v>-0.83606234996812889</v>
      </c>
      <c r="O72" s="13"/>
      <c r="P72" s="1">
        <f>SUM(OSRRefP22_12x_0)</f>
        <v>12277.42</v>
      </c>
      <c r="Q72" s="1"/>
      <c r="R72" s="5">
        <f t="shared" ref="R72:R80" si="56">IF(P$12=0,0,P72/P$12)</f>
        <v>3.2311222672001705E-2</v>
      </c>
      <c r="S72" s="1"/>
      <c r="T72" s="1">
        <f>SUM(OSRRefT22_12x_0)</f>
        <v>20689.859999999997</v>
      </c>
      <c r="U72" s="1"/>
      <c r="V72" s="5">
        <f t="shared" ref="V72:V80" si="57">IF(T$12=0,0,T72/T$12)</f>
        <v>2.3351986455981938E-2</v>
      </c>
      <c r="W72" s="1"/>
      <c r="X72" s="1">
        <f t="shared" ref="X72:X80" si="58">+P72-T72</f>
        <v>-8412.4399999999969</v>
      </c>
      <c r="Y72" s="1"/>
      <c r="Z72" s="5">
        <f t="shared" ref="Z72:Z80" si="59">IF(T72=0,0,X72/T72)</f>
        <v>-0.40659724135397718</v>
      </c>
    </row>
    <row r="73" spans="1:26" s="24" customFormat="1" hidden="1" outlineLevel="2" x14ac:dyDescent="0.25">
      <c r="A73" s="25"/>
      <c r="B73" s="11" t="str">
        <f>CONCATENATE("          ", "6234", " - ", "EXPENDABLE SUPPLIES &amp; EQUIPMEN")</f>
        <v xml:space="preserve">          6234 - EXPENDABLE SUPPLIES &amp; EQUIPMEN</v>
      </c>
      <c r="C73" s="11"/>
      <c r="D73" s="6">
        <v>235.13</v>
      </c>
      <c r="E73" s="2"/>
      <c r="F73" s="7">
        <f t="shared" si="52"/>
        <v>2.5543115753887465E-2</v>
      </c>
      <c r="G73" s="2"/>
      <c r="H73" s="6">
        <v>1500</v>
      </c>
      <c r="I73" s="2"/>
      <c r="J73" s="7">
        <f t="shared" si="53"/>
        <v>9.0909090909090905E-3</v>
      </c>
      <c r="K73" s="2"/>
      <c r="L73" s="6">
        <f t="shared" si="54"/>
        <v>-1264.8699999999999</v>
      </c>
      <c r="M73" s="2"/>
      <c r="N73" s="7">
        <f t="shared" si="55"/>
        <v>-0.84324666666666659</v>
      </c>
      <c r="O73" s="11"/>
      <c r="P73" s="6">
        <v>883.03</v>
      </c>
      <c r="Q73" s="2"/>
      <c r="R73" s="7">
        <f t="shared" si="56"/>
        <v>2.3239230193361198E-3</v>
      </c>
      <c r="S73" s="2"/>
      <c r="T73" s="6">
        <v>5550</v>
      </c>
      <c r="U73" s="2"/>
      <c r="V73" s="7">
        <f t="shared" si="57"/>
        <v>6.2641083521444698E-3</v>
      </c>
      <c r="W73" s="2"/>
      <c r="X73" s="6">
        <f t="shared" si="58"/>
        <v>-4666.97</v>
      </c>
      <c r="Y73" s="2"/>
      <c r="Z73" s="7">
        <f t="shared" si="59"/>
        <v>-0.84089549549549558</v>
      </c>
    </row>
    <row r="74" spans="1:26" s="24" customFormat="1" hidden="1" outlineLevel="2" x14ac:dyDescent="0.25">
      <c r="A74" s="25"/>
      <c r="B74" s="11" t="str">
        <f>CONCATENATE("          ", "6239", " - ", "KITCHEN SUPPLIES")</f>
        <v xml:space="preserve">          6239 - KITCHEN SUPPLIES</v>
      </c>
      <c r="C74" s="11"/>
      <c r="D74" s="6"/>
      <c r="E74" s="2"/>
      <c r="F74" s="7">
        <f t="shared" si="52"/>
        <v>0</v>
      </c>
      <c r="G74" s="2"/>
      <c r="H74" s="6">
        <v>629.44000000000005</v>
      </c>
      <c r="I74" s="2"/>
      <c r="J74" s="7">
        <f t="shared" si="53"/>
        <v>3.8147878787878793E-3</v>
      </c>
      <c r="K74" s="2"/>
      <c r="L74" s="6">
        <f t="shared" si="54"/>
        <v>-629.44000000000005</v>
      </c>
      <c r="M74" s="2"/>
      <c r="N74" s="7">
        <f t="shared" si="55"/>
        <v>-1</v>
      </c>
      <c r="O74" s="11"/>
      <c r="P74" s="6">
        <v>3652.68</v>
      </c>
      <c r="Q74" s="2"/>
      <c r="R74" s="7">
        <f t="shared" si="56"/>
        <v>9.6129770611062555E-3</v>
      </c>
      <c r="S74" s="2"/>
      <c r="T74" s="6">
        <v>4003.15</v>
      </c>
      <c r="U74" s="2"/>
      <c r="V74" s="7">
        <f t="shared" si="57"/>
        <v>4.518227990970655E-3</v>
      </c>
      <c r="W74" s="2"/>
      <c r="X74" s="6">
        <f t="shared" si="58"/>
        <v>-350.47000000000025</v>
      </c>
      <c r="Y74" s="2"/>
      <c r="Z74" s="7">
        <f t="shared" si="59"/>
        <v>-8.7548555512533946E-2</v>
      </c>
    </row>
    <row r="75" spans="1:26" s="24" customFormat="1" hidden="1" outlineLevel="2" x14ac:dyDescent="0.25">
      <c r="A75" s="25"/>
      <c r="B75" s="11" t="str">
        <f>CONCATENATE("          ", "6241", " - ", "OFFICE EXPENSE")</f>
        <v xml:space="preserve">          6241 - OFFICE EXPENSE</v>
      </c>
      <c r="C75" s="11"/>
      <c r="D75" s="6">
        <v>88.2</v>
      </c>
      <c r="E75" s="2"/>
      <c r="F75" s="7">
        <f t="shared" si="52"/>
        <v>9.5815200505799964E-3</v>
      </c>
      <c r="G75" s="2"/>
      <c r="H75" s="6">
        <v>77.569999999999993</v>
      </c>
      <c r="I75" s="2"/>
      <c r="J75" s="7">
        <f t="shared" si="53"/>
        <v>4.7012121212121208E-4</v>
      </c>
      <c r="K75" s="2"/>
      <c r="L75" s="6">
        <f t="shared" si="54"/>
        <v>10.63000000000001</v>
      </c>
      <c r="M75" s="2"/>
      <c r="N75" s="7">
        <f t="shared" si="55"/>
        <v>0.13703751450302964</v>
      </c>
      <c r="O75" s="11"/>
      <c r="P75" s="6">
        <v>737.89</v>
      </c>
      <c r="Q75" s="2"/>
      <c r="R75" s="7">
        <f t="shared" si="56"/>
        <v>1.9419493751491222E-3</v>
      </c>
      <c r="S75" s="2"/>
      <c r="T75" s="6">
        <v>1658.82</v>
      </c>
      <c r="U75" s="2"/>
      <c r="V75" s="7">
        <f t="shared" si="57"/>
        <v>1.872257336343115E-3</v>
      </c>
      <c r="W75" s="2"/>
      <c r="X75" s="6">
        <f t="shared" si="58"/>
        <v>-920.93</v>
      </c>
      <c r="Y75" s="2"/>
      <c r="Z75" s="7">
        <f t="shared" si="59"/>
        <v>-0.55517174859237284</v>
      </c>
    </row>
    <row r="76" spans="1:26" s="24" customFormat="1" hidden="1" outlineLevel="2" x14ac:dyDescent="0.25">
      <c r="A76" s="25"/>
      <c r="B76" s="11" t="str">
        <f>CONCATENATE("          ", "6243", " - ", "PAPER SUPPLIES")</f>
        <v xml:space="preserve">          6243 - PAPER SUPPLIES</v>
      </c>
      <c r="C76" s="11"/>
      <c r="D76" s="6">
        <v>182.11</v>
      </c>
      <c r="E76" s="2"/>
      <c r="F76" s="7">
        <f t="shared" si="52"/>
        <v>1.9783340322121579E-2</v>
      </c>
      <c r="G76" s="2"/>
      <c r="H76" s="6">
        <v>800</v>
      </c>
      <c r="I76" s="2"/>
      <c r="J76" s="7">
        <f t="shared" si="53"/>
        <v>4.8484848484848485E-3</v>
      </c>
      <c r="K76" s="2"/>
      <c r="L76" s="6">
        <f t="shared" si="54"/>
        <v>-617.89</v>
      </c>
      <c r="M76" s="2"/>
      <c r="N76" s="7">
        <f t="shared" si="55"/>
        <v>-0.77236249999999995</v>
      </c>
      <c r="O76" s="11"/>
      <c r="P76" s="6">
        <v>5217.22</v>
      </c>
      <c r="Q76" s="2"/>
      <c r="R76" s="7">
        <f t="shared" si="56"/>
        <v>1.3730470827651145E-2</v>
      </c>
      <c r="S76" s="2"/>
      <c r="T76" s="6">
        <v>5824.52</v>
      </c>
      <c r="U76" s="2"/>
      <c r="V76" s="7">
        <f t="shared" si="57"/>
        <v>6.5739503386004518E-3</v>
      </c>
      <c r="W76" s="2"/>
      <c r="X76" s="6">
        <f t="shared" si="58"/>
        <v>-607.30000000000018</v>
      </c>
      <c r="Y76" s="2"/>
      <c r="Z76" s="7">
        <f t="shared" si="59"/>
        <v>-0.1042661026144644</v>
      </c>
    </row>
    <row r="77" spans="1:26" s="24" customFormat="1" hidden="1" outlineLevel="2" x14ac:dyDescent="0.25">
      <c r="A77" s="25"/>
      <c r="B77" s="11" t="str">
        <f>CONCATENATE("          ", "6245", " - ", "PRINTING")</f>
        <v xml:space="preserve">          6245 - PRINTING</v>
      </c>
      <c r="C77" s="11"/>
      <c r="D77" s="6"/>
      <c r="E77" s="2"/>
      <c r="F77" s="7">
        <f t="shared" si="52"/>
        <v>0</v>
      </c>
      <c r="G77" s="2"/>
      <c r="H77" s="6">
        <v>36.82</v>
      </c>
      <c r="I77" s="2"/>
      <c r="J77" s="7">
        <f t="shared" si="53"/>
        <v>2.2315151515151516E-4</v>
      </c>
      <c r="K77" s="2"/>
      <c r="L77" s="6">
        <f t="shared" si="54"/>
        <v>-36.82</v>
      </c>
      <c r="M77" s="2"/>
      <c r="N77" s="7">
        <f t="shared" si="55"/>
        <v>-1</v>
      </c>
      <c r="O77" s="11"/>
      <c r="P77" s="6"/>
      <c r="Q77" s="2"/>
      <c r="R77" s="7">
        <f t="shared" si="56"/>
        <v>0</v>
      </c>
      <c r="S77" s="2"/>
      <c r="T77" s="6">
        <v>36.82</v>
      </c>
      <c r="U77" s="2"/>
      <c r="V77" s="7">
        <f t="shared" si="57"/>
        <v>4.1557562076749438E-5</v>
      </c>
      <c r="W77" s="2"/>
      <c r="X77" s="6">
        <f t="shared" si="58"/>
        <v>-36.82</v>
      </c>
      <c r="Y77" s="2"/>
      <c r="Z77" s="7">
        <f t="shared" si="59"/>
        <v>-1</v>
      </c>
    </row>
    <row r="78" spans="1:26" s="24" customFormat="1" hidden="1" outlineLevel="2" x14ac:dyDescent="0.25">
      <c r="A78" s="25"/>
      <c r="B78" s="11" t="str">
        <f>CONCATENATE("          ", "6246", " - ", "REPLACEMENTS")</f>
        <v xml:space="preserve">          6246 - REPLACEMENTS</v>
      </c>
      <c r="C78" s="11"/>
      <c r="D78" s="6"/>
      <c r="E78" s="2"/>
      <c r="F78" s="7">
        <f t="shared" si="52"/>
        <v>0</v>
      </c>
      <c r="G78" s="2"/>
      <c r="H78" s="6">
        <v>1000</v>
      </c>
      <c r="I78" s="2"/>
      <c r="J78" s="7">
        <f t="shared" si="53"/>
        <v>6.0606060606060606E-3</v>
      </c>
      <c r="K78" s="2"/>
      <c r="L78" s="6">
        <f t="shared" si="54"/>
        <v>-1000</v>
      </c>
      <c r="M78" s="2"/>
      <c r="N78" s="7">
        <f t="shared" si="55"/>
        <v>-1</v>
      </c>
      <c r="O78" s="11"/>
      <c r="P78" s="6"/>
      <c r="Q78" s="2"/>
      <c r="R78" s="7">
        <f t="shared" si="56"/>
        <v>0</v>
      </c>
      <c r="S78" s="2"/>
      <c r="T78" s="6">
        <v>1000</v>
      </c>
      <c r="U78" s="2"/>
      <c r="V78" s="7">
        <f t="shared" si="57"/>
        <v>1.128668171557562E-3</v>
      </c>
      <c r="W78" s="2"/>
      <c r="X78" s="6">
        <f t="shared" si="58"/>
        <v>-1000</v>
      </c>
      <c r="Y78" s="2"/>
      <c r="Z78" s="7">
        <f t="shared" si="59"/>
        <v>-1</v>
      </c>
    </row>
    <row r="79" spans="1:26" s="24" customFormat="1" hidden="1" outlineLevel="2" x14ac:dyDescent="0.25">
      <c r="A79" s="25"/>
      <c r="B79" s="11" t="str">
        <f>CONCATENATE("          ", "6247", " - ", "STORE SUPPLIES")</f>
        <v xml:space="preserve">          6247 - STORE SUPPLIES</v>
      </c>
      <c r="C79" s="11"/>
      <c r="D79" s="6">
        <v>105.57</v>
      </c>
      <c r="E79" s="2"/>
      <c r="F79" s="7">
        <f t="shared" si="52"/>
        <v>1.1468492876867688E-2</v>
      </c>
      <c r="G79" s="2"/>
      <c r="H79" s="6">
        <v>380.23</v>
      </c>
      <c r="I79" s="2"/>
      <c r="J79" s="7">
        <f t="shared" si="53"/>
        <v>2.3044242424242424E-3</v>
      </c>
      <c r="K79" s="2"/>
      <c r="L79" s="6">
        <f t="shared" si="54"/>
        <v>-274.66000000000003</v>
      </c>
      <c r="M79" s="2"/>
      <c r="N79" s="7">
        <f t="shared" si="55"/>
        <v>-0.72235226047392376</v>
      </c>
      <c r="O79" s="11"/>
      <c r="P79" s="6">
        <v>493.94</v>
      </c>
      <c r="Q79" s="2"/>
      <c r="R79" s="7">
        <f t="shared" si="56"/>
        <v>1.2999315268687167E-3</v>
      </c>
      <c r="S79" s="2"/>
      <c r="T79" s="6">
        <v>1316.55</v>
      </c>
      <c r="U79" s="2"/>
      <c r="V79" s="7">
        <f t="shared" si="57"/>
        <v>1.4859480812641082E-3</v>
      </c>
      <c r="W79" s="2"/>
      <c r="X79" s="6">
        <f t="shared" si="58"/>
        <v>-822.6099999999999</v>
      </c>
      <c r="Y79" s="2"/>
      <c r="Z79" s="7">
        <f t="shared" si="59"/>
        <v>-0.62482245262238423</v>
      </c>
    </row>
    <row r="80" spans="1:26" s="24" customFormat="1" hidden="1" outlineLevel="2" x14ac:dyDescent="0.25">
      <c r="A80" s="25"/>
      <c r="B80" s="11" t="str">
        <f>CONCATENATE("          ", "6248", " - ", "UNIFORMS")</f>
        <v xml:space="preserve">          6248 - UNIFORMS</v>
      </c>
      <c r="C80" s="11"/>
      <c r="D80" s="6">
        <v>114.26</v>
      </c>
      <c r="E80" s="2"/>
      <c r="F80" s="7">
        <f t="shared" si="52"/>
        <v>1.2412522460082431E-2</v>
      </c>
      <c r="G80" s="2"/>
      <c r="H80" s="6"/>
      <c r="I80" s="2"/>
      <c r="J80" s="7">
        <f t="shared" si="53"/>
        <v>0</v>
      </c>
      <c r="K80" s="2"/>
      <c r="L80" s="6">
        <f t="shared" si="54"/>
        <v>114.26</v>
      </c>
      <c r="M80" s="2"/>
      <c r="N80" s="7">
        <f t="shared" si="55"/>
        <v>0</v>
      </c>
      <c r="O80" s="11"/>
      <c r="P80" s="6">
        <v>1292.6600000000001</v>
      </c>
      <c r="Q80" s="2"/>
      <c r="R80" s="7">
        <f t="shared" si="56"/>
        <v>3.4019708618903419E-3</v>
      </c>
      <c r="S80" s="2"/>
      <c r="T80" s="6">
        <v>1300</v>
      </c>
      <c r="U80" s="2"/>
      <c r="V80" s="7">
        <f t="shared" si="57"/>
        <v>1.4672686230248306E-3</v>
      </c>
      <c r="W80" s="2"/>
      <c r="X80" s="6">
        <f t="shared" si="58"/>
        <v>-7.3399999999999181</v>
      </c>
      <c r="Y80" s="2"/>
      <c r="Z80" s="7">
        <f t="shared" si="59"/>
        <v>-5.6461538461537834E-3</v>
      </c>
    </row>
    <row r="81" spans="1:26" s="27" customFormat="1" outlineLevel="1" collapsed="1" x14ac:dyDescent="0.25">
      <c r="A81" s="26"/>
      <c r="B81" s="13" t="str">
        <f>CONCATENATE("     ","Telephone/Data Lines                              ")</f>
        <v xml:space="preserve">     Telephone/Data Lines                              </v>
      </c>
      <c r="C81" s="13"/>
      <c r="D81" s="1">
        <f>SUM(OSRRefD22_13x_0)</f>
        <v>174.65</v>
      </c>
      <c r="E81" s="1"/>
      <c r="F81" s="5">
        <f t="shared" ref="F81:F86" si="60">IF(D$12=0,0,D81/D$12)</f>
        <v>1.8972930576346896E-2</v>
      </c>
      <c r="G81" s="1"/>
      <c r="H81" s="1">
        <f>SUM(OSRRefH22_13x_0)</f>
        <v>195</v>
      </c>
      <c r="I81" s="1"/>
      <c r="J81" s="5">
        <f t="shared" ref="J81:J86" si="61">IF(H$12=0,0,H81/H$12)</f>
        <v>1.1818181818181819E-3</v>
      </c>
      <c r="K81" s="1"/>
      <c r="L81" s="1">
        <f t="shared" ref="L81:L86" si="62">+D81-H81</f>
        <v>-20.349999999999994</v>
      </c>
      <c r="M81" s="1"/>
      <c r="N81" s="5">
        <f t="shared" ref="N81:N86" si="63">IF(H81=0,0,L81/H81)</f>
        <v>-0.10435897435897433</v>
      </c>
      <c r="O81" s="13"/>
      <c r="P81" s="1">
        <f>SUM(OSRRefP22_13x_0)</f>
        <v>1811.01</v>
      </c>
      <c r="Q81" s="1"/>
      <c r="R81" s="5">
        <f t="shared" ref="R81:R86" si="64">IF(P$12=0,0,P81/P$12)</f>
        <v>4.7661436499868703E-3</v>
      </c>
      <c r="S81" s="1"/>
      <c r="T81" s="1">
        <f>SUM(OSRRefT22_13x_0)</f>
        <v>1365</v>
      </c>
      <c r="U81" s="1"/>
      <c r="V81" s="5">
        <f t="shared" ref="V81:V86" si="65">IF(T$12=0,0,T81/T$12)</f>
        <v>1.5406320541760722E-3</v>
      </c>
      <c r="W81" s="1"/>
      <c r="X81" s="1">
        <f t="shared" ref="X81:X86" si="66">+P81-T81</f>
        <v>446.01</v>
      </c>
      <c r="Y81" s="1"/>
      <c r="Z81" s="5">
        <f t="shared" ref="Z81:Z86" si="67">IF(T81=0,0,X81/T81)</f>
        <v>0.32674725274725275</v>
      </c>
    </row>
    <row r="82" spans="1:26" s="24" customFormat="1" hidden="1" outlineLevel="2" x14ac:dyDescent="0.25">
      <c r="A82" s="25"/>
      <c r="B82" s="11" t="str">
        <f>CONCATENATE("          ", "6309", " - ", "TELEPHONE")</f>
        <v xml:space="preserve">          6309 - TELEPHONE</v>
      </c>
      <c r="C82" s="11"/>
      <c r="D82" s="6">
        <v>174.65</v>
      </c>
      <c r="E82" s="2"/>
      <c r="F82" s="7">
        <f t="shared" si="60"/>
        <v>1.8972930576346896E-2</v>
      </c>
      <c r="G82" s="2"/>
      <c r="H82" s="6">
        <v>195</v>
      </c>
      <c r="I82" s="2"/>
      <c r="J82" s="7">
        <f t="shared" si="61"/>
        <v>1.1818181818181819E-3</v>
      </c>
      <c r="K82" s="2"/>
      <c r="L82" s="6">
        <f t="shared" si="62"/>
        <v>-20.349999999999994</v>
      </c>
      <c r="M82" s="2"/>
      <c r="N82" s="7">
        <f t="shared" si="63"/>
        <v>-0.10435897435897433</v>
      </c>
      <c r="O82" s="11"/>
      <c r="P82" s="6">
        <v>1811.01</v>
      </c>
      <c r="Q82" s="2"/>
      <c r="R82" s="7">
        <f t="shared" si="64"/>
        <v>4.7661436499868703E-3</v>
      </c>
      <c r="S82" s="2"/>
      <c r="T82" s="6">
        <v>1365</v>
      </c>
      <c r="U82" s="2"/>
      <c r="V82" s="7">
        <f t="shared" si="65"/>
        <v>1.5406320541760722E-3</v>
      </c>
      <c r="W82" s="2"/>
      <c r="X82" s="6">
        <f t="shared" si="66"/>
        <v>446.01</v>
      </c>
      <c r="Y82" s="2"/>
      <c r="Z82" s="7">
        <f t="shared" si="67"/>
        <v>0.32674725274725275</v>
      </c>
    </row>
    <row r="83" spans="1:26" s="27" customFormat="1" outlineLevel="1" collapsed="1" x14ac:dyDescent="0.25">
      <c r="A83" s="26"/>
      <c r="B83" s="13" t="str">
        <f>CONCATENATE("     ","Training                                          ")</f>
        <v xml:space="preserve">     Training                                          </v>
      </c>
      <c r="C83" s="13"/>
      <c r="D83" s="1">
        <f>SUM(OSRRefD22_14x_0)</f>
        <v>0</v>
      </c>
      <c r="E83" s="1"/>
      <c r="F83" s="5">
        <f t="shared" si="60"/>
        <v>0</v>
      </c>
      <c r="G83" s="1"/>
      <c r="H83" s="1">
        <f>SUM(OSRRefH22_14x_0)</f>
        <v>0</v>
      </c>
      <c r="I83" s="1"/>
      <c r="J83" s="5">
        <f t="shared" si="61"/>
        <v>0</v>
      </c>
      <c r="K83" s="1"/>
      <c r="L83" s="1">
        <f t="shared" si="62"/>
        <v>0</v>
      </c>
      <c r="M83" s="1"/>
      <c r="N83" s="5">
        <f t="shared" si="63"/>
        <v>0</v>
      </c>
      <c r="O83" s="13"/>
      <c r="P83" s="1">
        <f>SUM(OSRRefP22_14x_0)</f>
        <v>175</v>
      </c>
      <c r="Q83" s="1"/>
      <c r="R83" s="5">
        <f t="shared" si="64"/>
        <v>4.605579973317112E-4</v>
      </c>
      <c r="S83" s="1"/>
      <c r="T83" s="1">
        <f>SUM(OSRRefT22_14x_0)</f>
        <v>600</v>
      </c>
      <c r="U83" s="1"/>
      <c r="V83" s="5">
        <f t="shared" si="65"/>
        <v>6.7720090293453723E-4</v>
      </c>
      <c r="W83" s="1"/>
      <c r="X83" s="1">
        <f t="shared" si="66"/>
        <v>-425</v>
      </c>
      <c r="Y83" s="1"/>
      <c r="Z83" s="5">
        <f t="shared" si="67"/>
        <v>-0.70833333333333337</v>
      </c>
    </row>
    <row r="84" spans="1:26" s="24" customFormat="1" hidden="1" outlineLevel="2" x14ac:dyDescent="0.25">
      <c r="A84" s="25"/>
      <c r="B84" s="11" t="str">
        <f>CONCATENATE("          ", "6376", " - ", "TRAINING")</f>
        <v xml:space="preserve">          6376 - TRAINING</v>
      </c>
      <c r="C84" s="11"/>
      <c r="D84" s="6"/>
      <c r="E84" s="2"/>
      <c r="F84" s="7">
        <f t="shared" si="60"/>
        <v>0</v>
      </c>
      <c r="G84" s="2"/>
      <c r="H84" s="6"/>
      <c r="I84" s="2"/>
      <c r="J84" s="7">
        <f t="shared" si="61"/>
        <v>0</v>
      </c>
      <c r="K84" s="2"/>
      <c r="L84" s="6">
        <f t="shared" si="62"/>
        <v>0</v>
      </c>
      <c r="M84" s="2"/>
      <c r="N84" s="7">
        <f t="shared" si="63"/>
        <v>0</v>
      </c>
      <c r="O84" s="11"/>
      <c r="P84" s="6">
        <v>175</v>
      </c>
      <c r="Q84" s="2"/>
      <c r="R84" s="7">
        <f t="shared" si="64"/>
        <v>4.605579973317112E-4</v>
      </c>
      <c r="S84" s="2"/>
      <c r="T84" s="6">
        <v>600</v>
      </c>
      <c r="U84" s="2"/>
      <c r="V84" s="7">
        <f t="shared" si="65"/>
        <v>6.7720090293453723E-4</v>
      </c>
      <c r="W84" s="2"/>
      <c r="X84" s="6">
        <f t="shared" si="66"/>
        <v>-425</v>
      </c>
      <c r="Y84" s="2"/>
      <c r="Z84" s="7">
        <f t="shared" si="67"/>
        <v>-0.70833333333333337</v>
      </c>
    </row>
    <row r="85" spans="1:26" s="27" customFormat="1" outlineLevel="1" collapsed="1" x14ac:dyDescent="0.25">
      <c r="A85" s="26"/>
      <c r="B85" s="13" t="str">
        <f>CONCATENATE("     ","Travel                                            ")</f>
        <v xml:space="preserve">     Travel                                            </v>
      </c>
      <c r="C85" s="13"/>
      <c r="D85" s="1">
        <f>SUM(OSRRefD22_15x_0)</f>
        <v>0</v>
      </c>
      <c r="E85" s="1"/>
      <c r="F85" s="5">
        <f t="shared" si="60"/>
        <v>0</v>
      </c>
      <c r="G85" s="1"/>
      <c r="H85" s="1">
        <f>SUM(OSRRefH22_15x_0)</f>
        <v>0</v>
      </c>
      <c r="I85" s="1"/>
      <c r="J85" s="5">
        <f t="shared" si="61"/>
        <v>0</v>
      </c>
      <c r="K85" s="1"/>
      <c r="L85" s="1">
        <f t="shared" si="62"/>
        <v>0</v>
      </c>
      <c r="M85" s="1"/>
      <c r="N85" s="5">
        <f t="shared" si="63"/>
        <v>0</v>
      </c>
      <c r="O85" s="13"/>
      <c r="P85" s="1">
        <f>SUM(OSRRefP22_15x_0)</f>
        <v>0</v>
      </c>
      <c r="Q85" s="1"/>
      <c r="R85" s="5">
        <f t="shared" si="64"/>
        <v>0</v>
      </c>
      <c r="S85" s="1"/>
      <c r="T85" s="1">
        <f>SUM(OSRRefT22_15x_0)</f>
        <v>1500</v>
      </c>
      <c r="U85" s="1"/>
      <c r="V85" s="5">
        <f t="shared" si="65"/>
        <v>1.6930022573363431E-3</v>
      </c>
      <c r="W85" s="1"/>
      <c r="X85" s="1">
        <f t="shared" si="66"/>
        <v>-1500</v>
      </c>
      <c r="Y85" s="1"/>
      <c r="Z85" s="5">
        <f t="shared" si="67"/>
        <v>-1</v>
      </c>
    </row>
    <row r="86" spans="1:26" s="24" customFormat="1" hidden="1" outlineLevel="2" x14ac:dyDescent="0.25">
      <c r="A86" s="25"/>
      <c r="B86" s="11" t="str">
        <f>CONCATENATE("          ", "6292", " - ", "TRAVEL/CONFERENCE")</f>
        <v xml:space="preserve">          6292 - TRAVEL/CONFERENCE</v>
      </c>
      <c r="C86" s="11"/>
      <c r="D86" s="6"/>
      <c r="E86" s="2"/>
      <c r="F86" s="7">
        <f t="shared" si="60"/>
        <v>0</v>
      </c>
      <c r="G86" s="2"/>
      <c r="H86" s="6"/>
      <c r="I86" s="2"/>
      <c r="J86" s="7">
        <f t="shared" si="61"/>
        <v>0</v>
      </c>
      <c r="K86" s="2"/>
      <c r="L86" s="6">
        <f t="shared" si="62"/>
        <v>0</v>
      </c>
      <c r="M86" s="2"/>
      <c r="N86" s="7">
        <f t="shared" si="63"/>
        <v>0</v>
      </c>
      <c r="O86" s="11"/>
      <c r="P86" s="6"/>
      <c r="Q86" s="2"/>
      <c r="R86" s="7">
        <f t="shared" si="64"/>
        <v>0</v>
      </c>
      <c r="S86" s="2"/>
      <c r="T86" s="6">
        <v>1500</v>
      </c>
      <c r="U86" s="2"/>
      <c r="V86" s="7">
        <f t="shared" si="65"/>
        <v>1.6930022573363431E-3</v>
      </c>
      <c r="W86" s="2"/>
      <c r="X86" s="6">
        <f t="shared" si="66"/>
        <v>-1500</v>
      </c>
      <c r="Y86" s="2"/>
      <c r="Z86" s="7">
        <f t="shared" si="67"/>
        <v>-1</v>
      </c>
    </row>
    <row r="87" spans="1:26" s="56" customFormat="1" x14ac:dyDescent="0.25">
      <c r="A87" s="36"/>
      <c r="B87" s="36"/>
      <c r="C87" s="36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x14ac:dyDescent="0.25">
      <c r="A88" s="10"/>
      <c r="B88" s="29" t="s">
        <v>0</v>
      </c>
      <c r="C88" s="10"/>
      <c r="D88" s="4">
        <f>SUM(0)</f>
        <v>0</v>
      </c>
      <c r="E88" s="4"/>
      <c r="F88" s="12">
        <f>IF(D$12=0,0,D88/D$12)</f>
        <v>0</v>
      </c>
      <c r="G88" s="4"/>
      <c r="H88" s="4">
        <f>SUM(0)</f>
        <v>0</v>
      </c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>
        <f>SUM(0)</f>
        <v>0</v>
      </c>
      <c r="Q88" s="4"/>
      <c r="R88" s="12">
        <f>IF(P$12=0,0,P88/P$12)</f>
        <v>0</v>
      </c>
      <c r="S88" s="4"/>
      <c r="T88" s="4">
        <f>SUM(0)</f>
        <v>0</v>
      </c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10"/>
      <c r="B90" s="28" t="s">
        <v>3</v>
      </c>
      <c r="C90" s="28"/>
      <c r="D90" s="20">
        <f>+D23-D25+D88</f>
        <v>-27276.269999999997</v>
      </c>
      <c r="E90" s="14"/>
      <c r="F90" s="22">
        <f>IF(D$12=0,0,D90/D$12)</f>
        <v>-2.9631307019278186</v>
      </c>
      <c r="G90" s="14"/>
      <c r="H90" s="20">
        <f>+H23-H25+H88</f>
        <v>23595.391807753811</v>
      </c>
      <c r="I90" s="14"/>
      <c r="J90" s="22">
        <f>IF(H$12=0,0,H90/H$12)</f>
        <v>0.14300237459244733</v>
      </c>
      <c r="K90" s="16"/>
      <c r="L90" s="20">
        <f>+D90-H90</f>
        <v>-50871.661807753808</v>
      </c>
      <c r="M90" s="16"/>
      <c r="N90" s="22">
        <f>IF(H90=0,0,L90/H90)</f>
        <v>-2.1559998758332375</v>
      </c>
      <c r="O90" s="29"/>
      <c r="P90" s="20">
        <f>+P23-P25+P88</f>
        <v>-155260.85999999999</v>
      </c>
      <c r="Q90" s="14"/>
      <c r="R90" s="22">
        <f>IF(P$12=0,0,P90/P$12)</f>
        <v>-0.40860931854628102</v>
      </c>
      <c r="S90" s="14"/>
      <c r="T90" s="20">
        <f>+T23-T25+T88</f>
        <v>25233.469924711506</v>
      </c>
      <c r="U90" s="14"/>
      <c r="V90" s="22">
        <f>IF(T$12=0,0,T90/T$12)</f>
        <v>2.8480214361976869E-2</v>
      </c>
      <c r="W90" s="16"/>
      <c r="X90" s="20">
        <f>+P90-T90</f>
        <v>-180494.32992471149</v>
      </c>
      <c r="Y90" s="16"/>
      <c r="Z90" s="22">
        <f>IF(T90=0,0,X90/T90)</f>
        <v>-7.1529730339603734</v>
      </c>
    </row>
    <row r="91" spans="1:26" x14ac:dyDescent="0.2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52"/>
      <c r="B92" s="10" t="s">
        <v>14</v>
      </c>
      <c r="C92" s="10"/>
      <c r="D92" s="4">
        <v>2926.46</v>
      </c>
      <c r="E92" s="4"/>
      <c r="F92" s="12">
        <f>IF(D$12=0,0,D92/D$12)</f>
        <v>0.31791309713401739</v>
      </c>
      <c r="G92" s="4"/>
      <c r="H92" s="4">
        <v>16864</v>
      </c>
      <c r="I92" s="4"/>
      <c r="J92" s="12">
        <f>IF(H$12=0,0,H92/H$12)</f>
        <v>0.10220606060606061</v>
      </c>
      <c r="K92" s="4"/>
      <c r="L92" s="4">
        <f>+D92-H92</f>
        <v>-13937.54</v>
      </c>
      <c r="M92" s="4"/>
      <c r="N92" s="12">
        <f>IF(H92=0,0,L92/H92)</f>
        <v>-0.82646703036053137</v>
      </c>
      <c r="O92" s="10"/>
      <c r="P92" s="4">
        <v>40715.120000000003</v>
      </c>
      <c r="Q92" s="4"/>
      <c r="R92" s="12">
        <f>IF(P$12=0,0,P92/P$12)</f>
        <v>0.10715242359040172</v>
      </c>
      <c r="S92" s="4"/>
      <c r="T92" s="4">
        <v>103564</v>
      </c>
      <c r="U92" s="4"/>
      <c r="V92" s="12">
        <f>IF(T$12=0,0,T92/T$12)</f>
        <v>0.11688939051918736</v>
      </c>
      <c r="W92" s="4"/>
      <c r="X92" s="4">
        <f>+P92-T92</f>
        <v>-62848.88</v>
      </c>
      <c r="Y92" s="4"/>
      <c r="Z92" s="12">
        <f>IF(T92=0,0,X92/T92)</f>
        <v>-0.60686029894557947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8" t="s">
        <v>4</v>
      </c>
      <c r="C94" s="28"/>
      <c r="D94" s="31">
        <f>+D90-D92</f>
        <v>-30202.729999999996</v>
      </c>
      <c r="E94" s="14"/>
      <c r="F94" s="34">
        <f>IF(D$12=0,0,D94/D$12)</f>
        <v>-3.2810437990618357</v>
      </c>
      <c r="G94" s="14"/>
      <c r="H94" s="31">
        <f>+H90-H92</f>
        <v>6731.391807753811</v>
      </c>
      <c r="I94" s="14"/>
      <c r="J94" s="34">
        <f>IF(H$12=0,0,H94/H$12)</f>
        <v>4.079631398638673E-2</v>
      </c>
      <c r="K94" s="16"/>
      <c r="L94" s="31">
        <f>D94-H94</f>
        <v>-36934.121807753807</v>
      </c>
      <c r="M94" s="16"/>
      <c r="N94" s="34">
        <f>IF(H94=0,0,L94/H94)</f>
        <v>-5.4868477222214027</v>
      </c>
      <c r="O94" s="29"/>
      <c r="P94" s="31">
        <f>+P90-P92</f>
        <v>-195975.97999999998</v>
      </c>
      <c r="Q94" s="14"/>
      <c r="R94" s="34">
        <f>IF(P$12=0,0,P94/P$12)</f>
        <v>-0.51576174213668269</v>
      </c>
      <c r="S94" s="14"/>
      <c r="T94" s="31">
        <f>+T90-T92</f>
        <v>-78330.530075288494</v>
      </c>
      <c r="U94" s="14"/>
      <c r="V94" s="34">
        <f>IF(T$12=0,0,T94/T$12)</f>
        <v>-8.8409176157210487E-2</v>
      </c>
      <c r="W94" s="16"/>
      <c r="X94" s="31">
        <f>P94-T94</f>
        <v>-117645.44992471149</v>
      </c>
      <c r="Y94" s="16"/>
      <c r="Z94" s="34">
        <f>IF(T94=0,0,X94/T94)</f>
        <v>1.5019105553305321</v>
      </c>
    </row>
    <row r="95" spans="1:26" ht="15.75" thickTop="1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8" t="s">
        <v>5</v>
      </c>
      <c r="C97" s="28"/>
      <c r="D97" s="32">
        <f>SUM(D94:D96)</f>
        <v>-30202.729999999996</v>
      </c>
      <c r="E97" s="14"/>
      <c r="F97" s="35">
        <f>IF(D$12=0,0,D97/D$12)</f>
        <v>-3.2810437990618357</v>
      </c>
      <c r="G97" s="14"/>
      <c r="H97" s="32">
        <f>SUM(H94:H96)</f>
        <v>6731.391807753811</v>
      </c>
      <c r="I97" s="14"/>
      <c r="J97" s="35">
        <f>IF(H$12=0,0,H97/H$12)</f>
        <v>4.079631398638673E-2</v>
      </c>
      <c r="K97" s="16"/>
      <c r="L97" s="32">
        <f>+D97-H97</f>
        <v>-36934.121807753807</v>
      </c>
      <c r="M97" s="16"/>
      <c r="N97" s="35">
        <f>IF(H97=0,0,L97/H97)</f>
        <v>-5.4868477222214027</v>
      </c>
      <c r="O97" s="29"/>
      <c r="P97" s="32">
        <f>SUM(P94:P96)</f>
        <v>-195975.97999999998</v>
      </c>
      <c r="Q97" s="14"/>
      <c r="R97" s="35">
        <f>IF(P$12=0,0,P97/P$12)</f>
        <v>-0.51576174213668269</v>
      </c>
      <c r="S97" s="14"/>
      <c r="T97" s="32">
        <f>SUM(T94:T96)</f>
        <v>-78330.530075288494</v>
      </c>
      <c r="U97" s="14"/>
      <c r="V97" s="35">
        <f>IF(T$12=0,0,T97/T$12)</f>
        <v>-8.8409176157210487E-2</v>
      </c>
      <c r="W97" s="16"/>
      <c r="X97" s="32">
        <f>+P97-T97</f>
        <v>-117645.44992471149</v>
      </c>
      <c r="Y97" s="16"/>
      <c r="Z97" s="35">
        <f>IF(T97=0,0,X97/T97)</f>
        <v>1.5019105553305321</v>
      </c>
    </row>
    <row r="98" spans="1:26" ht="15.75" thickTop="1" x14ac:dyDescent="0.25">
      <c r="A98" s="9"/>
      <c r="C98" s="9"/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6" x14ac:dyDescent="0.25">
      <c r="A99" s="9"/>
      <c r="B99" s="57">
        <v>43934.466757256945</v>
      </c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6" x14ac:dyDescent="0.25">
      <c r="A100" s="9"/>
      <c r="B100" s="62" t="s">
        <v>314</v>
      </c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60"/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","420", " - ", "Catering")</f>
        <v>Department 420 - Catering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30035.629999999997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30035.629999999997</v>
      </c>
      <c r="M12" s="4"/>
      <c r="N12" s="12">
        <f t="shared" ref="N12:N14" si="1">IF(H12=0,0,L12/H12)</f>
        <v>0</v>
      </c>
      <c r="O12" s="10"/>
      <c r="P12" s="4">
        <f>SUM(OSRRefP13x_0)</f>
        <v>211082.08000000002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211082.08000000002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>--29813.76</f>
        <v>29813.759999999998</v>
      </c>
      <c r="E13" s="2"/>
      <c r="F13" s="19"/>
      <c r="G13" s="2"/>
      <c r="H13" s="2"/>
      <c r="I13" s="2"/>
      <c r="J13" s="19"/>
      <c r="K13" s="2"/>
      <c r="L13" s="2">
        <f t="shared" si="0"/>
        <v>29813.759999999998</v>
      </c>
      <c r="M13" s="2"/>
      <c r="N13" s="19">
        <f t="shared" si="1"/>
        <v>0</v>
      </c>
      <c r="O13" s="11"/>
      <c r="P13" s="2">
        <f>--210141.41</f>
        <v>210141.41</v>
      </c>
      <c r="Q13" s="2"/>
      <c r="R13" s="19"/>
      <c r="S13" s="2"/>
      <c r="T13" s="2"/>
      <c r="U13" s="2"/>
      <c r="V13" s="19"/>
      <c r="W13" s="2"/>
      <c r="X13" s="2">
        <f t="shared" si="2"/>
        <v>210141.41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>--221.87</f>
        <v>221.87</v>
      </c>
      <c r="E14" s="2"/>
      <c r="F14" s="19"/>
      <c r="G14" s="2"/>
      <c r="H14" s="2"/>
      <c r="I14" s="2"/>
      <c r="J14" s="19"/>
      <c r="K14" s="2"/>
      <c r="L14" s="2">
        <f t="shared" si="0"/>
        <v>221.87</v>
      </c>
      <c r="M14" s="2"/>
      <c r="N14" s="19">
        <f t="shared" si="1"/>
        <v>0</v>
      </c>
      <c r="O14" s="11"/>
      <c r="P14" s="2">
        <f>--940.67</f>
        <v>940.67</v>
      </c>
      <c r="Q14" s="2"/>
      <c r="R14" s="19"/>
      <c r="S14" s="2"/>
      <c r="T14" s="2"/>
      <c r="U14" s="2"/>
      <c r="V14" s="19"/>
      <c r="W14" s="2"/>
      <c r="X14" s="2">
        <f t="shared" si="2"/>
        <v>940.67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9461.31</v>
      </c>
      <c r="E16" s="4"/>
      <c r="F16" s="12">
        <f t="shared" ref="F16:F18" si="4">IF(D$12=0,0,D16/D$12)</f>
        <v>0.31500288157764628</v>
      </c>
      <c r="G16" s="4"/>
      <c r="H16" s="4">
        <f>SUM(OSRRefH16x_0)</f>
        <v>0</v>
      </c>
      <c r="I16" s="4"/>
      <c r="J16" s="12">
        <f t="shared" ref="J16:J18" si="5">IF(H$12=0,0,H16/H$12)</f>
        <v>0</v>
      </c>
      <c r="K16" s="4"/>
      <c r="L16" s="4">
        <f t="shared" ref="L16:L18" si="6">+D16-H16</f>
        <v>9461.31</v>
      </c>
      <c r="M16" s="4"/>
      <c r="N16" s="12">
        <f t="shared" ref="N16:N18" si="7">IF(H16=0,0,L16/H16)</f>
        <v>0</v>
      </c>
      <c r="O16" s="10"/>
      <c r="P16" s="4">
        <f>SUM(OSRRefP16x_0)</f>
        <v>9795.24</v>
      </c>
      <c r="Q16" s="4"/>
      <c r="R16" s="12">
        <f t="shared" ref="R16:R18" si="8">IF(P$12=0,0,P16/P$12)</f>
        <v>4.6404886667783446E-2</v>
      </c>
      <c r="S16" s="4"/>
      <c r="T16" s="4">
        <f>SUM(OSRRefT16x_0)</f>
        <v>0</v>
      </c>
      <c r="U16" s="4"/>
      <c r="V16" s="12">
        <f t="shared" ref="V16:V18" si="9">IF(T$12=0,0,T16/T$12)</f>
        <v>0</v>
      </c>
      <c r="W16" s="4"/>
      <c r="X16" s="4">
        <f t="shared" ref="X16:X18" si="10">+P16-T16</f>
        <v>9795.24</v>
      </c>
      <c r="Y16" s="4"/>
      <c r="Z16" s="12">
        <f t="shared" ref="Z16:Z18" si="11">IF(T16=0,0,X16/T16)</f>
        <v>0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39.31</v>
      </c>
      <c r="E17" s="2"/>
      <c r="F17" s="19">
        <f t="shared" si="4"/>
        <v>1.3087789402120083E-3</v>
      </c>
      <c r="G17" s="2"/>
      <c r="H17" s="2"/>
      <c r="I17" s="2"/>
      <c r="J17" s="19">
        <f t="shared" si="5"/>
        <v>0</v>
      </c>
      <c r="K17" s="2"/>
      <c r="L17" s="2">
        <f t="shared" si="6"/>
        <v>39.31</v>
      </c>
      <c r="M17" s="2"/>
      <c r="N17" s="19">
        <f t="shared" si="7"/>
        <v>0</v>
      </c>
      <c r="O17" s="11"/>
      <c r="P17" s="2">
        <v>373.24</v>
      </c>
      <c r="Q17" s="2"/>
      <c r="R17" s="19">
        <f t="shared" si="8"/>
        <v>1.7682221058272687E-3</v>
      </c>
      <c r="S17" s="2"/>
      <c r="T17" s="2"/>
      <c r="U17" s="2"/>
      <c r="V17" s="19">
        <f t="shared" si="9"/>
        <v>0</v>
      </c>
      <c r="W17" s="2"/>
      <c r="X17" s="2">
        <f t="shared" si="10"/>
        <v>373.24</v>
      </c>
      <c r="Y17" s="2"/>
      <c r="Z17" s="19">
        <f t="shared" si="11"/>
        <v>0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9422</v>
      </c>
      <c r="E18" s="2"/>
      <c r="F18" s="19">
        <f t="shared" si="4"/>
        <v>0.3136941026374343</v>
      </c>
      <c r="G18" s="2"/>
      <c r="H18" s="2"/>
      <c r="I18" s="2"/>
      <c r="J18" s="19">
        <f t="shared" si="5"/>
        <v>0</v>
      </c>
      <c r="K18" s="2"/>
      <c r="L18" s="2">
        <f t="shared" si="6"/>
        <v>9422</v>
      </c>
      <c r="M18" s="2"/>
      <c r="N18" s="19">
        <f t="shared" si="7"/>
        <v>0</v>
      </c>
      <c r="O18" s="11"/>
      <c r="P18" s="2">
        <v>9422</v>
      </c>
      <c r="Q18" s="2"/>
      <c r="R18" s="19">
        <f t="shared" si="8"/>
        <v>4.4636664561956182E-2</v>
      </c>
      <c r="S18" s="2"/>
      <c r="T18" s="2"/>
      <c r="U18" s="2"/>
      <c r="V18" s="19">
        <f t="shared" si="9"/>
        <v>0</v>
      </c>
      <c r="W18" s="2"/>
      <c r="X18" s="2">
        <f t="shared" si="10"/>
        <v>9422</v>
      </c>
      <c r="Y18" s="2"/>
      <c r="Z18" s="19">
        <f t="shared" si="11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20574.32</v>
      </c>
      <c r="E20" s="14"/>
      <c r="F20" s="22">
        <f>IF(D$12=0,0,D20/D$12)</f>
        <v>0.68499711842235378</v>
      </c>
      <c r="G20" s="14"/>
      <c r="H20" s="20">
        <f>H12-H16</f>
        <v>0</v>
      </c>
      <c r="I20" s="14"/>
      <c r="J20" s="22">
        <f>IF(H$12=0,0,H20/H$12)</f>
        <v>0</v>
      </c>
      <c r="K20" s="16"/>
      <c r="L20" s="20">
        <f>+D20-H20</f>
        <v>20574.32</v>
      </c>
      <c r="M20" s="16"/>
      <c r="N20" s="22">
        <f>IF(H20=0,0,L20/H20)</f>
        <v>0</v>
      </c>
      <c r="O20" s="29"/>
      <c r="P20" s="20">
        <f>P12-P16</f>
        <v>201286.84000000003</v>
      </c>
      <c r="Q20" s="14"/>
      <c r="R20" s="22">
        <f>IF(P$12=0,0,P20/P$12)</f>
        <v>0.95359511333221658</v>
      </c>
      <c r="S20" s="14"/>
      <c r="T20" s="20">
        <f>T12-T16</f>
        <v>0</v>
      </c>
      <c r="U20" s="14"/>
      <c r="V20" s="22">
        <f>IF(T$12=0,0,T20/T$12)</f>
        <v>0</v>
      </c>
      <c r="W20" s="16"/>
      <c r="X20" s="20">
        <f>+P20-T20</f>
        <v>201286.84000000003</v>
      </c>
      <c r="Y20" s="16"/>
      <c r="Z20" s="22">
        <f>IF(T20=0,0,X20/T20)</f>
        <v>0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46112.069999999992</v>
      </c>
      <c r="E22" s="21"/>
      <c r="F22" s="30">
        <f t="shared" ref="F22:F31" si="12">IF(D$12=0,0,D22/D$12)</f>
        <v>1.5352456399283116</v>
      </c>
      <c r="G22" s="21"/>
      <c r="H22" s="21">
        <f>SUM(OSRRefH22x_0)</f>
        <v>0</v>
      </c>
      <c r="I22" s="21"/>
      <c r="J22" s="30">
        <f t="shared" ref="J22:J31" si="13">IF(H$12=0,0,H22/H$12)</f>
        <v>0</v>
      </c>
      <c r="K22" s="4"/>
      <c r="L22" s="21">
        <f t="shared" ref="L22:L31" si="14">+D22-H22</f>
        <v>46112.069999999992</v>
      </c>
      <c r="M22" s="4"/>
      <c r="N22" s="30">
        <f t="shared" ref="N22:N31" si="15">IF(H22=0,0,L22/H22)</f>
        <v>0</v>
      </c>
      <c r="O22" s="10"/>
      <c r="P22" s="21">
        <f>SUM(OSRRefP22x_0)</f>
        <v>229416.59</v>
      </c>
      <c r="Q22" s="21"/>
      <c r="R22" s="30">
        <f t="shared" ref="R22:R31" si="16">IF(P$12=0,0,P22/P$12)</f>
        <v>1.0868596235170696</v>
      </c>
      <c r="S22" s="21"/>
      <c r="T22" s="21">
        <f>SUM(OSRRefT22x_0)</f>
        <v>0</v>
      </c>
      <c r="U22" s="21"/>
      <c r="V22" s="30">
        <f t="shared" ref="V22:V31" si="17">IF(T$12=0,0,T22/T$12)</f>
        <v>0</v>
      </c>
      <c r="W22" s="4"/>
      <c r="X22" s="21">
        <f t="shared" ref="X22:X31" si="18">+P22-T22</f>
        <v>229416.59</v>
      </c>
      <c r="Y22" s="4"/>
      <c r="Z22" s="30">
        <f t="shared" ref="Z22:Z31" si="19">IF(T22=0,0,X22/T22)</f>
        <v>0</v>
      </c>
    </row>
    <row r="23" spans="1:26" s="27" customFormat="1" outlineLevel="1" collapsed="1" x14ac:dyDescent="0.25">
      <c r="A23" s="26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15929.92</v>
      </c>
      <c r="E23" s="1"/>
      <c r="F23" s="5">
        <f t="shared" si="12"/>
        <v>0.53036743361134764</v>
      </c>
      <c r="G23" s="1"/>
      <c r="H23" s="1">
        <f>SUM(OSRRefH22_0x_0)</f>
        <v>0</v>
      </c>
      <c r="I23" s="1"/>
      <c r="J23" s="5">
        <f t="shared" si="13"/>
        <v>0</v>
      </c>
      <c r="K23" s="1"/>
      <c r="L23" s="1">
        <f t="shared" si="14"/>
        <v>15929.92</v>
      </c>
      <c r="M23" s="1"/>
      <c r="N23" s="5">
        <f t="shared" si="15"/>
        <v>0</v>
      </c>
      <c r="O23" s="13"/>
      <c r="P23" s="1">
        <f>SUM(OSRRefP22_0x_0)</f>
        <v>64105.670000000006</v>
      </c>
      <c r="Q23" s="1"/>
      <c r="R23" s="5">
        <f t="shared" si="16"/>
        <v>0.30370020041492862</v>
      </c>
      <c r="S23" s="1"/>
      <c r="T23" s="1">
        <f>SUM(OSRRefT22_0x_0)</f>
        <v>0</v>
      </c>
      <c r="U23" s="1"/>
      <c r="V23" s="5">
        <f t="shared" si="17"/>
        <v>0</v>
      </c>
      <c r="W23" s="1"/>
      <c r="X23" s="1">
        <f t="shared" si="18"/>
        <v>64105.670000000006</v>
      </c>
      <c r="Y23" s="1"/>
      <c r="Z23" s="5">
        <f t="shared" si="19"/>
        <v>0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>
        <v>4432.04</v>
      </c>
      <c r="E24" s="2"/>
      <c r="F24" s="7">
        <f t="shared" si="12"/>
        <v>0.14755941526780028</v>
      </c>
      <c r="G24" s="2"/>
      <c r="H24" s="6"/>
      <c r="I24" s="2"/>
      <c r="J24" s="7">
        <f t="shared" si="13"/>
        <v>0</v>
      </c>
      <c r="K24" s="2"/>
      <c r="L24" s="6">
        <f t="shared" si="14"/>
        <v>4432.04</v>
      </c>
      <c r="M24" s="2"/>
      <c r="N24" s="7">
        <f t="shared" si="15"/>
        <v>0</v>
      </c>
      <c r="O24" s="11"/>
      <c r="P24" s="6">
        <v>14309.01</v>
      </c>
      <c r="Q24" s="2"/>
      <c r="R24" s="7">
        <f t="shared" si="16"/>
        <v>6.7788843088906453E-2</v>
      </c>
      <c r="S24" s="2"/>
      <c r="T24" s="6"/>
      <c r="U24" s="2"/>
      <c r="V24" s="7">
        <f t="shared" si="17"/>
        <v>0</v>
      </c>
      <c r="W24" s="2"/>
      <c r="X24" s="6">
        <f t="shared" si="18"/>
        <v>14309.01</v>
      </c>
      <c r="Y24" s="2"/>
      <c r="Z24" s="7">
        <f t="shared" si="19"/>
        <v>0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>
        <v>2172.0100000000002</v>
      </c>
      <c r="E25" s="2"/>
      <c r="F25" s="7">
        <f t="shared" si="12"/>
        <v>7.23144478740749E-2</v>
      </c>
      <c r="G25" s="2"/>
      <c r="H25" s="6"/>
      <c r="I25" s="2"/>
      <c r="J25" s="7">
        <f t="shared" si="13"/>
        <v>0</v>
      </c>
      <c r="K25" s="2"/>
      <c r="L25" s="6">
        <f t="shared" si="14"/>
        <v>2172.0100000000002</v>
      </c>
      <c r="M25" s="2"/>
      <c r="N25" s="7">
        <f t="shared" si="15"/>
        <v>0</v>
      </c>
      <c r="O25" s="11"/>
      <c r="P25" s="6">
        <v>8030.89</v>
      </c>
      <c r="Q25" s="2"/>
      <c r="R25" s="7">
        <f t="shared" si="16"/>
        <v>3.8046289860323525E-2</v>
      </c>
      <c r="S25" s="2"/>
      <c r="T25" s="6"/>
      <c r="U25" s="2"/>
      <c r="V25" s="7">
        <f t="shared" si="17"/>
        <v>0</v>
      </c>
      <c r="W25" s="2"/>
      <c r="X25" s="6">
        <f t="shared" si="18"/>
        <v>8030.89</v>
      </c>
      <c r="Y25" s="2"/>
      <c r="Z25" s="7">
        <f t="shared" si="19"/>
        <v>0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>
        <v>6412.74</v>
      </c>
      <c r="E26" s="2"/>
      <c r="F26" s="7">
        <f t="shared" si="12"/>
        <v>0.2135044279077882</v>
      </c>
      <c r="G26" s="2"/>
      <c r="H26" s="6"/>
      <c r="I26" s="2"/>
      <c r="J26" s="7">
        <f t="shared" si="13"/>
        <v>0</v>
      </c>
      <c r="K26" s="2"/>
      <c r="L26" s="6">
        <f t="shared" si="14"/>
        <v>6412.74</v>
      </c>
      <c r="M26" s="2"/>
      <c r="N26" s="7">
        <f t="shared" si="15"/>
        <v>0</v>
      </c>
      <c r="O26" s="11"/>
      <c r="P26" s="6">
        <v>19739.060000000001</v>
      </c>
      <c r="Q26" s="2"/>
      <c r="R26" s="7">
        <f t="shared" si="16"/>
        <v>9.3513670132490637E-2</v>
      </c>
      <c r="S26" s="2"/>
      <c r="T26" s="6"/>
      <c r="U26" s="2"/>
      <c r="V26" s="7">
        <f t="shared" si="17"/>
        <v>0</v>
      </c>
      <c r="W26" s="2"/>
      <c r="X26" s="6">
        <f t="shared" si="18"/>
        <v>19739.060000000001</v>
      </c>
      <c r="Y26" s="2"/>
      <c r="Z26" s="7">
        <f t="shared" si="19"/>
        <v>0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>
        <v>145.55000000000001</v>
      </c>
      <c r="E27" s="2"/>
      <c r="F27" s="7">
        <f t="shared" si="12"/>
        <v>4.8459113392993599E-3</v>
      </c>
      <c r="G27" s="2"/>
      <c r="H27" s="6"/>
      <c r="I27" s="2"/>
      <c r="J27" s="7">
        <f t="shared" si="13"/>
        <v>0</v>
      </c>
      <c r="K27" s="2"/>
      <c r="L27" s="6">
        <f t="shared" si="14"/>
        <v>145.55000000000001</v>
      </c>
      <c r="M27" s="2"/>
      <c r="N27" s="7">
        <f t="shared" si="15"/>
        <v>0</v>
      </c>
      <c r="O27" s="11"/>
      <c r="P27" s="6">
        <v>538.16</v>
      </c>
      <c r="Q27" s="2"/>
      <c r="R27" s="7">
        <f t="shared" si="16"/>
        <v>2.5495295479369918E-3</v>
      </c>
      <c r="S27" s="2"/>
      <c r="T27" s="6"/>
      <c r="U27" s="2"/>
      <c r="V27" s="7">
        <f t="shared" si="17"/>
        <v>0</v>
      </c>
      <c r="W27" s="2"/>
      <c r="X27" s="6">
        <f t="shared" si="18"/>
        <v>538.16</v>
      </c>
      <c r="Y27" s="2"/>
      <c r="Z27" s="7">
        <f t="shared" si="19"/>
        <v>0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6">
        <v>1175.97</v>
      </c>
      <c r="E28" s="2"/>
      <c r="F28" s="7">
        <f t="shared" si="12"/>
        <v>3.9152499880974703E-2</v>
      </c>
      <c r="G28" s="2"/>
      <c r="H28" s="6"/>
      <c r="I28" s="2"/>
      <c r="J28" s="7">
        <f t="shared" si="13"/>
        <v>0</v>
      </c>
      <c r="K28" s="2"/>
      <c r="L28" s="6">
        <f t="shared" si="14"/>
        <v>1175.97</v>
      </c>
      <c r="M28" s="2"/>
      <c r="N28" s="7">
        <f t="shared" si="15"/>
        <v>0</v>
      </c>
      <c r="O28" s="11"/>
      <c r="P28" s="6">
        <v>8512.89</v>
      </c>
      <c r="Q28" s="2"/>
      <c r="R28" s="7">
        <f t="shared" si="16"/>
        <v>4.0329761768502559E-2</v>
      </c>
      <c r="S28" s="2"/>
      <c r="T28" s="6"/>
      <c r="U28" s="2"/>
      <c r="V28" s="7">
        <f t="shared" si="17"/>
        <v>0</v>
      </c>
      <c r="W28" s="2"/>
      <c r="X28" s="6">
        <f t="shared" si="18"/>
        <v>8512.89</v>
      </c>
      <c r="Y28" s="2"/>
      <c r="Z28" s="7">
        <f t="shared" si="19"/>
        <v>0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6">
        <v>831.54</v>
      </c>
      <c r="E29" s="2"/>
      <c r="F29" s="7">
        <f t="shared" si="12"/>
        <v>2.7685119306636818E-2</v>
      </c>
      <c r="G29" s="2"/>
      <c r="H29" s="6"/>
      <c r="I29" s="2"/>
      <c r="J29" s="7">
        <f t="shared" si="13"/>
        <v>0</v>
      </c>
      <c r="K29" s="2"/>
      <c r="L29" s="6">
        <f t="shared" si="14"/>
        <v>831.54</v>
      </c>
      <c r="M29" s="2"/>
      <c r="N29" s="7">
        <f t="shared" si="15"/>
        <v>0</v>
      </c>
      <c r="O29" s="11"/>
      <c r="P29" s="6">
        <v>6534.07</v>
      </c>
      <c r="Q29" s="2"/>
      <c r="R29" s="7">
        <f t="shared" si="16"/>
        <v>3.0955114711774676E-2</v>
      </c>
      <c r="S29" s="2"/>
      <c r="T29" s="6"/>
      <c r="U29" s="2"/>
      <c r="V29" s="7">
        <f t="shared" si="17"/>
        <v>0</v>
      </c>
      <c r="W29" s="2"/>
      <c r="X29" s="6">
        <f t="shared" si="18"/>
        <v>6534.07</v>
      </c>
      <c r="Y29" s="2"/>
      <c r="Z29" s="7">
        <f t="shared" si="19"/>
        <v>0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6">
        <v>645.04</v>
      </c>
      <c r="E30" s="2"/>
      <c r="F30" s="7">
        <f t="shared" si="12"/>
        <v>2.1475827209217854E-2</v>
      </c>
      <c r="G30" s="2"/>
      <c r="H30" s="6"/>
      <c r="I30" s="2"/>
      <c r="J30" s="7">
        <f t="shared" si="13"/>
        <v>0</v>
      </c>
      <c r="K30" s="2"/>
      <c r="L30" s="6">
        <f t="shared" si="14"/>
        <v>645.04</v>
      </c>
      <c r="M30" s="2"/>
      <c r="N30" s="7">
        <f t="shared" si="15"/>
        <v>0</v>
      </c>
      <c r="O30" s="11"/>
      <c r="P30" s="6">
        <v>5338.41</v>
      </c>
      <c r="Q30" s="2"/>
      <c r="R30" s="7">
        <f t="shared" si="16"/>
        <v>2.5290683131415036E-2</v>
      </c>
      <c r="S30" s="2"/>
      <c r="T30" s="6"/>
      <c r="U30" s="2"/>
      <c r="V30" s="7">
        <f t="shared" si="17"/>
        <v>0</v>
      </c>
      <c r="W30" s="2"/>
      <c r="X30" s="6">
        <f t="shared" si="18"/>
        <v>5338.41</v>
      </c>
      <c r="Y30" s="2"/>
      <c r="Z30" s="7">
        <f t="shared" si="19"/>
        <v>0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>
        <v>115.03</v>
      </c>
      <c r="E31" s="2"/>
      <c r="F31" s="7">
        <f t="shared" si="12"/>
        <v>3.8297848255555156E-3</v>
      </c>
      <c r="G31" s="2"/>
      <c r="H31" s="6"/>
      <c r="I31" s="2"/>
      <c r="J31" s="7">
        <f t="shared" si="13"/>
        <v>0</v>
      </c>
      <c r="K31" s="2"/>
      <c r="L31" s="6">
        <f t="shared" si="14"/>
        <v>115.03</v>
      </c>
      <c r="M31" s="2"/>
      <c r="N31" s="7">
        <f t="shared" si="15"/>
        <v>0</v>
      </c>
      <c r="O31" s="11"/>
      <c r="P31" s="6">
        <v>1103.18</v>
      </c>
      <c r="Q31" s="2"/>
      <c r="R31" s="7">
        <f t="shared" si="16"/>
        <v>5.2263081735787328E-3</v>
      </c>
      <c r="S31" s="2"/>
      <c r="T31" s="6"/>
      <c r="U31" s="2"/>
      <c r="V31" s="7">
        <f t="shared" si="17"/>
        <v>0</v>
      </c>
      <c r="W31" s="2"/>
      <c r="X31" s="6">
        <f t="shared" si="18"/>
        <v>1103.18</v>
      </c>
      <c r="Y31" s="2"/>
      <c r="Z31" s="7">
        <f t="shared" si="19"/>
        <v>0</v>
      </c>
    </row>
    <row r="32" spans="1:26" s="27" customFormat="1" outlineLevel="1" collapsed="1" x14ac:dyDescent="0.25">
      <c r="A32" s="26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29887.7</v>
      </c>
      <c r="E32" s="1"/>
      <c r="F32" s="5">
        <f t="shared" ref="F32:F36" si="20">IF(D$12=0,0,D32/D$12)</f>
        <v>0.99507484943715196</v>
      </c>
      <c r="G32" s="1"/>
      <c r="H32" s="1">
        <f>SUM(OSRRefH22_1x_0)</f>
        <v>0</v>
      </c>
      <c r="I32" s="1"/>
      <c r="J32" s="5">
        <f t="shared" ref="J32:J36" si="21">IF(H$12=0,0,H32/H$12)</f>
        <v>0</v>
      </c>
      <c r="K32" s="1"/>
      <c r="L32" s="1">
        <f t="shared" ref="L32:L36" si="22">+D32-H32</f>
        <v>29887.7</v>
      </c>
      <c r="M32" s="1"/>
      <c r="N32" s="5">
        <f t="shared" ref="N32:N36" si="23">IF(H32=0,0,L32/H32)</f>
        <v>0</v>
      </c>
      <c r="O32" s="13"/>
      <c r="P32" s="1">
        <f>SUM(OSRRefP22_1x_0)</f>
        <v>160569.98000000001</v>
      </c>
      <c r="Q32" s="1"/>
      <c r="R32" s="5">
        <f t="shared" ref="R32:R36" si="24">IF(P$12=0,0,P32/P$12)</f>
        <v>0.76069925026321517</v>
      </c>
      <c r="S32" s="1"/>
      <c r="T32" s="1">
        <f>SUM(OSRRefT22_1x_0)</f>
        <v>0</v>
      </c>
      <c r="U32" s="1"/>
      <c r="V32" s="5">
        <f t="shared" ref="V32:V36" si="25">IF(T$12=0,0,T32/T$12)</f>
        <v>0</v>
      </c>
      <c r="W32" s="1"/>
      <c r="X32" s="1">
        <f t="shared" ref="X32:X36" si="26">+P32-T32</f>
        <v>160569.98000000001</v>
      </c>
      <c r="Y32" s="1"/>
      <c r="Z32" s="5">
        <f t="shared" ref="Z32:Z36" si="27">IF(T32=0,0,X32/T32)</f>
        <v>0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>
        <v>19894.18</v>
      </c>
      <c r="E33" s="2"/>
      <c r="F33" s="7">
        <f t="shared" si="20"/>
        <v>0.66235267913474771</v>
      </c>
      <c r="G33" s="2"/>
      <c r="H33" s="6"/>
      <c r="I33" s="2"/>
      <c r="J33" s="7">
        <f t="shared" si="21"/>
        <v>0</v>
      </c>
      <c r="K33" s="2"/>
      <c r="L33" s="6">
        <f t="shared" si="22"/>
        <v>19894.18</v>
      </c>
      <c r="M33" s="2"/>
      <c r="N33" s="7">
        <f t="shared" si="23"/>
        <v>0</v>
      </c>
      <c r="O33" s="11"/>
      <c r="P33" s="6">
        <v>113004.92000000001</v>
      </c>
      <c r="Q33" s="2"/>
      <c r="R33" s="7">
        <f t="shared" si="24"/>
        <v>0.5353600836224468</v>
      </c>
      <c r="S33" s="2"/>
      <c r="T33" s="6"/>
      <c r="U33" s="2"/>
      <c r="V33" s="7">
        <f t="shared" si="25"/>
        <v>0</v>
      </c>
      <c r="W33" s="2"/>
      <c r="X33" s="6">
        <f t="shared" si="26"/>
        <v>113004.92000000001</v>
      </c>
      <c r="Y33" s="2"/>
      <c r="Z33" s="7">
        <f t="shared" si="27"/>
        <v>0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>
        <v>4438.0200000000004</v>
      </c>
      <c r="E34" s="2"/>
      <c r="F34" s="7">
        <f t="shared" si="20"/>
        <v>0.14775851214041461</v>
      </c>
      <c r="G34" s="2"/>
      <c r="H34" s="6"/>
      <c r="I34" s="2"/>
      <c r="J34" s="7">
        <f t="shared" si="21"/>
        <v>0</v>
      </c>
      <c r="K34" s="2"/>
      <c r="L34" s="6">
        <f t="shared" si="22"/>
        <v>4438.0200000000004</v>
      </c>
      <c r="M34" s="2"/>
      <c r="N34" s="7">
        <f t="shared" si="23"/>
        <v>0</v>
      </c>
      <c r="O34" s="11"/>
      <c r="P34" s="6">
        <v>18036.649999999998</v>
      </c>
      <c r="Q34" s="2"/>
      <c r="R34" s="7">
        <f t="shared" si="24"/>
        <v>8.5448513677712459E-2</v>
      </c>
      <c r="S34" s="2"/>
      <c r="T34" s="6"/>
      <c r="U34" s="2"/>
      <c r="V34" s="7">
        <f t="shared" si="25"/>
        <v>0</v>
      </c>
      <c r="W34" s="2"/>
      <c r="X34" s="6">
        <f t="shared" si="26"/>
        <v>18036.649999999998</v>
      </c>
      <c r="Y34" s="2"/>
      <c r="Z34" s="7">
        <f t="shared" si="27"/>
        <v>0</v>
      </c>
    </row>
    <row r="35" spans="1:26" s="24" customFormat="1" hidden="1" outlineLevel="2" x14ac:dyDescent="0.25">
      <c r="A35" s="25"/>
      <c r="B35" s="11" t="str">
        <f>CONCATENATE("          ", "6007", " - ", "STUDENT HOURLY")</f>
        <v xml:space="preserve">          6007 - STUDENT HOURLY</v>
      </c>
      <c r="C35" s="11"/>
      <c r="D35" s="6">
        <v>5555.5</v>
      </c>
      <c r="E35" s="2"/>
      <c r="F35" s="7">
        <f t="shared" si="20"/>
        <v>0.18496365816198962</v>
      </c>
      <c r="G35" s="2"/>
      <c r="H35" s="6"/>
      <c r="I35" s="2"/>
      <c r="J35" s="7">
        <f t="shared" si="21"/>
        <v>0</v>
      </c>
      <c r="K35" s="2"/>
      <c r="L35" s="6">
        <f t="shared" si="22"/>
        <v>5555.5</v>
      </c>
      <c r="M35" s="2"/>
      <c r="N35" s="7">
        <f t="shared" si="23"/>
        <v>0</v>
      </c>
      <c r="O35" s="11"/>
      <c r="P35" s="6">
        <v>25720.959999999999</v>
      </c>
      <c r="Q35" s="2"/>
      <c r="R35" s="7">
        <f t="shared" si="24"/>
        <v>0.12185288301119639</v>
      </c>
      <c r="S35" s="2"/>
      <c r="T35" s="6"/>
      <c r="U35" s="2"/>
      <c r="V35" s="7">
        <f t="shared" si="25"/>
        <v>0</v>
      </c>
      <c r="W35" s="2"/>
      <c r="X35" s="6">
        <f t="shared" si="26"/>
        <v>25720.959999999999</v>
      </c>
      <c r="Y35" s="2"/>
      <c r="Z35" s="7">
        <f t="shared" si="27"/>
        <v>0</v>
      </c>
    </row>
    <row r="36" spans="1:26" s="24" customFormat="1" hidden="1" outlineLevel="2" x14ac:dyDescent="0.25">
      <c r="A36" s="25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20"/>
        <v>0</v>
      </c>
      <c r="G36" s="2"/>
      <c r="H36" s="6"/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>
        <v>3807.45</v>
      </c>
      <c r="Q36" s="2"/>
      <c r="R36" s="7">
        <f t="shared" si="24"/>
        <v>1.8037769951859482E-2</v>
      </c>
      <c r="S36" s="2"/>
      <c r="T36" s="6"/>
      <c r="U36" s="2"/>
      <c r="V36" s="7">
        <f t="shared" si="25"/>
        <v>0</v>
      </c>
      <c r="W36" s="2"/>
      <c r="X36" s="6">
        <f t="shared" si="26"/>
        <v>3807.45</v>
      </c>
      <c r="Y36" s="2"/>
      <c r="Z36" s="7">
        <f t="shared" si="27"/>
        <v>0</v>
      </c>
    </row>
    <row r="37" spans="1:26" s="27" customFormat="1" outlineLevel="1" collapsed="1" x14ac:dyDescent="0.25">
      <c r="A37" s="26"/>
      <c r="B37" s="13" t="str">
        <f>CONCATENATE("     ","Advertising/Promo                                 ")</f>
        <v xml:space="preserve">     Advertising/Promo                                 </v>
      </c>
      <c r="C37" s="13"/>
      <c r="D37" s="1">
        <f>SUM(OSRRefD22_2x_0)</f>
        <v>0</v>
      </c>
      <c r="E37" s="1"/>
      <c r="F37" s="5">
        <f t="shared" ref="F37:F47" si="28">IF(D$12=0,0,D37/D$12)</f>
        <v>0</v>
      </c>
      <c r="G37" s="1"/>
      <c r="H37" s="1">
        <f>SUM(OSRRefH22_2x_0)</f>
        <v>0</v>
      </c>
      <c r="I37" s="1"/>
      <c r="J37" s="5">
        <f t="shared" ref="J37:J47" si="29">IF(H$12=0,0,H37/H$12)</f>
        <v>0</v>
      </c>
      <c r="K37" s="1"/>
      <c r="L37" s="1">
        <f t="shared" ref="L37:L47" si="30">+D37-H37</f>
        <v>0</v>
      </c>
      <c r="M37" s="1"/>
      <c r="N37" s="5">
        <f t="shared" ref="N37:N47" si="31">IF(H37=0,0,L37/H37)</f>
        <v>0</v>
      </c>
      <c r="O37" s="13"/>
      <c r="P37" s="1">
        <f>SUM(OSRRefP22_2x_0)</f>
        <v>500</v>
      </c>
      <c r="Q37" s="1"/>
      <c r="R37" s="5">
        <f t="shared" ref="R37:R47" si="32">IF(P$12=0,0,P37/P$12)</f>
        <v>2.3687467927168424E-3</v>
      </c>
      <c r="S37" s="1"/>
      <c r="T37" s="1">
        <f>SUM(OSRRefT22_2x_0)</f>
        <v>0</v>
      </c>
      <c r="U37" s="1"/>
      <c r="V37" s="5">
        <f t="shared" ref="V37:V47" si="33">IF(T$12=0,0,T37/T$12)</f>
        <v>0</v>
      </c>
      <c r="W37" s="1"/>
      <c r="X37" s="1">
        <f t="shared" ref="X37:X47" si="34">+P37-T37</f>
        <v>500</v>
      </c>
      <c r="Y37" s="1"/>
      <c r="Z37" s="5">
        <f t="shared" ref="Z37:Z47" si="35">IF(T37=0,0,X37/T37)</f>
        <v>0</v>
      </c>
    </row>
    <row r="38" spans="1:26" s="24" customFormat="1" hidden="1" outlineLevel="2" x14ac:dyDescent="0.25">
      <c r="A38" s="25"/>
      <c r="B38" s="11" t="str">
        <f>CONCATENATE("          ", "6362", " - ", "ADVERTISING EXPENSE")</f>
        <v xml:space="preserve">          6362 - ADVERTISING EXPENSE</v>
      </c>
      <c r="C38" s="11"/>
      <c r="D38" s="6"/>
      <c r="E38" s="2"/>
      <c r="F38" s="7">
        <f t="shared" si="28"/>
        <v>0</v>
      </c>
      <c r="G38" s="2"/>
      <c r="H38" s="6"/>
      <c r="I38" s="2"/>
      <c r="J38" s="7">
        <f t="shared" si="29"/>
        <v>0</v>
      </c>
      <c r="K38" s="2"/>
      <c r="L38" s="6">
        <f t="shared" si="30"/>
        <v>0</v>
      </c>
      <c r="M38" s="2"/>
      <c r="N38" s="7">
        <f t="shared" si="31"/>
        <v>0</v>
      </c>
      <c r="O38" s="11"/>
      <c r="P38" s="6">
        <v>500</v>
      </c>
      <c r="Q38" s="2"/>
      <c r="R38" s="7">
        <f t="shared" si="32"/>
        <v>2.3687467927168424E-3</v>
      </c>
      <c r="S38" s="2"/>
      <c r="T38" s="6"/>
      <c r="U38" s="2"/>
      <c r="V38" s="7">
        <f t="shared" si="33"/>
        <v>0</v>
      </c>
      <c r="W38" s="2"/>
      <c r="X38" s="6">
        <f t="shared" si="34"/>
        <v>500</v>
      </c>
      <c r="Y38" s="2"/>
      <c r="Z38" s="7">
        <f t="shared" si="35"/>
        <v>0</v>
      </c>
    </row>
    <row r="39" spans="1:26" s="27" customFormat="1" outlineLevel="1" collapsed="1" x14ac:dyDescent="0.25">
      <c r="A39" s="26"/>
      <c r="B39" s="13" t="str">
        <f>CONCATENATE("     ","Bad Debts/Over/Short                              ")</f>
        <v xml:space="preserve">     Bad Debts/Over/Short                              </v>
      </c>
      <c r="C39" s="13"/>
      <c r="D39" s="1">
        <f>SUM(OSRRefD22_3x_0)</f>
        <v>-1.98</v>
      </c>
      <c r="E39" s="1"/>
      <c r="F39" s="5">
        <f t="shared" si="28"/>
        <v>-6.5921706986002965E-5</v>
      </c>
      <c r="G39" s="1"/>
      <c r="H39" s="1">
        <f>SUM(OSRRefH22_3x_0)</f>
        <v>0</v>
      </c>
      <c r="I39" s="1"/>
      <c r="J39" s="5">
        <f t="shared" si="29"/>
        <v>0</v>
      </c>
      <c r="K39" s="1"/>
      <c r="L39" s="1">
        <f t="shared" si="30"/>
        <v>-1.98</v>
      </c>
      <c r="M39" s="1"/>
      <c r="N39" s="5">
        <f t="shared" si="31"/>
        <v>0</v>
      </c>
      <c r="O39" s="13"/>
      <c r="P39" s="1">
        <f>SUM(OSRRefP22_3x_0)</f>
        <v>-1.98</v>
      </c>
      <c r="Q39" s="1"/>
      <c r="R39" s="5">
        <f t="shared" si="32"/>
        <v>-9.3802372991586962E-6</v>
      </c>
      <c r="S39" s="1"/>
      <c r="T39" s="1">
        <f>SUM(OSRRefT22_3x_0)</f>
        <v>0</v>
      </c>
      <c r="U39" s="1"/>
      <c r="V39" s="5">
        <f t="shared" si="33"/>
        <v>0</v>
      </c>
      <c r="W39" s="1"/>
      <c r="X39" s="1">
        <f t="shared" si="34"/>
        <v>-1.98</v>
      </c>
      <c r="Y39" s="1"/>
      <c r="Z39" s="5">
        <f t="shared" si="35"/>
        <v>0</v>
      </c>
    </row>
    <row r="40" spans="1:26" s="24" customFormat="1" hidden="1" outlineLevel="2" x14ac:dyDescent="0.25">
      <c r="A40" s="25"/>
      <c r="B40" s="11" t="str">
        <f>CONCATENATE("          ", "6272", " - ", "CASH (OVER/SHORT)")</f>
        <v xml:space="preserve">          6272 - CASH (OVER/SHORT)</v>
      </c>
      <c r="C40" s="11"/>
      <c r="D40" s="6">
        <v>-1.98</v>
      </c>
      <c r="E40" s="2"/>
      <c r="F40" s="7">
        <f t="shared" si="28"/>
        <v>-6.5921706986002965E-5</v>
      </c>
      <c r="G40" s="2"/>
      <c r="H40" s="6"/>
      <c r="I40" s="2"/>
      <c r="J40" s="7">
        <f t="shared" si="29"/>
        <v>0</v>
      </c>
      <c r="K40" s="2"/>
      <c r="L40" s="6">
        <f t="shared" si="30"/>
        <v>-1.98</v>
      </c>
      <c r="M40" s="2"/>
      <c r="N40" s="7">
        <f t="shared" si="31"/>
        <v>0</v>
      </c>
      <c r="O40" s="11"/>
      <c r="P40" s="6">
        <v>-1.98</v>
      </c>
      <c r="Q40" s="2"/>
      <c r="R40" s="7">
        <f t="shared" si="32"/>
        <v>-9.3802372991586962E-6</v>
      </c>
      <c r="S40" s="2"/>
      <c r="T40" s="6"/>
      <c r="U40" s="2"/>
      <c r="V40" s="7">
        <f t="shared" si="33"/>
        <v>0</v>
      </c>
      <c r="W40" s="2"/>
      <c r="X40" s="6">
        <f t="shared" si="34"/>
        <v>-1.98</v>
      </c>
      <c r="Y40" s="2"/>
      <c r="Z40" s="7">
        <f t="shared" si="35"/>
        <v>0</v>
      </c>
    </row>
    <row r="41" spans="1:26" s="27" customFormat="1" outlineLevel="1" collapsed="1" x14ac:dyDescent="0.25">
      <c r="A41" s="26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SUM(OSRRefD22_4x_0)</f>
        <v>296.43</v>
      </c>
      <c r="E41" s="1"/>
      <c r="F41" s="5">
        <f t="shared" si="28"/>
        <v>9.8692785867984141E-3</v>
      </c>
      <c r="G41" s="1"/>
      <c r="H41" s="1">
        <f>SUM(OSRRefH22_4x_0)</f>
        <v>0</v>
      </c>
      <c r="I41" s="1"/>
      <c r="J41" s="5">
        <f t="shared" si="29"/>
        <v>0</v>
      </c>
      <c r="K41" s="1"/>
      <c r="L41" s="1">
        <f t="shared" si="30"/>
        <v>296.43</v>
      </c>
      <c r="M41" s="1"/>
      <c r="N41" s="5">
        <f t="shared" si="31"/>
        <v>0</v>
      </c>
      <c r="O41" s="13"/>
      <c r="P41" s="1">
        <f>SUM(OSRRefP22_4x_0)</f>
        <v>685.09</v>
      </c>
      <c r="Q41" s="1"/>
      <c r="R41" s="5">
        <f t="shared" si="32"/>
        <v>3.2456094804447634E-3</v>
      </c>
      <c r="S41" s="1"/>
      <c r="T41" s="1">
        <f>SUM(OSRRefT22_4x_0)</f>
        <v>0</v>
      </c>
      <c r="U41" s="1"/>
      <c r="V41" s="5">
        <f t="shared" si="33"/>
        <v>0</v>
      </c>
      <c r="W41" s="1"/>
      <c r="X41" s="1">
        <f t="shared" si="34"/>
        <v>685.09</v>
      </c>
      <c r="Y41" s="1"/>
      <c r="Z41" s="5">
        <f t="shared" si="35"/>
        <v>0</v>
      </c>
    </row>
    <row r="42" spans="1:26" s="24" customFormat="1" hidden="1" outlineLevel="2" x14ac:dyDescent="0.25">
      <c r="A42" s="25"/>
      <c r="B42" s="11" t="str">
        <f>CONCATENATE("          ", "6381", " - ", "BANK/CREDIT CARD FEES")</f>
        <v xml:space="preserve">          6381 - BANK/CREDIT CARD FEES</v>
      </c>
      <c r="C42" s="11"/>
      <c r="D42" s="6">
        <v>296.43</v>
      </c>
      <c r="E42" s="2"/>
      <c r="F42" s="7">
        <f t="shared" si="28"/>
        <v>9.8692785867984141E-3</v>
      </c>
      <c r="G42" s="2"/>
      <c r="H42" s="6"/>
      <c r="I42" s="2"/>
      <c r="J42" s="7">
        <f t="shared" si="29"/>
        <v>0</v>
      </c>
      <c r="K42" s="2"/>
      <c r="L42" s="6">
        <f t="shared" si="30"/>
        <v>296.43</v>
      </c>
      <c r="M42" s="2"/>
      <c r="N42" s="7">
        <f t="shared" si="31"/>
        <v>0</v>
      </c>
      <c r="O42" s="11"/>
      <c r="P42" s="6">
        <v>685.09</v>
      </c>
      <c r="Q42" s="2"/>
      <c r="R42" s="7">
        <f t="shared" si="32"/>
        <v>3.2456094804447634E-3</v>
      </c>
      <c r="S42" s="2"/>
      <c r="T42" s="6"/>
      <c r="U42" s="2"/>
      <c r="V42" s="7">
        <f t="shared" si="33"/>
        <v>0</v>
      </c>
      <c r="W42" s="2"/>
      <c r="X42" s="6">
        <f t="shared" si="34"/>
        <v>685.09</v>
      </c>
      <c r="Y42" s="2"/>
      <c r="Z42" s="7">
        <f t="shared" si="35"/>
        <v>0</v>
      </c>
    </row>
    <row r="43" spans="1:26" s="27" customFormat="1" outlineLevel="1" collapsed="1" x14ac:dyDescent="0.25">
      <c r="A43" s="26"/>
      <c r="B43" s="13" t="str">
        <f>CONCATENATE("     ","Repair and Maintenance                            ")</f>
        <v xml:space="preserve">     Repair and Maintenance                            </v>
      </c>
      <c r="C43" s="13"/>
      <c r="D43" s="1">
        <f>SUM(OSRRefD22_5x_0)</f>
        <v>0</v>
      </c>
      <c r="E43" s="1"/>
      <c r="F43" s="5">
        <f t="shared" si="28"/>
        <v>0</v>
      </c>
      <c r="G43" s="1"/>
      <c r="H43" s="1">
        <f>SUM(OSRRefH22_5x_0)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3"/>
      <c r="P43" s="1">
        <f>SUM(OSRRefP22_5x_0)</f>
        <v>1151.21</v>
      </c>
      <c r="Q43" s="1"/>
      <c r="R43" s="5">
        <f t="shared" si="32"/>
        <v>5.4538499904871127E-3</v>
      </c>
      <c r="S43" s="1"/>
      <c r="T43" s="1">
        <f>SUM(OSRRefT22_5x_0)</f>
        <v>0</v>
      </c>
      <c r="U43" s="1"/>
      <c r="V43" s="5">
        <f t="shared" si="33"/>
        <v>0</v>
      </c>
      <c r="W43" s="1"/>
      <c r="X43" s="1">
        <f t="shared" si="34"/>
        <v>1151.21</v>
      </c>
      <c r="Y43" s="1"/>
      <c r="Z43" s="5">
        <f t="shared" si="35"/>
        <v>0</v>
      </c>
    </row>
    <row r="44" spans="1:26" s="24" customFormat="1" hidden="1" outlineLevel="2" x14ac:dyDescent="0.25">
      <c r="A44" s="25"/>
      <c r="B44" s="11" t="str">
        <f>CONCATENATE("          ", "6375", " - ", "OUTSIDE REPAIRS &amp; MAINTENANCE")</f>
        <v xml:space="preserve">          6375 - OUTSIDE REPAIRS &amp; MAINTENANCE</v>
      </c>
      <c r="C44" s="11"/>
      <c r="D44" s="6"/>
      <c r="E44" s="2"/>
      <c r="F44" s="7">
        <f t="shared" si="28"/>
        <v>0</v>
      </c>
      <c r="G44" s="2"/>
      <c r="H44" s="6"/>
      <c r="I44" s="2"/>
      <c r="J44" s="7">
        <f t="shared" si="29"/>
        <v>0</v>
      </c>
      <c r="K44" s="2"/>
      <c r="L44" s="6">
        <f t="shared" si="30"/>
        <v>0</v>
      </c>
      <c r="M44" s="2"/>
      <c r="N44" s="7">
        <f t="shared" si="31"/>
        <v>0</v>
      </c>
      <c r="O44" s="11"/>
      <c r="P44" s="6">
        <v>1151.21</v>
      </c>
      <c r="Q44" s="2"/>
      <c r="R44" s="7">
        <f t="shared" si="32"/>
        <v>5.4538499904871127E-3</v>
      </c>
      <c r="S44" s="2"/>
      <c r="T44" s="6"/>
      <c r="U44" s="2"/>
      <c r="V44" s="7">
        <f t="shared" si="33"/>
        <v>0</v>
      </c>
      <c r="W44" s="2"/>
      <c r="X44" s="6">
        <f t="shared" si="34"/>
        <v>1151.21</v>
      </c>
      <c r="Y44" s="2"/>
      <c r="Z44" s="7">
        <f t="shared" si="35"/>
        <v>0</v>
      </c>
    </row>
    <row r="45" spans="1:26" s="27" customFormat="1" outlineLevel="1" collapsed="1" x14ac:dyDescent="0.25">
      <c r="A45" s="26"/>
      <c r="B45" s="13" t="str">
        <f>CONCATENATE("     ","Supplies                                          ")</f>
        <v xml:space="preserve">     Supplies                                          </v>
      </c>
      <c r="C45" s="13"/>
      <c r="D45" s="1">
        <f>SUM(OSRRefD22_6x_0)</f>
        <v>0</v>
      </c>
      <c r="E45" s="1"/>
      <c r="F45" s="5">
        <f t="shared" si="28"/>
        <v>0</v>
      </c>
      <c r="G45" s="1"/>
      <c r="H45" s="1">
        <f>SUM(OSRRefH22_6x_0)</f>
        <v>0</v>
      </c>
      <c r="I45" s="1"/>
      <c r="J45" s="5">
        <f t="shared" si="29"/>
        <v>0</v>
      </c>
      <c r="K45" s="1"/>
      <c r="L45" s="1">
        <f t="shared" si="30"/>
        <v>0</v>
      </c>
      <c r="M45" s="1"/>
      <c r="N45" s="5">
        <f t="shared" si="31"/>
        <v>0</v>
      </c>
      <c r="O45" s="13"/>
      <c r="P45" s="1">
        <f>SUM(OSRRefP22_6x_0)</f>
        <v>1137.47</v>
      </c>
      <c r="Q45" s="1"/>
      <c r="R45" s="5">
        <f t="shared" si="32"/>
        <v>5.388756828623254E-3</v>
      </c>
      <c r="S45" s="1"/>
      <c r="T45" s="1">
        <f>SUM(OSRRefT22_6x_0)</f>
        <v>0</v>
      </c>
      <c r="U45" s="1"/>
      <c r="V45" s="5">
        <f t="shared" si="33"/>
        <v>0</v>
      </c>
      <c r="W45" s="1"/>
      <c r="X45" s="1">
        <f t="shared" si="34"/>
        <v>1137.47</v>
      </c>
      <c r="Y45" s="1"/>
      <c r="Z45" s="5">
        <f t="shared" si="35"/>
        <v>0</v>
      </c>
    </row>
    <row r="46" spans="1:26" s="24" customFormat="1" hidden="1" outlineLevel="2" x14ac:dyDescent="0.25">
      <c r="A46" s="25"/>
      <c r="B46" s="11" t="str">
        <f>CONCATENATE("          ", "6241", " - ", "OFFICE EXPENSE")</f>
        <v xml:space="preserve">          6241 - OFFICE EXPENSE</v>
      </c>
      <c r="C46" s="11"/>
      <c r="D46" s="6"/>
      <c r="E46" s="2"/>
      <c r="F46" s="7">
        <f t="shared" si="28"/>
        <v>0</v>
      </c>
      <c r="G46" s="2"/>
      <c r="H46" s="6"/>
      <c r="I46" s="2"/>
      <c r="J46" s="7">
        <f t="shared" si="29"/>
        <v>0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>
        <v>914.08</v>
      </c>
      <c r="Q46" s="2"/>
      <c r="R46" s="7">
        <f t="shared" si="32"/>
        <v>4.330448136573223E-3</v>
      </c>
      <c r="S46" s="2"/>
      <c r="T46" s="6"/>
      <c r="U46" s="2"/>
      <c r="V46" s="7">
        <f t="shared" si="33"/>
        <v>0</v>
      </c>
      <c r="W46" s="2"/>
      <c r="X46" s="6">
        <f t="shared" si="34"/>
        <v>914.08</v>
      </c>
      <c r="Y46" s="2"/>
      <c r="Z46" s="7">
        <f t="shared" si="35"/>
        <v>0</v>
      </c>
    </row>
    <row r="47" spans="1:26" s="24" customFormat="1" hidden="1" outlineLevel="2" x14ac:dyDescent="0.25">
      <c r="A47" s="25"/>
      <c r="B47" s="11" t="str">
        <f>CONCATENATE("          ", "6247", " - ", "STORE SUPPLIES")</f>
        <v xml:space="preserve">          6247 - STORE SUPPLIES</v>
      </c>
      <c r="C47" s="11"/>
      <c r="D47" s="6"/>
      <c r="E47" s="2"/>
      <c r="F47" s="7">
        <f t="shared" si="28"/>
        <v>0</v>
      </c>
      <c r="G47" s="2"/>
      <c r="H47" s="6"/>
      <c r="I47" s="2"/>
      <c r="J47" s="7">
        <f t="shared" si="29"/>
        <v>0</v>
      </c>
      <c r="K47" s="2"/>
      <c r="L47" s="6">
        <f t="shared" si="30"/>
        <v>0</v>
      </c>
      <c r="M47" s="2"/>
      <c r="N47" s="7">
        <f t="shared" si="31"/>
        <v>0</v>
      </c>
      <c r="O47" s="11"/>
      <c r="P47" s="6">
        <v>223.39</v>
      </c>
      <c r="Q47" s="2"/>
      <c r="R47" s="7">
        <f t="shared" si="32"/>
        <v>1.0583086920500308E-3</v>
      </c>
      <c r="S47" s="2"/>
      <c r="T47" s="6"/>
      <c r="U47" s="2"/>
      <c r="V47" s="7">
        <f t="shared" si="33"/>
        <v>0</v>
      </c>
      <c r="W47" s="2"/>
      <c r="X47" s="6">
        <f t="shared" si="34"/>
        <v>223.39</v>
      </c>
      <c r="Y47" s="2"/>
      <c r="Z47" s="7">
        <f t="shared" si="35"/>
        <v>0</v>
      </c>
    </row>
    <row r="48" spans="1:26" s="27" customFormat="1" outlineLevel="1" collapsed="1" x14ac:dyDescent="0.25">
      <c r="A48" s="26"/>
      <c r="B48" s="13" t="str">
        <f>CONCATENATE("     ","Travel                                            ")</f>
        <v xml:space="preserve">     Travel                                            </v>
      </c>
      <c r="C48" s="13"/>
      <c r="D48" s="1">
        <f>SUM(OSRRefD22_7x_0)</f>
        <v>0</v>
      </c>
      <c r="E48" s="1"/>
      <c r="F48" s="5">
        <f t="shared" ref="F48:F49" si="36">IF(D$12=0,0,D48/D$12)</f>
        <v>0</v>
      </c>
      <c r="G48" s="1"/>
      <c r="H48" s="1">
        <f>SUM(OSRRefH22_7x_0)</f>
        <v>0</v>
      </c>
      <c r="I48" s="1"/>
      <c r="J48" s="5">
        <f t="shared" ref="J48:J49" si="37">IF(H$12=0,0,H48/H$12)</f>
        <v>0</v>
      </c>
      <c r="K48" s="1"/>
      <c r="L48" s="1">
        <f t="shared" ref="L48:L49" si="38">+D48-H48</f>
        <v>0</v>
      </c>
      <c r="M48" s="1"/>
      <c r="N48" s="5">
        <f t="shared" ref="N48:N49" si="39">IF(H48=0,0,L48/H48)</f>
        <v>0</v>
      </c>
      <c r="O48" s="13"/>
      <c r="P48" s="1">
        <f>SUM(OSRRefP22_7x_0)</f>
        <v>1269.1500000000001</v>
      </c>
      <c r="Q48" s="1"/>
      <c r="R48" s="5">
        <f t="shared" ref="R48:R49" si="40">IF(P$12=0,0,P48/P$12)</f>
        <v>6.0125899839531616E-3</v>
      </c>
      <c r="S48" s="1"/>
      <c r="T48" s="1">
        <f>SUM(OSRRefT22_7x_0)</f>
        <v>0</v>
      </c>
      <c r="U48" s="1"/>
      <c r="V48" s="5">
        <f t="shared" ref="V48:V49" si="41">IF(T$12=0,0,T48/T$12)</f>
        <v>0</v>
      </c>
      <c r="W48" s="1"/>
      <c r="X48" s="1">
        <f t="shared" ref="X48:X49" si="42">+P48-T48</f>
        <v>1269.1500000000001</v>
      </c>
      <c r="Y48" s="1"/>
      <c r="Z48" s="5">
        <f t="shared" ref="Z48:Z49" si="43">IF(T48=0,0,X48/T48)</f>
        <v>0</v>
      </c>
    </row>
    <row r="49" spans="1:26" s="24" customFormat="1" hidden="1" outlineLevel="2" x14ac:dyDescent="0.25">
      <c r="A49" s="25"/>
      <c r="B49" s="11" t="str">
        <f>CONCATENATE("          ", "6292", " - ", "TRAVEL/CONFERENCE")</f>
        <v xml:space="preserve">          6292 - TRAVEL/CONFERENCE</v>
      </c>
      <c r="C49" s="11"/>
      <c r="D49" s="6"/>
      <c r="E49" s="2"/>
      <c r="F49" s="7">
        <f t="shared" si="36"/>
        <v>0</v>
      </c>
      <c r="G49" s="2"/>
      <c r="H49" s="6"/>
      <c r="I49" s="2"/>
      <c r="J49" s="7">
        <f t="shared" si="37"/>
        <v>0</v>
      </c>
      <c r="K49" s="2"/>
      <c r="L49" s="6">
        <f t="shared" si="38"/>
        <v>0</v>
      </c>
      <c r="M49" s="2"/>
      <c r="N49" s="7">
        <f t="shared" si="39"/>
        <v>0</v>
      </c>
      <c r="O49" s="11"/>
      <c r="P49" s="6">
        <v>1269.1500000000001</v>
      </c>
      <c r="Q49" s="2"/>
      <c r="R49" s="7">
        <f t="shared" si="40"/>
        <v>6.0125899839531616E-3</v>
      </c>
      <c r="S49" s="2"/>
      <c r="T49" s="6"/>
      <c r="U49" s="2"/>
      <c r="V49" s="7">
        <f t="shared" si="41"/>
        <v>0</v>
      </c>
      <c r="W49" s="2"/>
      <c r="X49" s="6">
        <f t="shared" si="42"/>
        <v>1269.1500000000001</v>
      </c>
      <c r="Y49" s="2"/>
      <c r="Z49" s="7">
        <f t="shared" si="43"/>
        <v>0</v>
      </c>
    </row>
    <row r="50" spans="1:26" s="56" customFormat="1" x14ac:dyDescent="0.25">
      <c r="A50" s="36"/>
      <c r="B50" s="36"/>
      <c r="C50" s="36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6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25">
      <c r="A51" s="10"/>
      <c r="B51" s="29" t="s">
        <v>0</v>
      </c>
      <c r="C51" s="10"/>
      <c r="D51" s="4">
        <f>SUM(0)</f>
        <v>0</v>
      </c>
      <c r="E51" s="4"/>
      <c r="F51" s="12">
        <f>IF(D$12=0,0,D51/D$12)</f>
        <v>0</v>
      </c>
      <c r="G51" s="4"/>
      <c r="H51" s="4">
        <f>SUM(0)</f>
        <v>0</v>
      </c>
      <c r="I51" s="4"/>
      <c r="J51" s="12">
        <f>IF(H$12=0,0,H51/H$12)</f>
        <v>0</v>
      </c>
      <c r="K51" s="4"/>
      <c r="L51" s="4">
        <f>+D51-H51</f>
        <v>0</v>
      </c>
      <c r="M51" s="4"/>
      <c r="N51" s="12">
        <f>IF(H51=0,0,L51/H51)</f>
        <v>0</v>
      </c>
      <c r="O51" s="10"/>
      <c r="P51" s="4">
        <f>SUM(0)</f>
        <v>0</v>
      </c>
      <c r="Q51" s="4"/>
      <c r="R51" s="12">
        <f>IF(P$12=0,0,P51/P$12)</f>
        <v>0</v>
      </c>
      <c r="S51" s="4"/>
      <c r="T51" s="4">
        <f>SUM(0)</f>
        <v>0</v>
      </c>
      <c r="U51" s="4"/>
      <c r="V51" s="12">
        <f>IF(T$12=0,0,T51/T$12)</f>
        <v>0</v>
      </c>
      <c r="W51" s="4"/>
      <c r="X51" s="4">
        <f>+P51-T51</f>
        <v>0</v>
      </c>
      <c r="Y51" s="4"/>
      <c r="Z51" s="12">
        <f>IF(T51=0,0,X51/T51)</f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8" t="s">
        <v>3</v>
      </c>
      <c r="C53" s="28"/>
      <c r="D53" s="20">
        <f>+D20-D22+D51</f>
        <v>-25537.749999999993</v>
      </c>
      <c r="E53" s="14"/>
      <c r="F53" s="22">
        <f>IF(D$12=0,0,D53/D$12)</f>
        <v>-0.85024852150595798</v>
      </c>
      <c r="G53" s="14"/>
      <c r="H53" s="20">
        <f>+H20-H22+H51</f>
        <v>0</v>
      </c>
      <c r="I53" s="14"/>
      <c r="J53" s="22">
        <f>IF(H$12=0,0,H53/H$12)</f>
        <v>0</v>
      </c>
      <c r="K53" s="16"/>
      <c r="L53" s="20">
        <f>+D53-H53</f>
        <v>-25537.749999999993</v>
      </c>
      <c r="M53" s="16"/>
      <c r="N53" s="22">
        <f>IF(H53=0,0,L53/H53)</f>
        <v>0</v>
      </c>
      <c r="O53" s="29"/>
      <c r="P53" s="20">
        <f>+P20-P22+P51</f>
        <v>-28129.749999999971</v>
      </c>
      <c r="Q53" s="14"/>
      <c r="R53" s="22">
        <f>IF(P$12=0,0,P53/P$12)</f>
        <v>-0.13326451018485305</v>
      </c>
      <c r="S53" s="14"/>
      <c r="T53" s="20">
        <f>+T20-T22+T51</f>
        <v>0</v>
      </c>
      <c r="U53" s="14"/>
      <c r="V53" s="22">
        <f>IF(T$12=0,0,T53/T$12)</f>
        <v>0</v>
      </c>
      <c r="W53" s="16"/>
      <c r="X53" s="20">
        <f>+P53-T53</f>
        <v>-28129.749999999971</v>
      </c>
      <c r="Y53" s="16"/>
      <c r="Z53" s="22">
        <f>IF(T53=0,0,X53/T53)</f>
        <v>0</v>
      </c>
    </row>
    <row r="54" spans="1:26" x14ac:dyDescent="0.25">
      <c r="A54" s="9"/>
      <c r="B54" s="10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52"/>
      <c r="B55" s="10" t="s">
        <v>14</v>
      </c>
      <c r="C55" s="10"/>
      <c r="D55" s="4">
        <v>4165.75</v>
      </c>
      <c r="E55" s="4"/>
      <c r="F55" s="12">
        <f>IF(D$12=0,0,D55/D$12)</f>
        <v>0.13869361155401103</v>
      </c>
      <c r="G55" s="4"/>
      <c r="H55" s="4"/>
      <c r="I55" s="4"/>
      <c r="J55" s="12">
        <f>IF(H$12=0,0,H55/H$12)</f>
        <v>0</v>
      </c>
      <c r="K55" s="4"/>
      <c r="L55" s="4">
        <f>+D55-H55</f>
        <v>4165.75</v>
      </c>
      <c r="M55" s="4"/>
      <c r="N55" s="12">
        <f>IF(H55=0,0,L55/H55)</f>
        <v>0</v>
      </c>
      <c r="O55" s="10"/>
      <c r="P55" s="4">
        <v>22617.96</v>
      </c>
      <c r="Q55" s="4"/>
      <c r="R55" s="12">
        <f>IF(P$12=0,0,P55/P$12)</f>
        <v>0.10715244041559567</v>
      </c>
      <c r="S55" s="4"/>
      <c r="T55" s="4"/>
      <c r="U55" s="4"/>
      <c r="V55" s="12">
        <f>IF(T$12=0,0,T55/T$12)</f>
        <v>0</v>
      </c>
      <c r="W55" s="4"/>
      <c r="X55" s="4">
        <f>+P55-T55</f>
        <v>22617.96</v>
      </c>
      <c r="Y55" s="4"/>
      <c r="Z55" s="12">
        <f>IF(T55=0,0,X55/T55)</f>
        <v>0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8" t="s">
        <v>4</v>
      </c>
      <c r="C57" s="28"/>
      <c r="D57" s="31">
        <f>+D53-D55</f>
        <v>-29703.499999999993</v>
      </c>
      <c r="E57" s="14"/>
      <c r="F57" s="34">
        <f>IF(D$12=0,0,D57/D$12)</f>
        <v>-0.98894213305996892</v>
      </c>
      <c r="G57" s="14"/>
      <c r="H57" s="31">
        <f>+H53-H55</f>
        <v>0</v>
      </c>
      <c r="I57" s="14"/>
      <c r="J57" s="34">
        <f>IF(H$12=0,0,H57/H$12)</f>
        <v>0</v>
      </c>
      <c r="K57" s="16"/>
      <c r="L57" s="31">
        <f>D57-H57</f>
        <v>-29703.499999999993</v>
      </c>
      <c r="M57" s="16"/>
      <c r="N57" s="34">
        <f>IF(H57=0,0,L57/H57)</f>
        <v>0</v>
      </c>
      <c r="O57" s="29"/>
      <c r="P57" s="31">
        <f>+P53-P55</f>
        <v>-50747.70999999997</v>
      </c>
      <c r="Q57" s="14"/>
      <c r="R57" s="34">
        <f>IF(P$12=0,0,P57/P$12)</f>
        <v>-0.24041695060044874</v>
      </c>
      <c r="S57" s="14"/>
      <c r="T57" s="31">
        <f>+T53-T55</f>
        <v>0</v>
      </c>
      <c r="U57" s="14"/>
      <c r="V57" s="34">
        <f>IF(T$12=0,0,T57/T$12)</f>
        <v>0</v>
      </c>
      <c r="W57" s="16"/>
      <c r="X57" s="31">
        <f>P57-T57</f>
        <v>-50747.70999999997</v>
      </c>
      <c r="Y57" s="16"/>
      <c r="Z57" s="34">
        <f>IF(T57=0,0,X57/T57)</f>
        <v>0</v>
      </c>
    </row>
    <row r="58" spans="1:26" ht="15.75" thickTop="1" x14ac:dyDescent="0.25">
      <c r="A58" s="9"/>
      <c r="B58" s="9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x14ac:dyDescent="0.2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.75" thickBot="1" x14ac:dyDescent="0.3">
      <c r="A60" s="10"/>
      <c r="B60" s="28" t="s">
        <v>5</v>
      </c>
      <c r="C60" s="28"/>
      <c r="D60" s="32">
        <f>SUM(D57:D59)</f>
        <v>-29703.499999999993</v>
      </c>
      <c r="E60" s="14"/>
      <c r="F60" s="35">
        <f>IF(D$12=0,0,D60/D$12)</f>
        <v>-0.98894213305996892</v>
      </c>
      <c r="G60" s="14"/>
      <c r="H60" s="32">
        <f>SUM(H57:H59)</f>
        <v>0</v>
      </c>
      <c r="I60" s="14"/>
      <c r="J60" s="35">
        <f>IF(H$12=0,0,H60/H$12)</f>
        <v>0</v>
      </c>
      <c r="K60" s="16"/>
      <c r="L60" s="32">
        <f>+D60-H60</f>
        <v>-29703.499999999993</v>
      </c>
      <c r="M60" s="16"/>
      <c r="N60" s="35">
        <f>IF(H60=0,0,L60/H60)</f>
        <v>0</v>
      </c>
      <c r="O60" s="29"/>
      <c r="P60" s="32">
        <f>SUM(P57:P59)</f>
        <v>-50747.70999999997</v>
      </c>
      <c r="Q60" s="14"/>
      <c r="R60" s="35">
        <f>IF(P$12=0,0,P60/P$12)</f>
        <v>-0.24041695060044874</v>
      </c>
      <c r="S60" s="14"/>
      <c r="T60" s="32">
        <f>SUM(T57:T59)</f>
        <v>0</v>
      </c>
      <c r="U60" s="14"/>
      <c r="V60" s="35">
        <f>IF(T$12=0,0,T60/T$12)</f>
        <v>0</v>
      </c>
      <c r="W60" s="16"/>
      <c r="X60" s="32">
        <f>+P60-T60</f>
        <v>-50747.70999999997</v>
      </c>
      <c r="Y60" s="16"/>
      <c r="Z60" s="35">
        <f>IF(T60=0,0,X60/T60)</f>
        <v>0</v>
      </c>
    </row>
    <row r="61" spans="1:26" ht="15.75" thickTop="1" x14ac:dyDescent="0.25">
      <c r="A61" s="9"/>
      <c r="C61" s="9"/>
      <c r="D61" s="18"/>
      <c r="E61" s="18"/>
      <c r="G61" s="18"/>
      <c r="H61" s="18"/>
      <c r="I61" s="18"/>
      <c r="J61" s="42"/>
      <c r="K61" s="18"/>
      <c r="L61" s="18"/>
      <c r="M61" s="18"/>
      <c r="P61" s="18"/>
      <c r="Q61" s="18"/>
      <c r="R61" s="42"/>
      <c r="S61" s="18"/>
      <c r="T61" s="18"/>
      <c r="U61" s="18"/>
      <c r="V61" s="42"/>
      <c r="W61" s="18"/>
      <c r="X61" s="18"/>
    </row>
    <row r="62" spans="1:26" x14ac:dyDescent="0.25">
      <c r="A62" s="9"/>
      <c r="B62" s="57">
        <v>43934.466845601855</v>
      </c>
      <c r="D62" s="18"/>
      <c r="E62" s="18"/>
      <c r="G62" s="18"/>
      <c r="H62" s="18"/>
      <c r="I62" s="18"/>
      <c r="J62" s="42"/>
      <c r="K62" s="18"/>
      <c r="L62" s="18"/>
      <c r="M62" s="18"/>
      <c r="P62" s="18"/>
      <c r="Q62" s="18"/>
      <c r="R62" s="42"/>
      <c r="S62" s="18"/>
      <c r="T62" s="18"/>
      <c r="U62" s="18"/>
      <c r="V62" s="42"/>
      <c r="W62" s="18"/>
      <c r="X62" s="18"/>
    </row>
    <row r="63" spans="1:26" x14ac:dyDescent="0.25">
      <c r="A63" s="9"/>
      <c r="B63" s="62" t="s">
        <v>314</v>
      </c>
      <c r="D63" s="18"/>
      <c r="E63" s="18"/>
      <c r="G63" s="18"/>
      <c r="H63" s="18"/>
      <c r="I63" s="18"/>
      <c r="J63" s="42"/>
      <c r="K63" s="18"/>
      <c r="L63" s="18"/>
      <c r="M63" s="18"/>
      <c r="P63" s="18"/>
      <c r="Q63" s="18"/>
      <c r="R63" s="42"/>
      <c r="S63" s="18"/>
      <c r="T63" s="18"/>
      <c r="U63" s="18"/>
      <c r="V63" s="42"/>
      <c r="W63" s="18"/>
      <c r="X63" s="18"/>
    </row>
    <row r="64" spans="1:26" x14ac:dyDescent="0.25">
      <c r="A64" s="9"/>
      <c r="B64" s="60"/>
      <c r="D64" s="18"/>
      <c r="E64" s="18"/>
      <c r="G64" s="18"/>
      <c r="H64" s="18"/>
      <c r="I64" s="18"/>
      <c r="J64" s="42"/>
      <c r="K64" s="18"/>
      <c r="L64" s="18"/>
      <c r="M64" s="18"/>
      <c r="P64" s="18"/>
      <c r="Q64" s="18"/>
      <c r="R64" s="42"/>
      <c r="S64" s="18"/>
      <c r="T64" s="18"/>
      <c r="U64" s="18"/>
      <c r="V64" s="42"/>
      <c r="W64" s="18"/>
      <c r="X64" s="18"/>
    </row>
    <row r="65" spans="4:24" x14ac:dyDescent="0.25">
      <c r="D65" s="18"/>
      <c r="E65" s="18"/>
      <c r="G65" s="18"/>
      <c r="H65" s="18"/>
      <c r="I65" s="18"/>
      <c r="J65" s="42"/>
      <c r="K65" s="18"/>
      <c r="L65" s="18"/>
      <c r="M65" s="18"/>
      <c r="P65" s="18"/>
      <c r="Q65" s="18"/>
      <c r="R65" s="42"/>
      <c r="S65" s="18"/>
      <c r="T65" s="18"/>
      <c r="U65" s="18"/>
      <c r="V65" s="42"/>
      <c r="W65" s="18"/>
      <c r="X65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","413", " - ", "Beach Walk")</f>
        <v>Department 413 - Beach Walk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15804.53</v>
      </c>
      <c r="E12" s="4"/>
      <c r="F12" s="12"/>
      <c r="G12" s="4"/>
      <c r="H12" s="4">
        <f>SUM(OSRRefH13x_0)</f>
        <v>56500</v>
      </c>
      <c r="I12" s="4"/>
      <c r="J12" s="12"/>
      <c r="K12" s="4"/>
      <c r="L12" s="4">
        <f t="shared" ref="L12:L16" si="0">+D12-H12</f>
        <v>-40695.47</v>
      </c>
      <c r="M12" s="4"/>
      <c r="N12" s="12">
        <f t="shared" ref="N12:N16" si="1">IF(H12=0,0,L12/H12)</f>
        <v>-0.72027380530973451</v>
      </c>
      <c r="O12" s="10"/>
      <c r="P12" s="4">
        <f>SUM(OSRRefP13x_0)</f>
        <v>255048.55</v>
      </c>
      <c r="Q12" s="4"/>
      <c r="R12" s="12"/>
      <c r="S12" s="4"/>
      <c r="T12" s="4">
        <f>SUM(OSRRefT13x_0)</f>
        <v>352022</v>
      </c>
      <c r="U12" s="4"/>
      <c r="V12" s="12"/>
      <c r="W12" s="4"/>
      <c r="X12" s="4">
        <f t="shared" ref="X12:X16" si="2">+P12-T12</f>
        <v>-96973.450000000012</v>
      </c>
      <c r="Y12" s="4"/>
      <c r="Z12" s="12">
        <f t="shared" ref="Z12:Z16" si="3">IF(T12=0,0,X12/T12)</f>
        <v>-0.27547553846066442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11250</v>
      </c>
      <c r="I13" s="2"/>
      <c r="J13" s="19"/>
      <c r="K13" s="2"/>
      <c r="L13" s="2">
        <f t="shared" si="0"/>
        <v>-11250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69747</v>
      </c>
      <c r="U13" s="2"/>
      <c r="V13" s="19"/>
      <c r="W13" s="2"/>
      <c r="X13" s="2">
        <f t="shared" si="2"/>
        <v>-69747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--3077.66</f>
        <v>3077.66</v>
      </c>
      <c r="E14" s="2"/>
      <c r="F14" s="19"/>
      <c r="G14" s="2"/>
      <c r="H14" s="2"/>
      <c r="I14" s="2"/>
      <c r="J14" s="19"/>
      <c r="K14" s="2"/>
      <c r="L14" s="2">
        <f t="shared" si="0"/>
        <v>3077.66</v>
      </c>
      <c r="M14" s="2"/>
      <c r="N14" s="19">
        <f t="shared" si="1"/>
        <v>0</v>
      </c>
      <c r="O14" s="11"/>
      <c r="P14" s="2">
        <f>--57510.69</f>
        <v>57510.69</v>
      </c>
      <c r="Q14" s="2"/>
      <c r="R14" s="19"/>
      <c r="S14" s="2"/>
      <c r="T14" s="2"/>
      <c r="U14" s="2"/>
      <c r="V14" s="19"/>
      <c r="W14" s="2"/>
      <c r="X14" s="2">
        <f t="shared" si="2"/>
        <v>57510.69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45250</v>
      </c>
      <c r="I15" s="2"/>
      <c r="J15" s="19"/>
      <c r="K15" s="2"/>
      <c r="L15" s="2">
        <f t="shared" si="0"/>
        <v>-45250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282275</v>
      </c>
      <c r="U15" s="2"/>
      <c r="V15" s="19"/>
      <c r="W15" s="2"/>
      <c r="X15" s="2">
        <f t="shared" si="2"/>
        <v>-282275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--12726.87</f>
        <v>12726.87</v>
      </c>
      <c r="E16" s="2"/>
      <c r="F16" s="19"/>
      <c r="G16" s="2"/>
      <c r="H16" s="2"/>
      <c r="I16" s="2"/>
      <c r="J16" s="19"/>
      <c r="K16" s="2"/>
      <c r="L16" s="2">
        <f t="shared" si="0"/>
        <v>12726.87</v>
      </c>
      <c r="M16" s="2"/>
      <c r="N16" s="19">
        <f t="shared" si="1"/>
        <v>0</v>
      </c>
      <c r="O16" s="11"/>
      <c r="P16" s="2">
        <f>--197537.86</f>
        <v>197537.86</v>
      </c>
      <c r="Q16" s="2"/>
      <c r="R16" s="19"/>
      <c r="S16" s="2"/>
      <c r="T16" s="2"/>
      <c r="U16" s="2"/>
      <c r="V16" s="19"/>
      <c r="W16" s="2"/>
      <c r="X16" s="2">
        <f t="shared" si="2"/>
        <v>197537.86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4424.54</v>
      </c>
      <c r="E18" s="4"/>
      <c r="F18" s="12">
        <f t="shared" ref="F18:F21" si="4">IF(D$12=0,0,D18/D$12)</f>
        <v>0.2799539119480301</v>
      </c>
      <c r="G18" s="4"/>
      <c r="H18" s="4">
        <f>SUM(OSRRefH16x_0)</f>
        <v>15800</v>
      </c>
      <c r="I18" s="4"/>
      <c r="J18" s="12">
        <f t="shared" ref="J18:J21" si="5">IF(H$12=0,0,H18/H$12)</f>
        <v>0.27964601769911507</v>
      </c>
      <c r="K18" s="4"/>
      <c r="L18" s="4">
        <f t="shared" ref="L18:L21" si="6">+D18-H18</f>
        <v>-11375.46</v>
      </c>
      <c r="M18" s="4"/>
      <c r="N18" s="12">
        <f t="shared" ref="N18:N21" si="7">IF(H18=0,0,L18/H18)</f>
        <v>-0.71996582278481003</v>
      </c>
      <c r="O18" s="10"/>
      <c r="P18" s="4">
        <f>SUM(OSRRefP16x_0)</f>
        <v>82957.459999999992</v>
      </c>
      <c r="Q18" s="4"/>
      <c r="R18" s="12">
        <f t="shared" ref="R18:R21" si="8">IF(P$12=0,0,P18/P$12)</f>
        <v>0.32526144532090068</v>
      </c>
      <c r="S18" s="4"/>
      <c r="T18" s="4">
        <f>SUM(OSRRefT16x_0)</f>
        <v>107776</v>
      </c>
      <c r="U18" s="4"/>
      <c r="V18" s="12">
        <f t="shared" ref="V18:V21" si="9">IF(T$12=0,0,T18/T$12)</f>
        <v>0.3061626830141298</v>
      </c>
      <c r="W18" s="4"/>
      <c r="X18" s="4">
        <f t="shared" ref="X18:X21" si="10">+P18-T18</f>
        <v>-24818.540000000008</v>
      </c>
      <c r="Y18" s="4"/>
      <c r="Z18" s="12">
        <f t="shared" ref="Z18:Z21" si="11">IF(T18=0,0,X18/T18)</f>
        <v>-0.23027891181710222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15800</v>
      </c>
      <c r="I19" s="2"/>
      <c r="J19" s="19">
        <f t="shared" si="5"/>
        <v>0.27964601769911507</v>
      </c>
      <c r="K19" s="2"/>
      <c r="L19" s="2">
        <f t="shared" si="6"/>
        <v>-15800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107776</v>
      </c>
      <c r="U19" s="2"/>
      <c r="V19" s="19">
        <f t="shared" si="9"/>
        <v>0.3061626830141298</v>
      </c>
      <c r="W19" s="2"/>
      <c r="X19" s="2">
        <f t="shared" si="10"/>
        <v>-107776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6415.54</v>
      </c>
      <c r="E20" s="2"/>
      <c r="F20" s="19">
        <f t="shared" si="4"/>
        <v>0.40593045158571622</v>
      </c>
      <c r="G20" s="2"/>
      <c r="H20" s="2"/>
      <c r="I20" s="2"/>
      <c r="J20" s="19">
        <f t="shared" si="5"/>
        <v>0</v>
      </c>
      <c r="K20" s="2"/>
      <c r="L20" s="2">
        <f t="shared" si="6"/>
        <v>6415.54</v>
      </c>
      <c r="M20" s="2"/>
      <c r="N20" s="19">
        <f t="shared" si="7"/>
        <v>0</v>
      </c>
      <c r="O20" s="11"/>
      <c r="P20" s="2">
        <v>90960.51999999999</v>
      </c>
      <c r="Q20" s="2"/>
      <c r="R20" s="19">
        <f t="shared" si="8"/>
        <v>0.3566400201059759</v>
      </c>
      <c r="S20" s="2"/>
      <c r="T20" s="2"/>
      <c r="U20" s="2"/>
      <c r="V20" s="19">
        <f t="shared" si="9"/>
        <v>0</v>
      </c>
      <c r="W20" s="2"/>
      <c r="X20" s="2">
        <f t="shared" si="10"/>
        <v>90960.51999999999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-1991</v>
      </c>
      <c r="E21" s="2"/>
      <c r="F21" s="19">
        <f t="shared" si="4"/>
        <v>-0.12597653963768615</v>
      </c>
      <c r="G21" s="2"/>
      <c r="H21" s="2"/>
      <c r="I21" s="2"/>
      <c r="J21" s="19">
        <f t="shared" si="5"/>
        <v>0</v>
      </c>
      <c r="K21" s="2"/>
      <c r="L21" s="2">
        <f t="shared" si="6"/>
        <v>-1991</v>
      </c>
      <c r="M21" s="2"/>
      <c r="N21" s="19">
        <f t="shared" si="7"/>
        <v>0</v>
      </c>
      <c r="O21" s="11"/>
      <c r="P21" s="2">
        <v>-8003.06</v>
      </c>
      <c r="Q21" s="2"/>
      <c r="R21" s="19">
        <f t="shared" si="8"/>
        <v>-3.1378574785075233E-2</v>
      </c>
      <c r="S21" s="2"/>
      <c r="T21" s="2"/>
      <c r="U21" s="2"/>
      <c r="V21" s="19">
        <f t="shared" si="9"/>
        <v>0</v>
      </c>
      <c r="W21" s="2"/>
      <c r="X21" s="2">
        <f t="shared" si="10"/>
        <v>-8003.06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0">
        <f>D12-D18</f>
        <v>11379.990000000002</v>
      </c>
      <c r="E23" s="14"/>
      <c r="F23" s="22">
        <f>IF(D$12=0,0,D23/D$12)</f>
        <v>0.72004608805197001</v>
      </c>
      <c r="G23" s="14"/>
      <c r="H23" s="20">
        <f>H12-H18</f>
        <v>40700</v>
      </c>
      <c r="I23" s="14"/>
      <c r="J23" s="22">
        <f>IF(H$12=0,0,H23/H$12)</f>
        <v>0.72035398230088499</v>
      </c>
      <c r="K23" s="16"/>
      <c r="L23" s="20">
        <f>+D23-H23</f>
        <v>-29320.01</v>
      </c>
      <c r="M23" s="16"/>
      <c r="N23" s="22">
        <f>IF(H23=0,0,L23/H23)</f>
        <v>-0.72039336609336602</v>
      </c>
      <c r="O23" s="29"/>
      <c r="P23" s="20">
        <f>P12-P18</f>
        <v>172091.09</v>
      </c>
      <c r="Q23" s="14"/>
      <c r="R23" s="22">
        <f>IF(P$12=0,0,P23/P$12)</f>
        <v>0.67473855467909938</v>
      </c>
      <c r="S23" s="14"/>
      <c r="T23" s="20">
        <f>T12-T18</f>
        <v>244246</v>
      </c>
      <c r="U23" s="14"/>
      <c r="V23" s="22">
        <f>IF(T$12=0,0,T23/T$12)</f>
        <v>0.69383731698587026</v>
      </c>
      <c r="W23" s="16"/>
      <c r="X23" s="20">
        <f>+P23-T23</f>
        <v>-72154.91</v>
      </c>
      <c r="Y23" s="16"/>
      <c r="Z23" s="22">
        <f>IF(T23=0,0,X23/T23)</f>
        <v>-0.29541900379125963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1">
        <f>SUM(OSRRefD22x_0)</f>
        <v>23127.179999999993</v>
      </c>
      <c r="E25" s="21"/>
      <c r="F25" s="30">
        <f t="shared" ref="F25:F35" si="12">IF(D$12=0,0,D25/D$12)</f>
        <v>1.4633260210838279</v>
      </c>
      <c r="G25" s="21"/>
      <c r="H25" s="21">
        <f>SUM(OSRRefH22x_0)</f>
        <v>20123.290949300004</v>
      </c>
      <c r="I25" s="21"/>
      <c r="J25" s="30">
        <f t="shared" ref="J25:J35" si="13">IF(H$12=0,0,H25/H$12)</f>
        <v>0.35616444158053107</v>
      </c>
      <c r="K25" s="4"/>
      <c r="L25" s="21">
        <f t="shared" ref="L25:L35" si="14">+D25-H25</f>
        <v>3003.8890506999887</v>
      </c>
      <c r="M25" s="4"/>
      <c r="N25" s="30">
        <f t="shared" ref="N25:N35" si="15">IF(H25=0,0,L25/H25)</f>
        <v>0.14927424437027684</v>
      </c>
      <c r="O25" s="10"/>
      <c r="P25" s="21">
        <f>SUM(OSRRefP22x_0)</f>
        <v>184026.45999999996</v>
      </c>
      <c r="Q25" s="21"/>
      <c r="R25" s="30">
        <f t="shared" ref="R25:R35" si="16">IF(P$12=0,0,P25/P$12)</f>
        <v>0.72153501754861959</v>
      </c>
      <c r="S25" s="21"/>
      <c r="T25" s="21">
        <f>SUM(OSRRefT22x_0)</f>
        <v>166757.578239575</v>
      </c>
      <c r="U25" s="21"/>
      <c r="V25" s="30">
        <f t="shared" ref="V25:V35" si="17">IF(T$12=0,0,T25/T$12)</f>
        <v>0.47371351290423608</v>
      </c>
      <c r="W25" s="4"/>
      <c r="X25" s="21">
        <f t="shared" ref="X25:X35" si="18">+P25-T25</f>
        <v>17268.881760424963</v>
      </c>
      <c r="Y25" s="4"/>
      <c r="Z25" s="30">
        <f t="shared" ref="Z25:Z35" si="19">IF(T25=0,0,X25/T25)</f>
        <v>0.10355680349120532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4584.2599999999993</v>
      </c>
      <c r="E26" s="1"/>
      <c r="F26" s="5">
        <f t="shared" si="12"/>
        <v>0.2900598752383019</v>
      </c>
      <c r="G26" s="1"/>
      <c r="H26" s="1">
        <f>SUM(OSRRefH22_0x_0)</f>
        <v>3766.0484108384617</v>
      </c>
      <c r="I26" s="1"/>
      <c r="J26" s="5">
        <f t="shared" si="13"/>
        <v>6.6655724085636484E-2</v>
      </c>
      <c r="K26" s="1"/>
      <c r="L26" s="1">
        <f t="shared" si="14"/>
        <v>818.21158916153763</v>
      </c>
      <c r="M26" s="1"/>
      <c r="N26" s="5">
        <f t="shared" si="15"/>
        <v>0.21725997648006162</v>
      </c>
      <c r="O26" s="13"/>
      <c r="P26" s="1">
        <f>SUM(OSRRefP22_0x_0)</f>
        <v>32560.46</v>
      </c>
      <c r="Q26" s="1"/>
      <c r="R26" s="5">
        <f t="shared" si="16"/>
        <v>0.12766377225042055</v>
      </c>
      <c r="S26" s="1"/>
      <c r="T26" s="1">
        <f>SUM(OSRRefT22_0x_0)</f>
        <v>34210.123489575002</v>
      </c>
      <c r="U26" s="1"/>
      <c r="V26" s="5">
        <f t="shared" si="17"/>
        <v>9.7181776961596161E-2</v>
      </c>
      <c r="W26" s="1"/>
      <c r="X26" s="1">
        <f t="shared" si="18"/>
        <v>-1649.663489575003</v>
      </c>
      <c r="Y26" s="1"/>
      <c r="Z26" s="5">
        <f t="shared" si="19"/>
        <v>-4.8221500576509528E-2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6">
        <v>801.43</v>
      </c>
      <c r="E27" s="2"/>
      <c r="F27" s="7">
        <f t="shared" si="12"/>
        <v>5.0708879036580015E-2</v>
      </c>
      <c r="G27" s="2"/>
      <c r="H27" s="6">
        <v>704.50886545384606</v>
      </c>
      <c r="I27" s="2"/>
      <c r="J27" s="7">
        <f t="shared" si="13"/>
        <v>1.2469183459360107E-2</v>
      </c>
      <c r="K27" s="2"/>
      <c r="L27" s="6">
        <f t="shared" si="14"/>
        <v>96.921134546153894</v>
      </c>
      <c r="M27" s="2"/>
      <c r="N27" s="7">
        <f t="shared" si="15"/>
        <v>0.13757262583731591</v>
      </c>
      <c r="O27" s="11"/>
      <c r="P27" s="6">
        <v>6310.01</v>
      </c>
      <c r="Q27" s="2"/>
      <c r="R27" s="7">
        <f t="shared" si="16"/>
        <v>2.4740426871668161E-2</v>
      </c>
      <c r="S27" s="2"/>
      <c r="T27" s="6">
        <v>6536.4714960749998</v>
      </c>
      <c r="U27" s="2"/>
      <c r="V27" s="7">
        <f t="shared" si="17"/>
        <v>1.8568360773119293E-2</v>
      </c>
      <c r="W27" s="2"/>
      <c r="X27" s="6">
        <f t="shared" si="18"/>
        <v>-226.46149607499956</v>
      </c>
      <c r="Y27" s="2"/>
      <c r="Z27" s="7">
        <f t="shared" si="19"/>
        <v>-3.4645832420593353E-2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6">
        <v>782.23</v>
      </c>
      <c r="E28" s="2"/>
      <c r="F28" s="7">
        <f t="shared" si="12"/>
        <v>4.9494037469004139E-2</v>
      </c>
      <c r="G28" s="2"/>
      <c r="H28" s="6">
        <v>516.959410769231</v>
      </c>
      <c r="I28" s="2"/>
      <c r="J28" s="7">
        <f t="shared" si="13"/>
        <v>9.1497240844111687E-3</v>
      </c>
      <c r="K28" s="2"/>
      <c r="L28" s="6">
        <f t="shared" si="14"/>
        <v>265.27058923076902</v>
      </c>
      <c r="M28" s="2"/>
      <c r="N28" s="7">
        <f t="shared" si="15"/>
        <v>0.5131362031615766</v>
      </c>
      <c r="O28" s="11"/>
      <c r="P28" s="6">
        <v>4045.93</v>
      </c>
      <c r="Q28" s="2"/>
      <c r="R28" s="7">
        <f t="shared" si="16"/>
        <v>1.5863371895272489E-2</v>
      </c>
      <c r="S28" s="2"/>
      <c r="T28" s="6">
        <v>4420.527747000001</v>
      </c>
      <c r="U28" s="2"/>
      <c r="V28" s="7">
        <f t="shared" si="17"/>
        <v>1.2557532617279604E-2</v>
      </c>
      <c r="W28" s="2"/>
      <c r="X28" s="6">
        <f t="shared" si="18"/>
        <v>-374.59774700000116</v>
      </c>
      <c r="Y28" s="2"/>
      <c r="Z28" s="7">
        <f t="shared" si="19"/>
        <v>-8.4740503496267522E-2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6">
        <v>1392.11</v>
      </c>
      <c r="E29" s="2"/>
      <c r="F29" s="7">
        <f t="shared" si="12"/>
        <v>8.8082973679065424E-2</v>
      </c>
      <c r="G29" s="2"/>
      <c r="H29" s="6">
        <v>1381</v>
      </c>
      <c r="I29" s="2"/>
      <c r="J29" s="7">
        <f t="shared" si="13"/>
        <v>2.4442477876106195E-2</v>
      </c>
      <c r="K29" s="2"/>
      <c r="L29" s="6">
        <f t="shared" si="14"/>
        <v>11.1099999999999</v>
      </c>
      <c r="M29" s="2"/>
      <c r="N29" s="7">
        <f t="shared" si="15"/>
        <v>8.0448950036204926E-3</v>
      </c>
      <c r="O29" s="11"/>
      <c r="P29" s="6">
        <v>11862.85</v>
      </c>
      <c r="Q29" s="2"/>
      <c r="R29" s="7">
        <f t="shared" si="16"/>
        <v>4.651212484838671E-2</v>
      </c>
      <c r="S29" s="2"/>
      <c r="T29" s="6">
        <v>12429</v>
      </c>
      <c r="U29" s="2"/>
      <c r="V29" s="7">
        <f t="shared" si="17"/>
        <v>3.5307452375135648E-2</v>
      </c>
      <c r="W29" s="2"/>
      <c r="X29" s="6">
        <f t="shared" si="18"/>
        <v>-566.14999999999964</v>
      </c>
      <c r="Y29" s="2"/>
      <c r="Z29" s="7">
        <f t="shared" si="19"/>
        <v>-4.5550728135811382E-2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6">
        <v>52.42</v>
      </c>
      <c r="E30" s="2"/>
      <c r="F30" s="7">
        <f t="shared" si="12"/>
        <v>3.3167705714753936E-3</v>
      </c>
      <c r="G30" s="2"/>
      <c r="H30" s="6">
        <v>34.64161</v>
      </c>
      <c r="I30" s="2"/>
      <c r="J30" s="7">
        <f t="shared" si="13"/>
        <v>6.1312584070796457E-4</v>
      </c>
      <c r="K30" s="2"/>
      <c r="L30" s="6">
        <f t="shared" si="14"/>
        <v>17.778390000000002</v>
      </c>
      <c r="M30" s="2"/>
      <c r="N30" s="7">
        <f t="shared" si="15"/>
        <v>0.51320911470338715</v>
      </c>
      <c r="O30" s="11"/>
      <c r="P30" s="6">
        <v>320.95</v>
      </c>
      <c r="Q30" s="2"/>
      <c r="R30" s="7">
        <f t="shared" si="16"/>
        <v>1.2583878638008333E-3</v>
      </c>
      <c r="S30" s="2"/>
      <c r="T30" s="6">
        <v>296.22093150000001</v>
      </c>
      <c r="U30" s="2"/>
      <c r="V30" s="7">
        <f t="shared" si="17"/>
        <v>8.4148414445688058E-4</v>
      </c>
      <c r="W30" s="2"/>
      <c r="X30" s="6">
        <f t="shared" si="18"/>
        <v>24.729068499999983</v>
      </c>
      <c r="Y30" s="2"/>
      <c r="Z30" s="7">
        <f t="shared" si="19"/>
        <v>8.3481840310126704E-2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6">
        <v>333.61</v>
      </c>
      <c r="E31" s="2"/>
      <c r="F31" s="7">
        <f t="shared" si="12"/>
        <v>2.1108504966614001E-2</v>
      </c>
      <c r="G31" s="2"/>
      <c r="H31" s="6">
        <v>402.01010923076899</v>
      </c>
      <c r="I31" s="2"/>
      <c r="J31" s="7">
        <f t="shared" si="13"/>
        <v>7.1152231722259995E-3</v>
      </c>
      <c r="K31" s="2"/>
      <c r="L31" s="6">
        <f t="shared" si="14"/>
        <v>-68.400109230768976</v>
      </c>
      <c r="M31" s="2"/>
      <c r="N31" s="7">
        <f t="shared" si="15"/>
        <v>-0.17014524674926701</v>
      </c>
      <c r="O31" s="11"/>
      <c r="P31" s="6">
        <v>3109.03</v>
      </c>
      <c r="Q31" s="2"/>
      <c r="R31" s="7">
        <f t="shared" si="16"/>
        <v>1.2189953638238682E-2</v>
      </c>
      <c r="S31" s="2"/>
      <c r="T31" s="6">
        <v>3919.5985650000002</v>
      </c>
      <c r="U31" s="2"/>
      <c r="V31" s="7">
        <f t="shared" si="17"/>
        <v>1.1134527288067225E-2</v>
      </c>
      <c r="W31" s="2"/>
      <c r="X31" s="6">
        <f t="shared" si="18"/>
        <v>-810.56856500000004</v>
      </c>
      <c r="Y31" s="2"/>
      <c r="Z31" s="7">
        <f t="shared" si="19"/>
        <v>-0.20679887278201409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6">
        <v>476.73</v>
      </c>
      <c r="E33" s="2"/>
      <c r="F33" s="7">
        <f t="shared" si="12"/>
        <v>3.0164136484919196E-2</v>
      </c>
      <c r="G33" s="2"/>
      <c r="H33" s="6">
        <v>233.72680769230803</v>
      </c>
      <c r="I33" s="2"/>
      <c r="J33" s="7">
        <f t="shared" si="13"/>
        <v>4.1367576582709382E-3</v>
      </c>
      <c r="K33" s="2"/>
      <c r="L33" s="6">
        <f t="shared" si="14"/>
        <v>243.00319230769199</v>
      </c>
      <c r="M33" s="2"/>
      <c r="N33" s="7">
        <f t="shared" si="15"/>
        <v>1.0396890057540851</v>
      </c>
      <c r="O33" s="11"/>
      <c r="P33" s="6">
        <v>2902.91</v>
      </c>
      <c r="Q33" s="2"/>
      <c r="R33" s="7">
        <f t="shared" si="16"/>
        <v>1.1381793780046976E-2</v>
      </c>
      <c r="S33" s="2"/>
      <c r="T33" s="6">
        <v>2278.836375000003</v>
      </c>
      <c r="U33" s="2"/>
      <c r="V33" s="7">
        <f t="shared" si="17"/>
        <v>6.4735623767832777E-3</v>
      </c>
      <c r="W33" s="2"/>
      <c r="X33" s="6">
        <f t="shared" si="18"/>
        <v>624.07362499999681</v>
      </c>
      <c r="Y33" s="2"/>
      <c r="Z33" s="7">
        <f t="shared" si="19"/>
        <v>0.27385626798238027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6">
        <v>663.27</v>
      </c>
      <c r="E34" s="2"/>
      <c r="F34" s="7">
        <f t="shared" si="12"/>
        <v>4.1967081589898592E-2</v>
      </c>
      <c r="G34" s="2"/>
      <c r="H34" s="6">
        <v>493.20160769230796</v>
      </c>
      <c r="I34" s="2"/>
      <c r="J34" s="7">
        <f t="shared" si="13"/>
        <v>8.7292319945541236E-3</v>
      </c>
      <c r="K34" s="2"/>
      <c r="L34" s="6">
        <f t="shared" si="14"/>
        <v>170.06839230769202</v>
      </c>
      <c r="M34" s="2"/>
      <c r="N34" s="7">
        <f t="shared" si="15"/>
        <v>0.34482529994872202</v>
      </c>
      <c r="O34" s="11"/>
      <c r="P34" s="6">
        <v>2892.66</v>
      </c>
      <c r="Q34" s="2"/>
      <c r="R34" s="7">
        <f t="shared" si="16"/>
        <v>1.1341605353176876E-2</v>
      </c>
      <c r="S34" s="2"/>
      <c r="T34" s="6">
        <v>4329.4683750000031</v>
      </c>
      <c r="U34" s="2"/>
      <c r="V34" s="7">
        <f t="shared" si="17"/>
        <v>1.2298857386754247E-2</v>
      </c>
      <c r="W34" s="2"/>
      <c r="X34" s="6">
        <f t="shared" si="18"/>
        <v>-1436.8083750000033</v>
      </c>
      <c r="Y34" s="2"/>
      <c r="Z34" s="7">
        <f t="shared" si="19"/>
        <v>-0.33186716024920776</v>
      </c>
    </row>
    <row r="35" spans="1:26" s="24" customFormat="1" hidden="1" outlineLevel="2" x14ac:dyDescent="0.25">
      <c r="A35" s="25"/>
      <c r="B35" s="11" t="str">
        <f>CONCATENATE("          ", "6156", " - ", "EMPLOYEE MEALS")</f>
        <v xml:space="preserve">          6156 - EMPLOYEE MEALS</v>
      </c>
      <c r="C35" s="11"/>
      <c r="D35" s="6">
        <v>82.46</v>
      </c>
      <c r="E35" s="2"/>
      <c r="F35" s="7">
        <f t="shared" si="12"/>
        <v>5.2174914407451525E-3</v>
      </c>
      <c r="G35" s="2"/>
      <c r="H35" s="6"/>
      <c r="I35" s="2"/>
      <c r="J35" s="7">
        <f t="shared" si="13"/>
        <v>0</v>
      </c>
      <c r="K35" s="2"/>
      <c r="L35" s="6">
        <f t="shared" si="14"/>
        <v>82.46</v>
      </c>
      <c r="M35" s="2"/>
      <c r="N35" s="7">
        <f t="shared" si="15"/>
        <v>0</v>
      </c>
      <c r="O35" s="11"/>
      <c r="P35" s="6">
        <v>1116.1199999999999</v>
      </c>
      <c r="Q35" s="2"/>
      <c r="R35" s="7">
        <f t="shared" si="16"/>
        <v>4.3761079998298359E-3</v>
      </c>
      <c r="S35" s="2"/>
      <c r="T35" s="6"/>
      <c r="U35" s="2"/>
      <c r="V35" s="7">
        <f t="shared" si="17"/>
        <v>0</v>
      </c>
      <c r="W35" s="2"/>
      <c r="X35" s="6">
        <f t="shared" si="18"/>
        <v>1116.1199999999999</v>
      </c>
      <c r="Y35" s="2"/>
      <c r="Z35" s="7">
        <f t="shared" si="19"/>
        <v>0</v>
      </c>
    </row>
    <row r="36" spans="1:26" s="27" customFormat="1" outlineLevel="1" collapsed="1" x14ac:dyDescent="0.25">
      <c r="A36" s="26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16157.010000000002</v>
      </c>
      <c r="E36" s="1"/>
      <c r="F36" s="5">
        <f t="shared" ref="F36:F46" si="20">IF(D$12=0,0,D36/D$12)</f>
        <v>1.0223024664447473</v>
      </c>
      <c r="G36" s="1"/>
      <c r="H36" s="1">
        <f>SUM(OSRRefH22_1x_0)</f>
        <v>12856.242538461542</v>
      </c>
      <c r="I36" s="1"/>
      <c r="J36" s="5">
        <f t="shared" ref="J36:J46" si="21">IF(H$12=0,0,H36/H$12)</f>
        <v>0.22754411572498304</v>
      </c>
      <c r="K36" s="1"/>
      <c r="L36" s="1">
        <f t="shared" ref="L36:L46" si="22">+D36-H36</f>
        <v>3300.7674615384603</v>
      </c>
      <c r="M36" s="1"/>
      <c r="N36" s="5">
        <f t="shared" ref="N36:N46" si="23">IF(H36=0,0,L36/H36)</f>
        <v>0.25674433658696755</v>
      </c>
      <c r="O36" s="13"/>
      <c r="P36" s="1">
        <f>SUM(OSRRefP22_1x_0)</f>
        <v>116933.18</v>
      </c>
      <c r="Q36" s="1"/>
      <c r="R36" s="5">
        <f t="shared" ref="R36:R46" si="24">IF(P$12=0,0,P36/P$12)</f>
        <v>0.45847420030421659</v>
      </c>
      <c r="S36" s="1"/>
      <c r="T36" s="1">
        <f>SUM(OSRRefT22_1x_0)</f>
        <v>109373.45475</v>
      </c>
      <c r="U36" s="1"/>
      <c r="V36" s="5">
        <f t="shared" ref="V36:V46" si="25">IF(T$12=0,0,T36/T$12)</f>
        <v>0.31070062311446445</v>
      </c>
      <c r="W36" s="1"/>
      <c r="X36" s="1">
        <f t="shared" ref="X36:X46" si="26">+P36-T36</f>
        <v>7559.7252499999886</v>
      </c>
      <c r="Y36" s="1"/>
      <c r="Z36" s="5">
        <f t="shared" ref="Z36:Z46" si="27">IF(T36=0,0,X36/T36)</f>
        <v>6.911846450566643E-2</v>
      </c>
    </row>
    <row r="37" spans="1:26" s="24" customFormat="1" hidden="1" outlineLevel="2" x14ac:dyDescent="0.25">
      <c r="A37" s="25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5"/>
      <c r="B38" s="11" t="str">
        <f>CONCATENATE("          ", "6002", " - ", "STAFF SALARIES")</f>
        <v xml:space="preserve">          6002 - STAFF SALARIES</v>
      </c>
      <c r="C38" s="11"/>
      <c r="D38" s="6">
        <v>4890.66</v>
      </c>
      <c r="E38" s="2"/>
      <c r="F38" s="7">
        <f t="shared" si="20"/>
        <v>0.30944672192086697</v>
      </c>
      <c r="G38" s="2"/>
      <c r="H38" s="6">
        <v>4207.08253846154</v>
      </c>
      <c r="I38" s="2"/>
      <c r="J38" s="7">
        <f t="shared" si="21"/>
        <v>7.4461637848876813E-2</v>
      </c>
      <c r="K38" s="2"/>
      <c r="L38" s="6">
        <f t="shared" si="22"/>
        <v>683.57746153845983</v>
      </c>
      <c r="M38" s="2"/>
      <c r="N38" s="7">
        <f t="shared" si="23"/>
        <v>0.16248254111706414</v>
      </c>
      <c r="O38" s="11"/>
      <c r="P38" s="6">
        <v>43690.36</v>
      </c>
      <c r="Q38" s="2"/>
      <c r="R38" s="7">
        <f t="shared" si="24"/>
        <v>0.17130213051593512</v>
      </c>
      <c r="S38" s="2"/>
      <c r="T38" s="6">
        <v>41019.054750000003</v>
      </c>
      <c r="U38" s="2"/>
      <c r="V38" s="7">
        <f t="shared" si="25"/>
        <v>0.11652412278209885</v>
      </c>
      <c r="W38" s="2"/>
      <c r="X38" s="6">
        <f t="shared" si="26"/>
        <v>2671.3052499999976</v>
      </c>
      <c r="Y38" s="2"/>
      <c r="Z38" s="7">
        <f t="shared" si="27"/>
        <v>6.5123520429246295E-2</v>
      </c>
    </row>
    <row r="39" spans="1:26" s="24" customFormat="1" hidden="1" outlineLevel="2" x14ac:dyDescent="0.25">
      <c r="A39" s="25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"6004", " - ", "STAFF HOURLY")</f>
        <v xml:space="preserve">          6004 - STAFF HOURLY</v>
      </c>
      <c r="C40" s="11"/>
      <c r="D40" s="6">
        <v>1386.85</v>
      </c>
      <c r="E40" s="2"/>
      <c r="F40" s="7">
        <f t="shared" si="20"/>
        <v>8.7750157707948279E-2</v>
      </c>
      <c r="G40" s="2"/>
      <c r="H40" s="6">
        <v>4531.12</v>
      </c>
      <c r="I40" s="2"/>
      <c r="J40" s="7">
        <f t="shared" si="21"/>
        <v>8.0196814159292029E-2</v>
      </c>
      <c r="K40" s="2"/>
      <c r="L40" s="6">
        <f t="shared" si="22"/>
        <v>-3144.27</v>
      </c>
      <c r="M40" s="2"/>
      <c r="N40" s="7">
        <f t="shared" si="23"/>
        <v>-0.69392777061741906</v>
      </c>
      <c r="O40" s="11"/>
      <c r="P40" s="6">
        <v>2075.52</v>
      </c>
      <c r="Q40" s="2"/>
      <c r="R40" s="7">
        <f t="shared" si="24"/>
        <v>8.13774475487118E-3</v>
      </c>
      <c r="S40" s="2"/>
      <c r="T40" s="6">
        <v>36113.85</v>
      </c>
      <c r="U40" s="2"/>
      <c r="V40" s="7">
        <f t="shared" si="25"/>
        <v>0.1025897529131702</v>
      </c>
      <c r="W40" s="2"/>
      <c r="X40" s="6">
        <f t="shared" si="26"/>
        <v>-34038.33</v>
      </c>
      <c r="Y40" s="2"/>
      <c r="Z40" s="7">
        <f t="shared" si="27"/>
        <v>-0.94252842053671937</v>
      </c>
    </row>
    <row r="41" spans="1:26" s="24" customFormat="1" hidden="1" outlineLevel="2" x14ac:dyDescent="0.25">
      <c r="A41" s="25"/>
      <c r="B41" s="11" t="str">
        <f>CONCATENATE("          ", "6005", " - ", "TEMPORARY WAGES-HOURLY")</f>
        <v xml:space="preserve">          6005 - TEMPORARY WAGES-HOURLY</v>
      </c>
      <c r="C41" s="11"/>
      <c r="D41" s="6">
        <v>4248.62</v>
      </c>
      <c r="E41" s="2"/>
      <c r="F41" s="7">
        <f t="shared" si="20"/>
        <v>0.2688229260851161</v>
      </c>
      <c r="G41" s="2"/>
      <c r="H41" s="6">
        <v>826.2</v>
      </c>
      <c r="I41" s="2"/>
      <c r="J41" s="7">
        <f t="shared" si="21"/>
        <v>1.4623008849557523E-2</v>
      </c>
      <c r="K41" s="2"/>
      <c r="L41" s="6">
        <f t="shared" si="22"/>
        <v>3422.42</v>
      </c>
      <c r="M41" s="2"/>
      <c r="N41" s="7">
        <f t="shared" si="23"/>
        <v>4.1423626240619704</v>
      </c>
      <c r="O41" s="11"/>
      <c r="P41" s="6">
        <v>29725.459999999995</v>
      </c>
      <c r="Q41" s="2"/>
      <c r="R41" s="7">
        <f t="shared" si="24"/>
        <v>0.11654824150147099</v>
      </c>
      <c r="S41" s="2"/>
      <c r="T41" s="6">
        <v>5694.15</v>
      </c>
      <c r="U41" s="2"/>
      <c r="V41" s="7">
        <f t="shared" si="25"/>
        <v>1.6175551528029498E-2</v>
      </c>
      <c r="W41" s="2"/>
      <c r="X41" s="6">
        <f t="shared" si="26"/>
        <v>24031.309999999998</v>
      </c>
      <c r="Y41" s="2"/>
      <c r="Z41" s="7">
        <f t="shared" si="27"/>
        <v>4.2203507108172422</v>
      </c>
    </row>
    <row r="42" spans="1:26" s="24" customFormat="1" hidden="1" outlineLevel="2" x14ac:dyDescent="0.25">
      <c r="A42" s="25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25">
      <c r="A43" s="25"/>
      <c r="B43" s="11" t="str">
        <f>CONCATENATE("          ", "6007", " - ", "STUDENT HOURLY")</f>
        <v xml:space="preserve">          6007 - STUDENT HOURLY</v>
      </c>
      <c r="C43" s="11"/>
      <c r="D43" s="6">
        <v>4689.68</v>
      </c>
      <c r="E43" s="2"/>
      <c r="F43" s="7">
        <f t="shared" si="20"/>
        <v>0.29673011472027322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4689.68</v>
      </c>
      <c r="M43" s="2"/>
      <c r="N43" s="7">
        <f t="shared" si="23"/>
        <v>0</v>
      </c>
      <c r="O43" s="11"/>
      <c r="P43" s="6">
        <v>37072.25</v>
      </c>
      <c r="Q43" s="2"/>
      <c r="R43" s="7">
        <f t="shared" si="24"/>
        <v>0.14535369834488376</v>
      </c>
      <c r="S43" s="2"/>
      <c r="T43" s="6">
        <v>3720</v>
      </c>
      <c r="U43" s="2"/>
      <c r="V43" s="7">
        <f t="shared" si="25"/>
        <v>1.0567521348097563E-2</v>
      </c>
      <c r="W43" s="2"/>
      <c r="X43" s="6">
        <f t="shared" si="26"/>
        <v>33352.25</v>
      </c>
      <c r="Y43" s="2"/>
      <c r="Z43" s="7">
        <f t="shared" si="27"/>
        <v>8.9656586021505369</v>
      </c>
    </row>
    <row r="44" spans="1:26" s="24" customFormat="1" hidden="1" outlineLevel="2" x14ac:dyDescent="0.25">
      <c r="A44" s="25"/>
      <c r="B44" s="11" t="str">
        <f>CONCATENATE("          ", "6008", " - ", "STUDENT HOURLY-FICA EXEMPT")</f>
        <v xml:space="preserve">          6008 - STUDENT HOURLY-FICA EXEMPT</v>
      </c>
      <c r="C44" s="11"/>
      <c r="D44" s="6">
        <v>941.2</v>
      </c>
      <c r="E44" s="2"/>
      <c r="F44" s="7">
        <f t="shared" si="20"/>
        <v>5.9552546010542551E-2</v>
      </c>
      <c r="G44" s="2"/>
      <c r="H44" s="6">
        <v>3291.84</v>
      </c>
      <c r="I44" s="2"/>
      <c r="J44" s="7">
        <f t="shared" si="21"/>
        <v>5.8262654867256639E-2</v>
      </c>
      <c r="K44" s="2"/>
      <c r="L44" s="6">
        <f t="shared" si="22"/>
        <v>-2350.6400000000003</v>
      </c>
      <c r="M44" s="2"/>
      <c r="N44" s="7">
        <f t="shared" si="23"/>
        <v>-0.71408087877904158</v>
      </c>
      <c r="O44" s="11"/>
      <c r="P44" s="6">
        <v>4369.59</v>
      </c>
      <c r="Q44" s="2"/>
      <c r="R44" s="7">
        <f t="shared" si="24"/>
        <v>1.7132385187055565E-2</v>
      </c>
      <c r="S44" s="2"/>
      <c r="T44" s="6">
        <v>22826.400000000001</v>
      </c>
      <c r="U44" s="2"/>
      <c r="V44" s="7">
        <f t="shared" si="25"/>
        <v>6.484367454306833E-2</v>
      </c>
      <c r="W44" s="2"/>
      <c r="X44" s="6">
        <f t="shared" si="26"/>
        <v>-18456.810000000001</v>
      </c>
      <c r="Y44" s="2"/>
      <c r="Z44" s="7">
        <f t="shared" si="27"/>
        <v>-0.80857296814215118</v>
      </c>
    </row>
    <row r="45" spans="1:26" s="24" customFormat="1" hidden="1" outlineLevel="2" x14ac:dyDescent="0.25">
      <c r="A45" s="25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5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7" customFormat="1" outlineLevel="1" collapsed="1" x14ac:dyDescent="0.25">
      <c r="A47" s="26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0</v>
      </c>
      <c r="E47" s="1"/>
      <c r="F47" s="5">
        <f t="shared" ref="F47:F62" si="28">IF(D$12=0,0,D47/D$12)</f>
        <v>0</v>
      </c>
      <c r="G47" s="1"/>
      <c r="H47" s="1">
        <f>SUM(OSRRefH22_2x_0)</f>
        <v>75</v>
      </c>
      <c r="I47" s="1"/>
      <c r="J47" s="5">
        <f t="shared" ref="J47:J62" si="29">IF(H$12=0,0,H47/H$12)</f>
        <v>1.3274336283185841E-3</v>
      </c>
      <c r="K47" s="1"/>
      <c r="L47" s="1">
        <f t="shared" ref="L47:L62" si="30">+D47-H47</f>
        <v>-75</v>
      </c>
      <c r="M47" s="1"/>
      <c r="N47" s="5">
        <f t="shared" ref="N47:N62" si="31">IF(H47=0,0,L47/H47)</f>
        <v>-1</v>
      </c>
      <c r="O47" s="13"/>
      <c r="P47" s="1">
        <f>SUM(OSRRefP22_2x_0)</f>
        <v>2599.63</v>
      </c>
      <c r="Q47" s="1"/>
      <c r="R47" s="5">
        <f t="shared" ref="R47:R62" si="32">IF(P$12=0,0,P47/P$12)</f>
        <v>1.0192686843348061E-2</v>
      </c>
      <c r="S47" s="1"/>
      <c r="T47" s="1">
        <f>SUM(OSRRefT22_2x_0)</f>
        <v>975</v>
      </c>
      <c r="U47" s="1"/>
      <c r="V47" s="5">
        <f t="shared" ref="V47:V62" si="33">IF(T$12=0,0,T47/T$12)</f>
        <v>2.7697132565578288E-3</v>
      </c>
      <c r="W47" s="1"/>
      <c r="X47" s="1">
        <f t="shared" ref="X47:X62" si="34">+P47-T47</f>
        <v>1624.63</v>
      </c>
      <c r="Y47" s="1"/>
      <c r="Z47" s="5">
        <f t="shared" ref="Z47:Z62" si="35">IF(T47=0,0,X47/T47)</f>
        <v>1.6662871794871796</v>
      </c>
    </row>
    <row r="48" spans="1:26" s="24" customFormat="1" hidden="1" outlineLevel="2" x14ac:dyDescent="0.25">
      <c r="A48" s="25"/>
      <c r="B48" s="11" t="str">
        <f>CONCATENATE("          ", "6362", " - ", "ADVERTISING EXPENSE")</f>
        <v xml:space="preserve">          6362 - ADVERTISING EXPENSE</v>
      </c>
      <c r="C48" s="11"/>
      <c r="D48" s="6"/>
      <c r="E48" s="2"/>
      <c r="F48" s="7">
        <f t="shared" si="28"/>
        <v>0</v>
      </c>
      <c r="G48" s="2"/>
      <c r="H48" s="6">
        <v>75</v>
      </c>
      <c r="I48" s="2"/>
      <c r="J48" s="7">
        <f t="shared" si="29"/>
        <v>1.3274336283185841E-3</v>
      </c>
      <c r="K48" s="2"/>
      <c r="L48" s="6">
        <f t="shared" si="30"/>
        <v>-75</v>
      </c>
      <c r="M48" s="2"/>
      <c r="N48" s="7">
        <f t="shared" si="31"/>
        <v>-1</v>
      </c>
      <c r="O48" s="11"/>
      <c r="P48" s="6">
        <v>2599.63</v>
      </c>
      <c r="Q48" s="2"/>
      <c r="R48" s="7">
        <f t="shared" si="32"/>
        <v>1.0192686843348061E-2</v>
      </c>
      <c r="S48" s="2"/>
      <c r="T48" s="6">
        <v>975</v>
      </c>
      <c r="U48" s="2"/>
      <c r="V48" s="7">
        <f t="shared" si="33"/>
        <v>2.7697132565578288E-3</v>
      </c>
      <c r="W48" s="2"/>
      <c r="X48" s="6">
        <f t="shared" si="34"/>
        <v>1624.63</v>
      </c>
      <c r="Y48" s="2"/>
      <c r="Z48" s="7">
        <f t="shared" si="35"/>
        <v>1.6662871794871796</v>
      </c>
    </row>
    <row r="49" spans="1:26" s="27" customFormat="1" outlineLevel="1" collapsed="1" x14ac:dyDescent="0.25">
      <c r="A49" s="26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-0.19</v>
      </c>
      <c r="E49" s="1"/>
      <c r="F49" s="5">
        <f t="shared" si="28"/>
        <v>-1.2021869679136298E-5</v>
      </c>
      <c r="G49" s="1"/>
      <c r="H49" s="1">
        <f>SUM(OSRRefH22_3x_0)</f>
        <v>20</v>
      </c>
      <c r="I49" s="1"/>
      <c r="J49" s="5">
        <f t="shared" si="29"/>
        <v>3.5398230088495576E-4</v>
      </c>
      <c r="K49" s="1"/>
      <c r="L49" s="1">
        <f t="shared" si="30"/>
        <v>-20.190000000000001</v>
      </c>
      <c r="M49" s="1"/>
      <c r="N49" s="5">
        <f t="shared" si="31"/>
        <v>-1.0095000000000001</v>
      </c>
      <c r="O49" s="13"/>
      <c r="P49" s="1">
        <f>SUM(OSRRefP22_3x_0)</f>
        <v>-48.26</v>
      </c>
      <c r="Q49" s="1"/>
      <c r="R49" s="5">
        <f t="shared" si="32"/>
        <v>-1.8921887617083101E-4</v>
      </c>
      <c r="S49" s="1"/>
      <c r="T49" s="1">
        <f>SUM(OSRRefT22_3x_0)</f>
        <v>180</v>
      </c>
      <c r="U49" s="1"/>
      <c r="V49" s="5">
        <f t="shared" si="33"/>
        <v>5.11331678133753E-4</v>
      </c>
      <c r="W49" s="1"/>
      <c r="X49" s="1">
        <f t="shared" si="34"/>
        <v>-228.26</v>
      </c>
      <c r="Y49" s="1"/>
      <c r="Z49" s="5">
        <f t="shared" si="35"/>
        <v>-1.268111111111111</v>
      </c>
    </row>
    <row r="50" spans="1:26" s="24" customFormat="1" hidden="1" outlineLevel="2" x14ac:dyDescent="0.25">
      <c r="A50" s="25"/>
      <c r="B50" s="11" t="str">
        <f>CONCATENATE("          ", "6272", " - ", "CASH (OVER/SHORT)")</f>
        <v xml:space="preserve">          6272 - CASH (OVER/SHORT)</v>
      </c>
      <c r="C50" s="11"/>
      <c r="D50" s="6">
        <v>-0.19</v>
      </c>
      <c r="E50" s="2"/>
      <c r="F50" s="7">
        <f t="shared" si="28"/>
        <v>-1.2021869679136298E-5</v>
      </c>
      <c r="G50" s="2"/>
      <c r="H50" s="6">
        <v>20</v>
      </c>
      <c r="I50" s="2"/>
      <c r="J50" s="7">
        <f t="shared" si="29"/>
        <v>3.5398230088495576E-4</v>
      </c>
      <c r="K50" s="2"/>
      <c r="L50" s="6">
        <f t="shared" si="30"/>
        <v>-20.190000000000001</v>
      </c>
      <c r="M50" s="2"/>
      <c r="N50" s="7">
        <f t="shared" si="31"/>
        <v>-1.0095000000000001</v>
      </c>
      <c r="O50" s="11"/>
      <c r="P50" s="6">
        <v>-48.26</v>
      </c>
      <c r="Q50" s="2"/>
      <c r="R50" s="7">
        <f t="shared" si="32"/>
        <v>-1.8921887617083101E-4</v>
      </c>
      <c r="S50" s="2"/>
      <c r="T50" s="6">
        <v>180</v>
      </c>
      <c r="U50" s="2"/>
      <c r="V50" s="7">
        <f t="shared" si="33"/>
        <v>5.11331678133753E-4</v>
      </c>
      <c r="W50" s="2"/>
      <c r="X50" s="6">
        <f t="shared" si="34"/>
        <v>-228.26</v>
      </c>
      <c r="Y50" s="2"/>
      <c r="Z50" s="7">
        <f t="shared" si="35"/>
        <v>-1.268111111111111</v>
      </c>
    </row>
    <row r="51" spans="1:26" s="27" customFormat="1" outlineLevel="1" collapsed="1" x14ac:dyDescent="0.25">
      <c r="A51" s="26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853.42</v>
      </c>
      <c r="E51" s="1"/>
      <c r="F51" s="5">
        <f t="shared" si="28"/>
        <v>5.399844221878157E-2</v>
      </c>
      <c r="G51" s="1"/>
      <c r="H51" s="1">
        <f>SUM(OSRRefH22_4x_0)</f>
        <v>1000</v>
      </c>
      <c r="I51" s="1"/>
      <c r="J51" s="5">
        <f t="shared" si="29"/>
        <v>1.7699115044247787E-2</v>
      </c>
      <c r="K51" s="1"/>
      <c r="L51" s="1">
        <f t="shared" si="30"/>
        <v>-146.58000000000004</v>
      </c>
      <c r="M51" s="1"/>
      <c r="N51" s="5">
        <f t="shared" si="31"/>
        <v>-0.14658000000000004</v>
      </c>
      <c r="O51" s="13"/>
      <c r="P51" s="1">
        <f>SUM(OSRRefP22_4x_0)</f>
        <v>9818.16</v>
      </c>
      <c r="Q51" s="1"/>
      <c r="R51" s="5">
        <f t="shared" si="32"/>
        <v>3.8495259039896521E-2</v>
      </c>
      <c r="S51" s="1"/>
      <c r="T51" s="1">
        <f>SUM(OSRRefT22_4x_0)</f>
        <v>8100</v>
      </c>
      <c r="U51" s="1"/>
      <c r="V51" s="5">
        <f t="shared" si="33"/>
        <v>2.3009925516018884E-2</v>
      </c>
      <c r="W51" s="1"/>
      <c r="X51" s="1">
        <f t="shared" si="34"/>
        <v>1718.1599999999999</v>
      </c>
      <c r="Y51" s="1"/>
      <c r="Z51" s="5">
        <f t="shared" si="35"/>
        <v>0.21211851851851851</v>
      </c>
    </row>
    <row r="52" spans="1:26" s="24" customFormat="1" hidden="1" outlineLevel="2" x14ac:dyDescent="0.25">
      <c r="A52" s="25"/>
      <c r="B52" s="11" t="str">
        <f>CONCATENATE("          ", "6381", " - ", "BANK/CREDIT CARD FEES")</f>
        <v xml:space="preserve">          6381 - BANK/CREDIT CARD FEES</v>
      </c>
      <c r="C52" s="11"/>
      <c r="D52" s="6">
        <v>853.42</v>
      </c>
      <c r="E52" s="2"/>
      <c r="F52" s="7">
        <f t="shared" si="28"/>
        <v>5.399844221878157E-2</v>
      </c>
      <c r="G52" s="2"/>
      <c r="H52" s="6">
        <v>1000</v>
      </c>
      <c r="I52" s="2"/>
      <c r="J52" s="7">
        <f t="shared" si="29"/>
        <v>1.7699115044247787E-2</v>
      </c>
      <c r="K52" s="2"/>
      <c r="L52" s="6">
        <f t="shared" si="30"/>
        <v>-146.58000000000004</v>
      </c>
      <c r="M52" s="2"/>
      <c r="N52" s="7">
        <f t="shared" si="31"/>
        <v>-0.14658000000000004</v>
      </c>
      <c r="O52" s="11"/>
      <c r="P52" s="6">
        <v>9818.16</v>
      </c>
      <c r="Q52" s="2"/>
      <c r="R52" s="7">
        <f t="shared" si="32"/>
        <v>3.8495259039896521E-2</v>
      </c>
      <c r="S52" s="2"/>
      <c r="T52" s="6">
        <v>8100</v>
      </c>
      <c r="U52" s="2"/>
      <c r="V52" s="7">
        <f t="shared" si="33"/>
        <v>2.3009925516018884E-2</v>
      </c>
      <c r="W52" s="2"/>
      <c r="X52" s="6">
        <f t="shared" si="34"/>
        <v>1718.1599999999999</v>
      </c>
      <c r="Y52" s="2"/>
      <c r="Z52" s="7">
        <f t="shared" si="35"/>
        <v>0.21211851851851851</v>
      </c>
    </row>
    <row r="53" spans="1:26" s="27" customFormat="1" outlineLevel="1" collapsed="1" x14ac:dyDescent="0.25">
      <c r="A53" s="26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630.21</v>
      </c>
      <c r="E53" s="1"/>
      <c r="F53" s="5">
        <f t="shared" si="28"/>
        <v>3.9875276265728878E-2</v>
      </c>
      <c r="G53" s="1"/>
      <c r="H53" s="1">
        <f>SUM(OSRRefH22_5x_0)</f>
        <v>636</v>
      </c>
      <c r="I53" s="1"/>
      <c r="J53" s="5">
        <f t="shared" si="29"/>
        <v>1.1256637168141593E-2</v>
      </c>
      <c r="K53" s="1"/>
      <c r="L53" s="1">
        <f t="shared" si="30"/>
        <v>-5.7899999999999636</v>
      </c>
      <c r="M53" s="1"/>
      <c r="N53" s="5">
        <f t="shared" si="31"/>
        <v>-9.1037735849056039E-3</v>
      </c>
      <c r="O53" s="13"/>
      <c r="P53" s="1">
        <f>SUM(OSRRefP22_5x_0)</f>
        <v>5671.89</v>
      </c>
      <c r="Q53" s="1"/>
      <c r="R53" s="5">
        <f t="shared" si="32"/>
        <v>2.2238471851731761E-2</v>
      </c>
      <c r="S53" s="1"/>
      <c r="T53" s="1">
        <f>SUM(OSRRefT22_5x_0)</f>
        <v>5724</v>
      </c>
      <c r="U53" s="1"/>
      <c r="V53" s="5">
        <f t="shared" si="33"/>
        <v>1.6260347364653347E-2</v>
      </c>
      <c r="W53" s="1"/>
      <c r="X53" s="1">
        <f t="shared" si="34"/>
        <v>-52.109999999999673</v>
      </c>
      <c r="Y53" s="1"/>
      <c r="Z53" s="5">
        <f t="shared" si="35"/>
        <v>-9.1037735849056039E-3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630.21</v>
      </c>
      <c r="E54" s="2"/>
      <c r="F54" s="7">
        <f t="shared" si="28"/>
        <v>3.9875276265728878E-2</v>
      </c>
      <c r="G54" s="2"/>
      <c r="H54" s="6">
        <v>636</v>
      </c>
      <c r="I54" s="2"/>
      <c r="J54" s="7">
        <f t="shared" si="29"/>
        <v>1.1256637168141593E-2</v>
      </c>
      <c r="K54" s="2"/>
      <c r="L54" s="6">
        <f t="shared" si="30"/>
        <v>-5.7899999999999636</v>
      </c>
      <c r="M54" s="2"/>
      <c r="N54" s="7">
        <f t="shared" si="31"/>
        <v>-9.1037735849056039E-3</v>
      </c>
      <c r="O54" s="11"/>
      <c r="P54" s="6">
        <v>5671.89</v>
      </c>
      <c r="Q54" s="2"/>
      <c r="R54" s="7">
        <f t="shared" si="32"/>
        <v>2.2238471851731761E-2</v>
      </c>
      <c r="S54" s="2"/>
      <c r="T54" s="6">
        <v>5724</v>
      </c>
      <c r="U54" s="2"/>
      <c r="V54" s="7">
        <f t="shared" si="33"/>
        <v>1.6260347364653347E-2</v>
      </c>
      <c r="W54" s="2"/>
      <c r="X54" s="6">
        <f t="shared" si="34"/>
        <v>-52.109999999999673</v>
      </c>
      <c r="Y54" s="2"/>
      <c r="Z54" s="7">
        <f t="shared" si="35"/>
        <v>-9.1037735849056039E-3</v>
      </c>
    </row>
    <row r="55" spans="1:26" s="27" customFormat="1" outlineLevel="1" collapsed="1" x14ac:dyDescent="0.25">
      <c r="A55" s="26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SUM(OSRRefD22_6x_0)</f>
        <v>0</v>
      </c>
      <c r="E55" s="1"/>
      <c r="F55" s="5">
        <f t="shared" si="28"/>
        <v>0</v>
      </c>
      <c r="G55" s="1"/>
      <c r="H55" s="1">
        <f>SUM(OSRRefH22_6x_0)</f>
        <v>0</v>
      </c>
      <c r="I55" s="1"/>
      <c r="J55" s="5">
        <f t="shared" si="29"/>
        <v>0</v>
      </c>
      <c r="K55" s="1"/>
      <c r="L55" s="1">
        <f t="shared" si="30"/>
        <v>0</v>
      </c>
      <c r="M55" s="1"/>
      <c r="N55" s="5">
        <f t="shared" si="31"/>
        <v>0</v>
      </c>
      <c r="O55" s="13"/>
      <c r="P55" s="1">
        <f>SUM(OSRRefP22_6x_0)</f>
        <v>0</v>
      </c>
      <c r="Q55" s="1"/>
      <c r="R55" s="5">
        <f t="shared" si="32"/>
        <v>0</v>
      </c>
      <c r="S55" s="1"/>
      <c r="T55" s="1">
        <f>SUM(OSRRefT22_6x_0)</f>
        <v>250</v>
      </c>
      <c r="U55" s="1"/>
      <c r="V55" s="5">
        <f t="shared" si="33"/>
        <v>7.1018288629687916E-4</v>
      </c>
      <c r="W55" s="1"/>
      <c r="X55" s="1">
        <f t="shared" si="34"/>
        <v>-250</v>
      </c>
      <c r="Y55" s="1"/>
      <c r="Z55" s="5">
        <f t="shared" si="35"/>
        <v>-1</v>
      </c>
    </row>
    <row r="56" spans="1:26" s="24" customFormat="1" hidden="1" outlineLevel="2" x14ac:dyDescent="0.25">
      <c r="A56" s="25"/>
      <c r="B56" s="11" t="str">
        <f>CONCATENATE("          ", "6277", " - ", "EMPLOYEE APPRECIATION")</f>
        <v xml:space="preserve">          6277 - EMPLOYEE APPRECIATION</v>
      </c>
      <c r="C56" s="11"/>
      <c r="D56" s="6"/>
      <c r="E56" s="2"/>
      <c r="F56" s="7">
        <f t="shared" si="28"/>
        <v>0</v>
      </c>
      <c r="G56" s="2"/>
      <c r="H56" s="6"/>
      <c r="I56" s="2"/>
      <c r="J56" s="7">
        <f t="shared" si="29"/>
        <v>0</v>
      </c>
      <c r="K56" s="2"/>
      <c r="L56" s="6">
        <f t="shared" si="30"/>
        <v>0</v>
      </c>
      <c r="M56" s="2"/>
      <c r="N56" s="7">
        <f t="shared" si="31"/>
        <v>0</v>
      </c>
      <c r="O56" s="11"/>
      <c r="P56" s="6"/>
      <c r="Q56" s="2"/>
      <c r="R56" s="7">
        <f t="shared" si="32"/>
        <v>0</v>
      </c>
      <c r="S56" s="2"/>
      <c r="T56" s="6">
        <v>250</v>
      </c>
      <c r="U56" s="2"/>
      <c r="V56" s="7">
        <f t="shared" si="33"/>
        <v>7.1018288629687916E-4</v>
      </c>
      <c r="W56" s="2"/>
      <c r="X56" s="6">
        <f t="shared" si="34"/>
        <v>-250</v>
      </c>
      <c r="Y56" s="2"/>
      <c r="Z56" s="7">
        <f t="shared" si="35"/>
        <v>-1</v>
      </c>
    </row>
    <row r="57" spans="1:26" s="27" customFormat="1" outlineLevel="1" collapsed="1" x14ac:dyDescent="0.25">
      <c r="A57" s="26"/>
      <c r="B57" s="13" t="str">
        <f>CONCATENATE("     ","General                                           ")</f>
        <v xml:space="preserve">     General                                           </v>
      </c>
      <c r="C57" s="13"/>
      <c r="D57" s="1">
        <f>SUM(OSRRefD22_7x_0)</f>
        <v>9.6</v>
      </c>
      <c r="E57" s="1"/>
      <c r="F57" s="5">
        <f t="shared" si="28"/>
        <v>6.0742078378793918E-4</v>
      </c>
      <c r="G57" s="1"/>
      <c r="H57" s="1">
        <f>SUM(OSRRefH22_7x_0)</f>
        <v>0</v>
      </c>
      <c r="I57" s="1"/>
      <c r="J57" s="5">
        <f t="shared" si="29"/>
        <v>0</v>
      </c>
      <c r="K57" s="1"/>
      <c r="L57" s="1">
        <f t="shared" si="30"/>
        <v>9.6</v>
      </c>
      <c r="M57" s="1"/>
      <c r="N57" s="5">
        <f t="shared" si="31"/>
        <v>0</v>
      </c>
      <c r="O57" s="13"/>
      <c r="P57" s="1">
        <f>SUM(OSRRefP22_7x_0)</f>
        <v>901.75</v>
      </c>
      <c r="Q57" s="1"/>
      <c r="R57" s="5">
        <f t="shared" si="32"/>
        <v>3.535601359035368E-3</v>
      </c>
      <c r="S57" s="1"/>
      <c r="T57" s="1">
        <f>SUM(OSRRefT22_7x_0)</f>
        <v>0</v>
      </c>
      <c r="U57" s="1"/>
      <c r="V57" s="5">
        <f t="shared" si="33"/>
        <v>0</v>
      </c>
      <c r="W57" s="1"/>
      <c r="X57" s="1">
        <f t="shared" si="34"/>
        <v>901.75</v>
      </c>
      <c r="Y57" s="1"/>
      <c r="Z57" s="5">
        <f t="shared" si="35"/>
        <v>0</v>
      </c>
    </row>
    <row r="58" spans="1:26" s="24" customFormat="1" hidden="1" outlineLevel="2" x14ac:dyDescent="0.25">
      <c r="A58" s="25"/>
      <c r="B58" s="11" t="str">
        <f>CONCATENATE("          ", "6279", " - ", "GENERAL EXPENSE")</f>
        <v xml:space="preserve">          6279 - GENERAL EXPENSE</v>
      </c>
      <c r="C58" s="11"/>
      <c r="D58" s="6">
        <v>9.6</v>
      </c>
      <c r="E58" s="2"/>
      <c r="F58" s="7">
        <f t="shared" si="28"/>
        <v>6.0742078378793918E-4</v>
      </c>
      <c r="G58" s="2"/>
      <c r="H58" s="6"/>
      <c r="I58" s="2"/>
      <c r="J58" s="7">
        <f t="shared" si="29"/>
        <v>0</v>
      </c>
      <c r="K58" s="2"/>
      <c r="L58" s="6">
        <f t="shared" si="30"/>
        <v>9.6</v>
      </c>
      <c r="M58" s="2"/>
      <c r="N58" s="7">
        <f t="shared" si="31"/>
        <v>0</v>
      </c>
      <c r="O58" s="11"/>
      <c r="P58" s="6">
        <v>901.75</v>
      </c>
      <c r="Q58" s="2"/>
      <c r="R58" s="7">
        <f t="shared" si="32"/>
        <v>3.535601359035368E-3</v>
      </c>
      <c r="S58" s="2"/>
      <c r="T58" s="6"/>
      <c r="U58" s="2"/>
      <c r="V58" s="7">
        <f t="shared" si="33"/>
        <v>0</v>
      </c>
      <c r="W58" s="2"/>
      <c r="X58" s="6">
        <f t="shared" si="34"/>
        <v>901.75</v>
      </c>
      <c r="Y58" s="2"/>
      <c r="Z58" s="7">
        <f t="shared" si="35"/>
        <v>0</v>
      </c>
    </row>
    <row r="59" spans="1:26" s="27" customFormat="1" outlineLevel="1" collapsed="1" x14ac:dyDescent="0.25">
      <c r="A59" s="26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SUM(OSRRefD22_8x_0)</f>
        <v>165.75</v>
      </c>
      <c r="E59" s="1"/>
      <c r="F59" s="5">
        <f t="shared" si="28"/>
        <v>1.0487499470088639E-2</v>
      </c>
      <c r="G59" s="1"/>
      <c r="H59" s="1">
        <f>SUM(OSRRefH22_8x_0)</f>
        <v>0</v>
      </c>
      <c r="I59" s="1"/>
      <c r="J59" s="5">
        <f t="shared" si="29"/>
        <v>0</v>
      </c>
      <c r="K59" s="1"/>
      <c r="L59" s="1">
        <f t="shared" si="30"/>
        <v>165.75</v>
      </c>
      <c r="M59" s="1"/>
      <c r="N59" s="5">
        <f t="shared" si="31"/>
        <v>0</v>
      </c>
      <c r="O59" s="13"/>
      <c r="P59" s="1">
        <f>SUM(OSRRefP22_8x_0)</f>
        <v>8877.11</v>
      </c>
      <c r="Q59" s="1"/>
      <c r="R59" s="5">
        <f t="shared" si="32"/>
        <v>3.4805569371007997E-2</v>
      </c>
      <c r="S59" s="1"/>
      <c r="T59" s="1">
        <f>SUM(OSRRefT22_8x_0)</f>
        <v>0</v>
      </c>
      <c r="U59" s="1"/>
      <c r="V59" s="5">
        <f t="shared" si="33"/>
        <v>0</v>
      </c>
      <c r="W59" s="1"/>
      <c r="X59" s="1">
        <f t="shared" si="34"/>
        <v>8877.11</v>
      </c>
      <c r="Y59" s="1"/>
      <c r="Z59" s="5">
        <f t="shared" si="35"/>
        <v>0</v>
      </c>
    </row>
    <row r="60" spans="1:26" s="24" customFormat="1" hidden="1" outlineLevel="2" x14ac:dyDescent="0.25">
      <c r="A60" s="25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>
        <v>874.62</v>
      </c>
      <c r="Q60" s="2"/>
      <c r="R60" s="7">
        <f t="shared" si="32"/>
        <v>3.4292294545489477E-3</v>
      </c>
      <c r="S60" s="2"/>
      <c r="T60" s="6"/>
      <c r="U60" s="2"/>
      <c r="V60" s="7">
        <f t="shared" si="33"/>
        <v>0</v>
      </c>
      <c r="W60" s="2"/>
      <c r="X60" s="6">
        <f t="shared" si="34"/>
        <v>874.62</v>
      </c>
      <c r="Y60" s="2"/>
      <c r="Z60" s="7">
        <f t="shared" si="35"/>
        <v>0</v>
      </c>
    </row>
    <row r="61" spans="1:26" s="24" customFormat="1" hidden="1" outlineLevel="2" x14ac:dyDescent="0.25">
      <c r="A61" s="25"/>
      <c r="B61" s="11" t="str">
        <f>CONCATENATE("          ", "6373", " - ", "MAINTENANCE CONTRACTS")</f>
        <v xml:space="preserve">          6373 - MAINTENANCE CONTRACTS</v>
      </c>
      <c r="C61" s="11"/>
      <c r="D61" s="6">
        <v>165.75</v>
      </c>
      <c r="E61" s="2"/>
      <c r="F61" s="7">
        <f t="shared" si="28"/>
        <v>1.0487499470088639E-2</v>
      </c>
      <c r="G61" s="2"/>
      <c r="H61" s="6"/>
      <c r="I61" s="2"/>
      <c r="J61" s="7">
        <f t="shared" si="29"/>
        <v>0</v>
      </c>
      <c r="K61" s="2"/>
      <c r="L61" s="6">
        <f t="shared" si="30"/>
        <v>165.75</v>
      </c>
      <c r="M61" s="2"/>
      <c r="N61" s="7">
        <f t="shared" si="31"/>
        <v>0</v>
      </c>
      <c r="O61" s="11"/>
      <c r="P61" s="6">
        <v>1031.97</v>
      </c>
      <c r="Q61" s="2"/>
      <c r="R61" s="7">
        <f t="shared" si="32"/>
        <v>4.0461708172816512E-3</v>
      </c>
      <c r="S61" s="2"/>
      <c r="T61" s="6"/>
      <c r="U61" s="2"/>
      <c r="V61" s="7">
        <f t="shared" si="33"/>
        <v>0</v>
      </c>
      <c r="W61" s="2"/>
      <c r="X61" s="6">
        <f t="shared" si="34"/>
        <v>1031.97</v>
      </c>
      <c r="Y61" s="2"/>
      <c r="Z61" s="7">
        <f t="shared" si="35"/>
        <v>0</v>
      </c>
    </row>
    <row r="62" spans="1:26" s="24" customFormat="1" hidden="1" outlineLevel="2" x14ac:dyDescent="0.25">
      <c r="A62" s="25"/>
      <c r="B62" s="11" t="str">
        <f>CONCATENATE("          ", "6375", " - ", "OUTSIDE REPAIRS &amp; MAINTENANCE")</f>
        <v xml:space="preserve">          6375 - OUTSIDE REPAIRS &amp; MAINTENANCE</v>
      </c>
      <c r="C62" s="11"/>
      <c r="D62" s="6"/>
      <c r="E62" s="2"/>
      <c r="F62" s="7">
        <f t="shared" si="28"/>
        <v>0</v>
      </c>
      <c r="G62" s="2"/>
      <c r="H62" s="6"/>
      <c r="I62" s="2"/>
      <c r="J62" s="7">
        <f t="shared" si="29"/>
        <v>0</v>
      </c>
      <c r="K62" s="2"/>
      <c r="L62" s="6">
        <f t="shared" si="30"/>
        <v>0</v>
      </c>
      <c r="M62" s="2"/>
      <c r="N62" s="7">
        <f t="shared" si="31"/>
        <v>0</v>
      </c>
      <c r="O62" s="11"/>
      <c r="P62" s="6">
        <v>6970.52</v>
      </c>
      <c r="Q62" s="2"/>
      <c r="R62" s="7">
        <f t="shared" si="32"/>
        <v>2.7330169099177393E-2</v>
      </c>
      <c r="S62" s="2"/>
      <c r="T62" s="6"/>
      <c r="U62" s="2"/>
      <c r="V62" s="7">
        <f t="shared" si="33"/>
        <v>0</v>
      </c>
      <c r="W62" s="2"/>
      <c r="X62" s="6">
        <f t="shared" si="34"/>
        <v>6970.52</v>
      </c>
      <c r="Y62" s="2"/>
      <c r="Z62" s="7">
        <f t="shared" si="35"/>
        <v>0</v>
      </c>
    </row>
    <row r="63" spans="1:26" s="27" customFormat="1" outlineLevel="1" collapsed="1" x14ac:dyDescent="0.25">
      <c r="A63" s="26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SUM(OSRRefD22_9x_0)</f>
        <v>417.40000000000003</v>
      </c>
      <c r="E63" s="1"/>
      <c r="F63" s="5">
        <f t="shared" ref="F63:F65" si="36">IF(D$12=0,0,D63/D$12)</f>
        <v>2.6410149495113111E-2</v>
      </c>
      <c r="G63" s="1"/>
      <c r="H63" s="1">
        <f>SUM(OSRRefH22_9x_0)</f>
        <v>0</v>
      </c>
      <c r="I63" s="1"/>
      <c r="J63" s="5">
        <f t="shared" ref="J63:J65" si="37">IF(H$12=0,0,H63/H$12)</f>
        <v>0</v>
      </c>
      <c r="K63" s="1"/>
      <c r="L63" s="1">
        <f t="shared" ref="L63:L65" si="38">+D63-H63</f>
        <v>417.40000000000003</v>
      </c>
      <c r="M63" s="1"/>
      <c r="N63" s="5">
        <f t="shared" ref="N63:N65" si="39">IF(H63=0,0,L63/H63)</f>
        <v>0</v>
      </c>
      <c r="O63" s="13"/>
      <c r="P63" s="1">
        <f>SUM(OSRRefP22_9x_0)</f>
        <v>1368.82</v>
      </c>
      <c r="Q63" s="1"/>
      <c r="R63" s="5">
        <f t="shared" ref="R63:R65" si="40">IF(P$12=0,0,P63/P$12)</f>
        <v>5.3668997530078094E-3</v>
      </c>
      <c r="S63" s="1"/>
      <c r="T63" s="1">
        <f>SUM(OSRRefT22_9x_0)</f>
        <v>90</v>
      </c>
      <c r="U63" s="1"/>
      <c r="V63" s="5">
        <f t="shared" ref="V63:V65" si="41">IF(T$12=0,0,T63/T$12)</f>
        <v>2.556658390668765E-4</v>
      </c>
      <c r="W63" s="1"/>
      <c r="X63" s="1">
        <f t="shared" ref="X63:X65" si="42">+P63-T63</f>
        <v>1278.82</v>
      </c>
      <c r="Y63" s="1"/>
      <c r="Z63" s="5">
        <f t="shared" ref="Z63:Z65" si="43">IF(T63=0,0,X63/T63)</f>
        <v>14.20911111111111</v>
      </c>
    </row>
    <row r="64" spans="1:26" s="24" customFormat="1" hidden="1" outlineLevel="2" x14ac:dyDescent="0.25">
      <c r="A64" s="25"/>
      <c r="B64" s="11" t="str">
        <f>CONCATENATE("          ", "6285", " - ", "JANITORIAL SERVICES")</f>
        <v xml:space="preserve">          6285 - JANITORIAL SERVICES</v>
      </c>
      <c r="C64" s="11"/>
      <c r="D64" s="6">
        <v>364.8</v>
      </c>
      <c r="E64" s="2"/>
      <c r="F64" s="7">
        <f t="shared" si="36"/>
        <v>2.3081989783941693E-2</v>
      </c>
      <c r="G64" s="2"/>
      <c r="H64" s="6"/>
      <c r="I64" s="2"/>
      <c r="J64" s="7">
        <f t="shared" si="37"/>
        <v>0</v>
      </c>
      <c r="K64" s="2"/>
      <c r="L64" s="6">
        <f t="shared" si="38"/>
        <v>364.8</v>
      </c>
      <c r="M64" s="2"/>
      <c r="N64" s="7">
        <f t="shared" si="39"/>
        <v>0</v>
      </c>
      <c r="O64" s="11"/>
      <c r="P64" s="6">
        <v>712.8</v>
      </c>
      <c r="Q64" s="2"/>
      <c r="R64" s="7">
        <f t="shared" si="40"/>
        <v>2.7947620168787472E-3</v>
      </c>
      <c r="S64" s="2"/>
      <c r="T64" s="6"/>
      <c r="U64" s="2"/>
      <c r="V64" s="7">
        <f t="shared" si="41"/>
        <v>0</v>
      </c>
      <c r="W64" s="2"/>
      <c r="X64" s="6">
        <f t="shared" si="42"/>
        <v>712.8</v>
      </c>
      <c r="Y64" s="2"/>
      <c r="Z64" s="7">
        <f t="shared" si="43"/>
        <v>0</v>
      </c>
    </row>
    <row r="65" spans="1:26" s="24" customFormat="1" hidden="1" outlineLevel="2" x14ac:dyDescent="0.25">
      <c r="A65" s="25"/>
      <c r="B65" s="11" t="str">
        <f>CONCATENATE("          ", "6286", " - ", "LAUNDRY EXPENSE")</f>
        <v xml:space="preserve">          6286 - LAUNDRY EXPENSE</v>
      </c>
      <c r="C65" s="11"/>
      <c r="D65" s="6">
        <v>52.6</v>
      </c>
      <c r="E65" s="2"/>
      <c r="F65" s="7">
        <f t="shared" si="36"/>
        <v>3.3281597111714171E-3</v>
      </c>
      <c r="G65" s="2"/>
      <c r="H65" s="6"/>
      <c r="I65" s="2"/>
      <c r="J65" s="7">
        <f t="shared" si="37"/>
        <v>0</v>
      </c>
      <c r="K65" s="2"/>
      <c r="L65" s="6">
        <f t="shared" si="38"/>
        <v>52.6</v>
      </c>
      <c r="M65" s="2"/>
      <c r="N65" s="7">
        <f t="shared" si="39"/>
        <v>0</v>
      </c>
      <c r="O65" s="11"/>
      <c r="P65" s="6">
        <v>656.02</v>
      </c>
      <c r="Q65" s="2"/>
      <c r="R65" s="7">
        <f t="shared" si="40"/>
        <v>2.5721377361290626E-3</v>
      </c>
      <c r="S65" s="2"/>
      <c r="T65" s="6">
        <v>90</v>
      </c>
      <c r="U65" s="2"/>
      <c r="V65" s="7">
        <f t="shared" si="41"/>
        <v>2.556658390668765E-4</v>
      </c>
      <c r="W65" s="2"/>
      <c r="X65" s="6">
        <f t="shared" si="42"/>
        <v>566.02</v>
      </c>
      <c r="Y65" s="2"/>
      <c r="Z65" s="7">
        <f t="shared" si="43"/>
        <v>6.2891111111111107</v>
      </c>
    </row>
    <row r="66" spans="1:26" s="27" customFormat="1" outlineLevel="1" collapsed="1" x14ac:dyDescent="0.25">
      <c r="A66" s="26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SUM(OSRRefD22_10x_0)</f>
        <v>182.76</v>
      </c>
      <c r="E66" s="1"/>
      <c r="F66" s="5">
        <f t="shared" ref="F66:F73" si="44">IF(D$12=0,0,D66/D$12)</f>
        <v>1.1563773171362894E-2</v>
      </c>
      <c r="G66" s="1"/>
      <c r="H66" s="1">
        <f>SUM(OSRRefH22_10x_0)</f>
        <v>675</v>
      </c>
      <c r="I66" s="1"/>
      <c r="J66" s="5">
        <f t="shared" ref="J66:J73" si="45">IF(H$12=0,0,H66/H$12)</f>
        <v>1.1946902654867256E-2</v>
      </c>
      <c r="K66" s="1"/>
      <c r="L66" s="1">
        <f t="shared" ref="L66:L73" si="46">+D66-H66</f>
        <v>-492.24</v>
      </c>
      <c r="M66" s="1"/>
      <c r="N66" s="5">
        <f t="shared" ref="N66:N73" si="47">IF(H66=0,0,L66/H66)</f>
        <v>-0.72924444444444447</v>
      </c>
      <c r="O66" s="13"/>
      <c r="P66" s="1">
        <f>SUM(OSRRefP22_10x_0)</f>
        <v>4596.26</v>
      </c>
      <c r="Q66" s="1"/>
      <c r="R66" s="5">
        <f t="shared" ref="R66:R73" si="48">IF(P$12=0,0,P66/P$12)</f>
        <v>1.8021117940094152E-2</v>
      </c>
      <c r="S66" s="1"/>
      <c r="T66" s="1">
        <f>SUM(OSRRefT22_10x_0)</f>
        <v>5400</v>
      </c>
      <c r="U66" s="1"/>
      <c r="V66" s="5">
        <f t="shared" ref="V66:V73" si="49">IF(T$12=0,0,T66/T$12)</f>
        <v>1.5339950344012591E-2</v>
      </c>
      <c r="W66" s="1"/>
      <c r="X66" s="1">
        <f t="shared" ref="X66:X73" si="50">+P66-T66</f>
        <v>-803.73999999999978</v>
      </c>
      <c r="Y66" s="1"/>
      <c r="Z66" s="5">
        <f t="shared" ref="Z66:Z73" si="51">IF(T66=0,0,X66/T66)</f>
        <v>-0.14884074074074069</v>
      </c>
    </row>
    <row r="67" spans="1:26" s="24" customFormat="1" hidden="1" outlineLevel="2" x14ac:dyDescent="0.25">
      <c r="A67" s="25"/>
      <c r="B67" s="11" t="str">
        <f>CONCATENATE("          ", "6237", " - ", "JANITORIAL SUPPLIES")</f>
        <v xml:space="preserve">          6237 - JANITORIAL SUPPLIES</v>
      </c>
      <c r="C67" s="11"/>
      <c r="D67" s="6"/>
      <c r="E67" s="2"/>
      <c r="F67" s="7">
        <f t="shared" si="44"/>
        <v>0</v>
      </c>
      <c r="G67" s="2"/>
      <c r="H67" s="6">
        <v>200</v>
      </c>
      <c r="I67" s="2"/>
      <c r="J67" s="7">
        <f t="shared" si="45"/>
        <v>3.5398230088495575E-3</v>
      </c>
      <c r="K67" s="2"/>
      <c r="L67" s="6">
        <f t="shared" si="46"/>
        <v>-200</v>
      </c>
      <c r="M67" s="2"/>
      <c r="N67" s="7">
        <f t="shared" si="47"/>
        <v>-1</v>
      </c>
      <c r="O67" s="11"/>
      <c r="P67" s="6"/>
      <c r="Q67" s="2"/>
      <c r="R67" s="7">
        <f t="shared" si="48"/>
        <v>0</v>
      </c>
      <c r="S67" s="2"/>
      <c r="T67" s="6">
        <v>440</v>
      </c>
      <c r="U67" s="2"/>
      <c r="V67" s="7">
        <f t="shared" si="49"/>
        <v>1.2499218798825073E-3</v>
      </c>
      <c r="W67" s="2"/>
      <c r="X67" s="6">
        <f t="shared" si="50"/>
        <v>-440</v>
      </c>
      <c r="Y67" s="2"/>
      <c r="Z67" s="7">
        <f t="shared" si="51"/>
        <v>-1</v>
      </c>
    </row>
    <row r="68" spans="1:26" s="24" customFormat="1" hidden="1" outlineLevel="2" x14ac:dyDescent="0.25">
      <c r="A68" s="25"/>
      <c r="B68" s="11" t="str">
        <f>CONCATENATE("          ", "6239", " - ", "KITCHEN SUPPLIES")</f>
        <v xml:space="preserve">          6239 - KITCHEN SUPPLIES</v>
      </c>
      <c r="C68" s="11"/>
      <c r="D68" s="6"/>
      <c r="E68" s="2"/>
      <c r="F68" s="7">
        <f t="shared" si="44"/>
        <v>0</v>
      </c>
      <c r="G68" s="2"/>
      <c r="H68" s="6">
        <v>100</v>
      </c>
      <c r="I68" s="2"/>
      <c r="J68" s="7">
        <f t="shared" si="45"/>
        <v>1.7699115044247787E-3</v>
      </c>
      <c r="K68" s="2"/>
      <c r="L68" s="6">
        <f t="shared" si="46"/>
        <v>-100</v>
      </c>
      <c r="M68" s="2"/>
      <c r="N68" s="7">
        <f t="shared" si="47"/>
        <v>-1</v>
      </c>
      <c r="O68" s="11"/>
      <c r="P68" s="6">
        <v>960.31</v>
      </c>
      <c r="Q68" s="2"/>
      <c r="R68" s="7">
        <f t="shared" si="48"/>
        <v>3.7652047031829822E-3</v>
      </c>
      <c r="S68" s="2"/>
      <c r="T68" s="6">
        <v>790</v>
      </c>
      <c r="U68" s="2"/>
      <c r="V68" s="7">
        <f t="shared" si="49"/>
        <v>2.2441779206981384E-3</v>
      </c>
      <c r="W68" s="2"/>
      <c r="X68" s="6">
        <f t="shared" si="50"/>
        <v>170.30999999999995</v>
      </c>
      <c r="Y68" s="2"/>
      <c r="Z68" s="7">
        <f t="shared" si="51"/>
        <v>0.21558227848101258</v>
      </c>
    </row>
    <row r="69" spans="1:26" s="24" customFormat="1" hidden="1" outlineLevel="2" x14ac:dyDescent="0.25">
      <c r="A69" s="25"/>
      <c r="B69" s="11" t="str">
        <f>CONCATENATE("          ", "6241", " - ", "OFFICE EXPENSE")</f>
        <v xml:space="preserve">          6241 - OFFICE EXPENSE</v>
      </c>
      <c r="C69" s="11"/>
      <c r="D69" s="6"/>
      <c r="E69" s="2"/>
      <c r="F69" s="7">
        <f t="shared" si="44"/>
        <v>0</v>
      </c>
      <c r="G69" s="2"/>
      <c r="H69" s="6"/>
      <c r="I69" s="2"/>
      <c r="J69" s="7">
        <f t="shared" si="45"/>
        <v>0</v>
      </c>
      <c r="K69" s="2"/>
      <c r="L69" s="6">
        <f t="shared" si="46"/>
        <v>0</v>
      </c>
      <c r="M69" s="2"/>
      <c r="N69" s="7">
        <f t="shared" si="47"/>
        <v>0</v>
      </c>
      <c r="O69" s="11"/>
      <c r="P69" s="6">
        <v>1153.24</v>
      </c>
      <c r="Q69" s="2"/>
      <c r="R69" s="7">
        <f t="shared" si="48"/>
        <v>4.5216489174316025E-3</v>
      </c>
      <c r="S69" s="2"/>
      <c r="T69" s="6">
        <v>390</v>
      </c>
      <c r="U69" s="2"/>
      <c r="V69" s="7">
        <f t="shared" si="49"/>
        <v>1.1078853026231315E-3</v>
      </c>
      <c r="W69" s="2"/>
      <c r="X69" s="6">
        <f t="shared" si="50"/>
        <v>763.24</v>
      </c>
      <c r="Y69" s="2"/>
      <c r="Z69" s="7">
        <f t="shared" si="51"/>
        <v>1.957025641025641</v>
      </c>
    </row>
    <row r="70" spans="1:26" s="24" customFormat="1" hidden="1" outlineLevel="2" x14ac:dyDescent="0.25">
      <c r="A70" s="25"/>
      <c r="B70" s="11" t="str">
        <f>CONCATENATE("          ", "6243", " - ", "PAPER SUPPLIES")</f>
        <v xml:space="preserve">          6243 - PAPER SUPPLIES</v>
      </c>
      <c r="C70" s="11"/>
      <c r="D70" s="6">
        <v>173.01</v>
      </c>
      <c r="E70" s="2"/>
      <c r="F70" s="7">
        <f t="shared" si="44"/>
        <v>1.0946861437828267E-2</v>
      </c>
      <c r="G70" s="2"/>
      <c r="H70" s="6">
        <v>300</v>
      </c>
      <c r="I70" s="2"/>
      <c r="J70" s="7">
        <f t="shared" si="45"/>
        <v>5.3097345132743362E-3</v>
      </c>
      <c r="K70" s="2"/>
      <c r="L70" s="6">
        <f t="shared" si="46"/>
        <v>-126.99000000000001</v>
      </c>
      <c r="M70" s="2"/>
      <c r="N70" s="7">
        <f t="shared" si="47"/>
        <v>-0.42330000000000001</v>
      </c>
      <c r="O70" s="11"/>
      <c r="P70" s="6">
        <v>1490.35</v>
      </c>
      <c r="Q70" s="2"/>
      <c r="R70" s="7">
        <f t="shared" si="48"/>
        <v>5.8433972669125148E-3</v>
      </c>
      <c r="S70" s="2"/>
      <c r="T70" s="6">
        <v>2145</v>
      </c>
      <c r="U70" s="2"/>
      <c r="V70" s="7">
        <f t="shared" si="49"/>
        <v>6.0933691644272231E-3</v>
      </c>
      <c r="W70" s="2"/>
      <c r="X70" s="6">
        <f t="shared" si="50"/>
        <v>-654.65000000000009</v>
      </c>
      <c r="Y70" s="2"/>
      <c r="Z70" s="7">
        <f t="shared" si="51"/>
        <v>-0.30519813519813527</v>
      </c>
    </row>
    <row r="71" spans="1:26" s="24" customFormat="1" hidden="1" outlineLevel="2" x14ac:dyDescent="0.25">
      <c r="A71" s="25"/>
      <c r="B71" s="11" t="str">
        <f>CONCATENATE("          ", "6245", " - ", "PRINTING")</f>
        <v xml:space="preserve">          6245 - PRINTING</v>
      </c>
      <c r="C71" s="11"/>
      <c r="D71" s="6"/>
      <c r="E71" s="2"/>
      <c r="F71" s="7">
        <f t="shared" si="44"/>
        <v>0</v>
      </c>
      <c r="G71" s="2"/>
      <c r="H71" s="6"/>
      <c r="I71" s="2"/>
      <c r="J71" s="7">
        <f t="shared" si="45"/>
        <v>0</v>
      </c>
      <c r="K71" s="2"/>
      <c r="L71" s="6">
        <f t="shared" si="46"/>
        <v>0</v>
      </c>
      <c r="M71" s="2"/>
      <c r="N71" s="7">
        <f t="shared" si="47"/>
        <v>0</v>
      </c>
      <c r="O71" s="11"/>
      <c r="P71" s="6">
        <v>244.39</v>
      </c>
      <c r="Q71" s="2"/>
      <c r="R71" s="7">
        <f t="shared" si="48"/>
        <v>9.5820972124719002E-4</v>
      </c>
      <c r="S71" s="2"/>
      <c r="T71" s="6"/>
      <c r="U71" s="2"/>
      <c r="V71" s="7">
        <f t="shared" si="49"/>
        <v>0</v>
      </c>
      <c r="W71" s="2"/>
      <c r="X71" s="6">
        <f t="shared" si="50"/>
        <v>244.39</v>
      </c>
      <c r="Y71" s="2"/>
      <c r="Z71" s="7">
        <f t="shared" si="51"/>
        <v>0</v>
      </c>
    </row>
    <row r="72" spans="1:26" s="24" customFormat="1" hidden="1" outlineLevel="2" x14ac:dyDescent="0.25">
      <c r="A72" s="25"/>
      <c r="B72" s="11" t="str">
        <f>CONCATENATE("          ", "6247", " - ", "STORE SUPPLIES")</f>
        <v xml:space="preserve">          6247 - STORE SUPPLIES</v>
      </c>
      <c r="C72" s="11"/>
      <c r="D72" s="6"/>
      <c r="E72" s="2"/>
      <c r="F72" s="7">
        <f t="shared" si="44"/>
        <v>0</v>
      </c>
      <c r="G72" s="2"/>
      <c r="H72" s="6">
        <v>75</v>
      </c>
      <c r="I72" s="2"/>
      <c r="J72" s="7">
        <f t="shared" si="45"/>
        <v>1.3274336283185841E-3</v>
      </c>
      <c r="K72" s="2"/>
      <c r="L72" s="6">
        <f t="shared" si="46"/>
        <v>-75</v>
      </c>
      <c r="M72" s="2"/>
      <c r="N72" s="7">
        <f t="shared" si="47"/>
        <v>-1</v>
      </c>
      <c r="O72" s="11"/>
      <c r="P72" s="6">
        <v>42.98</v>
      </c>
      <c r="Q72" s="2"/>
      <c r="R72" s="7">
        <f t="shared" si="48"/>
        <v>1.685169353050625E-4</v>
      </c>
      <c r="S72" s="2"/>
      <c r="T72" s="6">
        <v>1135</v>
      </c>
      <c r="U72" s="2"/>
      <c r="V72" s="7">
        <f t="shared" si="49"/>
        <v>3.2242303037878315E-3</v>
      </c>
      <c r="W72" s="2"/>
      <c r="X72" s="6">
        <f t="shared" si="50"/>
        <v>-1092.02</v>
      </c>
      <c r="Y72" s="2"/>
      <c r="Z72" s="7">
        <f t="shared" si="51"/>
        <v>-0.96213215859030832</v>
      </c>
    </row>
    <row r="73" spans="1:26" s="24" customFormat="1" hidden="1" outlineLevel="2" x14ac:dyDescent="0.25">
      <c r="A73" s="25"/>
      <c r="B73" s="11" t="str">
        <f>CONCATENATE("          ", "6248", " - ", "UNIFORMS")</f>
        <v xml:space="preserve">          6248 - UNIFORMS</v>
      </c>
      <c r="C73" s="11"/>
      <c r="D73" s="6">
        <v>9.75</v>
      </c>
      <c r="E73" s="2"/>
      <c r="F73" s="7">
        <f t="shared" si="44"/>
        <v>6.1691173353462577E-4</v>
      </c>
      <c r="G73" s="2"/>
      <c r="H73" s="6"/>
      <c r="I73" s="2"/>
      <c r="J73" s="7">
        <f t="shared" si="45"/>
        <v>0</v>
      </c>
      <c r="K73" s="2"/>
      <c r="L73" s="6">
        <f t="shared" si="46"/>
        <v>9.75</v>
      </c>
      <c r="M73" s="2"/>
      <c r="N73" s="7">
        <f t="shared" si="47"/>
        <v>0</v>
      </c>
      <c r="O73" s="11"/>
      <c r="P73" s="6">
        <v>704.99</v>
      </c>
      <c r="Q73" s="2"/>
      <c r="R73" s="7">
        <f t="shared" si="48"/>
        <v>2.7641403960147982E-3</v>
      </c>
      <c r="S73" s="2"/>
      <c r="T73" s="6">
        <v>500</v>
      </c>
      <c r="U73" s="2"/>
      <c r="V73" s="7">
        <f t="shared" si="49"/>
        <v>1.4203657725937583E-3</v>
      </c>
      <c r="W73" s="2"/>
      <c r="X73" s="6">
        <f t="shared" si="50"/>
        <v>204.99</v>
      </c>
      <c r="Y73" s="2"/>
      <c r="Z73" s="7">
        <f t="shared" si="51"/>
        <v>0.40998000000000001</v>
      </c>
    </row>
    <row r="74" spans="1:26" s="27" customFormat="1" outlineLevel="1" collapsed="1" x14ac:dyDescent="0.25">
      <c r="A74" s="26"/>
      <c r="B74" s="13" t="str">
        <f>CONCATENATE("     ","Telephone/Data Lines                              ")</f>
        <v xml:space="preserve">     Telephone/Data Lines                              </v>
      </c>
      <c r="C74" s="13"/>
      <c r="D74" s="1">
        <f>SUM(OSRRefD22_11x_0)</f>
        <v>126.96</v>
      </c>
      <c r="E74" s="1"/>
      <c r="F74" s="5">
        <f t="shared" ref="F74:F76" si="52">IF(D$12=0,0,D74/D$12)</f>
        <v>8.0331398655954962E-3</v>
      </c>
      <c r="G74" s="1"/>
      <c r="H74" s="1">
        <f>SUM(OSRRefH22_11x_0)</f>
        <v>95</v>
      </c>
      <c r="I74" s="1"/>
      <c r="J74" s="5">
        <f t="shared" ref="J74:J76" si="53">IF(H$12=0,0,H74/H$12)</f>
        <v>1.6814159292035398E-3</v>
      </c>
      <c r="K74" s="1"/>
      <c r="L74" s="1">
        <f t="shared" ref="L74:L76" si="54">+D74-H74</f>
        <v>31.959999999999994</v>
      </c>
      <c r="M74" s="1"/>
      <c r="N74" s="5">
        <f t="shared" ref="N74:N76" si="55">IF(H74=0,0,L74/H74)</f>
        <v>0.3364210526315789</v>
      </c>
      <c r="O74" s="13"/>
      <c r="P74" s="1">
        <f>SUM(OSRRefP22_11x_0)</f>
        <v>694.96</v>
      </c>
      <c r="Q74" s="1"/>
      <c r="R74" s="5">
        <f t="shared" ref="R74:R76" si="56">IF(P$12=0,0,P74/P$12)</f>
        <v>2.7248145500141053E-3</v>
      </c>
      <c r="S74" s="1"/>
      <c r="T74" s="1">
        <f>SUM(OSRRefT22_11x_0)</f>
        <v>855</v>
      </c>
      <c r="U74" s="1"/>
      <c r="V74" s="5">
        <f t="shared" ref="V74:V76" si="57">IF(T$12=0,0,T74/T$12)</f>
        <v>2.4288254711353268E-3</v>
      </c>
      <c r="W74" s="1"/>
      <c r="X74" s="1">
        <f t="shared" ref="X74:X76" si="58">+P74-T74</f>
        <v>-160.03999999999996</v>
      </c>
      <c r="Y74" s="1"/>
      <c r="Z74" s="5">
        <f t="shared" ref="Z74:Z76" si="59">IF(T74=0,0,X74/T74)</f>
        <v>-0.18718128654970756</v>
      </c>
    </row>
    <row r="75" spans="1:26" s="24" customFormat="1" hidden="1" outlineLevel="2" x14ac:dyDescent="0.25">
      <c r="A75" s="25"/>
      <c r="B75" s="11" t="str">
        <f>CONCATENATE("          ", "6303", " - ", "DATA PHONE LINES")</f>
        <v xml:space="preserve">          6303 - DATA PHONE LINES</v>
      </c>
      <c r="C75" s="11"/>
      <c r="D75" s="6"/>
      <c r="E75" s="2"/>
      <c r="F75" s="7">
        <f t="shared" si="52"/>
        <v>0</v>
      </c>
      <c r="G75" s="2"/>
      <c r="H75" s="6">
        <v>50</v>
      </c>
      <c r="I75" s="2"/>
      <c r="J75" s="7">
        <f t="shared" si="53"/>
        <v>8.8495575221238937E-4</v>
      </c>
      <c r="K75" s="2"/>
      <c r="L75" s="6">
        <f t="shared" si="54"/>
        <v>-50</v>
      </c>
      <c r="M75" s="2"/>
      <c r="N75" s="7">
        <f t="shared" si="55"/>
        <v>-1</v>
      </c>
      <c r="O75" s="11"/>
      <c r="P75" s="6"/>
      <c r="Q75" s="2"/>
      <c r="R75" s="7">
        <f t="shared" si="56"/>
        <v>0</v>
      </c>
      <c r="S75" s="2"/>
      <c r="T75" s="6">
        <v>450</v>
      </c>
      <c r="U75" s="2"/>
      <c r="V75" s="7">
        <f t="shared" si="57"/>
        <v>1.2783291953343825E-3</v>
      </c>
      <c r="W75" s="2"/>
      <c r="X75" s="6">
        <f t="shared" si="58"/>
        <v>-450</v>
      </c>
      <c r="Y75" s="2"/>
      <c r="Z75" s="7">
        <f t="shared" si="59"/>
        <v>-1</v>
      </c>
    </row>
    <row r="76" spans="1:26" s="24" customFormat="1" hidden="1" outlineLevel="2" x14ac:dyDescent="0.25">
      <c r="A76" s="25"/>
      <c r="B76" s="11" t="str">
        <f>CONCATENATE("          ", "6309", " - ", "TELEPHONE")</f>
        <v xml:space="preserve">          6309 - TELEPHONE</v>
      </c>
      <c r="C76" s="11"/>
      <c r="D76" s="6">
        <v>126.96</v>
      </c>
      <c r="E76" s="2"/>
      <c r="F76" s="7">
        <f t="shared" si="52"/>
        <v>8.0331398655954962E-3</v>
      </c>
      <c r="G76" s="2"/>
      <c r="H76" s="6">
        <v>45</v>
      </c>
      <c r="I76" s="2"/>
      <c r="J76" s="7">
        <f t="shared" si="53"/>
        <v>7.964601769911505E-4</v>
      </c>
      <c r="K76" s="2"/>
      <c r="L76" s="6">
        <f t="shared" si="54"/>
        <v>81.96</v>
      </c>
      <c r="M76" s="2"/>
      <c r="N76" s="7">
        <f t="shared" si="55"/>
        <v>1.8213333333333332</v>
      </c>
      <c r="O76" s="11"/>
      <c r="P76" s="6">
        <v>694.96</v>
      </c>
      <c r="Q76" s="2"/>
      <c r="R76" s="7">
        <f t="shared" si="56"/>
        <v>2.7248145500141053E-3</v>
      </c>
      <c r="S76" s="2"/>
      <c r="T76" s="6">
        <v>405</v>
      </c>
      <c r="U76" s="2"/>
      <c r="V76" s="7">
        <f t="shared" si="57"/>
        <v>1.1504962758009443E-3</v>
      </c>
      <c r="W76" s="2"/>
      <c r="X76" s="6">
        <f t="shared" si="58"/>
        <v>289.96000000000004</v>
      </c>
      <c r="Y76" s="2"/>
      <c r="Z76" s="7">
        <f t="shared" si="59"/>
        <v>0.71595061728395071</v>
      </c>
    </row>
    <row r="77" spans="1:26" s="27" customFormat="1" outlineLevel="1" collapsed="1" x14ac:dyDescent="0.25">
      <c r="A77" s="26"/>
      <c r="B77" s="13" t="str">
        <f>CONCATENATE("     ","Training                                          ")</f>
        <v xml:space="preserve">     Training                                          </v>
      </c>
      <c r="C77" s="13"/>
      <c r="D77" s="1">
        <f>SUM(OSRRefD22_12x_0)</f>
        <v>0</v>
      </c>
      <c r="E77" s="1"/>
      <c r="F77" s="5">
        <f t="shared" ref="F77:F80" si="60">IF(D$12=0,0,D77/D$12)</f>
        <v>0</v>
      </c>
      <c r="G77" s="1"/>
      <c r="H77" s="1">
        <f>SUM(OSRRefH22_12x_0)</f>
        <v>0</v>
      </c>
      <c r="I77" s="1"/>
      <c r="J77" s="5">
        <f t="shared" ref="J77:J80" si="61">IF(H$12=0,0,H77/H$12)</f>
        <v>0</v>
      </c>
      <c r="K77" s="1"/>
      <c r="L77" s="1">
        <f t="shared" ref="L77:L80" si="62">+D77-H77</f>
        <v>0</v>
      </c>
      <c r="M77" s="1"/>
      <c r="N77" s="5">
        <f t="shared" ref="N77:N80" si="63">IF(H77=0,0,L77/H77)</f>
        <v>0</v>
      </c>
      <c r="O77" s="13"/>
      <c r="P77" s="1">
        <f>SUM(OSRRefP22_12x_0)</f>
        <v>52.5</v>
      </c>
      <c r="Q77" s="1"/>
      <c r="R77" s="5">
        <f t="shared" ref="R77:R80" si="64">IF(P$12=0,0,P77/P$12)</f>
        <v>2.058431620175845E-4</v>
      </c>
      <c r="S77" s="1"/>
      <c r="T77" s="1">
        <f>SUM(OSRRefT22_12x_0)</f>
        <v>600</v>
      </c>
      <c r="U77" s="1"/>
      <c r="V77" s="5">
        <f t="shared" ref="V77:V80" si="65">IF(T$12=0,0,T77/T$12)</f>
        <v>1.70443892711251E-3</v>
      </c>
      <c r="W77" s="1"/>
      <c r="X77" s="1">
        <f t="shared" ref="X77:X80" si="66">+P77-T77</f>
        <v>-547.5</v>
      </c>
      <c r="Y77" s="1"/>
      <c r="Z77" s="5">
        <f t="shared" ref="Z77:Z80" si="67">IF(T77=0,0,X77/T77)</f>
        <v>-0.91249999999999998</v>
      </c>
    </row>
    <row r="78" spans="1:26" s="24" customFormat="1" hidden="1" outlineLevel="2" x14ac:dyDescent="0.25">
      <c r="A78" s="25"/>
      <c r="B78" s="11" t="str">
        <f>CONCATENATE("          ", "6376", " - ", "TRAINING")</f>
        <v xml:space="preserve">          6376 - TRAINING</v>
      </c>
      <c r="C78" s="11"/>
      <c r="D78" s="6"/>
      <c r="E78" s="2"/>
      <c r="F78" s="7">
        <f t="shared" si="60"/>
        <v>0</v>
      </c>
      <c r="G78" s="2"/>
      <c r="H78" s="6"/>
      <c r="I78" s="2"/>
      <c r="J78" s="7">
        <f t="shared" si="61"/>
        <v>0</v>
      </c>
      <c r="K78" s="2"/>
      <c r="L78" s="6">
        <f t="shared" si="62"/>
        <v>0</v>
      </c>
      <c r="M78" s="2"/>
      <c r="N78" s="7">
        <f t="shared" si="63"/>
        <v>0</v>
      </c>
      <c r="O78" s="11"/>
      <c r="P78" s="6">
        <v>52.5</v>
      </c>
      <c r="Q78" s="2"/>
      <c r="R78" s="7">
        <f t="shared" si="64"/>
        <v>2.058431620175845E-4</v>
      </c>
      <c r="S78" s="2"/>
      <c r="T78" s="6">
        <v>600</v>
      </c>
      <c r="U78" s="2"/>
      <c r="V78" s="7">
        <f t="shared" si="65"/>
        <v>1.70443892711251E-3</v>
      </c>
      <c r="W78" s="2"/>
      <c r="X78" s="6">
        <f t="shared" si="66"/>
        <v>-547.5</v>
      </c>
      <c r="Y78" s="2"/>
      <c r="Z78" s="7">
        <f t="shared" si="67"/>
        <v>-0.91249999999999998</v>
      </c>
    </row>
    <row r="79" spans="1:26" s="27" customFormat="1" outlineLevel="1" collapsed="1" x14ac:dyDescent="0.25">
      <c r="A79" s="26"/>
      <c r="B79" s="13" t="str">
        <f>CONCATENATE("     ","Travel                                            ")</f>
        <v xml:space="preserve">     Travel                                            </v>
      </c>
      <c r="C79" s="13"/>
      <c r="D79" s="1">
        <f>SUM(OSRRefD22_13x_0)</f>
        <v>0</v>
      </c>
      <c r="E79" s="1"/>
      <c r="F79" s="5">
        <f t="shared" si="60"/>
        <v>0</v>
      </c>
      <c r="G79" s="1"/>
      <c r="H79" s="1">
        <f>SUM(OSRRefH22_13x_0)</f>
        <v>1000</v>
      </c>
      <c r="I79" s="1"/>
      <c r="J79" s="5">
        <f t="shared" si="61"/>
        <v>1.7699115044247787E-2</v>
      </c>
      <c r="K79" s="1"/>
      <c r="L79" s="1">
        <f t="shared" si="62"/>
        <v>-1000</v>
      </c>
      <c r="M79" s="1"/>
      <c r="N79" s="5">
        <f t="shared" si="63"/>
        <v>-1</v>
      </c>
      <c r="O79" s="13"/>
      <c r="P79" s="1">
        <f>SUM(OSRRefP22_13x_0)</f>
        <v>0</v>
      </c>
      <c r="Q79" s="1"/>
      <c r="R79" s="5">
        <f t="shared" si="64"/>
        <v>0</v>
      </c>
      <c r="S79" s="1"/>
      <c r="T79" s="1">
        <f>SUM(OSRRefT22_13x_0)</f>
        <v>1000</v>
      </c>
      <c r="U79" s="1"/>
      <c r="V79" s="5">
        <f t="shared" si="65"/>
        <v>2.8407315451875166E-3</v>
      </c>
      <c r="W79" s="1"/>
      <c r="X79" s="1">
        <f t="shared" si="66"/>
        <v>-1000</v>
      </c>
      <c r="Y79" s="1"/>
      <c r="Z79" s="5">
        <f t="shared" si="67"/>
        <v>-1</v>
      </c>
    </row>
    <row r="80" spans="1:26" s="24" customFormat="1" hidden="1" outlineLevel="2" x14ac:dyDescent="0.25">
      <c r="A80" s="25"/>
      <c r="B80" s="11" t="str">
        <f>CONCATENATE("          ", "6292", " - ", "TRAVEL/CONFERENCE")</f>
        <v xml:space="preserve">          6292 - TRAVEL/CONFERENCE</v>
      </c>
      <c r="C80" s="11"/>
      <c r="D80" s="6"/>
      <c r="E80" s="2"/>
      <c r="F80" s="7">
        <f t="shared" si="60"/>
        <v>0</v>
      </c>
      <c r="G80" s="2"/>
      <c r="H80" s="6">
        <v>1000</v>
      </c>
      <c r="I80" s="2"/>
      <c r="J80" s="7">
        <f t="shared" si="61"/>
        <v>1.7699115044247787E-2</v>
      </c>
      <c r="K80" s="2"/>
      <c r="L80" s="6">
        <f t="shared" si="62"/>
        <v>-1000</v>
      </c>
      <c r="M80" s="2"/>
      <c r="N80" s="7">
        <f t="shared" si="63"/>
        <v>-1</v>
      </c>
      <c r="O80" s="11"/>
      <c r="P80" s="6"/>
      <c r="Q80" s="2"/>
      <c r="R80" s="7">
        <f t="shared" si="64"/>
        <v>0</v>
      </c>
      <c r="S80" s="2"/>
      <c r="T80" s="6">
        <v>1000</v>
      </c>
      <c r="U80" s="2"/>
      <c r="V80" s="7">
        <f t="shared" si="65"/>
        <v>2.8407315451875166E-3</v>
      </c>
      <c r="W80" s="2"/>
      <c r="X80" s="6">
        <f t="shared" si="66"/>
        <v>-1000</v>
      </c>
      <c r="Y80" s="2"/>
      <c r="Z80" s="7">
        <f t="shared" si="67"/>
        <v>-1</v>
      </c>
    </row>
    <row r="81" spans="1:26" s="56" customFormat="1" x14ac:dyDescent="0.25">
      <c r="A81" s="36"/>
      <c r="B81" s="36"/>
      <c r="C81" s="36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6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collapsed="1" x14ac:dyDescent="0.25">
      <c r="A82" s="10"/>
      <c r="B82" s="29" t="s">
        <v>0</v>
      </c>
      <c r="C82" s="10"/>
      <c r="D82" s="4">
        <f>SUM(OSRRefD25x_0)</f>
        <v>0</v>
      </c>
      <c r="E82" s="4"/>
      <c r="F82" s="12">
        <f t="shared" ref="F82:F83" si="68">IF(D$12=0,0,D82/D$12)</f>
        <v>0</v>
      </c>
      <c r="G82" s="4"/>
      <c r="H82" s="4">
        <f>SUM(OSRRefH25x_0)</f>
        <v>0</v>
      </c>
      <c r="I82" s="4"/>
      <c r="J82" s="12">
        <f t="shared" ref="J82:J83" si="69">IF(H$12=0,0,H82/H$12)</f>
        <v>0</v>
      </c>
      <c r="K82" s="4"/>
      <c r="L82" s="4">
        <f t="shared" ref="L82:L83" si="70">+D82-H82</f>
        <v>0</v>
      </c>
      <c r="M82" s="4"/>
      <c r="N82" s="12">
        <f t="shared" ref="N82:N83" si="71">IF(H82=0,0,L82/H82)</f>
        <v>0</v>
      </c>
      <c r="O82" s="10"/>
      <c r="P82" s="4">
        <f>SUM(OSRRefP25x_0)</f>
        <v>507</v>
      </c>
      <c r="Q82" s="4"/>
      <c r="R82" s="12">
        <f t="shared" ref="R82:R83" si="72">IF(P$12=0,0,P82/P$12)</f>
        <v>1.9878568217698159E-3</v>
      </c>
      <c r="S82" s="4"/>
      <c r="T82" s="4">
        <f>SUM(OSRRefT25x_0)</f>
        <v>0</v>
      </c>
      <c r="U82" s="4"/>
      <c r="V82" s="12">
        <f t="shared" ref="V82:V83" si="73">IF(T$12=0,0,T82/T$12)</f>
        <v>0</v>
      </c>
      <c r="W82" s="4"/>
      <c r="X82" s="4">
        <f t="shared" ref="X82:X83" si="74">+P82-T82</f>
        <v>507</v>
      </c>
      <c r="Y82" s="4"/>
      <c r="Z82" s="12">
        <f t="shared" ref="Z82:Z83" si="75">IF(T82=0,0,X82/T82)</f>
        <v>0</v>
      </c>
    </row>
    <row r="83" spans="1:26" s="24" customFormat="1" hidden="1" outlineLevel="1" x14ac:dyDescent="0.25">
      <c r="A83" s="44"/>
      <c r="B83" s="11" t="str">
        <f>CONCATENATE("          ", "9150", " - ", "MISC. INCOME")</f>
        <v xml:space="preserve">          9150 - MISC. INCOME</v>
      </c>
      <c r="C83" s="11"/>
      <c r="D83" s="2">
        <f>0</f>
        <v>0</v>
      </c>
      <c r="E83" s="2"/>
      <c r="F83" s="19">
        <f t="shared" si="68"/>
        <v>0</v>
      </c>
      <c r="G83" s="2"/>
      <c r="H83" s="2"/>
      <c r="I83" s="2"/>
      <c r="J83" s="19">
        <f t="shared" si="69"/>
        <v>0</v>
      </c>
      <c r="K83" s="2"/>
      <c r="L83" s="2">
        <f t="shared" si="70"/>
        <v>0</v>
      </c>
      <c r="M83" s="2"/>
      <c r="N83" s="19">
        <f t="shared" si="71"/>
        <v>0</v>
      </c>
      <c r="O83" s="11"/>
      <c r="P83" s="2">
        <f>--507</f>
        <v>507</v>
      </c>
      <c r="Q83" s="2"/>
      <c r="R83" s="19">
        <f t="shared" si="72"/>
        <v>1.9878568217698159E-3</v>
      </c>
      <c r="S83" s="2"/>
      <c r="T83" s="2"/>
      <c r="U83" s="2"/>
      <c r="V83" s="19">
        <f t="shared" si="73"/>
        <v>0</v>
      </c>
      <c r="W83" s="2"/>
      <c r="X83" s="2">
        <f t="shared" si="74"/>
        <v>507</v>
      </c>
      <c r="Y83" s="2"/>
      <c r="Z83" s="19">
        <f t="shared" si="75"/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8" t="s">
        <v>3</v>
      </c>
      <c r="C85" s="28"/>
      <c r="D85" s="20">
        <f>+D23-D25+D82</f>
        <v>-11747.189999999991</v>
      </c>
      <c r="E85" s="14"/>
      <c r="F85" s="22">
        <f>IF(D$12=0,0,D85/D$12)</f>
        <v>-0.74327993303185802</v>
      </c>
      <c r="G85" s="14"/>
      <c r="H85" s="20">
        <f>+H23-H25+H82</f>
        <v>20576.709050699996</v>
      </c>
      <c r="I85" s="14"/>
      <c r="J85" s="22">
        <f>IF(H$12=0,0,H85/H$12)</f>
        <v>0.36418954072035392</v>
      </c>
      <c r="K85" s="16"/>
      <c r="L85" s="20">
        <f>+D85-H85</f>
        <v>-32323.899050699987</v>
      </c>
      <c r="M85" s="16"/>
      <c r="N85" s="22">
        <f>IF(H85=0,0,L85/H85)</f>
        <v>-1.5708974146961741</v>
      </c>
      <c r="O85" s="29"/>
      <c r="P85" s="20">
        <f>+P23-P25+P82</f>
        <v>-11428.369999999966</v>
      </c>
      <c r="Q85" s="14"/>
      <c r="R85" s="22">
        <f>IF(P$12=0,0,P85/P$12)</f>
        <v>-4.4808606047750388E-2</v>
      </c>
      <c r="S85" s="14"/>
      <c r="T85" s="20">
        <f>+T23-T25+T82</f>
        <v>77488.421760425001</v>
      </c>
      <c r="U85" s="14"/>
      <c r="V85" s="22">
        <f>IF(T$12=0,0,T85/T$12)</f>
        <v>0.22012380408163409</v>
      </c>
      <c r="W85" s="16"/>
      <c r="X85" s="20">
        <f>+P85-T85</f>
        <v>-88916.791760424967</v>
      </c>
      <c r="Y85" s="16"/>
      <c r="Z85" s="22">
        <f>IF(T85=0,0,X85/T85)</f>
        <v>-1.147484872454025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2"/>
      <c r="B87" s="10" t="s">
        <v>14</v>
      </c>
      <c r="C87" s="10"/>
      <c r="D87" s="4">
        <v>2945.37</v>
      </c>
      <c r="E87" s="4"/>
      <c r="F87" s="12">
        <f>IF(D$12=0,0,D87/D$12)</f>
        <v>0.18636239103598776</v>
      </c>
      <c r="G87" s="4"/>
      <c r="H87" s="4">
        <v>5611</v>
      </c>
      <c r="I87" s="4"/>
      <c r="J87" s="12">
        <f>IF(H$12=0,0,H87/H$12)</f>
        <v>9.9309734513274336E-2</v>
      </c>
      <c r="K87" s="4"/>
      <c r="L87" s="4">
        <f>+D87-H87</f>
        <v>-2665.63</v>
      </c>
      <c r="M87" s="4"/>
      <c r="N87" s="12">
        <f>IF(H87=0,0,L87/H87)</f>
        <v>-0.47507217964712173</v>
      </c>
      <c r="O87" s="10"/>
      <c r="P87" s="4">
        <v>27329.070000000003</v>
      </c>
      <c r="Q87" s="4"/>
      <c r="R87" s="12">
        <f>IF(P$12=0,0,P87/P$12)</f>
        <v>0.10715242254856969</v>
      </c>
      <c r="S87" s="4"/>
      <c r="T87" s="4">
        <v>41148</v>
      </c>
      <c r="U87" s="4"/>
      <c r="V87" s="12">
        <f>IF(T$12=0,0,T87/T$12)</f>
        <v>0.11689042162137593</v>
      </c>
      <c r="W87" s="4"/>
      <c r="X87" s="4">
        <f>+P87-T87</f>
        <v>-13818.929999999997</v>
      </c>
      <c r="Y87" s="4"/>
      <c r="Z87" s="12">
        <f>IF(T87=0,0,X87/T87)</f>
        <v>-0.33583479148439771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8" t="s">
        <v>4</v>
      </c>
      <c r="C89" s="28"/>
      <c r="D89" s="31">
        <f>+D85-D87</f>
        <v>-14692.55999999999</v>
      </c>
      <c r="E89" s="14"/>
      <c r="F89" s="34">
        <f>IF(D$12=0,0,D89/D$12)</f>
        <v>-0.92964232406784575</v>
      </c>
      <c r="G89" s="14"/>
      <c r="H89" s="31">
        <f>+H85-H87</f>
        <v>14965.709050699996</v>
      </c>
      <c r="I89" s="14"/>
      <c r="J89" s="34">
        <f>IF(H$12=0,0,H89/H$12)</f>
        <v>0.26487980620707957</v>
      </c>
      <c r="K89" s="16"/>
      <c r="L89" s="31">
        <f>D89-H89</f>
        <v>-29658.269050699986</v>
      </c>
      <c r="M89" s="16"/>
      <c r="N89" s="34">
        <f>IF(H89=0,0,L89/H89)</f>
        <v>-1.9817483388341544</v>
      </c>
      <c r="O89" s="29"/>
      <c r="P89" s="31">
        <f>+P85-P87</f>
        <v>-38757.439999999973</v>
      </c>
      <c r="Q89" s="14"/>
      <c r="R89" s="34">
        <f>IF(P$12=0,0,P89/P$12)</f>
        <v>-0.1519610285963201</v>
      </c>
      <c r="S89" s="14"/>
      <c r="T89" s="31">
        <f>+T85-T87</f>
        <v>36340.421760425001</v>
      </c>
      <c r="U89" s="14"/>
      <c r="V89" s="34">
        <f>IF(T$12=0,0,T89/T$12)</f>
        <v>0.10323338246025816</v>
      </c>
      <c r="W89" s="16"/>
      <c r="X89" s="31">
        <f>P89-T89</f>
        <v>-75097.861760424974</v>
      </c>
      <c r="Y89" s="16"/>
      <c r="Z89" s="34">
        <f>IF(T89=0,0,X89/T89)</f>
        <v>-2.0665104619728747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8" t="s">
        <v>5</v>
      </c>
      <c r="C92" s="28"/>
      <c r="D92" s="32">
        <f>SUM(D89:D91)</f>
        <v>-14692.55999999999</v>
      </c>
      <c r="E92" s="14"/>
      <c r="F92" s="35">
        <f>IF(D$12=0,0,D92/D$12)</f>
        <v>-0.92964232406784575</v>
      </c>
      <c r="G92" s="14"/>
      <c r="H92" s="32">
        <f>SUM(H89:H91)</f>
        <v>14965.709050699996</v>
      </c>
      <c r="I92" s="14"/>
      <c r="J92" s="35">
        <f>IF(H$12=0,0,H92/H$12)</f>
        <v>0.26487980620707957</v>
      </c>
      <c r="K92" s="16"/>
      <c r="L92" s="32">
        <f>+D92-H92</f>
        <v>-29658.269050699986</v>
      </c>
      <c r="M92" s="16"/>
      <c r="N92" s="35">
        <f>IF(H92=0,0,L92/H92)</f>
        <v>-1.9817483388341544</v>
      </c>
      <c r="O92" s="29"/>
      <c r="P92" s="32">
        <f>SUM(P89:P91)</f>
        <v>-38757.439999999973</v>
      </c>
      <c r="Q92" s="14"/>
      <c r="R92" s="35">
        <f>IF(P$12=0,0,P92/P$12)</f>
        <v>-0.1519610285963201</v>
      </c>
      <c r="S92" s="14"/>
      <c r="T92" s="32">
        <f>SUM(T89:T91)</f>
        <v>36340.421760425001</v>
      </c>
      <c r="U92" s="14"/>
      <c r="V92" s="35">
        <f>IF(T$12=0,0,T92/T$12)</f>
        <v>0.10323338246025816</v>
      </c>
      <c r="W92" s="16"/>
      <c r="X92" s="32">
        <f>+P92-T92</f>
        <v>-75097.861760424974</v>
      </c>
      <c r="Y92" s="16"/>
      <c r="Z92" s="35">
        <f>IF(T92=0,0,X92/T92)</f>
        <v>-2.0665104619728747</v>
      </c>
    </row>
    <row r="93" spans="1:26" ht="15.75" thickTop="1" x14ac:dyDescent="0.25">
      <c r="A93" s="9"/>
      <c r="C93" s="9"/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A94" s="9"/>
      <c r="B94" s="57">
        <v>43934.466772997686</v>
      </c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A95" s="9"/>
      <c r="B95" s="62" t="s">
        <v>314</v>
      </c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A96" s="9"/>
      <c r="B96" s="60"/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4:24" x14ac:dyDescent="0.25"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","414", " - ", "Starbucks UDP")</f>
        <v>Department 414 - Starbucks UDP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39566.22</v>
      </c>
      <c r="E12" s="4"/>
      <c r="F12" s="12"/>
      <c r="G12" s="4"/>
      <c r="H12" s="4">
        <f>SUM(OSRRefH13x_0)</f>
        <v>92000</v>
      </c>
      <c r="I12" s="4"/>
      <c r="J12" s="12"/>
      <c r="K12" s="4"/>
      <c r="L12" s="4">
        <f t="shared" ref="L12:L16" si="0">+D12-H12</f>
        <v>-52433.78</v>
      </c>
      <c r="M12" s="4"/>
      <c r="N12" s="12">
        <f t="shared" ref="N12:N16" si="1">IF(H12=0,0,L12/H12)</f>
        <v>-0.56993239130434781</v>
      </c>
      <c r="O12" s="10"/>
      <c r="P12" s="4">
        <f>SUM(OSRRefP13x_0)</f>
        <v>591931.24</v>
      </c>
      <c r="Q12" s="4"/>
      <c r="R12" s="12"/>
      <c r="S12" s="4"/>
      <c r="T12" s="4">
        <f>SUM(OSRRefT13x_0)</f>
        <v>706600</v>
      </c>
      <c r="U12" s="4"/>
      <c r="V12" s="12"/>
      <c r="W12" s="4"/>
      <c r="X12" s="4">
        <f t="shared" ref="X12:X16" si="2">+P12-T12</f>
        <v>-114668.76000000001</v>
      </c>
      <c r="Y12" s="4"/>
      <c r="Z12" s="12">
        <f t="shared" ref="Z12:Z16" si="3">IF(T12=0,0,X12/T12)</f>
        <v>-0.1622824228700821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36800</v>
      </c>
      <c r="I13" s="2"/>
      <c r="J13" s="19"/>
      <c r="K13" s="2"/>
      <c r="L13" s="2">
        <f t="shared" si="0"/>
        <v>-36800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279000</v>
      </c>
      <c r="U13" s="2"/>
      <c r="V13" s="19"/>
      <c r="W13" s="2"/>
      <c r="X13" s="2">
        <f t="shared" si="2"/>
        <v>-279000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"4058", " - ", "TAXABLE SALES-FOOD")</f>
        <v xml:space="preserve">          4058 - TAXABLE SALES-FOOD</v>
      </c>
      <c r="C14" s="11"/>
      <c r="D14" s="2">
        <f>--6106.33</f>
        <v>6106.33</v>
      </c>
      <c r="E14" s="2"/>
      <c r="F14" s="19"/>
      <c r="G14" s="2"/>
      <c r="H14" s="2"/>
      <c r="I14" s="2"/>
      <c r="J14" s="19"/>
      <c r="K14" s="2"/>
      <c r="L14" s="2">
        <f t="shared" si="0"/>
        <v>6106.33</v>
      </c>
      <c r="M14" s="2"/>
      <c r="N14" s="19">
        <f t="shared" si="1"/>
        <v>0</v>
      </c>
      <c r="O14" s="11"/>
      <c r="P14" s="2">
        <f>--117077.57</f>
        <v>117077.57</v>
      </c>
      <c r="Q14" s="2"/>
      <c r="R14" s="19"/>
      <c r="S14" s="2"/>
      <c r="T14" s="2"/>
      <c r="U14" s="2"/>
      <c r="V14" s="19"/>
      <c r="W14" s="2"/>
      <c r="X14" s="2">
        <f t="shared" si="2"/>
        <v>117077.57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55200</v>
      </c>
      <c r="I15" s="2"/>
      <c r="J15" s="19"/>
      <c r="K15" s="2"/>
      <c r="L15" s="2">
        <f t="shared" si="0"/>
        <v>-55200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427600</v>
      </c>
      <c r="U15" s="2"/>
      <c r="V15" s="19"/>
      <c r="W15" s="2"/>
      <c r="X15" s="2">
        <f t="shared" si="2"/>
        <v>-427600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"4158", " - ", "NON-TAXABLE SALES-FOOD")</f>
        <v xml:space="preserve">          4158 - NON-TAXABLE SALES-FOOD</v>
      </c>
      <c r="C16" s="11"/>
      <c r="D16" s="2">
        <f>--33459.89</f>
        <v>33459.89</v>
      </c>
      <c r="E16" s="2"/>
      <c r="F16" s="19"/>
      <c r="G16" s="2"/>
      <c r="H16" s="2"/>
      <c r="I16" s="2"/>
      <c r="J16" s="19"/>
      <c r="K16" s="2"/>
      <c r="L16" s="2">
        <f t="shared" si="0"/>
        <v>33459.89</v>
      </c>
      <c r="M16" s="2"/>
      <c r="N16" s="19">
        <f t="shared" si="1"/>
        <v>0</v>
      </c>
      <c r="O16" s="11"/>
      <c r="P16" s="2">
        <f>--474853.67</f>
        <v>474853.67</v>
      </c>
      <c r="Q16" s="2"/>
      <c r="R16" s="19"/>
      <c r="S16" s="2"/>
      <c r="T16" s="2"/>
      <c r="U16" s="2"/>
      <c r="V16" s="19"/>
      <c r="W16" s="2"/>
      <c r="X16" s="2">
        <f t="shared" si="2"/>
        <v>474853.67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12899.150000000001</v>
      </c>
      <c r="E18" s="4"/>
      <c r="F18" s="12">
        <f t="shared" ref="F18:F21" si="4">IF(D$12=0,0,D18/D$12)</f>
        <v>0.32601421111240853</v>
      </c>
      <c r="G18" s="4"/>
      <c r="H18" s="4">
        <f>SUM(OSRRefH16x_0)</f>
        <v>30000</v>
      </c>
      <c r="I18" s="4"/>
      <c r="J18" s="12">
        <f t="shared" ref="J18:J21" si="5">IF(H$12=0,0,H18/H$12)</f>
        <v>0.32608695652173914</v>
      </c>
      <c r="K18" s="4"/>
      <c r="L18" s="4">
        <f t="shared" ref="L18:L21" si="6">+D18-H18</f>
        <v>-17100.849999999999</v>
      </c>
      <c r="M18" s="4"/>
      <c r="N18" s="12">
        <f t="shared" ref="N18:N21" si="7">IF(H18=0,0,L18/H18)</f>
        <v>-0.57002833333333325</v>
      </c>
      <c r="O18" s="10"/>
      <c r="P18" s="4">
        <f>SUM(OSRRefP16x_0)</f>
        <v>198437.77000000002</v>
      </c>
      <c r="Q18" s="4"/>
      <c r="R18" s="12">
        <f t="shared" ref="R18:R21" si="8">IF(P$12=0,0,P18/P$12)</f>
        <v>0.33523787323676313</v>
      </c>
      <c r="S18" s="4"/>
      <c r="T18" s="4">
        <f>SUM(OSRRefT16x_0)</f>
        <v>222300</v>
      </c>
      <c r="U18" s="4"/>
      <c r="V18" s="12">
        <f t="shared" ref="V18:V21" si="9">IF(T$12=0,0,T18/T$12)</f>
        <v>0.31460515142938011</v>
      </c>
      <c r="W18" s="4"/>
      <c r="X18" s="4">
        <f t="shared" ref="X18:X21" si="10">+P18-T18</f>
        <v>-23862.229999999981</v>
      </c>
      <c r="Y18" s="4"/>
      <c r="Z18" s="12">
        <f t="shared" ref="Z18:Z21" si="11">IF(T18=0,0,X18/T18)</f>
        <v>-0.1073424651372019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30000</v>
      </c>
      <c r="I19" s="2"/>
      <c r="J19" s="19">
        <f t="shared" si="5"/>
        <v>0.32608695652173914</v>
      </c>
      <c r="K19" s="2"/>
      <c r="L19" s="2">
        <f t="shared" si="6"/>
        <v>-30000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222300</v>
      </c>
      <c r="U19" s="2"/>
      <c r="V19" s="19">
        <f t="shared" si="9"/>
        <v>0.31460515142938011</v>
      </c>
      <c r="W19" s="2"/>
      <c r="X19" s="2">
        <f t="shared" si="10"/>
        <v>-222300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15570.150000000001</v>
      </c>
      <c r="E20" s="2"/>
      <c r="F20" s="19">
        <f t="shared" si="4"/>
        <v>0.39352129164726884</v>
      </c>
      <c r="G20" s="2"/>
      <c r="H20" s="2"/>
      <c r="I20" s="2"/>
      <c r="J20" s="19">
        <f t="shared" si="5"/>
        <v>0</v>
      </c>
      <c r="K20" s="2"/>
      <c r="L20" s="2">
        <f t="shared" si="6"/>
        <v>15570.150000000001</v>
      </c>
      <c r="M20" s="2"/>
      <c r="N20" s="19">
        <f t="shared" si="7"/>
        <v>0</v>
      </c>
      <c r="O20" s="11"/>
      <c r="P20" s="2">
        <v>197326.77000000002</v>
      </c>
      <c r="Q20" s="2"/>
      <c r="R20" s="19">
        <f t="shared" si="8"/>
        <v>0.33336096604734028</v>
      </c>
      <c r="S20" s="2"/>
      <c r="T20" s="2"/>
      <c r="U20" s="2"/>
      <c r="V20" s="19">
        <f t="shared" si="9"/>
        <v>0</v>
      </c>
      <c r="W20" s="2"/>
      <c r="X20" s="2">
        <f t="shared" si="10"/>
        <v>197326.77000000002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-2671</v>
      </c>
      <c r="E21" s="2"/>
      <c r="F21" s="19">
        <f t="shared" si="4"/>
        <v>-6.7507080534860292E-2</v>
      </c>
      <c r="G21" s="2"/>
      <c r="H21" s="2"/>
      <c r="I21" s="2"/>
      <c r="J21" s="19">
        <f t="shared" si="5"/>
        <v>0</v>
      </c>
      <c r="K21" s="2"/>
      <c r="L21" s="2">
        <f t="shared" si="6"/>
        <v>-2671</v>
      </c>
      <c r="M21" s="2"/>
      <c r="N21" s="19">
        <f t="shared" si="7"/>
        <v>0</v>
      </c>
      <c r="O21" s="11"/>
      <c r="P21" s="2">
        <v>1111</v>
      </c>
      <c r="Q21" s="2"/>
      <c r="R21" s="19">
        <f t="shared" si="8"/>
        <v>1.8769071894228796E-3</v>
      </c>
      <c r="S21" s="2"/>
      <c r="T21" s="2"/>
      <c r="U21" s="2"/>
      <c r="V21" s="19">
        <f t="shared" si="9"/>
        <v>0</v>
      </c>
      <c r="W21" s="2"/>
      <c r="X21" s="2">
        <f t="shared" si="10"/>
        <v>1111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0">
        <f>D12-D18</f>
        <v>26667.07</v>
      </c>
      <c r="E23" s="14"/>
      <c r="F23" s="22">
        <f>IF(D$12=0,0,D23/D$12)</f>
        <v>0.67398578888759142</v>
      </c>
      <c r="G23" s="14"/>
      <c r="H23" s="20">
        <f>H12-H18</f>
        <v>62000</v>
      </c>
      <c r="I23" s="14"/>
      <c r="J23" s="22">
        <f>IF(H$12=0,0,H23/H$12)</f>
        <v>0.67391304347826086</v>
      </c>
      <c r="K23" s="16"/>
      <c r="L23" s="20">
        <f>+D23-H23</f>
        <v>-35332.93</v>
      </c>
      <c r="M23" s="16"/>
      <c r="N23" s="22">
        <f>IF(H23=0,0,L23/H23)</f>
        <v>-0.56988596774193545</v>
      </c>
      <c r="O23" s="29"/>
      <c r="P23" s="20">
        <f>P12-P18</f>
        <v>393493.47</v>
      </c>
      <c r="Q23" s="14"/>
      <c r="R23" s="22">
        <f>IF(P$12=0,0,P23/P$12)</f>
        <v>0.66476212676323687</v>
      </c>
      <c r="S23" s="14"/>
      <c r="T23" s="20">
        <f>T12-T18</f>
        <v>484300</v>
      </c>
      <c r="U23" s="14"/>
      <c r="V23" s="22">
        <f>IF(T$12=0,0,T23/T$12)</f>
        <v>0.68539484857061983</v>
      </c>
      <c r="W23" s="16"/>
      <c r="X23" s="20">
        <f>+P23-T23</f>
        <v>-90806.530000000028</v>
      </c>
      <c r="Y23" s="16"/>
      <c r="Z23" s="22">
        <f>IF(T23=0,0,X23/T23)</f>
        <v>-0.18750057815403681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1">
        <f>SUM(OSRRefD22x_0)</f>
        <v>38162.920000000013</v>
      </c>
      <c r="E25" s="21"/>
      <c r="F25" s="30">
        <f t="shared" ref="F25:F35" si="12">IF(D$12=0,0,D25/D$12)</f>
        <v>0.96453287678226562</v>
      </c>
      <c r="G25" s="21"/>
      <c r="H25" s="21">
        <f>SUM(OSRRefH22x_0)</f>
        <v>39900.155219200002</v>
      </c>
      <c r="I25" s="21"/>
      <c r="J25" s="30">
        <f t="shared" ref="J25:J35" si="13">IF(H$12=0,0,H25/H$12)</f>
        <v>0.43369733933913046</v>
      </c>
      <c r="K25" s="4"/>
      <c r="L25" s="21">
        <f t="shared" ref="L25:L35" si="14">+D25-H25</f>
        <v>-1737.2352191999889</v>
      </c>
      <c r="M25" s="4"/>
      <c r="N25" s="30">
        <f t="shared" ref="N25:N35" si="15">IF(H25=0,0,L25/H25)</f>
        <v>-4.3539560426672959E-2</v>
      </c>
      <c r="O25" s="10"/>
      <c r="P25" s="21">
        <f>SUM(OSRRefP22x_0)</f>
        <v>321914.24999999994</v>
      </c>
      <c r="Q25" s="21"/>
      <c r="R25" s="30">
        <f t="shared" ref="R25:R35" si="16">IF(P$12=0,0,P25/P$12)</f>
        <v>0.54383723690609731</v>
      </c>
      <c r="S25" s="21"/>
      <c r="T25" s="21">
        <f>SUM(OSRRefT22x_0)</f>
        <v>324583.68532419996</v>
      </c>
      <c r="U25" s="21"/>
      <c r="V25" s="30">
        <f t="shared" ref="V25:V35" si="17">IF(T$12=0,0,T25/T$12)</f>
        <v>0.45935987167308229</v>
      </c>
      <c r="W25" s="4"/>
      <c r="X25" s="21">
        <f t="shared" ref="X25:X35" si="18">+P25-T25</f>
        <v>-2669.4353242000216</v>
      </c>
      <c r="Y25" s="4"/>
      <c r="Z25" s="30">
        <f t="shared" ref="Z25:Z35" si="19">IF(T25=0,0,X25/T25)</f>
        <v>-8.2241820673572743E-3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3544.61</v>
      </c>
      <c r="E26" s="1"/>
      <c r="F26" s="5">
        <f t="shared" si="12"/>
        <v>8.9586773768128472E-2</v>
      </c>
      <c r="G26" s="1"/>
      <c r="H26" s="1">
        <f>SUM(OSRRefH22_0x_0)</f>
        <v>4475.1392192000003</v>
      </c>
      <c r="I26" s="1"/>
      <c r="J26" s="5">
        <f t="shared" si="13"/>
        <v>4.8642817600000006E-2</v>
      </c>
      <c r="K26" s="1"/>
      <c r="L26" s="1">
        <f t="shared" si="14"/>
        <v>-930.52921920000017</v>
      </c>
      <c r="M26" s="1"/>
      <c r="N26" s="5">
        <f t="shared" si="15"/>
        <v>-0.20793302143711778</v>
      </c>
      <c r="O26" s="13"/>
      <c r="P26" s="1">
        <f>SUM(OSRRefP22_0x_0)</f>
        <v>25447.790000000005</v>
      </c>
      <c r="Q26" s="1"/>
      <c r="R26" s="5">
        <f t="shared" si="16"/>
        <v>4.2991125117843088E-2</v>
      </c>
      <c r="S26" s="1"/>
      <c r="T26" s="1">
        <f>SUM(OSRRefT22_0x_0)</f>
        <v>40140.549324200001</v>
      </c>
      <c r="U26" s="1"/>
      <c r="V26" s="5">
        <f t="shared" si="17"/>
        <v>5.6808023385508069E-2</v>
      </c>
      <c r="W26" s="1"/>
      <c r="X26" s="1">
        <f t="shared" si="18"/>
        <v>-14692.759324199997</v>
      </c>
      <c r="Y26" s="1"/>
      <c r="Z26" s="5">
        <f t="shared" si="19"/>
        <v>-0.36603284139268122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6">
        <v>780.71</v>
      </c>
      <c r="E27" s="2"/>
      <c r="F27" s="7">
        <f t="shared" si="12"/>
        <v>1.9731730754163526E-2</v>
      </c>
      <c r="G27" s="2"/>
      <c r="H27" s="6">
        <v>668.79873120000002</v>
      </c>
      <c r="I27" s="2"/>
      <c r="J27" s="7">
        <f t="shared" si="13"/>
        <v>7.2695514260869565E-3</v>
      </c>
      <c r="K27" s="2"/>
      <c r="L27" s="6">
        <f t="shared" si="14"/>
        <v>111.91126880000002</v>
      </c>
      <c r="M27" s="2"/>
      <c r="N27" s="7">
        <f t="shared" si="15"/>
        <v>0.16733176003369787</v>
      </c>
      <c r="O27" s="11"/>
      <c r="P27" s="6">
        <v>5786.12</v>
      </c>
      <c r="Q27" s="2"/>
      <c r="R27" s="7">
        <f t="shared" si="16"/>
        <v>9.7749867028474463E-3</v>
      </c>
      <c r="S27" s="2"/>
      <c r="T27" s="6">
        <v>7083.9718991999998</v>
      </c>
      <c r="U27" s="2"/>
      <c r="V27" s="7">
        <f t="shared" si="17"/>
        <v>1.00254343322955E-2</v>
      </c>
      <c r="W27" s="2"/>
      <c r="X27" s="6">
        <f t="shared" si="18"/>
        <v>-1297.8518991999999</v>
      </c>
      <c r="Y27" s="2"/>
      <c r="Z27" s="7">
        <f t="shared" si="19"/>
        <v>-0.18320963403970697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6">
        <v>970.65</v>
      </c>
      <c r="E28" s="2"/>
      <c r="F28" s="7">
        <f t="shared" si="12"/>
        <v>2.4532290423497617E-2</v>
      </c>
      <c r="G28" s="2"/>
      <c r="H28" s="6">
        <v>833.23465599999997</v>
      </c>
      <c r="I28" s="2"/>
      <c r="J28" s="7">
        <f t="shared" si="13"/>
        <v>9.0568984347826082E-3</v>
      </c>
      <c r="K28" s="2"/>
      <c r="L28" s="6">
        <f t="shared" si="14"/>
        <v>137.415344</v>
      </c>
      <c r="M28" s="2"/>
      <c r="N28" s="7">
        <f t="shared" si="15"/>
        <v>0.16491794119518716</v>
      </c>
      <c r="O28" s="11"/>
      <c r="P28" s="6">
        <v>5805.12</v>
      </c>
      <c r="Q28" s="2"/>
      <c r="R28" s="7">
        <f t="shared" si="16"/>
        <v>9.8070850256188544E-3</v>
      </c>
      <c r="S28" s="2"/>
      <c r="T28" s="6">
        <v>6628.3747199999998</v>
      </c>
      <c r="U28" s="2"/>
      <c r="V28" s="7">
        <f t="shared" si="17"/>
        <v>9.3806605151429377E-3</v>
      </c>
      <c r="W28" s="2"/>
      <c r="X28" s="6">
        <f t="shared" si="18"/>
        <v>-823.25471999999991</v>
      </c>
      <c r="Y28" s="2"/>
      <c r="Z28" s="7">
        <f t="shared" si="19"/>
        <v>-0.1242015961342632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6">
        <v>1033.82</v>
      </c>
      <c r="E29" s="2"/>
      <c r="F29" s="7">
        <f t="shared" si="12"/>
        <v>2.6128854361119155E-2</v>
      </c>
      <c r="G29" s="2"/>
      <c r="H29" s="6">
        <v>1381</v>
      </c>
      <c r="I29" s="2"/>
      <c r="J29" s="7">
        <f t="shared" si="13"/>
        <v>1.5010869565217392E-2</v>
      </c>
      <c r="K29" s="2"/>
      <c r="L29" s="6">
        <f t="shared" si="14"/>
        <v>-347.18000000000006</v>
      </c>
      <c r="M29" s="2"/>
      <c r="N29" s="7">
        <f t="shared" si="15"/>
        <v>-0.25139753801593051</v>
      </c>
      <c r="O29" s="11"/>
      <c r="P29" s="6">
        <v>7003.8</v>
      </c>
      <c r="Q29" s="2"/>
      <c r="R29" s="7">
        <f t="shared" si="16"/>
        <v>1.1832117527704739E-2</v>
      </c>
      <c r="S29" s="2"/>
      <c r="T29" s="6">
        <v>12429</v>
      </c>
      <c r="U29" s="2"/>
      <c r="V29" s="7">
        <f t="shared" si="17"/>
        <v>1.7589866968581943E-2</v>
      </c>
      <c r="W29" s="2"/>
      <c r="X29" s="6">
        <f t="shared" si="18"/>
        <v>-5425.2</v>
      </c>
      <c r="Y29" s="2"/>
      <c r="Z29" s="7">
        <f t="shared" si="19"/>
        <v>-0.43649529326574943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6">
        <v>65.040000000000006</v>
      </c>
      <c r="E30" s="2"/>
      <c r="F30" s="7">
        <f t="shared" si="12"/>
        <v>1.643826476221383E-3</v>
      </c>
      <c r="G30" s="2"/>
      <c r="H30" s="6">
        <v>65.875991999999997</v>
      </c>
      <c r="I30" s="2"/>
      <c r="J30" s="7">
        <f t="shared" si="13"/>
        <v>7.1604339130434784E-4</v>
      </c>
      <c r="K30" s="2"/>
      <c r="L30" s="6">
        <f t="shared" si="14"/>
        <v>-0.8359919999999903</v>
      </c>
      <c r="M30" s="2"/>
      <c r="N30" s="7">
        <f t="shared" si="15"/>
        <v>-1.2690389542824499E-2</v>
      </c>
      <c r="O30" s="11"/>
      <c r="P30" s="6">
        <v>473.14</v>
      </c>
      <c r="Q30" s="2"/>
      <c r="R30" s="7">
        <f t="shared" si="16"/>
        <v>7.9931581242442958E-4</v>
      </c>
      <c r="S30" s="2"/>
      <c r="T30" s="6">
        <v>530.80761500000006</v>
      </c>
      <c r="U30" s="2"/>
      <c r="V30" s="7">
        <f t="shared" si="17"/>
        <v>7.5121372063402211E-4</v>
      </c>
      <c r="W30" s="2"/>
      <c r="X30" s="6">
        <f t="shared" si="18"/>
        <v>-57.667615000000069</v>
      </c>
      <c r="Y30" s="2"/>
      <c r="Z30" s="7">
        <f t="shared" si="19"/>
        <v>-0.10864127297796973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6">
        <v>203.4</v>
      </c>
      <c r="E31" s="2"/>
      <c r="F31" s="7">
        <f t="shared" si="12"/>
        <v>5.1407488509137341E-3</v>
      </c>
      <c r="G31" s="2"/>
      <c r="H31" s="6">
        <v>422.34944000000002</v>
      </c>
      <c r="I31" s="2"/>
      <c r="J31" s="7">
        <f t="shared" si="13"/>
        <v>4.5907547826086956E-3</v>
      </c>
      <c r="K31" s="2"/>
      <c r="L31" s="6">
        <f t="shared" si="14"/>
        <v>-218.94944000000001</v>
      </c>
      <c r="M31" s="2"/>
      <c r="N31" s="7">
        <f t="shared" si="15"/>
        <v>-0.51840826401948115</v>
      </c>
      <c r="O31" s="11"/>
      <c r="P31" s="6">
        <v>711.9</v>
      </c>
      <c r="Q31" s="2"/>
      <c r="R31" s="7">
        <f t="shared" si="16"/>
        <v>1.2026734726824015E-3</v>
      </c>
      <c r="S31" s="2"/>
      <c r="T31" s="6">
        <v>4117.9070400000001</v>
      </c>
      <c r="U31" s="2"/>
      <c r="V31" s="7">
        <f t="shared" si="17"/>
        <v>5.8277767336541181E-3</v>
      </c>
      <c r="W31" s="2"/>
      <c r="X31" s="6">
        <f t="shared" si="18"/>
        <v>-3406.00704</v>
      </c>
      <c r="Y31" s="2"/>
      <c r="Z31" s="7">
        <f t="shared" si="19"/>
        <v>-0.82712091528904452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6">
        <v>192.5</v>
      </c>
      <c r="E33" s="2"/>
      <c r="F33" s="7">
        <f t="shared" si="12"/>
        <v>4.8652613264547383E-3</v>
      </c>
      <c r="G33" s="2"/>
      <c r="H33" s="6">
        <v>245.55199999999999</v>
      </c>
      <c r="I33" s="2"/>
      <c r="J33" s="7">
        <f t="shared" si="13"/>
        <v>2.6690434782608696E-3</v>
      </c>
      <c r="K33" s="2"/>
      <c r="L33" s="6">
        <f t="shared" si="14"/>
        <v>-53.051999999999992</v>
      </c>
      <c r="M33" s="2"/>
      <c r="N33" s="7">
        <f t="shared" si="15"/>
        <v>-0.21605199713299014</v>
      </c>
      <c r="O33" s="11"/>
      <c r="P33" s="6">
        <v>1940.86</v>
      </c>
      <c r="Q33" s="2"/>
      <c r="R33" s="7">
        <f t="shared" si="16"/>
        <v>3.2788605649534562E-3</v>
      </c>
      <c r="S33" s="2"/>
      <c r="T33" s="6">
        <v>2394.1320000000001</v>
      </c>
      <c r="U33" s="2"/>
      <c r="V33" s="7">
        <f t="shared" si="17"/>
        <v>3.3882422870082085E-3</v>
      </c>
      <c r="W33" s="2"/>
      <c r="X33" s="6">
        <f t="shared" si="18"/>
        <v>-453.27200000000016</v>
      </c>
      <c r="Y33" s="2"/>
      <c r="Z33" s="7">
        <f t="shared" si="19"/>
        <v>-0.18932623598030524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6">
        <v>230.62</v>
      </c>
      <c r="E34" s="2"/>
      <c r="F34" s="7">
        <f t="shared" si="12"/>
        <v>5.8287094395168401E-3</v>
      </c>
      <c r="G34" s="2"/>
      <c r="H34" s="6">
        <v>858.32839999999999</v>
      </c>
      <c r="I34" s="2"/>
      <c r="J34" s="7">
        <f t="shared" si="13"/>
        <v>9.3296565217391297E-3</v>
      </c>
      <c r="K34" s="2"/>
      <c r="L34" s="6">
        <f t="shared" si="14"/>
        <v>-627.70839999999998</v>
      </c>
      <c r="M34" s="2"/>
      <c r="N34" s="7">
        <f t="shared" si="15"/>
        <v>-0.73131496056754031</v>
      </c>
      <c r="O34" s="11"/>
      <c r="P34" s="6">
        <v>2325.1999999999998</v>
      </c>
      <c r="Q34" s="2"/>
      <c r="R34" s="7">
        <f t="shared" si="16"/>
        <v>3.9281589530567769E-3</v>
      </c>
      <c r="S34" s="2"/>
      <c r="T34" s="6">
        <v>6956.3560499999994</v>
      </c>
      <c r="U34" s="2"/>
      <c r="V34" s="7">
        <f t="shared" si="17"/>
        <v>9.8448288281913383E-3</v>
      </c>
      <c r="W34" s="2"/>
      <c r="X34" s="6">
        <f t="shared" si="18"/>
        <v>-4631.1560499999996</v>
      </c>
      <c r="Y34" s="2"/>
      <c r="Z34" s="7">
        <f t="shared" si="19"/>
        <v>-0.66574453876609718</v>
      </c>
    </row>
    <row r="35" spans="1:26" s="24" customFormat="1" hidden="1" outlineLevel="2" x14ac:dyDescent="0.25">
      <c r="A35" s="25"/>
      <c r="B35" s="11" t="str">
        <f>CONCATENATE("          ", "6156", " - ", "EMPLOYEE MEALS")</f>
        <v xml:space="preserve">          6156 - EMPLOYEE MEALS</v>
      </c>
      <c r="C35" s="11"/>
      <c r="D35" s="6">
        <v>67.87</v>
      </c>
      <c r="E35" s="2"/>
      <c r="F35" s="7">
        <f t="shared" si="12"/>
        <v>1.7153521362414706E-3</v>
      </c>
      <c r="G35" s="2"/>
      <c r="H35" s="6"/>
      <c r="I35" s="2"/>
      <c r="J35" s="7">
        <f t="shared" si="13"/>
        <v>0</v>
      </c>
      <c r="K35" s="2"/>
      <c r="L35" s="6">
        <f t="shared" si="14"/>
        <v>67.87</v>
      </c>
      <c r="M35" s="2"/>
      <c r="N35" s="7">
        <f t="shared" si="15"/>
        <v>0</v>
      </c>
      <c r="O35" s="11"/>
      <c r="P35" s="6">
        <v>1401.65</v>
      </c>
      <c r="Q35" s="2"/>
      <c r="R35" s="7">
        <f t="shared" si="16"/>
        <v>2.367927058554977E-3</v>
      </c>
      <c r="S35" s="2"/>
      <c r="T35" s="6"/>
      <c r="U35" s="2"/>
      <c r="V35" s="7">
        <f t="shared" si="17"/>
        <v>0</v>
      </c>
      <c r="W35" s="2"/>
      <c r="X35" s="6">
        <f t="shared" si="18"/>
        <v>1401.65</v>
      </c>
      <c r="Y35" s="2"/>
      <c r="Z35" s="7">
        <f t="shared" si="19"/>
        <v>0</v>
      </c>
    </row>
    <row r="36" spans="1:26" s="27" customFormat="1" outlineLevel="1" collapsed="1" x14ac:dyDescent="0.25">
      <c r="A36" s="26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26258.250000000004</v>
      </c>
      <c r="E36" s="1"/>
      <c r="F36" s="5">
        <f t="shared" ref="F36:F46" si="20">IF(D$12=0,0,D36/D$12)</f>
        <v>0.66365323753444239</v>
      </c>
      <c r="G36" s="1"/>
      <c r="H36" s="1">
        <f>SUM(OSRRefH22_1x_0)</f>
        <v>20984.016</v>
      </c>
      <c r="I36" s="1"/>
      <c r="J36" s="5">
        <f t="shared" ref="J36:J46" si="21">IF(H$12=0,0,H36/H$12)</f>
        <v>0.2280871304347826</v>
      </c>
      <c r="K36" s="1"/>
      <c r="L36" s="1">
        <f t="shared" ref="L36:L46" si="22">+D36-H36</f>
        <v>5274.234000000004</v>
      </c>
      <c r="M36" s="1"/>
      <c r="N36" s="5">
        <f t="shared" ref="N36:N46" si="23">IF(H36=0,0,L36/H36)</f>
        <v>0.25134530968714491</v>
      </c>
      <c r="O36" s="13"/>
      <c r="P36" s="1">
        <f>SUM(OSRRefP22_1x_0)</f>
        <v>186432.16000000003</v>
      </c>
      <c r="Q36" s="1"/>
      <c r="R36" s="5">
        <f t="shared" ref="R36:R46" si="24">IF(P$12=0,0,P36/P$12)</f>
        <v>0.31495577087636062</v>
      </c>
      <c r="S36" s="1"/>
      <c r="T36" s="1">
        <f>SUM(OSRRefT22_1x_0)</f>
        <v>166046.136</v>
      </c>
      <c r="U36" s="1"/>
      <c r="V36" s="5">
        <f t="shared" ref="V36:V46" si="25">IF(T$12=0,0,T36/T$12)</f>
        <v>0.2349931163317294</v>
      </c>
      <c r="W36" s="1"/>
      <c r="X36" s="1">
        <f t="shared" ref="X36:X46" si="26">+P36-T36</f>
        <v>20386.024000000034</v>
      </c>
      <c r="Y36" s="1"/>
      <c r="Z36" s="5">
        <f t="shared" ref="Z36:Z46" si="27">IF(T36=0,0,X36/T36)</f>
        <v>0.12277325140526024</v>
      </c>
    </row>
    <row r="37" spans="1:26" s="24" customFormat="1" hidden="1" outlineLevel="2" x14ac:dyDescent="0.25">
      <c r="A37" s="25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5"/>
      <c r="B38" s="11" t="str">
        <f>CONCATENATE("          ", "6002", " - ", "STAFF SALARIES")</f>
        <v xml:space="preserve">          6002 - STAFF SALARIES</v>
      </c>
      <c r="C38" s="11"/>
      <c r="D38" s="6">
        <v>3931.11</v>
      </c>
      <c r="E38" s="2"/>
      <c r="F38" s="7">
        <f t="shared" si="20"/>
        <v>9.935520754825708E-2</v>
      </c>
      <c r="G38" s="2"/>
      <c r="H38" s="6">
        <v>4419.9359999999997</v>
      </c>
      <c r="I38" s="2"/>
      <c r="J38" s="7">
        <f t="shared" si="21"/>
        <v>4.8042782608695649E-2</v>
      </c>
      <c r="K38" s="2"/>
      <c r="L38" s="6">
        <f t="shared" si="22"/>
        <v>-488.82599999999957</v>
      </c>
      <c r="M38" s="2"/>
      <c r="N38" s="7">
        <f t="shared" si="23"/>
        <v>-0.11059571903303568</v>
      </c>
      <c r="O38" s="11"/>
      <c r="P38" s="6">
        <v>9754.9500000000007</v>
      </c>
      <c r="Q38" s="2"/>
      <c r="R38" s="7">
        <f t="shared" si="24"/>
        <v>1.6479870195734221E-2</v>
      </c>
      <c r="S38" s="2"/>
      <c r="T38" s="6">
        <v>43094.375999999997</v>
      </c>
      <c r="U38" s="2"/>
      <c r="V38" s="7">
        <f t="shared" si="25"/>
        <v>6.0988361166147746E-2</v>
      </c>
      <c r="W38" s="2"/>
      <c r="X38" s="6">
        <f t="shared" si="26"/>
        <v>-33339.425999999992</v>
      </c>
      <c r="Y38" s="2"/>
      <c r="Z38" s="7">
        <f t="shared" si="27"/>
        <v>-0.77363751594871677</v>
      </c>
    </row>
    <row r="39" spans="1:26" s="24" customFormat="1" hidden="1" outlineLevel="2" x14ac:dyDescent="0.25">
      <c r="A39" s="25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"6004", " - ", "STAFF HOURLY")</f>
        <v xml:space="preserve">          6004 - STAFF HOURLY</v>
      </c>
      <c r="C40" s="11"/>
      <c r="D40" s="6">
        <v>4998.91</v>
      </c>
      <c r="E40" s="2"/>
      <c r="F40" s="7">
        <f t="shared" si="20"/>
        <v>0.12634287531131352</v>
      </c>
      <c r="G40" s="2"/>
      <c r="H40" s="6">
        <v>3828</v>
      </c>
      <c r="I40" s="2"/>
      <c r="J40" s="7">
        <f t="shared" si="21"/>
        <v>4.1608695652173913E-2</v>
      </c>
      <c r="K40" s="2"/>
      <c r="L40" s="6">
        <f t="shared" si="22"/>
        <v>1170.9099999999999</v>
      </c>
      <c r="M40" s="2"/>
      <c r="N40" s="7">
        <f t="shared" si="23"/>
        <v>0.30588035527690699</v>
      </c>
      <c r="O40" s="11"/>
      <c r="P40" s="6">
        <v>51112.35</v>
      </c>
      <c r="Q40" s="2"/>
      <c r="R40" s="7">
        <f t="shared" si="24"/>
        <v>8.634845831079975E-2</v>
      </c>
      <c r="S40" s="2"/>
      <c r="T40" s="6">
        <v>36762</v>
      </c>
      <c r="U40" s="2"/>
      <c r="V40" s="7">
        <f t="shared" si="25"/>
        <v>5.2026606283611658E-2</v>
      </c>
      <c r="W40" s="2"/>
      <c r="X40" s="6">
        <f t="shared" si="26"/>
        <v>14350.349999999999</v>
      </c>
      <c r="Y40" s="2"/>
      <c r="Z40" s="7">
        <f t="shared" si="27"/>
        <v>0.39035825036722699</v>
      </c>
    </row>
    <row r="41" spans="1:26" s="24" customFormat="1" hidden="1" outlineLevel="2" x14ac:dyDescent="0.25">
      <c r="A41" s="25"/>
      <c r="B41" s="11" t="str">
        <f>CONCATENATE("          ", "6005", " - ", "TEMPORARY WAGES-HOURLY")</f>
        <v xml:space="preserve">          6005 - TEMPORARY WAGES-HOURLY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>
        <v>1997.5</v>
      </c>
      <c r="Q41" s="2"/>
      <c r="R41" s="7">
        <f t="shared" si="24"/>
        <v>3.3745473545204337E-3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1997.5</v>
      </c>
      <c r="Y41" s="2"/>
      <c r="Z41" s="7">
        <f t="shared" si="27"/>
        <v>0</v>
      </c>
    </row>
    <row r="42" spans="1:26" s="24" customFormat="1" hidden="1" outlineLevel="2" x14ac:dyDescent="0.25">
      <c r="A42" s="25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>
        <v>29.25</v>
      </c>
      <c r="Q42" s="2"/>
      <c r="R42" s="7">
        <f t="shared" si="24"/>
        <v>4.9414523213878695E-5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29.25</v>
      </c>
      <c r="Y42" s="2"/>
      <c r="Z42" s="7">
        <f t="shared" si="27"/>
        <v>0</v>
      </c>
    </row>
    <row r="43" spans="1:26" s="24" customFormat="1" hidden="1" outlineLevel="2" x14ac:dyDescent="0.25">
      <c r="A43" s="25"/>
      <c r="B43" s="11" t="str">
        <f>CONCATENATE("          ", "6007", " - ", "STUDENT HOURLY")</f>
        <v xml:space="preserve">          6007 - STUDENT HOURLY</v>
      </c>
      <c r="C43" s="11"/>
      <c r="D43" s="6">
        <v>16768.580000000002</v>
      </c>
      <c r="E43" s="2"/>
      <c r="F43" s="7">
        <f t="shared" si="20"/>
        <v>0.42381051310941509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16768.580000000002</v>
      </c>
      <c r="M43" s="2"/>
      <c r="N43" s="7">
        <f t="shared" si="23"/>
        <v>0</v>
      </c>
      <c r="O43" s="11"/>
      <c r="P43" s="6">
        <v>122307.66</v>
      </c>
      <c r="Q43" s="2"/>
      <c r="R43" s="7">
        <f t="shared" si="24"/>
        <v>0.2066247762155618</v>
      </c>
      <c r="S43" s="2"/>
      <c r="T43" s="6">
        <v>3720</v>
      </c>
      <c r="U43" s="2"/>
      <c r="V43" s="7">
        <f t="shared" si="25"/>
        <v>5.2646476082649305E-3</v>
      </c>
      <c r="W43" s="2"/>
      <c r="X43" s="6">
        <f t="shared" si="26"/>
        <v>118587.66</v>
      </c>
      <c r="Y43" s="2"/>
      <c r="Z43" s="7">
        <f t="shared" si="27"/>
        <v>31.878403225806451</v>
      </c>
    </row>
    <row r="44" spans="1:26" s="24" customFormat="1" hidden="1" outlineLevel="2" x14ac:dyDescent="0.25">
      <c r="A44" s="25"/>
      <c r="B44" s="11" t="str">
        <f>CONCATENATE("          ", "6008", " - ", "STUDENT HOURLY-FICA EXEMPT")</f>
        <v xml:space="preserve">          6008 - STUDENT HOURLY-FICA EXEMPT</v>
      </c>
      <c r="C44" s="11"/>
      <c r="D44" s="6">
        <v>559.65</v>
      </c>
      <c r="E44" s="2"/>
      <c r="F44" s="7">
        <f t="shared" si="20"/>
        <v>1.4144641565456592E-2</v>
      </c>
      <c r="G44" s="2"/>
      <c r="H44" s="6">
        <v>12736.08</v>
      </c>
      <c r="I44" s="2"/>
      <c r="J44" s="7">
        <f t="shared" si="21"/>
        <v>0.13843565217391304</v>
      </c>
      <c r="K44" s="2"/>
      <c r="L44" s="6">
        <f t="shared" si="22"/>
        <v>-12176.43</v>
      </c>
      <c r="M44" s="2"/>
      <c r="N44" s="7">
        <f t="shared" si="23"/>
        <v>-0.95605790792771406</v>
      </c>
      <c r="O44" s="11"/>
      <c r="P44" s="6">
        <v>1230.45</v>
      </c>
      <c r="Q44" s="2"/>
      <c r="R44" s="7">
        <f t="shared" si="24"/>
        <v>2.0787042765304971E-3</v>
      </c>
      <c r="S44" s="2"/>
      <c r="T44" s="6">
        <v>82469.759999999995</v>
      </c>
      <c r="U44" s="2"/>
      <c r="V44" s="7">
        <f t="shared" si="25"/>
        <v>0.11671350127370506</v>
      </c>
      <c r="W44" s="2"/>
      <c r="X44" s="6">
        <f t="shared" si="26"/>
        <v>-81239.31</v>
      </c>
      <c r="Y44" s="2"/>
      <c r="Z44" s="7">
        <f t="shared" si="27"/>
        <v>-0.98507998568202459</v>
      </c>
    </row>
    <row r="45" spans="1:26" s="24" customFormat="1" hidden="1" outlineLevel="2" x14ac:dyDescent="0.25">
      <c r="A45" s="25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5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7" customFormat="1" outlineLevel="1" collapsed="1" x14ac:dyDescent="0.25">
      <c r="A47" s="26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43.64</v>
      </c>
      <c r="E47" s="1"/>
      <c r="F47" s="5">
        <f t="shared" ref="F47:F55" si="28">IF(D$12=0,0,D47/D$12)</f>
        <v>1.1029610612284923E-3</v>
      </c>
      <c r="G47" s="1"/>
      <c r="H47" s="1">
        <f>SUM(OSRRefH22_2x_0)</f>
        <v>240</v>
      </c>
      <c r="I47" s="1"/>
      <c r="J47" s="5">
        <f t="shared" ref="J47:J55" si="29">IF(H$12=0,0,H47/H$12)</f>
        <v>2.6086956521739132E-3</v>
      </c>
      <c r="K47" s="1"/>
      <c r="L47" s="1">
        <f t="shared" ref="L47:L55" si="30">+D47-H47</f>
        <v>-196.36</v>
      </c>
      <c r="M47" s="1"/>
      <c r="N47" s="5">
        <f t="shared" ref="N47:N55" si="31">IF(H47=0,0,L47/H47)</f>
        <v>-0.81816666666666671</v>
      </c>
      <c r="O47" s="13"/>
      <c r="P47" s="1">
        <f>SUM(OSRRefP22_2x_0)</f>
        <v>769.01</v>
      </c>
      <c r="Q47" s="1"/>
      <c r="R47" s="5">
        <f t="shared" ref="R47:R55" si="32">IF(P$12=0,0,P47/P$12)</f>
        <v>1.2991542733916189E-3</v>
      </c>
      <c r="S47" s="1"/>
      <c r="T47" s="1">
        <f>SUM(OSRRefT22_2x_0)</f>
        <v>1855</v>
      </c>
      <c r="U47" s="1"/>
      <c r="V47" s="5">
        <f t="shared" ref="V47:V55" si="33">IF(T$12=0,0,T47/T$12)</f>
        <v>2.6252476648740445E-3</v>
      </c>
      <c r="W47" s="1"/>
      <c r="X47" s="1">
        <f t="shared" ref="X47:X55" si="34">+P47-T47</f>
        <v>-1085.99</v>
      </c>
      <c r="Y47" s="1"/>
      <c r="Z47" s="5">
        <f t="shared" ref="Z47:Z55" si="35">IF(T47=0,0,X47/T47)</f>
        <v>-0.5854393530997305</v>
      </c>
    </row>
    <row r="48" spans="1:26" s="24" customFormat="1" hidden="1" outlineLevel="2" x14ac:dyDescent="0.25">
      <c r="A48" s="25"/>
      <c r="B48" s="11" t="str">
        <f>CONCATENATE("          ", "6362", " - ", "ADVERTISING EXPENSE")</f>
        <v xml:space="preserve">          6362 - ADVERTISING EXPENSE</v>
      </c>
      <c r="C48" s="11"/>
      <c r="D48" s="6">
        <v>43.64</v>
      </c>
      <c r="E48" s="2"/>
      <c r="F48" s="7">
        <f t="shared" si="28"/>
        <v>1.1029610612284923E-3</v>
      </c>
      <c r="G48" s="2"/>
      <c r="H48" s="6">
        <v>240</v>
      </c>
      <c r="I48" s="2"/>
      <c r="J48" s="7">
        <f t="shared" si="29"/>
        <v>2.6086956521739132E-3</v>
      </c>
      <c r="K48" s="2"/>
      <c r="L48" s="6">
        <f t="shared" si="30"/>
        <v>-196.36</v>
      </c>
      <c r="M48" s="2"/>
      <c r="N48" s="7">
        <f t="shared" si="31"/>
        <v>-0.81816666666666671</v>
      </c>
      <c r="O48" s="11"/>
      <c r="P48" s="6">
        <v>769.01</v>
      </c>
      <c r="Q48" s="2"/>
      <c r="R48" s="7">
        <f t="shared" si="32"/>
        <v>1.2991542733916189E-3</v>
      </c>
      <c r="S48" s="2"/>
      <c r="T48" s="6">
        <v>1855</v>
      </c>
      <c r="U48" s="2"/>
      <c r="V48" s="7">
        <f t="shared" si="33"/>
        <v>2.6252476648740445E-3</v>
      </c>
      <c r="W48" s="2"/>
      <c r="X48" s="6">
        <f t="shared" si="34"/>
        <v>-1085.99</v>
      </c>
      <c r="Y48" s="2"/>
      <c r="Z48" s="7">
        <f t="shared" si="35"/>
        <v>-0.5854393530997305</v>
      </c>
    </row>
    <row r="49" spans="1:26" s="27" customFormat="1" outlineLevel="1" collapsed="1" x14ac:dyDescent="0.25">
      <c r="A49" s="26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-3.14</v>
      </c>
      <c r="E49" s="1"/>
      <c r="F49" s="5">
        <f t="shared" si="28"/>
        <v>-7.9360626312040925E-5</v>
      </c>
      <c r="G49" s="1"/>
      <c r="H49" s="1">
        <f>SUM(OSRRefH22_3x_0)</f>
        <v>10</v>
      </c>
      <c r="I49" s="1"/>
      <c r="J49" s="5">
        <f t="shared" si="29"/>
        <v>1.0869565217391305E-4</v>
      </c>
      <c r="K49" s="1"/>
      <c r="L49" s="1">
        <f t="shared" si="30"/>
        <v>-13.14</v>
      </c>
      <c r="M49" s="1"/>
      <c r="N49" s="5">
        <f t="shared" si="31"/>
        <v>-1.3140000000000001</v>
      </c>
      <c r="O49" s="13"/>
      <c r="P49" s="1">
        <f>SUM(OSRRefP22_3x_0)</f>
        <v>125.23</v>
      </c>
      <c r="Q49" s="1"/>
      <c r="R49" s="5">
        <f t="shared" si="32"/>
        <v>2.1156173477176167E-4</v>
      </c>
      <c r="S49" s="1"/>
      <c r="T49" s="1">
        <f>SUM(OSRRefT22_3x_0)</f>
        <v>70</v>
      </c>
      <c r="U49" s="1"/>
      <c r="V49" s="5">
        <f t="shared" si="33"/>
        <v>9.9065949617888475E-5</v>
      </c>
      <c r="W49" s="1"/>
      <c r="X49" s="1">
        <f t="shared" si="34"/>
        <v>55.230000000000004</v>
      </c>
      <c r="Y49" s="1"/>
      <c r="Z49" s="5">
        <f t="shared" si="35"/>
        <v>0.78900000000000003</v>
      </c>
    </row>
    <row r="50" spans="1:26" s="24" customFormat="1" hidden="1" outlineLevel="2" x14ac:dyDescent="0.25">
      <c r="A50" s="25"/>
      <c r="B50" s="11" t="str">
        <f>CONCATENATE("          ", "6272", " - ", "CASH (OVER/SHORT)")</f>
        <v xml:space="preserve">          6272 - CASH (OVER/SHORT)</v>
      </c>
      <c r="C50" s="11"/>
      <c r="D50" s="6">
        <v>-3.14</v>
      </c>
      <c r="E50" s="2"/>
      <c r="F50" s="7">
        <f t="shared" si="28"/>
        <v>-7.9360626312040925E-5</v>
      </c>
      <c r="G50" s="2"/>
      <c r="H50" s="6">
        <v>10</v>
      </c>
      <c r="I50" s="2"/>
      <c r="J50" s="7">
        <f t="shared" si="29"/>
        <v>1.0869565217391305E-4</v>
      </c>
      <c r="K50" s="2"/>
      <c r="L50" s="6">
        <f t="shared" si="30"/>
        <v>-13.14</v>
      </c>
      <c r="M50" s="2"/>
      <c r="N50" s="7">
        <f t="shared" si="31"/>
        <v>-1.3140000000000001</v>
      </c>
      <c r="O50" s="11"/>
      <c r="P50" s="6">
        <v>125.23</v>
      </c>
      <c r="Q50" s="2"/>
      <c r="R50" s="7">
        <f t="shared" si="32"/>
        <v>2.1156173477176167E-4</v>
      </c>
      <c r="S50" s="2"/>
      <c r="T50" s="6">
        <v>70</v>
      </c>
      <c r="U50" s="2"/>
      <c r="V50" s="7">
        <f t="shared" si="33"/>
        <v>9.9065949617888475E-5</v>
      </c>
      <c r="W50" s="2"/>
      <c r="X50" s="6">
        <f t="shared" si="34"/>
        <v>55.230000000000004</v>
      </c>
      <c r="Y50" s="2"/>
      <c r="Z50" s="7">
        <f t="shared" si="35"/>
        <v>0.78900000000000003</v>
      </c>
    </row>
    <row r="51" spans="1:26" s="27" customFormat="1" outlineLevel="1" collapsed="1" x14ac:dyDescent="0.25">
      <c r="A51" s="26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1828.65</v>
      </c>
      <c r="E51" s="1"/>
      <c r="F51" s="5">
        <f t="shared" si="28"/>
        <v>4.6217455192838743E-2</v>
      </c>
      <c r="G51" s="1"/>
      <c r="H51" s="1">
        <f>SUM(OSRRefH22_4x_0)</f>
        <v>1840</v>
      </c>
      <c r="I51" s="1"/>
      <c r="J51" s="5">
        <f t="shared" si="29"/>
        <v>0.02</v>
      </c>
      <c r="K51" s="1"/>
      <c r="L51" s="1">
        <f t="shared" si="30"/>
        <v>-11.349999999999909</v>
      </c>
      <c r="M51" s="1"/>
      <c r="N51" s="5">
        <f t="shared" si="31"/>
        <v>-6.1684782608695159E-3</v>
      </c>
      <c r="O51" s="13"/>
      <c r="P51" s="1">
        <f>SUM(OSRRefP22_4x_0)</f>
        <v>18398.82</v>
      </c>
      <c r="Q51" s="1"/>
      <c r="R51" s="5">
        <f t="shared" si="32"/>
        <v>3.1082698051212842E-2</v>
      </c>
      <c r="S51" s="1"/>
      <c r="T51" s="1">
        <f>SUM(OSRRefT22_4x_0)</f>
        <v>15026</v>
      </c>
      <c r="U51" s="1"/>
      <c r="V51" s="5">
        <f t="shared" si="33"/>
        <v>2.1265213699405604E-2</v>
      </c>
      <c r="W51" s="1"/>
      <c r="X51" s="1">
        <f t="shared" si="34"/>
        <v>3372.8199999999997</v>
      </c>
      <c r="Y51" s="1"/>
      <c r="Z51" s="5">
        <f t="shared" si="35"/>
        <v>0.22446559297218152</v>
      </c>
    </row>
    <row r="52" spans="1:26" s="24" customFormat="1" hidden="1" outlineLevel="2" x14ac:dyDescent="0.25">
      <c r="A52" s="25"/>
      <c r="B52" s="11" t="str">
        <f>CONCATENATE("          ", "6381", " - ", "BANK/CREDIT CARD FEES")</f>
        <v xml:space="preserve">          6381 - BANK/CREDIT CARD FEES</v>
      </c>
      <c r="C52" s="11"/>
      <c r="D52" s="6">
        <v>1828.65</v>
      </c>
      <c r="E52" s="2"/>
      <c r="F52" s="7">
        <f t="shared" si="28"/>
        <v>4.6217455192838743E-2</v>
      </c>
      <c r="G52" s="2"/>
      <c r="H52" s="6">
        <v>1840</v>
      </c>
      <c r="I52" s="2"/>
      <c r="J52" s="7">
        <f t="shared" si="29"/>
        <v>0.02</v>
      </c>
      <c r="K52" s="2"/>
      <c r="L52" s="6">
        <f t="shared" si="30"/>
        <v>-11.349999999999909</v>
      </c>
      <c r="M52" s="2"/>
      <c r="N52" s="7">
        <f t="shared" si="31"/>
        <v>-6.1684782608695159E-3</v>
      </c>
      <c r="O52" s="11"/>
      <c r="P52" s="6">
        <v>18398.82</v>
      </c>
      <c r="Q52" s="2"/>
      <c r="R52" s="7">
        <f t="shared" si="32"/>
        <v>3.1082698051212842E-2</v>
      </c>
      <c r="S52" s="2"/>
      <c r="T52" s="6">
        <v>15026</v>
      </c>
      <c r="U52" s="2"/>
      <c r="V52" s="7">
        <f t="shared" si="33"/>
        <v>2.1265213699405604E-2</v>
      </c>
      <c r="W52" s="2"/>
      <c r="X52" s="6">
        <f t="shared" si="34"/>
        <v>3372.8199999999997</v>
      </c>
      <c r="Y52" s="2"/>
      <c r="Z52" s="7">
        <f t="shared" si="35"/>
        <v>0.22446559297218152</v>
      </c>
    </row>
    <row r="53" spans="1:26" s="27" customFormat="1" outlineLevel="1" collapsed="1" x14ac:dyDescent="0.25">
      <c r="A53" s="26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2173.85</v>
      </c>
      <c r="E53" s="1"/>
      <c r="F53" s="5">
        <f t="shared" si="28"/>
        <v>5.4942069270200684E-2</v>
      </c>
      <c r="G53" s="1"/>
      <c r="H53" s="1">
        <f>SUM(OSRRefH22_5x_0)</f>
        <v>2401</v>
      </c>
      <c r="I53" s="1"/>
      <c r="J53" s="5">
        <f t="shared" si="29"/>
        <v>2.6097826086956523E-2</v>
      </c>
      <c r="K53" s="1"/>
      <c r="L53" s="1">
        <f t="shared" si="30"/>
        <v>-227.15000000000009</v>
      </c>
      <c r="M53" s="1"/>
      <c r="N53" s="5">
        <f t="shared" si="31"/>
        <v>-9.4606413994169136E-2</v>
      </c>
      <c r="O53" s="13"/>
      <c r="P53" s="1">
        <f>SUM(OSRRefP22_5x_0)</f>
        <v>16613.82</v>
      </c>
      <c r="Q53" s="1"/>
      <c r="R53" s="5">
        <f t="shared" si="32"/>
        <v>2.8067145096109473E-2</v>
      </c>
      <c r="S53" s="1"/>
      <c r="T53" s="1">
        <f>SUM(OSRRefT22_5x_0)</f>
        <v>20275</v>
      </c>
      <c r="U53" s="1"/>
      <c r="V53" s="5">
        <f t="shared" si="33"/>
        <v>2.8693744692895557E-2</v>
      </c>
      <c r="W53" s="1"/>
      <c r="X53" s="1">
        <f t="shared" si="34"/>
        <v>-3661.1800000000003</v>
      </c>
      <c r="Y53" s="1"/>
      <c r="Z53" s="5">
        <f t="shared" si="35"/>
        <v>-0.18057607891491986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2173.85</v>
      </c>
      <c r="E54" s="2"/>
      <c r="F54" s="7">
        <f t="shared" si="28"/>
        <v>5.4942069270200684E-2</v>
      </c>
      <c r="G54" s="2"/>
      <c r="H54" s="6">
        <v>1674</v>
      </c>
      <c r="I54" s="2"/>
      <c r="J54" s="7">
        <f t="shared" si="29"/>
        <v>1.8195652173913043E-2</v>
      </c>
      <c r="K54" s="2"/>
      <c r="L54" s="6">
        <f t="shared" si="30"/>
        <v>499.84999999999991</v>
      </c>
      <c r="M54" s="2"/>
      <c r="N54" s="7">
        <f t="shared" si="31"/>
        <v>0.29859617682198319</v>
      </c>
      <c r="O54" s="11"/>
      <c r="P54" s="6">
        <v>16613.82</v>
      </c>
      <c r="Q54" s="2"/>
      <c r="R54" s="7">
        <f t="shared" si="32"/>
        <v>2.8067145096109473E-2</v>
      </c>
      <c r="S54" s="2"/>
      <c r="T54" s="6">
        <v>15066</v>
      </c>
      <c r="U54" s="2"/>
      <c r="V54" s="7">
        <f t="shared" si="33"/>
        <v>2.132182281347297E-2</v>
      </c>
      <c r="W54" s="2"/>
      <c r="X54" s="6">
        <f t="shared" si="34"/>
        <v>1547.8199999999997</v>
      </c>
      <c r="Y54" s="2"/>
      <c r="Z54" s="7">
        <f t="shared" si="35"/>
        <v>0.10273596176821981</v>
      </c>
    </row>
    <row r="55" spans="1:26" s="24" customFormat="1" hidden="1" outlineLevel="2" x14ac:dyDescent="0.25">
      <c r="A55" s="25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8"/>
        <v>0</v>
      </c>
      <c r="G55" s="2"/>
      <c r="H55" s="6">
        <v>727</v>
      </c>
      <c r="I55" s="2"/>
      <c r="J55" s="7">
        <f t="shared" si="29"/>
        <v>7.9021739130434778E-3</v>
      </c>
      <c r="K55" s="2"/>
      <c r="L55" s="6">
        <f t="shared" si="30"/>
        <v>-727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5209</v>
      </c>
      <c r="U55" s="2"/>
      <c r="V55" s="7">
        <f t="shared" si="33"/>
        <v>7.3719218794225869E-3</v>
      </c>
      <c r="W55" s="2"/>
      <c r="X55" s="6">
        <f t="shared" si="34"/>
        <v>-5209</v>
      </c>
      <c r="Y55" s="2"/>
      <c r="Z55" s="7">
        <f t="shared" si="35"/>
        <v>-1</v>
      </c>
    </row>
    <row r="56" spans="1:26" s="27" customFormat="1" outlineLevel="1" collapsed="1" x14ac:dyDescent="0.25">
      <c r="A56" s="26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ref="F56:F64" si="36">IF(D$12=0,0,D56/D$12)</f>
        <v>0</v>
      </c>
      <c r="G56" s="1"/>
      <c r="H56" s="1">
        <f>SUM(OSRRefH22_6x_0)</f>
        <v>0</v>
      </c>
      <c r="I56" s="1"/>
      <c r="J56" s="5">
        <f t="shared" ref="J56:J64" si="37">IF(H$12=0,0,H56/H$12)</f>
        <v>0</v>
      </c>
      <c r="K56" s="1"/>
      <c r="L56" s="1">
        <f t="shared" ref="L56:L64" si="38">+D56-H56</f>
        <v>0</v>
      </c>
      <c r="M56" s="1"/>
      <c r="N56" s="5">
        <f t="shared" ref="N56:N64" si="39">IF(H56=0,0,L56/H56)</f>
        <v>0</v>
      </c>
      <c r="O56" s="13"/>
      <c r="P56" s="1">
        <f>SUM(OSRRefP22_6x_0)</f>
        <v>236.02</v>
      </c>
      <c r="Q56" s="1"/>
      <c r="R56" s="5">
        <f t="shared" ref="R56:R64" si="40">IF(P$12=0,0,P56/P$12)</f>
        <v>3.9872874423725298E-4</v>
      </c>
      <c r="S56" s="1"/>
      <c r="T56" s="1">
        <f>SUM(OSRRefT22_6x_0)</f>
        <v>240</v>
      </c>
      <c r="U56" s="1"/>
      <c r="V56" s="5">
        <f t="shared" ref="V56:V64" si="41">IF(T$12=0,0,T56/T$12)</f>
        <v>3.3965468440418908E-4</v>
      </c>
      <c r="W56" s="1"/>
      <c r="X56" s="1">
        <f t="shared" ref="X56:X64" si="42">+P56-T56</f>
        <v>-3.9799999999999898</v>
      </c>
      <c r="Y56" s="1"/>
      <c r="Z56" s="5">
        <f t="shared" ref="Z56:Z64" si="43">IF(T56=0,0,X56/T56)</f>
        <v>-1.658333333333329E-2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36"/>
        <v>0</v>
      </c>
      <c r="G57" s="2"/>
      <c r="H57" s="6"/>
      <c r="I57" s="2"/>
      <c r="J57" s="7">
        <f t="shared" si="37"/>
        <v>0</v>
      </c>
      <c r="K57" s="2"/>
      <c r="L57" s="6">
        <f t="shared" si="38"/>
        <v>0</v>
      </c>
      <c r="M57" s="2"/>
      <c r="N57" s="7">
        <f t="shared" si="39"/>
        <v>0</v>
      </c>
      <c r="O57" s="11"/>
      <c r="P57" s="6">
        <v>236.02</v>
      </c>
      <c r="Q57" s="2"/>
      <c r="R57" s="7">
        <f t="shared" si="40"/>
        <v>3.9872874423725298E-4</v>
      </c>
      <c r="S57" s="2"/>
      <c r="T57" s="6">
        <v>240</v>
      </c>
      <c r="U57" s="2"/>
      <c r="V57" s="7">
        <f t="shared" si="41"/>
        <v>3.3965468440418908E-4</v>
      </c>
      <c r="W57" s="2"/>
      <c r="X57" s="6">
        <f t="shared" si="42"/>
        <v>-3.9799999999999898</v>
      </c>
      <c r="Y57" s="2"/>
      <c r="Z57" s="7">
        <f t="shared" si="43"/>
        <v>-1.658333333333329E-2</v>
      </c>
    </row>
    <row r="58" spans="1:26" s="27" customFormat="1" outlineLevel="1" collapsed="1" x14ac:dyDescent="0.25">
      <c r="A58" s="26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0</v>
      </c>
      <c r="E58" s="1"/>
      <c r="F58" s="5">
        <f t="shared" si="36"/>
        <v>0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0</v>
      </c>
      <c r="M58" s="1"/>
      <c r="N58" s="5">
        <f t="shared" si="39"/>
        <v>0</v>
      </c>
      <c r="O58" s="13"/>
      <c r="P58" s="1">
        <f>SUM(OSRRefP22_7x_0)</f>
        <v>951.28</v>
      </c>
      <c r="Q58" s="1"/>
      <c r="R58" s="5">
        <f t="shared" si="40"/>
        <v>1.6070785518939666E-3</v>
      </c>
      <c r="S58" s="1"/>
      <c r="T58" s="1">
        <f>SUM(OSRRefT22_7x_0)</f>
        <v>0</v>
      </c>
      <c r="U58" s="1"/>
      <c r="V58" s="5">
        <f t="shared" si="41"/>
        <v>0</v>
      </c>
      <c r="W58" s="1"/>
      <c r="X58" s="1">
        <f t="shared" si="42"/>
        <v>951.28</v>
      </c>
      <c r="Y58" s="1"/>
      <c r="Z58" s="5">
        <f t="shared" si="43"/>
        <v>0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6"/>
      <c r="E59" s="2"/>
      <c r="F59" s="7">
        <f t="shared" si="36"/>
        <v>0</v>
      </c>
      <c r="G59" s="2"/>
      <c r="H59" s="6"/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>
        <v>951.28</v>
      </c>
      <c r="Q59" s="2"/>
      <c r="R59" s="7">
        <f t="shared" si="40"/>
        <v>1.6070785518939666E-3</v>
      </c>
      <c r="S59" s="2"/>
      <c r="T59" s="6"/>
      <c r="U59" s="2"/>
      <c r="V59" s="7">
        <f t="shared" si="41"/>
        <v>0</v>
      </c>
      <c r="W59" s="2"/>
      <c r="X59" s="6">
        <f t="shared" si="42"/>
        <v>951.28</v>
      </c>
      <c r="Y59" s="2"/>
      <c r="Z59" s="7">
        <f t="shared" si="43"/>
        <v>0</v>
      </c>
    </row>
    <row r="60" spans="1:26" s="27" customFormat="1" outlineLevel="1" collapsed="1" x14ac:dyDescent="0.25">
      <c r="A60" s="26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399.68</v>
      </c>
      <c r="E60" s="1"/>
      <c r="F60" s="5">
        <f t="shared" si="36"/>
        <v>1.0101546217960675E-2</v>
      </c>
      <c r="G60" s="1"/>
      <c r="H60" s="1">
        <f>SUM(OSRRefH22_8x_0)</f>
        <v>1300</v>
      </c>
      <c r="I60" s="1"/>
      <c r="J60" s="5">
        <f t="shared" si="37"/>
        <v>1.4130434782608696E-2</v>
      </c>
      <c r="K60" s="1"/>
      <c r="L60" s="1">
        <f t="shared" si="38"/>
        <v>-900.31999999999994</v>
      </c>
      <c r="M60" s="1"/>
      <c r="N60" s="5">
        <f t="shared" si="39"/>
        <v>-0.69255384615384608</v>
      </c>
      <c r="O60" s="13"/>
      <c r="P60" s="1">
        <f>SUM(OSRRefP22_8x_0)</f>
        <v>9129.7800000000007</v>
      </c>
      <c r="Q60" s="1"/>
      <c r="R60" s="5">
        <f t="shared" si="40"/>
        <v>1.5423717119576255E-2</v>
      </c>
      <c r="S60" s="1"/>
      <c r="T60" s="1">
        <f>SUM(OSRRefT22_8x_0)</f>
        <v>9900</v>
      </c>
      <c r="U60" s="1"/>
      <c r="V60" s="5">
        <f t="shared" si="41"/>
        <v>1.4010755731672798E-2</v>
      </c>
      <c r="W60" s="1"/>
      <c r="X60" s="1">
        <f t="shared" si="42"/>
        <v>-770.21999999999935</v>
      </c>
      <c r="Y60" s="1"/>
      <c r="Z60" s="5">
        <f t="shared" si="43"/>
        <v>-7.7799999999999939E-2</v>
      </c>
    </row>
    <row r="61" spans="1:26" s="24" customFormat="1" hidden="1" outlineLevel="2" x14ac:dyDescent="0.25">
      <c r="A61" s="25"/>
      <c r="B61" s="11" t="str">
        <f>CONCATENATE("          ", "6279", " - ", "GENERAL EXPENSE")</f>
        <v xml:space="preserve">          6279 - GENERAL EXPENSE</v>
      </c>
      <c r="C61" s="11"/>
      <c r="D61" s="6">
        <v>399.68</v>
      </c>
      <c r="E61" s="2"/>
      <c r="F61" s="7">
        <f t="shared" si="36"/>
        <v>1.0101546217960675E-2</v>
      </c>
      <c r="G61" s="2"/>
      <c r="H61" s="6">
        <v>1300</v>
      </c>
      <c r="I61" s="2"/>
      <c r="J61" s="7">
        <f t="shared" si="37"/>
        <v>1.4130434782608696E-2</v>
      </c>
      <c r="K61" s="2"/>
      <c r="L61" s="6">
        <f t="shared" si="38"/>
        <v>-900.31999999999994</v>
      </c>
      <c r="M61" s="2"/>
      <c r="N61" s="7">
        <f t="shared" si="39"/>
        <v>-0.69255384615384608</v>
      </c>
      <c r="O61" s="11"/>
      <c r="P61" s="6">
        <v>9129.7800000000007</v>
      </c>
      <c r="Q61" s="2"/>
      <c r="R61" s="7">
        <f t="shared" si="40"/>
        <v>1.5423717119576255E-2</v>
      </c>
      <c r="S61" s="2"/>
      <c r="T61" s="6">
        <v>9900</v>
      </c>
      <c r="U61" s="2"/>
      <c r="V61" s="7">
        <f t="shared" si="41"/>
        <v>1.4010755731672798E-2</v>
      </c>
      <c r="W61" s="2"/>
      <c r="X61" s="6">
        <f t="shared" si="42"/>
        <v>-770.21999999999935</v>
      </c>
      <c r="Y61" s="2"/>
      <c r="Z61" s="7">
        <f t="shared" si="43"/>
        <v>-7.7799999999999939E-2</v>
      </c>
    </row>
    <row r="62" spans="1:26" s="27" customFormat="1" outlineLevel="1" collapsed="1" x14ac:dyDescent="0.25">
      <c r="A62" s="26"/>
      <c r="B62" s="13" t="str">
        <f>CONCATENATE("     ","Repair and Maintenance                            ")</f>
        <v xml:space="preserve">     Repair and Maintenance                            </v>
      </c>
      <c r="C62" s="13"/>
      <c r="D62" s="1">
        <f>SUM(OSRRefD22_9x_0)</f>
        <v>304.56</v>
      </c>
      <c r="E62" s="1"/>
      <c r="F62" s="5">
        <f t="shared" si="36"/>
        <v>7.6974752705717148E-3</v>
      </c>
      <c r="G62" s="1"/>
      <c r="H62" s="1">
        <f>SUM(OSRRefH22_9x_0)</f>
        <v>400</v>
      </c>
      <c r="I62" s="1"/>
      <c r="J62" s="5">
        <f t="shared" si="37"/>
        <v>4.3478260869565218E-3</v>
      </c>
      <c r="K62" s="1"/>
      <c r="L62" s="1">
        <f t="shared" si="38"/>
        <v>-95.44</v>
      </c>
      <c r="M62" s="1"/>
      <c r="N62" s="5">
        <f t="shared" si="39"/>
        <v>-0.23860000000000001</v>
      </c>
      <c r="O62" s="13"/>
      <c r="P62" s="1">
        <f>SUM(OSRRefP22_9x_0)</f>
        <v>7394.18</v>
      </c>
      <c r="Q62" s="1"/>
      <c r="R62" s="5">
        <f t="shared" si="40"/>
        <v>1.249161980367855E-2</v>
      </c>
      <c r="S62" s="1"/>
      <c r="T62" s="1">
        <f>SUM(OSRRefT22_9x_0)</f>
        <v>3700</v>
      </c>
      <c r="U62" s="1"/>
      <c r="V62" s="5">
        <f t="shared" si="41"/>
        <v>5.2363430512312485E-3</v>
      </c>
      <c r="W62" s="1"/>
      <c r="X62" s="1">
        <f t="shared" si="42"/>
        <v>3694.1800000000003</v>
      </c>
      <c r="Y62" s="1"/>
      <c r="Z62" s="5">
        <f t="shared" si="43"/>
        <v>0.99842702702702713</v>
      </c>
    </row>
    <row r="63" spans="1:26" s="24" customFormat="1" hidden="1" outlineLevel="2" x14ac:dyDescent="0.25">
      <c r="A63" s="25"/>
      <c r="B63" s="11" t="str">
        <f>CONCATENATE("          ", "6373", " - ", "MAINTENANCE CONTRACTS")</f>
        <v xml:space="preserve">          6373 - MAINTENANCE CONTRACTS</v>
      </c>
      <c r="C63" s="11"/>
      <c r="D63" s="6">
        <v>129.58000000000001</v>
      </c>
      <c r="E63" s="2"/>
      <c r="F63" s="7">
        <f t="shared" si="36"/>
        <v>3.27501591003639E-3</v>
      </c>
      <c r="G63" s="2"/>
      <c r="H63" s="6"/>
      <c r="I63" s="2"/>
      <c r="J63" s="7">
        <f t="shared" si="37"/>
        <v>0</v>
      </c>
      <c r="K63" s="2"/>
      <c r="L63" s="6">
        <f t="shared" si="38"/>
        <v>129.58000000000001</v>
      </c>
      <c r="M63" s="2"/>
      <c r="N63" s="7">
        <f t="shared" si="39"/>
        <v>0</v>
      </c>
      <c r="O63" s="11"/>
      <c r="P63" s="6">
        <v>369.97</v>
      </c>
      <c r="Q63" s="2"/>
      <c r="R63" s="7">
        <f t="shared" si="40"/>
        <v>6.2502191977568207E-4</v>
      </c>
      <c r="S63" s="2"/>
      <c r="T63" s="6"/>
      <c r="U63" s="2"/>
      <c r="V63" s="7">
        <f t="shared" si="41"/>
        <v>0</v>
      </c>
      <c r="W63" s="2"/>
      <c r="X63" s="6">
        <f t="shared" si="42"/>
        <v>369.97</v>
      </c>
      <c r="Y63" s="2"/>
      <c r="Z63" s="7">
        <f t="shared" si="43"/>
        <v>0</v>
      </c>
    </row>
    <row r="64" spans="1:26" s="24" customFormat="1" hidden="1" outlineLevel="2" x14ac:dyDescent="0.25">
      <c r="A64" s="25"/>
      <c r="B64" s="11" t="str">
        <f>CONCATENATE("          ", "6375", " - ", "OUTSIDE REPAIRS &amp; MAINTENANCE")</f>
        <v xml:space="preserve">          6375 - OUTSIDE REPAIRS &amp; MAINTENANCE</v>
      </c>
      <c r="C64" s="11"/>
      <c r="D64" s="6">
        <v>174.98</v>
      </c>
      <c r="E64" s="2"/>
      <c r="F64" s="7">
        <f t="shared" si="36"/>
        <v>4.4224593605353248E-3</v>
      </c>
      <c r="G64" s="2"/>
      <c r="H64" s="6">
        <v>400</v>
      </c>
      <c r="I64" s="2"/>
      <c r="J64" s="7">
        <f t="shared" si="37"/>
        <v>4.3478260869565218E-3</v>
      </c>
      <c r="K64" s="2"/>
      <c r="L64" s="6">
        <f t="shared" si="38"/>
        <v>-225.02</v>
      </c>
      <c r="M64" s="2"/>
      <c r="N64" s="7">
        <f t="shared" si="39"/>
        <v>-0.56254999999999999</v>
      </c>
      <c r="O64" s="11"/>
      <c r="P64" s="6">
        <v>7024.21</v>
      </c>
      <c r="Q64" s="2"/>
      <c r="R64" s="7">
        <f t="shared" si="40"/>
        <v>1.1866597883902867E-2</v>
      </c>
      <c r="S64" s="2"/>
      <c r="T64" s="6">
        <v>3700</v>
      </c>
      <c r="U64" s="2"/>
      <c r="V64" s="7">
        <f t="shared" si="41"/>
        <v>5.2363430512312485E-3</v>
      </c>
      <c r="W64" s="2"/>
      <c r="X64" s="6">
        <f t="shared" si="42"/>
        <v>3324.21</v>
      </c>
      <c r="Y64" s="2"/>
      <c r="Z64" s="7">
        <f t="shared" si="43"/>
        <v>0.89843513513513518</v>
      </c>
    </row>
    <row r="65" spans="1:26" s="27" customFormat="1" outlineLevel="1" collapsed="1" x14ac:dyDescent="0.25">
      <c r="A65" s="26"/>
      <c r="B65" s="13" t="str">
        <f>CONCATENATE("     ","Royalty &amp; Commissions                             ")</f>
        <v xml:space="preserve">     Royalty &amp; Commissions                             </v>
      </c>
      <c r="C65" s="13"/>
      <c r="D65" s="1">
        <f>SUM(OSRRefD22_10x_0)</f>
        <v>3165.28</v>
      </c>
      <c r="E65" s="1"/>
      <c r="F65" s="5">
        <f t="shared" ref="F65:F78" si="44">IF(D$12=0,0,D65/D$12)</f>
        <v>7.9999555176107295E-2</v>
      </c>
      <c r="G65" s="1"/>
      <c r="H65" s="1">
        <f>SUM(OSRRefH22_10x_0)</f>
        <v>7360</v>
      </c>
      <c r="I65" s="1"/>
      <c r="J65" s="5">
        <f t="shared" ref="J65:J78" si="45">IF(H$12=0,0,H65/H$12)</f>
        <v>0.08</v>
      </c>
      <c r="K65" s="1"/>
      <c r="L65" s="1">
        <f t="shared" ref="L65:L78" si="46">+D65-H65</f>
        <v>-4194.7199999999993</v>
      </c>
      <c r="M65" s="1"/>
      <c r="N65" s="5">
        <f t="shared" ref="N65:N78" si="47">IF(H65=0,0,L65/H65)</f>
        <v>-0.56993478260869557</v>
      </c>
      <c r="O65" s="13"/>
      <c r="P65" s="1">
        <f>SUM(OSRRefP22_10x_0)</f>
        <v>44134.64</v>
      </c>
      <c r="Q65" s="1"/>
      <c r="R65" s="5">
        <f t="shared" ref="R65:R78" si="48">IF(P$12=0,0,P65/P$12)</f>
        <v>7.4560416848416383E-2</v>
      </c>
      <c r="S65" s="1"/>
      <c r="T65" s="1">
        <f>SUM(OSRRefT22_10x_0)</f>
        <v>54480</v>
      </c>
      <c r="U65" s="1"/>
      <c r="V65" s="5">
        <f t="shared" ref="V65:V78" si="49">IF(T$12=0,0,T65/T$12)</f>
        <v>7.7101613359750923E-2</v>
      </c>
      <c r="W65" s="1"/>
      <c r="X65" s="1">
        <f t="shared" ref="X65:X78" si="50">+P65-T65</f>
        <v>-10345.36</v>
      </c>
      <c r="Y65" s="1"/>
      <c r="Z65" s="5">
        <f t="shared" ref="Z65:Z78" si="51">IF(T65=0,0,X65/T65)</f>
        <v>-0.1898928046989721</v>
      </c>
    </row>
    <row r="66" spans="1:26" s="24" customFormat="1" hidden="1" outlineLevel="2" x14ac:dyDescent="0.25">
      <c r="A66" s="25"/>
      <c r="B66" s="11" t="str">
        <f>CONCATENATE("          ", "6259", " - ", "ROYALTY &amp; COMMISSIONS")</f>
        <v xml:space="preserve">          6259 - ROYALTY &amp; COMMISSIONS</v>
      </c>
      <c r="C66" s="11"/>
      <c r="D66" s="6">
        <v>3165.28</v>
      </c>
      <c r="E66" s="2"/>
      <c r="F66" s="7">
        <f t="shared" si="44"/>
        <v>7.9999555176107295E-2</v>
      </c>
      <c r="G66" s="2"/>
      <c r="H66" s="6">
        <v>7360</v>
      </c>
      <c r="I66" s="2"/>
      <c r="J66" s="7">
        <f t="shared" si="45"/>
        <v>0.08</v>
      </c>
      <c r="K66" s="2"/>
      <c r="L66" s="6">
        <f t="shared" si="46"/>
        <v>-4194.7199999999993</v>
      </c>
      <c r="M66" s="2"/>
      <c r="N66" s="7">
        <f t="shared" si="47"/>
        <v>-0.56993478260869557</v>
      </c>
      <c r="O66" s="11"/>
      <c r="P66" s="6">
        <v>44134.64</v>
      </c>
      <c r="Q66" s="2"/>
      <c r="R66" s="7">
        <f t="shared" si="48"/>
        <v>7.4560416848416383E-2</v>
      </c>
      <c r="S66" s="2"/>
      <c r="T66" s="6">
        <v>54480</v>
      </c>
      <c r="U66" s="2"/>
      <c r="V66" s="7">
        <f t="shared" si="49"/>
        <v>7.7101613359750923E-2</v>
      </c>
      <c r="W66" s="2"/>
      <c r="X66" s="6">
        <f t="shared" si="50"/>
        <v>-10345.36</v>
      </c>
      <c r="Y66" s="2"/>
      <c r="Z66" s="7">
        <f t="shared" si="51"/>
        <v>-0.1898928046989721</v>
      </c>
    </row>
    <row r="67" spans="1:26" s="27" customFormat="1" outlineLevel="1" collapsed="1" x14ac:dyDescent="0.25">
      <c r="A67" s="26"/>
      <c r="B67" s="13" t="str">
        <f>CONCATENATE("     ","Services                                          ")</f>
        <v xml:space="preserve">     Services                                          </v>
      </c>
      <c r="C67" s="13"/>
      <c r="D67" s="1">
        <f>SUM(OSRRefD22_11x_0)</f>
        <v>32.5</v>
      </c>
      <c r="E67" s="1"/>
      <c r="F67" s="5">
        <f t="shared" si="44"/>
        <v>8.2140775641443631E-4</v>
      </c>
      <c r="G67" s="1"/>
      <c r="H67" s="1">
        <f>SUM(OSRRefH22_11x_0)</f>
        <v>120</v>
      </c>
      <c r="I67" s="1"/>
      <c r="J67" s="5">
        <f t="shared" si="45"/>
        <v>1.3043478260869566E-3</v>
      </c>
      <c r="K67" s="1"/>
      <c r="L67" s="1">
        <f t="shared" si="46"/>
        <v>-87.5</v>
      </c>
      <c r="M67" s="1"/>
      <c r="N67" s="5">
        <f t="shared" si="47"/>
        <v>-0.72916666666666663</v>
      </c>
      <c r="O67" s="13"/>
      <c r="P67" s="1">
        <f>SUM(OSRRefP22_11x_0)</f>
        <v>508.6</v>
      </c>
      <c r="Q67" s="1"/>
      <c r="R67" s="5">
        <f t="shared" si="48"/>
        <v>8.5922141902833175E-4</v>
      </c>
      <c r="S67" s="1"/>
      <c r="T67" s="1">
        <f>SUM(OSRRefT22_11x_0)</f>
        <v>1080</v>
      </c>
      <c r="U67" s="1"/>
      <c r="V67" s="5">
        <f t="shared" si="49"/>
        <v>1.5284460798188509E-3</v>
      </c>
      <c r="W67" s="1"/>
      <c r="X67" s="1">
        <f t="shared" si="50"/>
        <v>-571.4</v>
      </c>
      <c r="Y67" s="1"/>
      <c r="Z67" s="5">
        <f t="shared" si="51"/>
        <v>-0.52907407407407403</v>
      </c>
    </row>
    <row r="68" spans="1:26" s="24" customFormat="1" hidden="1" outlineLevel="2" x14ac:dyDescent="0.25">
      <c r="A68" s="25"/>
      <c r="B68" s="11" t="str">
        <f>CONCATENATE("          ", "6286", " - ", "LAUNDRY EXPENSE")</f>
        <v xml:space="preserve">          6286 - LAUNDRY EXPENSE</v>
      </c>
      <c r="C68" s="11"/>
      <c r="D68" s="6">
        <v>32.5</v>
      </c>
      <c r="E68" s="2"/>
      <c r="F68" s="7">
        <f t="shared" si="44"/>
        <v>8.2140775641443631E-4</v>
      </c>
      <c r="G68" s="2"/>
      <c r="H68" s="6">
        <v>120</v>
      </c>
      <c r="I68" s="2"/>
      <c r="J68" s="7">
        <f t="shared" si="45"/>
        <v>1.3043478260869566E-3</v>
      </c>
      <c r="K68" s="2"/>
      <c r="L68" s="6">
        <f t="shared" si="46"/>
        <v>-87.5</v>
      </c>
      <c r="M68" s="2"/>
      <c r="N68" s="7">
        <f t="shared" si="47"/>
        <v>-0.72916666666666663</v>
      </c>
      <c r="O68" s="11"/>
      <c r="P68" s="6">
        <v>508.6</v>
      </c>
      <c r="Q68" s="2"/>
      <c r="R68" s="7">
        <f t="shared" si="48"/>
        <v>8.5922141902833175E-4</v>
      </c>
      <c r="S68" s="2"/>
      <c r="T68" s="6">
        <v>1080</v>
      </c>
      <c r="U68" s="2"/>
      <c r="V68" s="7">
        <f t="shared" si="49"/>
        <v>1.5284460798188509E-3</v>
      </c>
      <c r="W68" s="2"/>
      <c r="X68" s="6">
        <f t="shared" si="50"/>
        <v>-571.4</v>
      </c>
      <c r="Y68" s="2"/>
      <c r="Z68" s="7">
        <f t="shared" si="51"/>
        <v>-0.52907407407407403</v>
      </c>
    </row>
    <row r="69" spans="1:26" s="27" customFormat="1" outlineLevel="1" collapsed="1" x14ac:dyDescent="0.25">
      <c r="A69" s="26"/>
      <c r="B69" s="13" t="str">
        <f>CONCATENATE("     ","Subscriptions &amp; Dues                              ")</f>
        <v xml:space="preserve">     Subscriptions &amp; Dues                              </v>
      </c>
      <c r="C69" s="13"/>
      <c r="D69" s="1">
        <f>SUM(OSRRefD22_12x_0)</f>
        <v>0</v>
      </c>
      <c r="E69" s="1"/>
      <c r="F69" s="5">
        <f t="shared" si="44"/>
        <v>0</v>
      </c>
      <c r="G69" s="1"/>
      <c r="H69" s="1">
        <f>SUM(OSRRefH22_12x_0)</f>
        <v>0</v>
      </c>
      <c r="I69" s="1"/>
      <c r="J69" s="5">
        <f t="shared" si="45"/>
        <v>0</v>
      </c>
      <c r="K69" s="1"/>
      <c r="L69" s="1">
        <f t="shared" si="46"/>
        <v>0</v>
      </c>
      <c r="M69" s="1"/>
      <c r="N69" s="5">
        <f t="shared" si="47"/>
        <v>0</v>
      </c>
      <c r="O69" s="13"/>
      <c r="P69" s="1">
        <f>SUM(OSRRefP22_12x_0)</f>
        <v>122.72</v>
      </c>
      <c r="Q69" s="1"/>
      <c r="R69" s="5">
        <f t="shared" si="48"/>
        <v>2.0732137739511771E-4</v>
      </c>
      <c r="S69" s="1"/>
      <c r="T69" s="1">
        <f>SUM(OSRRefT22_12x_0)</f>
        <v>0</v>
      </c>
      <c r="U69" s="1"/>
      <c r="V69" s="5">
        <f t="shared" si="49"/>
        <v>0</v>
      </c>
      <c r="W69" s="1"/>
      <c r="X69" s="1">
        <f t="shared" si="50"/>
        <v>122.72</v>
      </c>
      <c r="Y69" s="1"/>
      <c r="Z69" s="5">
        <f t="shared" si="51"/>
        <v>0</v>
      </c>
    </row>
    <row r="70" spans="1:26" s="24" customFormat="1" hidden="1" outlineLevel="2" x14ac:dyDescent="0.25">
      <c r="A70" s="25"/>
      <c r="B70" s="11" t="str">
        <f>CONCATENATE("          ", "6275", " - ", "SUBSCRIPTIONS")</f>
        <v xml:space="preserve">          6275 - SUBSCRIPTIONS</v>
      </c>
      <c r="C70" s="11"/>
      <c r="D70" s="6"/>
      <c r="E70" s="2"/>
      <c r="F70" s="7">
        <f t="shared" si="44"/>
        <v>0</v>
      </c>
      <c r="G70" s="2"/>
      <c r="H70" s="6"/>
      <c r="I70" s="2"/>
      <c r="J70" s="7">
        <f t="shared" si="45"/>
        <v>0</v>
      </c>
      <c r="K70" s="2"/>
      <c r="L70" s="6">
        <f t="shared" si="46"/>
        <v>0</v>
      </c>
      <c r="M70" s="2"/>
      <c r="N70" s="7">
        <f t="shared" si="47"/>
        <v>0</v>
      </c>
      <c r="O70" s="11"/>
      <c r="P70" s="6">
        <v>122.72</v>
      </c>
      <c r="Q70" s="2"/>
      <c r="R70" s="7">
        <f t="shared" si="48"/>
        <v>2.0732137739511771E-4</v>
      </c>
      <c r="S70" s="2"/>
      <c r="T70" s="6"/>
      <c r="U70" s="2"/>
      <c r="V70" s="7">
        <f t="shared" si="49"/>
        <v>0</v>
      </c>
      <c r="W70" s="2"/>
      <c r="X70" s="6">
        <f t="shared" si="50"/>
        <v>122.72</v>
      </c>
      <c r="Y70" s="2"/>
      <c r="Z70" s="7">
        <f t="shared" si="51"/>
        <v>0</v>
      </c>
    </row>
    <row r="71" spans="1:26" s="27" customFormat="1" outlineLevel="1" collapsed="1" x14ac:dyDescent="0.25">
      <c r="A71" s="26"/>
      <c r="B71" s="13" t="str">
        <f>CONCATENATE("     ","Supplies                                          ")</f>
        <v xml:space="preserve">     Supplies                                          </v>
      </c>
      <c r="C71" s="13"/>
      <c r="D71" s="1">
        <f>SUM(OSRRefD22_13x_0)</f>
        <v>415.04</v>
      </c>
      <c r="E71" s="1"/>
      <c r="F71" s="5">
        <f t="shared" si="44"/>
        <v>1.0489756160684543E-2</v>
      </c>
      <c r="G71" s="1"/>
      <c r="H71" s="1">
        <f>SUM(OSRRefH22_13x_0)</f>
        <v>720</v>
      </c>
      <c r="I71" s="1"/>
      <c r="J71" s="5">
        <f t="shared" si="45"/>
        <v>7.8260869565217397E-3</v>
      </c>
      <c r="K71" s="1"/>
      <c r="L71" s="1">
        <f t="shared" si="46"/>
        <v>-304.95999999999998</v>
      </c>
      <c r="M71" s="1"/>
      <c r="N71" s="5">
        <f t="shared" si="47"/>
        <v>-0.42355555555555552</v>
      </c>
      <c r="O71" s="13"/>
      <c r="P71" s="1">
        <f>SUM(OSRRefP22_13x_0)</f>
        <v>11599.199999999999</v>
      </c>
      <c r="Q71" s="1"/>
      <c r="R71" s="5">
        <f t="shared" si="48"/>
        <v>1.959551923632211E-2</v>
      </c>
      <c r="S71" s="1"/>
      <c r="T71" s="1">
        <f>SUM(OSRRefT22_13x_0)</f>
        <v>11161</v>
      </c>
      <c r="U71" s="1"/>
      <c r="V71" s="5">
        <f t="shared" si="49"/>
        <v>1.5795358052646476E-2</v>
      </c>
      <c r="W71" s="1"/>
      <c r="X71" s="1">
        <f t="shared" si="50"/>
        <v>438.19999999999891</v>
      </c>
      <c r="Y71" s="1"/>
      <c r="Z71" s="5">
        <f t="shared" si="51"/>
        <v>3.9261714900098457E-2</v>
      </c>
    </row>
    <row r="72" spans="1:26" s="24" customFormat="1" hidden="1" outlineLevel="2" x14ac:dyDescent="0.25">
      <c r="A72" s="25"/>
      <c r="B72" s="11" t="str">
        <f>CONCATENATE("          ", "6237", " - ", "JANITORIAL SUPPLIES")</f>
        <v xml:space="preserve">          6237 - JANITORIAL SUPPLIES</v>
      </c>
      <c r="C72" s="11"/>
      <c r="D72" s="6"/>
      <c r="E72" s="2"/>
      <c r="F72" s="7">
        <f t="shared" si="44"/>
        <v>0</v>
      </c>
      <c r="G72" s="2"/>
      <c r="H72" s="6"/>
      <c r="I72" s="2"/>
      <c r="J72" s="7">
        <f t="shared" si="45"/>
        <v>0</v>
      </c>
      <c r="K72" s="2"/>
      <c r="L72" s="6">
        <f t="shared" si="46"/>
        <v>0</v>
      </c>
      <c r="M72" s="2"/>
      <c r="N72" s="7">
        <f t="shared" si="47"/>
        <v>0</v>
      </c>
      <c r="O72" s="11"/>
      <c r="P72" s="6">
        <v>268.49</v>
      </c>
      <c r="Q72" s="2"/>
      <c r="R72" s="7">
        <f t="shared" si="48"/>
        <v>4.5358308846818088E-4</v>
      </c>
      <c r="S72" s="2"/>
      <c r="T72" s="6"/>
      <c r="U72" s="2"/>
      <c r="V72" s="7">
        <f t="shared" si="49"/>
        <v>0</v>
      </c>
      <c r="W72" s="2"/>
      <c r="X72" s="6">
        <f t="shared" si="50"/>
        <v>268.49</v>
      </c>
      <c r="Y72" s="2"/>
      <c r="Z72" s="7">
        <f t="shared" si="51"/>
        <v>0</v>
      </c>
    </row>
    <row r="73" spans="1:26" s="24" customFormat="1" hidden="1" outlineLevel="2" x14ac:dyDescent="0.25">
      <c r="A73" s="25"/>
      <c r="B73" s="11" t="str">
        <f>CONCATENATE("          ", "6239", " - ", "KITCHEN SUPPLIES")</f>
        <v xml:space="preserve">          6239 - KITCHEN SUPPLIES</v>
      </c>
      <c r="C73" s="11"/>
      <c r="D73" s="6">
        <v>32.68</v>
      </c>
      <c r="E73" s="2"/>
      <c r="F73" s="7">
        <f t="shared" si="44"/>
        <v>8.2595709168073168E-4</v>
      </c>
      <c r="G73" s="2"/>
      <c r="H73" s="6">
        <v>200</v>
      </c>
      <c r="I73" s="2"/>
      <c r="J73" s="7">
        <f t="shared" si="45"/>
        <v>2.1739130434782609E-3</v>
      </c>
      <c r="K73" s="2"/>
      <c r="L73" s="6">
        <f t="shared" si="46"/>
        <v>-167.32</v>
      </c>
      <c r="M73" s="2"/>
      <c r="N73" s="7">
        <f t="shared" si="47"/>
        <v>-0.83660000000000001</v>
      </c>
      <c r="O73" s="11"/>
      <c r="P73" s="6">
        <v>2024.76</v>
      </c>
      <c r="Q73" s="2"/>
      <c r="R73" s="7">
        <f t="shared" si="48"/>
        <v>3.4206000007703597E-3</v>
      </c>
      <c r="S73" s="2"/>
      <c r="T73" s="6">
        <v>7336</v>
      </c>
      <c r="U73" s="2"/>
      <c r="V73" s="7">
        <f t="shared" si="49"/>
        <v>1.0382111519954712E-2</v>
      </c>
      <c r="W73" s="2"/>
      <c r="X73" s="6">
        <f t="shared" si="50"/>
        <v>-5311.24</v>
      </c>
      <c r="Y73" s="2"/>
      <c r="Z73" s="7">
        <f t="shared" si="51"/>
        <v>-0.72399672846237728</v>
      </c>
    </row>
    <row r="74" spans="1:26" s="24" customFormat="1" hidden="1" outlineLevel="2" x14ac:dyDescent="0.25">
      <c r="A74" s="25"/>
      <c r="B74" s="11" t="str">
        <f>CONCATENATE("          ", "6241", " - ", "OFFICE EXPENSE")</f>
        <v xml:space="preserve">          6241 - OFFICE EXPENSE</v>
      </c>
      <c r="C74" s="11"/>
      <c r="D74" s="6"/>
      <c r="E74" s="2"/>
      <c r="F74" s="7">
        <f t="shared" si="44"/>
        <v>0</v>
      </c>
      <c r="G74" s="2"/>
      <c r="H74" s="6">
        <v>20</v>
      </c>
      <c r="I74" s="2"/>
      <c r="J74" s="7">
        <f t="shared" si="45"/>
        <v>2.173913043478261E-4</v>
      </c>
      <c r="K74" s="2"/>
      <c r="L74" s="6">
        <f t="shared" si="46"/>
        <v>-20</v>
      </c>
      <c r="M74" s="2"/>
      <c r="N74" s="7">
        <f t="shared" si="47"/>
        <v>-1</v>
      </c>
      <c r="O74" s="11"/>
      <c r="P74" s="6">
        <v>1499.6</v>
      </c>
      <c r="Q74" s="2"/>
      <c r="R74" s="7">
        <f t="shared" si="48"/>
        <v>2.5334023593686318E-3</v>
      </c>
      <c r="S74" s="2"/>
      <c r="T74" s="6">
        <v>180</v>
      </c>
      <c r="U74" s="2"/>
      <c r="V74" s="7">
        <f t="shared" si="49"/>
        <v>2.547410133031418E-4</v>
      </c>
      <c r="W74" s="2"/>
      <c r="X74" s="6">
        <f t="shared" si="50"/>
        <v>1319.6</v>
      </c>
      <c r="Y74" s="2"/>
      <c r="Z74" s="7">
        <f t="shared" si="51"/>
        <v>7.3311111111111105</v>
      </c>
    </row>
    <row r="75" spans="1:26" s="24" customFormat="1" hidden="1" outlineLevel="2" x14ac:dyDescent="0.25">
      <c r="A75" s="25"/>
      <c r="B75" s="11" t="str">
        <f>CONCATENATE("          ", "6243", " - ", "PAPER SUPPLIES")</f>
        <v xml:space="preserve">          6243 - PAPER SUPPLIES</v>
      </c>
      <c r="C75" s="11"/>
      <c r="D75" s="6">
        <v>172.28</v>
      </c>
      <c r="E75" s="2"/>
      <c r="F75" s="7">
        <f t="shared" si="44"/>
        <v>4.3542193315408949E-3</v>
      </c>
      <c r="G75" s="2"/>
      <c r="H75" s="6">
        <v>500</v>
      </c>
      <c r="I75" s="2"/>
      <c r="J75" s="7">
        <f t="shared" si="45"/>
        <v>5.434782608695652E-3</v>
      </c>
      <c r="K75" s="2"/>
      <c r="L75" s="6">
        <f t="shared" si="46"/>
        <v>-327.72</v>
      </c>
      <c r="M75" s="2"/>
      <c r="N75" s="7">
        <f t="shared" si="47"/>
        <v>-0.65544000000000002</v>
      </c>
      <c r="O75" s="11"/>
      <c r="P75" s="6">
        <v>3812.89</v>
      </c>
      <c r="Q75" s="2"/>
      <c r="R75" s="7">
        <f t="shared" si="48"/>
        <v>6.4414407322039629E-3</v>
      </c>
      <c r="S75" s="2"/>
      <c r="T75" s="6">
        <v>3645</v>
      </c>
      <c r="U75" s="2"/>
      <c r="V75" s="7">
        <f t="shared" si="49"/>
        <v>5.1585055193886214E-3</v>
      </c>
      <c r="W75" s="2"/>
      <c r="X75" s="6">
        <f t="shared" si="50"/>
        <v>167.88999999999987</v>
      </c>
      <c r="Y75" s="2"/>
      <c r="Z75" s="7">
        <f t="shared" si="51"/>
        <v>4.6060356652949212E-2</v>
      </c>
    </row>
    <row r="76" spans="1:26" s="24" customFormat="1" hidden="1" outlineLevel="2" x14ac:dyDescent="0.25">
      <c r="A76" s="25"/>
      <c r="B76" s="11" t="str">
        <f>CONCATENATE("          ", "6245", " - ", "PRINTING")</f>
        <v xml:space="preserve">          6245 - PRINTING</v>
      </c>
      <c r="C76" s="11"/>
      <c r="D76" s="6"/>
      <c r="E76" s="2"/>
      <c r="F76" s="7">
        <f t="shared" si="44"/>
        <v>0</v>
      </c>
      <c r="G76" s="2"/>
      <c r="H76" s="6"/>
      <c r="I76" s="2"/>
      <c r="J76" s="7">
        <f t="shared" si="45"/>
        <v>0</v>
      </c>
      <c r="K76" s="2"/>
      <c r="L76" s="6">
        <f t="shared" si="46"/>
        <v>0</v>
      </c>
      <c r="M76" s="2"/>
      <c r="N76" s="7">
        <f t="shared" si="47"/>
        <v>0</v>
      </c>
      <c r="O76" s="11"/>
      <c r="P76" s="6">
        <v>181.92</v>
      </c>
      <c r="Q76" s="2"/>
      <c r="R76" s="7">
        <f t="shared" si="48"/>
        <v>3.0733299360919016E-4</v>
      </c>
      <c r="S76" s="2"/>
      <c r="T76" s="6"/>
      <c r="U76" s="2"/>
      <c r="V76" s="7">
        <f t="shared" si="49"/>
        <v>0</v>
      </c>
      <c r="W76" s="2"/>
      <c r="X76" s="6">
        <f t="shared" si="50"/>
        <v>181.92</v>
      </c>
      <c r="Y76" s="2"/>
      <c r="Z76" s="7">
        <f t="shared" si="51"/>
        <v>0</v>
      </c>
    </row>
    <row r="77" spans="1:26" s="24" customFormat="1" hidden="1" outlineLevel="2" x14ac:dyDescent="0.25">
      <c r="A77" s="25"/>
      <c r="B77" s="11" t="str">
        <f>CONCATENATE("          ", "6247", " - ", "STORE SUPPLIES")</f>
        <v xml:space="preserve">          6247 - STORE SUPPLIES</v>
      </c>
      <c r="C77" s="11"/>
      <c r="D77" s="6">
        <v>184.08</v>
      </c>
      <c r="E77" s="2"/>
      <c r="F77" s="7">
        <f t="shared" si="44"/>
        <v>4.6524535323313673E-3</v>
      </c>
      <c r="G77" s="2"/>
      <c r="H77" s="6"/>
      <c r="I77" s="2"/>
      <c r="J77" s="7">
        <f t="shared" si="45"/>
        <v>0</v>
      </c>
      <c r="K77" s="2"/>
      <c r="L77" s="6">
        <f t="shared" si="46"/>
        <v>184.08</v>
      </c>
      <c r="M77" s="2"/>
      <c r="N77" s="7">
        <f t="shared" si="47"/>
        <v>0</v>
      </c>
      <c r="O77" s="11"/>
      <c r="P77" s="6">
        <v>3638.57</v>
      </c>
      <c r="Q77" s="2"/>
      <c r="R77" s="7">
        <f t="shared" si="48"/>
        <v>6.1469470677033367E-3</v>
      </c>
      <c r="S77" s="2"/>
      <c r="T77" s="6"/>
      <c r="U77" s="2"/>
      <c r="V77" s="7">
        <f t="shared" si="49"/>
        <v>0</v>
      </c>
      <c r="W77" s="2"/>
      <c r="X77" s="6">
        <f t="shared" si="50"/>
        <v>3638.57</v>
      </c>
      <c r="Y77" s="2"/>
      <c r="Z77" s="7">
        <f t="shared" si="51"/>
        <v>0</v>
      </c>
    </row>
    <row r="78" spans="1:26" s="24" customFormat="1" hidden="1" outlineLevel="2" x14ac:dyDescent="0.25">
      <c r="A78" s="25"/>
      <c r="B78" s="11" t="str">
        <f>CONCATENATE("          ", "6248", " - ", "UNIFORMS")</f>
        <v xml:space="preserve">          6248 - UNIFORMS</v>
      </c>
      <c r="C78" s="11"/>
      <c r="D78" s="6">
        <v>26</v>
      </c>
      <c r="E78" s="2"/>
      <c r="F78" s="7">
        <f t="shared" si="44"/>
        <v>6.5712620513154907E-4</v>
      </c>
      <c r="G78" s="2"/>
      <c r="H78" s="6"/>
      <c r="I78" s="2"/>
      <c r="J78" s="7">
        <f t="shared" si="45"/>
        <v>0</v>
      </c>
      <c r="K78" s="2"/>
      <c r="L78" s="6">
        <f t="shared" si="46"/>
        <v>26</v>
      </c>
      <c r="M78" s="2"/>
      <c r="N78" s="7">
        <f t="shared" si="47"/>
        <v>0</v>
      </c>
      <c r="O78" s="11"/>
      <c r="P78" s="6">
        <v>172.97</v>
      </c>
      <c r="Q78" s="2"/>
      <c r="R78" s="7">
        <f t="shared" si="48"/>
        <v>2.9221299419844777E-4</v>
      </c>
      <c r="S78" s="2"/>
      <c r="T78" s="6"/>
      <c r="U78" s="2"/>
      <c r="V78" s="7">
        <f t="shared" si="49"/>
        <v>0</v>
      </c>
      <c r="W78" s="2"/>
      <c r="X78" s="6">
        <f t="shared" si="50"/>
        <v>172.97</v>
      </c>
      <c r="Y78" s="2"/>
      <c r="Z78" s="7">
        <f t="shared" si="51"/>
        <v>0</v>
      </c>
    </row>
    <row r="79" spans="1:26" s="27" customFormat="1" outlineLevel="1" collapsed="1" x14ac:dyDescent="0.25">
      <c r="A79" s="26"/>
      <c r="B79" s="13" t="str">
        <f>CONCATENATE("     ","Telephone/Data Lines                              ")</f>
        <v xml:space="preserve">     Telephone/Data Lines                              </v>
      </c>
      <c r="C79" s="13"/>
      <c r="D79" s="1">
        <f>SUM(OSRRefD22_14x_0)</f>
        <v>0</v>
      </c>
      <c r="E79" s="1"/>
      <c r="F79" s="5">
        <f t="shared" ref="F79:F82" si="52">IF(D$12=0,0,D79/D$12)</f>
        <v>0</v>
      </c>
      <c r="G79" s="1"/>
      <c r="H79" s="1">
        <f>SUM(OSRRefH22_14x_0)</f>
        <v>50</v>
      </c>
      <c r="I79" s="1"/>
      <c r="J79" s="5">
        <f t="shared" ref="J79:J82" si="53">IF(H$12=0,0,H79/H$12)</f>
        <v>5.4347826086956522E-4</v>
      </c>
      <c r="K79" s="1"/>
      <c r="L79" s="1">
        <f t="shared" ref="L79:L82" si="54">+D79-H79</f>
        <v>-50</v>
      </c>
      <c r="M79" s="1"/>
      <c r="N79" s="5">
        <f t="shared" ref="N79:N82" si="55">IF(H79=0,0,L79/H79)</f>
        <v>-1</v>
      </c>
      <c r="O79" s="13"/>
      <c r="P79" s="1">
        <f>SUM(OSRRefP22_14x_0)</f>
        <v>-45</v>
      </c>
      <c r="Q79" s="1"/>
      <c r="R79" s="5">
        <f t="shared" ref="R79:R82" si="56">IF(P$12=0,0,P79/P$12)</f>
        <v>-7.6022343405967221E-5</v>
      </c>
      <c r="S79" s="1"/>
      <c r="T79" s="1">
        <f>SUM(OSRRefT22_14x_0)</f>
        <v>450</v>
      </c>
      <c r="U79" s="1"/>
      <c r="V79" s="5">
        <f t="shared" ref="V79:V82" si="57">IF(T$12=0,0,T79/T$12)</f>
        <v>6.3685253325785447E-4</v>
      </c>
      <c r="W79" s="1"/>
      <c r="X79" s="1">
        <f t="shared" ref="X79:X82" si="58">+P79-T79</f>
        <v>-495</v>
      </c>
      <c r="Y79" s="1"/>
      <c r="Z79" s="5">
        <f t="shared" ref="Z79:Z82" si="59">IF(T79=0,0,X79/T79)</f>
        <v>-1.1000000000000001</v>
      </c>
    </row>
    <row r="80" spans="1:26" s="24" customFormat="1" hidden="1" outlineLevel="2" x14ac:dyDescent="0.25">
      <c r="A80" s="25"/>
      <c r="B80" s="11" t="str">
        <f>CONCATENATE("          ", "6309", " - ", "TELEPHONE")</f>
        <v xml:space="preserve">          6309 - TELEPHONE</v>
      </c>
      <c r="C80" s="11"/>
      <c r="D80" s="6"/>
      <c r="E80" s="2"/>
      <c r="F80" s="7">
        <f t="shared" si="52"/>
        <v>0</v>
      </c>
      <c r="G80" s="2"/>
      <c r="H80" s="6">
        <v>50</v>
      </c>
      <c r="I80" s="2"/>
      <c r="J80" s="7">
        <f t="shared" si="53"/>
        <v>5.4347826086956522E-4</v>
      </c>
      <c r="K80" s="2"/>
      <c r="L80" s="6">
        <f t="shared" si="54"/>
        <v>-50</v>
      </c>
      <c r="M80" s="2"/>
      <c r="N80" s="7">
        <f t="shared" si="55"/>
        <v>-1</v>
      </c>
      <c r="O80" s="11"/>
      <c r="P80" s="6">
        <v>-45</v>
      </c>
      <c r="Q80" s="2"/>
      <c r="R80" s="7">
        <f t="shared" si="56"/>
        <v>-7.6022343405967221E-5</v>
      </c>
      <c r="S80" s="2"/>
      <c r="T80" s="6">
        <v>450</v>
      </c>
      <c r="U80" s="2"/>
      <c r="V80" s="7">
        <f t="shared" si="57"/>
        <v>6.3685253325785447E-4</v>
      </c>
      <c r="W80" s="2"/>
      <c r="X80" s="6">
        <f t="shared" si="58"/>
        <v>-495</v>
      </c>
      <c r="Y80" s="2"/>
      <c r="Z80" s="7">
        <f t="shared" si="59"/>
        <v>-1.1000000000000001</v>
      </c>
    </row>
    <row r="81" spans="1:26" s="27" customFormat="1" outlineLevel="1" collapsed="1" x14ac:dyDescent="0.25">
      <c r="A81" s="26"/>
      <c r="B81" s="13" t="str">
        <f>CONCATENATE("     ","Training                                          ")</f>
        <v xml:space="preserve">     Training                                          </v>
      </c>
      <c r="C81" s="13"/>
      <c r="D81" s="1">
        <f>SUM(OSRRefD22_15x_0)</f>
        <v>0</v>
      </c>
      <c r="E81" s="1"/>
      <c r="F81" s="5">
        <f t="shared" si="52"/>
        <v>0</v>
      </c>
      <c r="G81" s="1"/>
      <c r="H81" s="1">
        <f>SUM(OSRRefH22_15x_0)</f>
        <v>0</v>
      </c>
      <c r="I81" s="1"/>
      <c r="J81" s="5">
        <f t="shared" si="53"/>
        <v>0</v>
      </c>
      <c r="K81" s="1"/>
      <c r="L81" s="1">
        <f t="shared" si="54"/>
        <v>0</v>
      </c>
      <c r="M81" s="1"/>
      <c r="N81" s="5">
        <f t="shared" si="55"/>
        <v>0</v>
      </c>
      <c r="O81" s="13"/>
      <c r="P81" s="1">
        <f>SUM(OSRRefP22_15x_0)</f>
        <v>96</v>
      </c>
      <c r="Q81" s="1"/>
      <c r="R81" s="5">
        <f t="shared" si="56"/>
        <v>1.6218099926606342E-4</v>
      </c>
      <c r="S81" s="1"/>
      <c r="T81" s="1">
        <f>SUM(OSRRefT22_15x_0)</f>
        <v>160</v>
      </c>
      <c r="U81" s="1"/>
      <c r="V81" s="5">
        <f t="shared" si="57"/>
        <v>2.2643645626945939E-4</v>
      </c>
      <c r="W81" s="1"/>
      <c r="X81" s="1">
        <f t="shared" si="58"/>
        <v>-64</v>
      </c>
      <c r="Y81" s="1"/>
      <c r="Z81" s="5">
        <f t="shared" si="59"/>
        <v>-0.4</v>
      </c>
    </row>
    <row r="82" spans="1:26" s="24" customFormat="1" hidden="1" outlineLevel="2" x14ac:dyDescent="0.25">
      <c r="A82" s="25"/>
      <c r="B82" s="11" t="str">
        <f>CONCATENATE("          ", "6376", " - ", "TRAINING")</f>
        <v xml:space="preserve">          6376 - TRAINING</v>
      </c>
      <c r="C82" s="11"/>
      <c r="D82" s="6"/>
      <c r="E82" s="2"/>
      <c r="F82" s="7">
        <f t="shared" si="52"/>
        <v>0</v>
      </c>
      <c r="G82" s="2"/>
      <c r="H82" s="6"/>
      <c r="I82" s="2"/>
      <c r="J82" s="7">
        <f t="shared" si="53"/>
        <v>0</v>
      </c>
      <c r="K82" s="2"/>
      <c r="L82" s="6">
        <f t="shared" si="54"/>
        <v>0</v>
      </c>
      <c r="M82" s="2"/>
      <c r="N82" s="7">
        <f t="shared" si="55"/>
        <v>0</v>
      </c>
      <c r="O82" s="11"/>
      <c r="P82" s="6">
        <v>96</v>
      </c>
      <c r="Q82" s="2"/>
      <c r="R82" s="7">
        <f t="shared" si="56"/>
        <v>1.6218099926606342E-4</v>
      </c>
      <c r="S82" s="2"/>
      <c r="T82" s="6">
        <v>160</v>
      </c>
      <c r="U82" s="2"/>
      <c r="V82" s="7">
        <f t="shared" si="57"/>
        <v>2.2643645626945939E-4</v>
      </c>
      <c r="W82" s="2"/>
      <c r="X82" s="6">
        <f t="shared" si="58"/>
        <v>-64</v>
      </c>
      <c r="Y82" s="2"/>
      <c r="Z82" s="7">
        <f t="shared" si="59"/>
        <v>-0.4</v>
      </c>
    </row>
    <row r="83" spans="1:26" s="56" customFormat="1" x14ac:dyDescent="0.25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9" t="s">
        <v>0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8" t="s">
        <v>3</v>
      </c>
      <c r="C86" s="28"/>
      <c r="D86" s="20">
        <f>+D23-D25+D84</f>
        <v>-11495.850000000013</v>
      </c>
      <c r="E86" s="14"/>
      <c r="F86" s="22">
        <f>IF(D$12=0,0,D86/D$12)</f>
        <v>-0.29054708789467409</v>
      </c>
      <c r="G86" s="14"/>
      <c r="H86" s="20">
        <f>+H23-H25+H84</f>
        <v>22099.844780799998</v>
      </c>
      <c r="I86" s="14"/>
      <c r="J86" s="22">
        <f>IF(H$12=0,0,H86/H$12)</f>
        <v>0.2402157041391304</v>
      </c>
      <c r="K86" s="16"/>
      <c r="L86" s="20">
        <f>+D86-H86</f>
        <v>-33595.694780800011</v>
      </c>
      <c r="M86" s="16"/>
      <c r="N86" s="22">
        <f>IF(H86=0,0,L86/H86)</f>
        <v>-1.5201778616104775</v>
      </c>
      <c r="O86" s="29"/>
      <c r="P86" s="20">
        <f>+P23-P25+P84</f>
        <v>71579.22000000003</v>
      </c>
      <c r="Q86" s="14"/>
      <c r="R86" s="22">
        <f>IF(P$12=0,0,P86/P$12)</f>
        <v>0.12092488985713955</v>
      </c>
      <c r="S86" s="14"/>
      <c r="T86" s="20">
        <f>+T23-T25+T84</f>
        <v>159716.31467580004</v>
      </c>
      <c r="U86" s="14"/>
      <c r="V86" s="22">
        <f>IF(T$12=0,0,T86/T$12)</f>
        <v>0.22603497689753754</v>
      </c>
      <c r="W86" s="16"/>
      <c r="X86" s="20">
        <f>+P86-T86</f>
        <v>-88137.094675800006</v>
      </c>
      <c r="Y86" s="16"/>
      <c r="Z86" s="22">
        <f>IF(T86=0,0,X86/T86)</f>
        <v>-0.55183526400984761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14</v>
      </c>
      <c r="C88" s="10"/>
      <c r="D88" s="4">
        <v>7129.95</v>
      </c>
      <c r="E88" s="4"/>
      <c r="F88" s="12">
        <f>IF(D$12=0,0,D88/D$12)</f>
        <v>0.18020296101068031</v>
      </c>
      <c r="G88" s="4"/>
      <c r="H88" s="4">
        <v>8689</v>
      </c>
      <c r="I88" s="4"/>
      <c r="J88" s="12">
        <f>IF(H$12=0,0,H88/H$12)</f>
        <v>9.4445652173913042E-2</v>
      </c>
      <c r="K88" s="4"/>
      <c r="L88" s="4">
        <f>+D88-H88</f>
        <v>-1559.0500000000002</v>
      </c>
      <c r="M88" s="4"/>
      <c r="N88" s="12">
        <f>IF(H88=0,0,L88/H88)</f>
        <v>-0.17942801242950859</v>
      </c>
      <c r="O88" s="10"/>
      <c r="P88" s="4">
        <v>63426.87</v>
      </c>
      <c r="Q88" s="4"/>
      <c r="R88" s="12">
        <f>IF(P$12=0,0,P88/P$12)</f>
        <v>0.10715242871790312</v>
      </c>
      <c r="S88" s="4"/>
      <c r="T88" s="4">
        <v>82595</v>
      </c>
      <c r="U88" s="4"/>
      <c r="V88" s="12">
        <f>IF(T$12=0,0,T88/T$12)</f>
        <v>0.11689074440984999</v>
      </c>
      <c r="W88" s="4"/>
      <c r="X88" s="4">
        <f>+P88-T88</f>
        <v>-19168.129999999997</v>
      </c>
      <c r="Y88" s="4"/>
      <c r="Z88" s="12">
        <f>IF(T88=0,0,X88/T88)</f>
        <v>-0.2320737332768327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4</v>
      </c>
      <c r="C90" s="28"/>
      <c r="D90" s="31">
        <f>+D86-D88</f>
        <v>-18625.800000000014</v>
      </c>
      <c r="E90" s="14"/>
      <c r="F90" s="34">
        <f>IF(D$12=0,0,D90/D$12)</f>
        <v>-0.47075004890535443</v>
      </c>
      <c r="G90" s="14"/>
      <c r="H90" s="31">
        <f>+H86-H88</f>
        <v>13410.844780799998</v>
      </c>
      <c r="I90" s="14"/>
      <c r="J90" s="34">
        <f>IF(H$12=0,0,H90/H$12)</f>
        <v>0.14577005196521736</v>
      </c>
      <c r="K90" s="16"/>
      <c r="L90" s="31">
        <f>D90-H90</f>
        <v>-32036.644780800012</v>
      </c>
      <c r="M90" s="16"/>
      <c r="N90" s="34">
        <f>IF(H90=0,0,L90/H90)</f>
        <v>-2.3888610527105754</v>
      </c>
      <c r="O90" s="29"/>
      <c r="P90" s="31">
        <f>+P86-P88</f>
        <v>8152.3500000000276</v>
      </c>
      <c r="Q90" s="14"/>
      <c r="R90" s="34">
        <f>IF(P$12=0,0,P90/P$12)</f>
        <v>1.3772461139236422E-2</v>
      </c>
      <c r="S90" s="14"/>
      <c r="T90" s="31">
        <f>+T86-T88</f>
        <v>77121.314675800037</v>
      </c>
      <c r="U90" s="14"/>
      <c r="V90" s="34">
        <f>IF(T$12=0,0,T90/T$12)</f>
        <v>0.10914423248768756</v>
      </c>
      <c r="W90" s="16"/>
      <c r="X90" s="31">
        <f>P90-T90</f>
        <v>-68968.964675800002</v>
      </c>
      <c r="Y90" s="16"/>
      <c r="Z90" s="34">
        <f>IF(T90=0,0,X90/T90)</f>
        <v>-0.89429186944918393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8" t="s">
        <v>5</v>
      </c>
      <c r="C93" s="28"/>
      <c r="D93" s="32">
        <f>SUM(D90:D92)</f>
        <v>-18625.800000000014</v>
      </c>
      <c r="E93" s="14"/>
      <c r="F93" s="35">
        <f>IF(D$12=0,0,D93/D$12)</f>
        <v>-0.47075004890535443</v>
      </c>
      <c r="G93" s="14"/>
      <c r="H93" s="32">
        <f>SUM(H90:H92)</f>
        <v>13410.844780799998</v>
      </c>
      <c r="I93" s="14"/>
      <c r="J93" s="35">
        <f>IF(H$12=0,0,H93/H$12)</f>
        <v>0.14577005196521736</v>
      </c>
      <c r="K93" s="16"/>
      <c r="L93" s="32">
        <f>+D93-H93</f>
        <v>-32036.644780800012</v>
      </c>
      <c r="M93" s="16"/>
      <c r="N93" s="35">
        <f>IF(H93=0,0,L93/H93)</f>
        <v>-2.3888610527105754</v>
      </c>
      <c r="O93" s="29"/>
      <c r="P93" s="32">
        <f>SUM(P90:P92)</f>
        <v>8152.3500000000276</v>
      </c>
      <c r="Q93" s="14"/>
      <c r="R93" s="35">
        <f>IF(P$12=0,0,P93/P$12)</f>
        <v>1.3772461139236422E-2</v>
      </c>
      <c r="S93" s="14"/>
      <c r="T93" s="32">
        <f>SUM(T90:T92)</f>
        <v>77121.314675800037</v>
      </c>
      <c r="U93" s="14"/>
      <c r="V93" s="35">
        <f>IF(T$12=0,0,T93/T$12)</f>
        <v>0.10914423248768756</v>
      </c>
      <c r="W93" s="16"/>
      <c r="X93" s="32">
        <f>+P93-T93</f>
        <v>-68968.964675800002</v>
      </c>
      <c r="Y93" s="16"/>
      <c r="Z93" s="35">
        <f>IF(T93=0,0,X93/T93)</f>
        <v>-0.89429186944918393</v>
      </c>
    </row>
    <row r="94" spans="1:26" ht="15.75" thickTop="1" x14ac:dyDescent="0.25">
      <c r="A94" s="9"/>
      <c r="C94" s="9"/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A95" s="9"/>
      <c r="B95" s="57">
        <v>43934.466786886573</v>
      </c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A96" s="9"/>
      <c r="B96" s="62" t="s">
        <v>314</v>
      </c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1:24" x14ac:dyDescent="0.25">
      <c r="A97" s="9"/>
      <c r="B97" s="60"/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","415", " - ", "Outpost")</f>
        <v>Department 415 - Outpost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43920.36</v>
      </c>
      <c r="E12" s="4"/>
      <c r="F12" s="12"/>
      <c r="G12" s="4"/>
      <c r="H12" s="4">
        <f>SUM(OSRRefH13x_0)</f>
        <v>108780</v>
      </c>
      <c r="I12" s="4"/>
      <c r="J12" s="12"/>
      <c r="K12" s="4"/>
      <c r="L12" s="4">
        <f t="shared" ref="L12:L15" si="0">+D12-H12</f>
        <v>-64859.64</v>
      </c>
      <c r="M12" s="4"/>
      <c r="N12" s="12">
        <f t="shared" ref="N12:N15" si="1">IF(H12=0,0,L12/H12)</f>
        <v>-0.59624600110314396</v>
      </c>
      <c r="O12" s="10"/>
      <c r="P12" s="4">
        <f>SUM(OSRRefP13x_0)</f>
        <v>651784.93999999994</v>
      </c>
      <c r="Q12" s="4"/>
      <c r="R12" s="12"/>
      <c r="S12" s="4"/>
      <c r="T12" s="4">
        <f>SUM(OSRRefT13x_0)</f>
        <v>755230</v>
      </c>
      <c r="U12" s="4"/>
      <c r="V12" s="12"/>
      <c r="W12" s="4"/>
      <c r="X12" s="4">
        <f t="shared" ref="X12:X15" si="2">+P12-T12</f>
        <v>-103445.06000000006</v>
      </c>
      <c r="Y12" s="4"/>
      <c r="Z12" s="12">
        <f t="shared" ref="Z12:Z15" si="3">IF(T12=0,0,X12/T12)</f>
        <v>-0.13697159805622136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--14709.97</f>
        <v>14709.97</v>
      </c>
      <c r="E13" s="2"/>
      <c r="F13" s="19"/>
      <c r="G13" s="2"/>
      <c r="H13" s="2"/>
      <c r="I13" s="2"/>
      <c r="J13" s="19"/>
      <c r="K13" s="2"/>
      <c r="L13" s="2">
        <f t="shared" si="0"/>
        <v>14709.97</v>
      </c>
      <c r="M13" s="2"/>
      <c r="N13" s="19">
        <f t="shared" si="1"/>
        <v>0</v>
      </c>
      <c r="O13" s="11"/>
      <c r="P13" s="2">
        <f>--203771.51</f>
        <v>203771.51</v>
      </c>
      <c r="Q13" s="2"/>
      <c r="R13" s="19"/>
      <c r="S13" s="2"/>
      <c r="T13" s="2"/>
      <c r="U13" s="2"/>
      <c r="V13" s="19"/>
      <c r="W13" s="2"/>
      <c r="X13" s="2">
        <f t="shared" si="2"/>
        <v>203771.51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108780</v>
      </c>
      <c r="I14" s="2"/>
      <c r="J14" s="19"/>
      <c r="K14" s="2"/>
      <c r="L14" s="2">
        <f t="shared" si="0"/>
        <v>-108780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755230</v>
      </c>
      <c r="U14" s="2"/>
      <c r="V14" s="19"/>
      <c r="W14" s="2"/>
      <c r="X14" s="2">
        <f t="shared" si="2"/>
        <v>-755230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--29210.39</f>
        <v>29210.39</v>
      </c>
      <c r="E15" s="2"/>
      <c r="F15" s="19"/>
      <c r="G15" s="2"/>
      <c r="H15" s="2"/>
      <c r="I15" s="2"/>
      <c r="J15" s="19"/>
      <c r="K15" s="2"/>
      <c r="L15" s="2">
        <f t="shared" si="0"/>
        <v>29210.39</v>
      </c>
      <c r="M15" s="2"/>
      <c r="N15" s="19">
        <f t="shared" si="1"/>
        <v>0</v>
      </c>
      <c r="O15" s="11"/>
      <c r="P15" s="2">
        <f>--448013.43</f>
        <v>448013.43</v>
      </c>
      <c r="Q15" s="2"/>
      <c r="R15" s="19"/>
      <c r="S15" s="2"/>
      <c r="T15" s="2"/>
      <c r="U15" s="2"/>
      <c r="V15" s="19"/>
      <c r="W15" s="2"/>
      <c r="X15" s="2">
        <f t="shared" si="2"/>
        <v>448013.43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14142.3</v>
      </c>
      <c r="E17" s="4"/>
      <c r="F17" s="12">
        <f t="shared" ref="F17:F20" si="4">IF(D$12=0,0,D17/D$12)</f>
        <v>0.32199872678639246</v>
      </c>
      <c r="G17" s="4"/>
      <c r="H17" s="4">
        <f>SUM(OSRRefH16x_0)</f>
        <v>35000</v>
      </c>
      <c r="I17" s="4"/>
      <c r="J17" s="12">
        <f t="shared" ref="J17:J20" si="5">IF(H$12=0,0,H17/H$12)</f>
        <v>0.32175032175032175</v>
      </c>
      <c r="K17" s="4"/>
      <c r="L17" s="4">
        <f t="shared" ref="L17:L20" si="6">+D17-H17</f>
        <v>-20857.7</v>
      </c>
      <c r="M17" s="4"/>
      <c r="N17" s="12">
        <f t="shared" ref="N17:N20" si="7">IF(H17=0,0,L17/H17)</f>
        <v>-0.59593428571428575</v>
      </c>
      <c r="O17" s="10"/>
      <c r="P17" s="4">
        <f>SUM(OSRRefP16x_0)</f>
        <v>208749.48</v>
      </c>
      <c r="Q17" s="4"/>
      <c r="R17" s="12">
        <f t="shared" ref="R17:R20" si="8">IF(P$12=0,0,P17/P$12)</f>
        <v>0.320273555261955</v>
      </c>
      <c r="S17" s="4"/>
      <c r="T17" s="4">
        <f>SUM(OSRRefT16x_0)</f>
        <v>254250</v>
      </c>
      <c r="U17" s="4"/>
      <c r="V17" s="12">
        <f t="shared" ref="V17:V20" si="9">IF(T$12=0,0,T17/T$12)</f>
        <v>0.33665241052394634</v>
      </c>
      <c r="W17" s="4"/>
      <c r="X17" s="4">
        <f t="shared" ref="X17:X20" si="10">+P17-T17</f>
        <v>-45500.51999999999</v>
      </c>
      <c r="Y17" s="4"/>
      <c r="Z17" s="12">
        <f t="shared" ref="Z17:Z20" si="11">IF(T17=0,0,X17/T17)</f>
        <v>-0.17895976401179936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35000</v>
      </c>
      <c r="I18" s="2"/>
      <c r="J18" s="19">
        <f t="shared" si="5"/>
        <v>0.32175032175032175</v>
      </c>
      <c r="K18" s="2"/>
      <c r="L18" s="2">
        <f t="shared" si="6"/>
        <v>-35000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254250</v>
      </c>
      <c r="U18" s="2"/>
      <c r="V18" s="19">
        <f t="shared" si="9"/>
        <v>0.33665241052394634</v>
      </c>
      <c r="W18" s="2"/>
      <c r="X18" s="2">
        <f t="shared" si="10"/>
        <v>-254250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16997.3</v>
      </c>
      <c r="E19" s="2"/>
      <c r="F19" s="19">
        <f t="shared" si="4"/>
        <v>0.38700274770061083</v>
      </c>
      <c r="G19" s="2"/>
      <c r="H19" s="2"/>
      <c r="I19" s="2"/>
      <c r="J19" s="19">
        <f t="shared" si="5"/>
        <v>0</v>
      </c>
      <c r="K19" s="2"/>
      <c r="L19" s="2">
        <f t="shared" si="6"/>
        <v>16997.3</v>
      </c>
      <c r="M19" s="2"/>
      <c r="N19" s="19">
        <f t="shared" si="7"/>
        <v>0</v>
      </c>
      <c r="O19" s="11"/>
      <c r="P19" s="2">
        <v>214227.48</v>
      </c>
      <c r="Q19" s="2"/>
      <c r="R19" s="19">
        <f t="shared" si="8"/>
        <v>0.32867816798590044</v>
      </c>
      <c r="S19" s="2"/>
      <c r="T19" s="2"/>
      <c r="U19" s="2"/>
      <c r="V19" s="19">
        <f t="shared" si="9"/>
        <v>0</v>
      </c>
      <c r="W19" s="2"/>
      <c r="X19" s="2">
        <f t="shared" si="10"/>
        <v>214227.48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-2855</v>
      </c>
      <c r="E20" s="2"/>
      <c r="F20" s="19">
        <f t="shared" si="4"/>
        <v>-6.5004020914218377E-2</v>
      </c>
      <c r="G20" s="2"/>
      <c r="H20" s="2"/>
      <c r="I20" s="2"/>
      <c r="J20" s="19">
        <f t="shared" si="5"/>
        <v>0</v>
      </c>
      <c r="K20" s="2"/>
      <c r="L20" s="2">
        <f t="shared" si="6"/>
        <v>-2855</v>
      </c>
      <c r="M20" s="2"/>
      <c r="N20" s="19">
        <f t="shared" si="7"/>
        <v>0</v>
      </c>
      <c r="O20" s="11"/>
      <c r="P20" s="2">
        <v>-5478</v>
      </c>
      <c r="Q20" s="2"/>
      <c r="R20" s="19">
        <f t="shared" si="8"/>
        <v>-8.404612723945418E-3</v>
      </c>
      <c r="S20" s="2"/>
      <c r="T20" s="2"/>
      <c r="U20" s="2"/>
      <c r="V20" s="19">
        <f t="shared" si="9"/>
        <v>0</v>
      </c>
      <c r="W20" s="2"/>
      <c r="X20" s="2">
        <f t="shared" si="10"/>
        <v>-5478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0">
        <f>D12-D17</f>
        <v>29778.06</v>
      </c>
      <c r="E22" s="14"/>
      <c r="F22" s="22">
        <f>IF(D$12=0,0,D22/D$12)</f>
        <v>0.67800127321360759</v>
      </c>
      <c r="G22" s="14"/>
      <c r="H22" s="20">
        <f>H12-H17</f>
        <v>73780</v>
      </c>
      <c r="I22" s="14"/>
      <c r="J22" s="22">
        <f>IF(H$12=0,0,H22/H$12)</f>
        <v>0.6782496782496783</v>
      </c>
      <c r="K22" s="16"/>
      <c r="L22" s="20">
        <f>+D22-H22</f>
        <v>-44001.94</v>
      </c>
      <c r="M22" s="16"/>
      <c r="N22" s="22">
        <f>IF(H22=0,0,L22/H22)</f>
        <v>-0.59639387367850372</v>
      </c>
      <c r="O22" s="29"/>
      <c r="P22" s="20">
        <f>P12-P17</f>
        <v>443035.45999999996</v>
      </c>
      <c r="Q22" s="14"/>
      <c r="R22" s="22">
        <f>IF(P$12=0,0,P22/P$12)</f>
        <v>0.679726444738045</v>
      </c>
      <c r="S22" s="14"/>
      <c r="T22" s="20">
        <f>T12-T17</f>
        <v>500980</v>
      </c>
      <c r="U22" s="14"/>
      <c r="V22" s="22">
        <f>IF(T$12=0,0,T22/T$12)</f>
        <v>0.66334758947605366</v>
      </c>
      <c r="W22" s="16"/>
      <c r="X22" s="20">
        <f>+P22-T22</f>
        <v>-57944.540000000037</v>
      </c>
      <c r="Y22" s="16"/>
      <c r="Z22" s="22">
        <f>IF(T22=0,0,X22/T22)</f>
        <v>-0.11566238173180574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1">
        <f>SUM(OSRRefD22x_0)</f>
        <v>75951.78</v>
      </c>
      <c r="E24" s="21"/>
      <c r="F24" s="30">
        <f t="shared" ref="F24:F34" si="12">IF(D$12=0,0,D24/D$12)</f>
        <v>1.7293068636049431</v>
      </c>
      <c r="G24" s="21"/>
      <c r="H24" s="21">
        <f>SUM(OSRRefH22x_0)</f>
        <v>65499.730375323088</v>
      </c>
      <c r="I24" s="21"/>
      <c r="J24" s="30">
        <f t="shared" ref="J24:J34" si="13">IF(H$12=0,0,H24/H$12)</f>
        <v>0.6021302663662722</v>
      </c>
      <c r="K24" s="4"/>
      <c r="L24" s="21">
        <f t="shared" ref="L24:L34" si="14">+D24-H24</f>
        <v>10452.049624676911</v>
      </c>
      <c r="M24" s="4"/>
      <c r="N24" s="30">
        <f t="shared" ref="N24:N34" si="15">IF(H24=0,0,L24/H24)</f>
        <v>0.15957393358392666</v>
      </c>
      <c r="O24" s="10"/>
      <c r="P24" s="21">
        <f>SUM(OSRRefP22x_0)</f>
        <v>641313.94000000018</v>
      </c>
      <c r="Q24" s="21"/>
      <c r="R24" s="30">
        <f t="shared" ref="R24:R34" si="16">IF(P$12=0,0,P24/P$12)</f>
        <v>0.98393488502511306</v>
      </c>
      <c r="S24" s="21"/>
      <c r="T24" s="21">
        <f>SUM(OSRRefT22x_0)</f>
        <v>592649.51414814615</v>
      </c>
      <c r="U24" s="21"/>
      <c r="V24" s="30">
        <f t="shared" ref="V24:V34" si="17">IF(T$12=0,0,T24/T$12)</f>
        <v>0.78472718794029128</v>
      </c>
      <c r="W24" s="4"/>
      <c r="X24" s="21">
        <f t="shared" ref="X24:X34" si="18">+P24-T24</f>
        <v>48664.42585185403</v>
      </c>
      <c r="Y24" s="4"/>
      <c r="Z24" s="30">
        <f t="shared" ref="Z24:Z34" si="19">IF(T24=0,0,X24/T24)</f>
        <v>8.2113331218709576E-2</v>
      </c>
    </row>
    <row r="25" spans="1:26" s="27" customFormat="1" outlineLevel="1" collapsed="1" x14ac:dyDescent="0.25">
      <c r="A25" s="26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9387.2799999999988</v>
      </c>
      <c r="E25" s="1"/>
      <c r="F25" s="5">
        <f t="shared" si="12"/>
        <v>0.2137341315052973</v>
      </c>
      <c r="G25" s="1"/>
      <c r="H25" s="1">
        <f>SUM(OSRRefH22_0x_0)</f>
        <v>7272.7302984000062</v>
      </c>
      <c r="I25" s="1"/>
      <c r="J25" s="5">
        <f t="shared" si="13"/>
        <v>6.6857237528957586E-2</v>
      </c>
      <c r="K25" s="1"/>
      <c r="L25" s="1">
        <f t="shared" si="14"/>
        <v>2114.5497015999927</v>
      </c>
      <c r="M25" s="1"/>
      <c r="N25" s="5">
        <f t="shared" si="15"/>
        <v>0.29075046300908364</v>
      </c>
      <c r="O25" s="13"/>
      <c r="P25" s="1">
        <f>SUM(OSRRefP22_0x_0)</f>
        <v>73934.570000000007</v>
      </c>
      <c r="Q25" s="1"/>
      <c r="R25" s="5">
        <f t="shared" si="16"/>
        <v>0.11343399557528901</v>
      </c>
      <c r="S25" s="1"/>
      <c r="T25" s="1">
        <f>SUM(OSRRefT22_0x_0)</f>
        <v>66593.211648146185</v>
      </c>
      <c r="U25" s="1"/>
      <c r="V25" s="5">
        <f t="shared" si="17"/>
        <v>8.8176067751739445E-2</v>
      </c>
      <c r="W25" s="1"/>
      <c r="X25" s="1">
        <f t="shared" si="18"/>
        <v>7341.3583518538217</v>
      </c>
      <c r="Y25" s="1"/>
      <c r="Z25" s="5">
        <f t="shared" si="19"/>
        <v>0.11024184252657515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6">
        <v>1536.21</v>
      </c>
      <c r="E26" s="2"/>
      <c r="F26" s="7">
        <f t="shared" si="12"/>
        <v>3.4977172318259683E-2</v>
      </c>
      <c r="G26" s="2"/>
      <c r="H26" s="6">
        <v>672.13025870769206</v>
      </c>
      <c r="I26" s="2"/>
      <c r="J26" s="7">
        <f t="shared" si="13"/>
        <v>6.1788036284950547E-3</v>
      </c>
      <c r="K26" s="2"/>
      <c r="L26" s="6">
        <f t="shared" si="14"/>
        <v>864.07974129230797</v>
      </c>
      <c r="M26" s="2"/>
      <c r="N26" s="7">
        <f t="shared" si="15"/>
        <v>1.2855837541872881</v>
      </c>
      <c r="O26" s="11"/>
      <c r="P26" s="6">
        <v>12595.57</v>
      </c>
      <c r="Q26" s="2"/>
      <c r="R26" s="7">
        <f t="shared" si="16"/>
        <v>1.9324733093710328E-2</v>
      </c>
      <c r="S26" s="2"/>
      <c r="T26" s="6">
        <v>7003.7585102999965</v>
      </c>
      <c r="U26" s="2"/>
      <c r="V26" s="7">
        <f t="shared" si="17"/>
        <v>9.2736762447201467E-3</v>
      </c>
      <c r="W26" s="2"/>
      <c r="X26" s="6">
        <f t="shared" si="18"/>
        <v>5591.8114897000032</v>
      </c>
      <c r="Y26" s="2"/>
      <c r="Z26" s="7">
        <f t="shared" si="19"/>
        <v>0.79840152704815137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6">
        <v>1238.6099999999999</v>
      </c>
      <c r="E27" s="2"/>
      <c r="F27" s="7">
        <f t="shared" si="12"/>
        <v>2.8201271574276709E-2</v>
      </c>
      <c r="G27" s="2"/>
      <c r="H27" s="6">
        <v>1095.8312055384602</v>
      </c>
      <c r="I27" s="2"/>
      <c r="J27" s="7">
        <f t="shared" si="13"/>
        <v>1.0073829799029786E-2</v>
      </c>
      <c r="K27" s="2"/>
      <c r="L27" s="6">
        <f t="shared" si="14"/>
        <v>142.77879446153975</v>
      </c>
      <c r="M27" s="2"/>
      <c r="N27" s="7">
        <f t="shared" si="15"/>
        <v>0.13029268900166274</v>
      </c>
      <c r="O27" s="11"/>
      <c r="P27" s="6">
        <v>7299.27</v>
      </c>
      <c r="Q27" s="2"/>
      <c r="R27" s="7">
        <f t="shared" si="16"/>
        <v>1.1198893303671608E-2</v>
      </c>
      <c r="S27" s="2"/>
      <c r="T27" s="6">
        <v>9565.3663280000001</v>
      </c>
      <c r="U27" s="2"/>
      <c r="V27" s="7">
        <f t="shared" si="17"/>
        <v>1.2665501010288257E-2</v>
      </c>
      <c r="W27" s="2"/>
      <c r="X27" s="6">
        <f t="shared" si="18"/>
        <v>-2266.0963279999996</v>
      </c>
      <c r="Y27" s="2"/>
      <c r="Z27" s="7">
        <f t="shared" si="19"/>
        <v>-0.23690638186711374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6">
        <v>3278.87</v>
      </c>
      <c r="E28" s="2"/>
      <c r="F28" s="7">
        <f t="shared" si="12"/>
        <v>7.4654898092820735E-2</v>
      </c>
      <c r="G28" s="2"/>
      <c r="H28" s="6">
        <v>3205.9230769230799</v>
      </c>
      <c r="I28" s="2"/>
      <c r="J28" s="7">
        <f t="shared" si="13"/>
        <v>2.9471622328765212E-2</v>
      </c>
      <c r="K28" s="2"/>
      <c r="L28" s="6">
        <f t="shared" si="14"/>
        <v>72.946923076920029</v>
      </c>
      <c r="M28" s="2"/>
      <c r="N28" s="7">
        <f t="shared" si="15"/>
        <v>2.2753797058328563E-2</v>
      </c>
      <c r="O28" s="11"/>
      <c r="P28" s="6">
        <v>28393.289999999997</v>
      </c>
      <c r="Q28" s="2"/>
      <c r="R28" s="7">
        <f t="shared" si="16"/>
        <v>4.3562359694901819E-2</v>
      </c>
      <c r="S28" s="2"/>
      <c r="T28" s="6">
        <v>28978.771153846181</v>
      </c>
      <c r="U28" s="2"/>
      <c r="V28" s="7">
        <f t="shared" si="17"/>
        <v>3.8370789234863791E-2</v>
      </c>
      <c r="W28" s="2"/>
      <c r="X28" s="6">
        <f t="shared" si="18"/>
        <v>-585.48115384618359</v>
      </c>
      <c r="Y28" s="2"/>
      <c r="Z28" s="7">
        <f t="shared" si="19"/>
        <v>-2.0203795072534541E-2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6">
        <v>89.75</v>
      </c>
      <c r="E29" s="2"/>
      <c r="F29" s="7">
        <f t="shared" si="12"/>
        <v>2.043471410525779E-3</v>
      </c>
      <c r="G29" s="2"/>
      <c r="H29" s="6">
        <v>73.431988000000004</v>
      </c>
      <c r="I29" s="2"/>
      <c r="J29" s="7">
        <f t="shared" si="13"/>
        <v>6.7505045045045044E-4</v>
      </c>
      <c r="K29" s="2"/>
      <c r="L29" s="6">
        <f t="shared" si="14"/>
        <v>16.318011999999996</v>
      </c>
      <c r="M29" s="2"/>
      <c r="N29" s="7">
        <f t="shared" si="15"/>
        <v>0.22221939572165736</v>
      </c>
      <c r="O29" s="11"/>
      <c r="P29" s="6">
        <v>594.47</v>
      </c>
      <c r="Q29" s="2"/>
      <c r="R29" s="7">
        <f t="shared" si="16"/>
        <v>9.1206464512665801E-4</v>
      </c>
      <c r="S29" s="2"/>
      <c r="T29" s="6">
        <v>640.97815600000001</v>
      </c>
      <c r="U29" s="2"/>
      <c r="V29" s="7">
        <f t="shared" si="17"/>
        <v>8.4871913986467697E-4</v>
      </c>
      <c r="W29" s="2"/>
      <c r="X29" s="6">
        <f t="shared" si="18"/>
        <v>-46.508155999999985</v>
      </c>
      <c r="Y29" s="2"/>
      <c r="Z29" s="7">
        <f t="shared" si="19"/>
        <v>-7.2558098220120909E-2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6">
        <v>467.22</v>
      </c>
      <c r="E30" s="2"/>
      <c r="F30" s="7">
        <f t="shared" si="12"/>
        <v>1.0637890946249074E-2</v>
      </c>
      <c r="G30" s="2"/>
      <c r="H30" s="6">
        <v>463.34153846153902</v>
      </c>
      <c r="I30" s="2"/>
      <c r="J30" s="7">
        <f t="shared" si="13"/>
        <v>4.259436830865407E-3</v>
      </c>
      <c r="K30" s="2"/>
      <c r="L30" s="6">
        <f t="shared" si="14"/>
        <v>3.8784615384610106</v>
      </c>
      <c r="M30" s="2"/>
      <c r="N30" s="7">
        <f t="shared" si="15"/>
        <v>8.3706320640685519E-3</v>
      </c>
      <c r="O30" s="11"/>
      <c r="P30" s="6">
        <v>5625.04</v>
      </c>
      <c r="Q30" s="2"/>
      <c r="R30" s="7">
        <f t="shared" si="16"/>
        <v>8.6302086083793229E-3</v>
      </c>
      <c r="S30" s="2"/>
      <c r="T30" s="6">
        <v>4517.5800000000036</v>
      </c>
      <c r="U30" s="2"/>
      <c r="V30" s="7">
        <f t="shared" si="17"/>
        <v>5.9817274207857258E-3</v>
      </c>
      <c r="W30" s="2"/>
      <c r="X30" s="6">
        <f t="shared" si="18"/>
        <v>1107.4599999999964</v>
      </c>
      <c r="Y30" s="2"/>
      <c r="Z30" s="7">
        <f t="shared" si="19"/>
        <v>0.24514452428069797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6">
        <v>1066.04</v>
      </c>
      <c r="E32" s="2"/>
      <c r="F32" s="7">
        <f t="shared" si="12"/>
        <v>2.4272114345146534E-2</v>
      </c>
      <c r="G32" s="2"/>
      <c r="H32" s="6">
        <v>439.12861538461499</v>
      </c>
      <c r="I32" s="2"/>
      <c r="J32" s="7">
        <f t="shared" si="13"/>
        <v>4.0368506654220905E-3</v>
      </c>
      <c r="K32" s="2"/>
      <c r="L32" s="6">
        <f t="shared" si="14"/>
        <v>626.91138461538503</v>
      </c>
      <c r="M32" s="2"/>
      <c r="N32" s="7">
        <f t="shared" si="15"/>
        <v>1.4276258996838516</v>
      </c>
      <c r="O32" s="11"/>
      <c r="P32" s="6">
        <v>8283.65</v>
      </c>
      <c r="Q32" s="2"/>
      <c r="R32" s="7">
        <f t="shared" si="16"/>
        <v>1.2709176741641192E-2</v>
      </c>
      <c r="S32" s="2"/>
      <c r="T32" s="6">
        <v>4136.3254999999972</v>
      </c>
      <c r="U32" s="2"/>
      <c r="V32" s="7">
        <f t="shared" si="17"/>
        <v>5.4769083590429368E-3</v>
      </c>
      <c r="W32" s="2"/>
      <c r="X32" s="6">
        <f t="shared" si="18"/>
        <v>4147.3245000000024</v>
      </c>
      <c r="Y32" s="2"/>
      <c r="Z32" s="7">
        <f t="shared" si="19"/>
        <v>1.0026591234176336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6">
        <v>1469.19</v>
      </c>
      <c r="E33" s="2"/>
      <c r="F33" s="7">
        <f t="shared" si="12"/>
        <v>3.3451228541842556E-2</v>
      </c>
      <c r="G33" s="2"/>
      <c r="H33" s="6">
        <v>1022.94361538462</v>
      </c>
      <c r="I33" s="2"/>
      <c r="J33" s="7">
        <f t="shared" si="13"/>
        <v>9.4037839252125392E-3</v>
      </c>
      <c r="K33" s="2"/>
      <c r="L33" s="6">
        <f t="shared" si="14"/>
        <v>446.24638461538007</v>
      </c>
      <c r="M33" s="2"/>
      <c r="N33" s="7">
        <f t="shared" si="15"/>
        <v>0.4362375187684166</v>
      </c>
      <c r="O33" s="11"/>
      <c r="P33" s="6">
        <v>8237.01</v>
      </c>
      <c r="Q33" s="2"/>
      <c r="R33" s="7">
        <f t="shared" si="16"/>
        <v>1.2637619396361016E-2</v>
      </c>
      <c r="S33" s="2"/>
      <c r="T33" s="6">
        <v>9050.4320000000134</v>
      </c>
      <c r="U33" s="2"/>
      <c r="V33" s="7">
        <f t="shared" si="17"/>
        <v>1.1983676495901929E-2</v>
      </c>
      <c r="W33" s="2"/>
      <c r="X33" s="6">
        <f t="shared" si="18"/>
        <v>-813.42200000001321</v>
      </c>
      <c r="Y33" s="2"/>
      <c r="Z33" s="7">
        <f t="shared" si="19"/>
        <v>-8.9876593736079341E-2</v>
      </c>
    </row>
    <row r="34" spans="1:26" s="24" customFormat="1" hidden="1" outlineLevel="2" x14ac:dyDescent="0.25">
      <c r="A34" s="25"/>
      <c r="B34" s="11" t="str">
        <f>CONCATENATE("          ", "6156", " - ", "EMPLOYEE MEALS")</f>
        <v xml:space="preserve">          6156 - EMPLOYEE MEALS</v>
      </c>
      <c r="C34" s="11"/>
      <c r="D34" s="6">
        <v>241.39</v>
      </c>
      <c r="E34" s="2"/>
      <c r="F34" s="7">
        <f t="shared" si="12"/>
        <v>5.4960842761762425E-3</v>
      </c>
      <c r="G34" s="2"/>
      <c r="H34" s="6">
        <v>300</v>
      </c>
      <c r="I34" s="2"/>
      <c r="J34" s="7">
        <f t="shared" si="13"/>
        <v>2.7578599007170436E-3</v>
      </c>
      <c r="K34" s="2"/>
      <c r="L34" s="6">
        <f t="shared" si="14"/>
        <v>-58.610000000000014</v>
      </c>
      <c r="M34" s="2"/>
      <c r="N34" s="7">
        <f t="shared" si="15"/>
        <v>-0.19536666666666672</v>
      </c>
      <c r="O34" s="11"/>
      <c r="P34" s="6">
        <v>2906.27</v>
      </c>
      <c r="Q34" s="2"/>
      <c r="R34" s="7">
        <f t="shared" si="16"/>
        <v>4.4589400914970519E-3</v>
      </c>
      <c r="S34" s="2"/>
      <c r="T34" s="6">
        <v>2700</v>
      </c>
      <c r="U34" s="2"/>
      <c r="V34" s="7">
        <f t="shared" si="17"/>
        <v>3.5750698462719967E-3</v>
      </c>
      <c r="W34" s="2"/>
      <c r="X34" s="6">
        <f t="shared" si="18"/>
        <v>206.26999999999998</v>
      </c>
      <c r="Y34" s="2"/>
      <c r="Z34" s="7">
        <f t="shared" si="19"/>
        <v>7.6396296296296295E-2</v>
      </c>
    </row>
    <row r="35" spans="1:26" s="27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31070.809999999998</v>
      </c>
      <c r="E35" s="1"/>
      <c r="F35" s="5">
        <f t="shared" ref="F35:F45" si="20">IF(D$12=0,0,D35/D$12)</f>
        <v>0.70743523049446766</v>
      </c>
      <c r="G35" s="1"/>
      <c r="H35" s="1">
        <f>SUM(OSRRefH22_1x_0)</f>
        <v>26781.000076923083</v>
      </c>
      <c r="I35" s="1"/>
      <c r="J35" s="5">
        <f t="shared" ref="J35:J45" si="21">IF(H$12=0,0,H35/H$12)</f>
        <v>0.2461941540441541</v>
      </c>
      <c r="K35" s="1"/>
      <c r="L35" s="1">
        <f t="shared" ref="L35:L45" si="22">+D35-H35</f>
        <v>4289.8099230769149</v>
      </c>
      <c r="M35" s="1"/>
      <c r="N35" s="5">
        <f t="shared" ref="N35:N45" si="23">IF(H35=0,0,L35/H35)</f>
        <v>0.16018109520762075</v>
      </c>
      <c r="O35" s="13"/>
      <c r="P35" s="1">
        <f>SUM(OSRRefP22_1x_0)</f>
        <v>223190.36</v>
      </c>
      <c r="Q35" s="1"/>
      <c r="R35" s="5">
        <f t="shared" ref="R35:R45" si="24">IF(P$12=0,0,P35/P$12)</f>
        <v>0.3424294522668781</v>
      </c>
      <c r="S35" s="1"/>
      <c r="T35" s="1">
        <f>SUM(OSRRefT22_1x_0)</f>
        <v>233343.30250000002</v>
      </c>
      <c r="U35" s="1"/>
      <c r="V35" s="5">
        <f t="shared" ref="V35:V45" si="25">IF(T$12=0,0,T35/T$12)</f>
        <v>0.30896985355454631</v>
      </c>
      <c r="W35" s="1"/>
      <c r="X35" s="1">
        <f t="shared" ref="X35:X45" si="26">+P35-T35</f>
        <v>-10152.942500000034</v>
      </c>
      <c r="Y35" s="1"/>
      <c r="Z35" s="5">
        <f t="shared" ref="Z35:Z45" si="27">IF(T35=0,0,X35/T35)</f>
        <v>-4.3510751717418729E-2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6">
        <v>4561.96</v>
      </c>
      <c r="E37" s="2"/>
      <c r="F37" s="7">
        <f t="shared" si="20"/>
        <v>0.10386891182130566</v>
      </c>
      <c r="G37" s="2"/>
      <c r="H37" s="6">
        <v>4848.9230769230799</v>
      </c>
      <c r="I37" s="2"/>
      <c r="J37" s="7">
        <f t="shared" si="21"/>
        <v>4.457550171835889E-2</v>
      </c>
      <c r="K37" s="2"/>
      <c r="L37" s="6">
        <f t="shared" si="22"/>
        <v>-286.96307692307983</v>
      </c>
      <c r="M37" s="2"/>
      <c r="N37" s="7">
        <f t="shared" si="23"/>
        <v>-5.9180785582842114E-2</v>
      </c>
      <c r="O37" s="11"/>
      <c r="P37" s="6">
        <v>45726.899999999994</v>
      </c>
      <c r="Q37" s="2"/>
      <c r="R37" s="7">
        <f t="shared" si="24"/>
        <v>7.0156423068013812E-2</v>
      </c>
      <c r="S37" s="2"/>
      <c r="T37" s="6">
        <v>47277.000000000036</v>
      </c>
      <c r="U37" s="2"/>
      <c r="V37" s="7">
        <f t="shared" si="25"/>
        <v>6.2599473008222703E-2</v>
      </c>
      <c r="W37" s="2"/>
      <c r="X37" s="6">
        <f t="shared" si="26"/>
        <v>-1550.1000000000422</v>
      </c>
      <c r="Y37" s="2"/>
      <c r="Z37" s="7">
        <f t="shared" si="27"/>
        <v>-3.2787613427248792E-2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6">
        <v>3233.79</v>
      </c>
      <c r="E39" s="2"/>
      <c r="F39" s="7">
        <f t="shared" si="20"/>
        <v>7.3628494848402878E-2</v>
      </c>
      <c r="G39" s="2"/>
      <c r="H39" s="6">
        <v>3055.3919999999998</v>
      </c>
      <c r="I39" s="2"/>
      <c r="J39" s="7">
        <f t="shared" si="21"/>
        <v>2.808781025923883E-2</v>
      </c>
      <c r="K39" s="2"/>
      <c r="L39" s="6">
        <f t="shared" si="22"/>
        <v>178.39800000000014</v>
      </c>
      <c r="M39" s="2"/>
      <c r="N39" s="7">
        <f t="shared" si="23"/>
        <v>5.8387925346404045E-2</v>
      </c>
      <c r="O39" s="11"/>
      <c r="P39" s="6">
        <v>29262.05</v>
      </c>
      <c r="Q39" s="2"/>
      <c r="R39" s="7">
        <f t="shared" si="24"/>
        <v>4.4895253333100946E-2</v>
      </c>
      <c r="S39" s="2"/>
      <c r="T39" s="6">
        <v>27176.859</v>
      </c>
      <c r="U39" s="2"/>
      <c r="V39" s="7">
        <f t="shared" si="25"/>
        <v>3.5984877454550271E-2</v>
      </c>
      <c r="W39" s="2"/>
      <c r="X39" s="6">
        <f t="shared" si="26"/>
        <v>2085.1909999999989</v>
      </c>
      <c r="Y39" s="2"/>
      <c r="Z39" s="7">
        <f t="shared" si="27"/>
        <v>7.6726710765213854E-2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6">
        <v>11599.64</v>
      </c>
      <c r="E40" s="2"/>
      <c r="F40" s="7">
        <f t="shared" si="20"/>
        <v>0.26410621406564061</v>
      </c>
      <c r="G40" s="2"/>
      <c r="H40" s="6">
        <v>9731.1369999999988</v>
      </c>
      <c r="I40" s="2"/>
      <c r="J40" s="7">
        <f t="shared" si="21"/>
        <v>8.9457041735613155E-2</v>
      </c>
      <c r="K40" s="2"/>
      <c r="L40" s="6">
        <f t="shared" si="22"/>
        <v>1868.5030000000006</v>
      </c>
      <c r="M40" s="2"/>
      <c r="N40" s="7">
        <f t="shared" si="23"/>
        <v>0.19201281412439275</v>
      </c>
      <c r="O40" s="11"/>
      <c r="P40" s="6">
        <v>71622.42</v>
      </c>
      <c r="Q40" s="2"/>
      <c r="R40" s="7">
        <f t="shared" si="24"/>
        <v>0.10988658314197933</v>
      </c>
      <c r="S40" s="2"/>
      <c r="T40" s="6">
        <v>85808.430999999997</v>
      </c>
      <c r="U40" s="2"/>
      <c r="V40" s="7">
        <f t="shared" si="25"/>
        <v>0.11361893860148564</v>
      </c>
      <c r="W40" s="2"/>
      <c r="X40" s="6">
        <f t="shared" si="26"/>
        <v>-14186.010999999999</v>
      </c>
      <c r="Y40" s="2"/>
      <c r="Z40" s="7">
        <f t="shared" si="27"/>
        <v>-0.16532187845271287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>
        <v>200.5</v>
      </c>
      <c r="Q41" s="2"/>
      <c r="R41" s="7">
        <f t="shared" si="24"/>
        <v>3.0761680378807161E-4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200.5</v>
      </c>
      <c r="Y41" s="2"/>
      <c r="Z41" s="7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6">
        <v>10535.32</v>
      </c>
      <c r="E42" s="2"/>
      <c r="F42" s="7">
        <f t="shared" si="20"/>
        <v>0.23987326151242838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10535.32</v>
      </c>
      <c r="M42" s="2"/>
      <c r="N42" s="7">
        <f t="shared" si="23"/>
        <v>0</v>
      </c>
      <c r="O42" s="11"/>
      <c r="P42" s="6">
        <v>74675.490000000005</v>
      </c>
      <c r="Q42" s="2"/>
      <c r="R42" s="7">
        <f t="shared" si="24"/>
        <v>0.11457075089829478</v>
      </c>
      <c r="S42" s="2"/>
      <c r="T42" s="6">
        <v>8526.2999999999993</v>
      </c>
      <c r="U42" s="2"/>
      <c r="V42" s="7">
        <f t="shared" si="25"/>
        <v>1.1289673344544044E-2</v>
      </c>
      <c r="W42" s="2"/>
      <c r="X42" s="6">
        <f t="shared" si="26"/>
        <v>66149.19</v>
      </c>
      <c r="Y42" s="2"/>
      <c r="Z42" s="7">
        <f t="shared" si="27"/>
        <v>7.7582527004679651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6">
        <v>1140.0999999999999</v>
      </c>
      <c r="E43" s="2"/>
      <c r="F43" s="7">
        <f t="shared" si="20"/>
        <v>2.5958348246690143E-2</v>
      </c>
      <c r="G43" s="2"/>
      <c r="H43" s="6">
        <v>9145.5480000000007</v>
      </c>
      <c r="I43" s="2"/>
      <c r="J43" s="7">
        <f t="shared" si="21"/>
        <v>8.4073800330943194E-2</v>
      </c>
      <c r="K43" s="2"/>
      <c r="L43" s="6">
        <f t="shared" si="22"/>
        <v>-8005.4480000000003</v>
      </c>
      <c r="M43" s="2"/>
      <c r="N43" s="7">
        <f t="shared" si="23"/>
        <v>-0.87533825201070503</v>
      </c>
      <c r="O43" s="11"/>
      <c r="P43" s="6">
        <v>1703</v>
      </c>
      <c r="Q43" s="2"/>
      <c r="R43" s="7">
        <f t="shared" si="24"/>
        <v>2.6128250217011765E-3</v>
      </c>
      <c r="S43" s="2"/>
      <c r="T43" s="6">
        <v>64554.712500000001</v>
      </c>
      <c r="U43" s="2"/>
      <c r="V43" s="7">
        <f t="shared" si="25"/>
        <v>8.547689114574368E-2</v>
      </c>
      <c r="W43" s="2"/>
      <c r="X43" s="6">
        <f t="shared" si="26"/>
        <v>-62851.712500000001</v>
      </c>
      <c r="Y43" s="2"/>
      <c r="Z43" s="7">
        <f t="shared" si="27"/>
        <v>-0.97361927682661431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7" customFormat="1" outlineLevel="1" collapsed="1" x14ac:dyDescent="0.25">
      <c r="A46" s="26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817.36</v>
      </c>
      <c r="E46" s="1"/>
      <c r="F46" s="5">
        <f t="shared" ref="F46:F55" si="28">IF(D$12=0,0,D46/D$12)</f>
        <v>1.8610047822923127E-2</v>
      </c>
      <c r="G46" s="1"/>
      <c r="H46" s="1">
        <f>SUM(OSRRefH22_2x_0)</f>
        <v>150</v>
      </c>
      <c r="I46" s="1"/>
      <c r="J46" s="5">
        <f t="shared" ref="J46:J55" si="29">IF(H$12=0,0,H46/H$12)</f>
        <v>1.3789299503585218E-3</v>
      </c>
      <c r="K46" s="1"/>
      <c r="L46" s="1">
        <f t="shared" ref="L46:L55" si="30">+D46-H46</f>
        <v>667.36</v>
      </c>
      <c r="M46" s="1"/>
      <c r="N46" s="5">
        <f t="shared" ref="N46:N55" si="31">IF(H46=0,0,L46/H46)</f>
        <v>4.4490666666666669</v>
      </c>
      <c r="O46" s="13"/>
      <c r="P46" s="1">
        <f>SUM(OSRRefP22_2x_0)</f>
        <v>6175.85</v>
      </c>
      <c r="Q46" s="1"/>
      <c r="R46" s="5">
        <f t="shared" ref="R46:R55" si="32">IF(P$12=0,0,P46/P$12)</f>
        <v>9.4752879684516806E-3</v>
      </c>
      <c r="S46" s="1"/>
      <c r="T46" s="1">
        <f>SUM(OSRRefT22_2x_0)</f>
        <v>2600</v>
      </c>
      <c r="U46" s="1"/>
      <c r="V46" s="5">
        <f t="shared" ref="V46:V55" si="33">IF(T$12=0,0,T46/T$12)</f>
        <v>3.4426598519656263E-3</v>
      </c>
      <c r="W46" s="1"/>
      <c r="X46" s="1">
        <f t="shared" ref="X46:X55" si="34">+P46-T46</f>
        <v>3575.8500000000004</v>
      </c>
      <c r="Y46" s="1"/>
      <c r="Z46" s="5">
        <f t="shared" ref="Z46:Z55" si="35">IF(T46=0,0,X46/T46)</f>
        <v>1.3753269230769232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6">
        <v>817.36</v>
      </c>
      <c r="E47" s="2"/>
      <c r="F47" s="7">
        <f t="shared" si="28"/>
        <v>1.8610047822923127E-2</v>
      </c>
      <c r="G47" s="2"/>
      <c r="H47" s="6">
        <v>150</v>
      </c>
      <c r="I47" s="2"/>
      <c r="J47" s="7">
        <f t="shared" si="29"/>
        <v>1.3789299503585218E-3</v>
      </c>
      <c r="K47" s="2"/>
      <c r="L47" s="6">
        <f t="shared" si="30"/>
        <v>667.36</v>
      </c>
      <c r="M47" s="2"/>
      <c r="N47" s="7">
        <f t="shared" si="31"/>
        <v>4.4490666666666669</v>
      </c>
      <c r="O47" s="11"/>
      <c r="P47" s="6">
        <v>6175.85</v>
      </c>
      <c r="Q47" s="2"/>
      <c r="R47" s="7">
        <f t="shared" si="32"/>
        <v>9.4752879684516806E-3</v>
      </c>
      <c r="S47" s="2"/>
      <c r="T47" s="6">
        <v>2600</v>
      </c>
      <c r="U47" s="2"/>
      <c r="V47" s="7">
        <f t="shared" si="33"/>
        <v>3.4426598519656263E-3</v>
      </c>
      <c r="W47" s="2"/>
      <c r="X47" s="6">
        <f t="shared" si="34"/>
        <v>3575.8500000000004</v>
      </c>
      <c r="Y47" s="2"/>
      <c r="Z47" s="7">
        <f t="shared" si="35"/>
        <v>1.3753269230769232</v>
      </c>
    </row>
    <row r="48" spans="1:26" s="27" customFormat="1" outlineLevel="1" collapsed="1" x14ac:dyDescent="0.25">
      <c r="A48" s="26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-10.68</v>
      </c>
      <c r="E48" s="1"/>
      <c r="F48" s="5">
        <f t="shared" si="28"/>
        <v>-2.4316740573164701E-4</v>
      </c>
      <c r="G48" s="1"/>
      <c r="H48" s="1">
        <f>SUM(OSRRefH22_3x_0)</f>
        <v>10</v>
      </c>
      <c r="I48" s="1"/>
      <c r="J48" s="5">
        <f t="shared" si="29"/>
        <v>9.1928663357234789E-5</v>
      </c>
      <c r="K48" s="1"/>
      <c r="L48" s="1">
        <f t="shared" si="30"/>
        <v>-20.68</v>
      </c>
      <c r="M48" s="1"/>
      <c r="N48" s="5">
        <f t="shared" si="31"/>
        <v>-2.0680000000000001</v>
      </c>
      <c r="O48" s="13"/>
      <c r="P48" s="1">
        <f>SUM(OSRRefP22_3x_0)</f>
        <v>-37.450000000000003</v>
      </c>
      <c r="Q48" s="1"/>
      <c r="R48" s="5">
        <f t="shared" si="32"/>
        <v>-5.7457602503058765E-5</v>
      </c>
      <c r="S48" s="1"/>
      <c r="T48" s="1">
        <f>SUM(OSRRefT22_3x_0)</f>
        <v>90</v>
      </c>
      <c r="U48" s="1"/>
      <c r="V48" s="5">
        <f t="shared" si="33"/>
        <v>1.1916899487573322E-4</v>
      </c>
      <c r="W48" s="1"/>
      <c r="X48" s="1">
        <f t="shared" si="34"/>
        <v>-127.45</v>
      </c>
      <c r="Y48" s="1"/>
      <c r="Z48" s="5">
        <f t="shared" si="35"/>
        <v>-1.4161111111111111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6">
        <v>-10.68</v>
      </c>
      <c r="E49" s="2"/>
      <c r="F49" s="7">
        <f t="shared" si="28"/>
        <v>-2.4316740573164701E-4</v>
      </c>
      <c r="G49" s="2"/>
      <c r="H49" s="6">
        <v>10</v>
      </c>
      <c r="I49" s="2"/>
      <c r="J49" s="7">
        <f t="shared" si="29"/>
        <v>9.1928663357234789E-5</v>
      </c>
      <c r="K49" s="2"/>
      <c r="L49" s="6">
        <f t="shared" si="30"/>
        <v>-20.68</v>
      </c>
      <c r="M49" s="2"/>
      <c r="N49" s="7">
        <f t="shared" si="31"/>
        <v>-2.0680000000000001</v>
      </c>
      <c r="O49" s="11"/>
      <c r="P49" s="6">
        <v>-37.450000000000003</v>
      </c>
      <c r="Q49" s="2"/>
      <c r="R49" s="7">
        <f t="shared" si="32"/>
        <v>-5.7457602503058765E-5</v>
      </c>
      <c r="S49" s="2"/>
      <c r="T49" s="6">
        <v>90</v>
      </c>
      <c r="U49" s="2"/>
      <c r="V49" s="7">
        <f t="shared" si="33"/>
        <v>1.1916899487573322E-4</v>
      </c>
      <c r="W49" s="2"/>
      <c r="X49" s="6">
        <f t="shared" si="34"/>
        <v>-127.45</v>
      </c>
      <c r="Y49" s="2"/>
      <c r="Z49" s="7">
        <f t="shared" si="35"/>
        <v>-1.4161111111111111</v>
      </c>
    </row>
    <row r="50" spans="1:26" s="27" customFormat="1" outlineLevel="1" collapsed="1" x14ac:dyDescent="0.25">
      <c r="A50" s="26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2428.08</v>
      </c>
      <c r="E50" s="1"/>
      <c r="F50" s="5">
        <f t="shared" si="28"/>
        <v>5.5283699860383659E-2</v>
      </c>
      <c r="G50" s="1"/>
      <c r="H50" s="1">
        <f>SUM(OSRRefH22_4x_0)</f>
        <v>0</v>
      </c>
      <c r="I50" s="1"/>
      <c r="J50" s="5">
        <f t="shared" si="29"/>
        <v>0</v>
      </c>
      <c r="K50" s="1"/>
      <c r="L50" s="1">
        <f t="shared" si="30"/>
        <v>2428.08</v>
      </c>
      <c r="M50" s="1"/>
      <c r="N50" s="5">
        <f t="shared" si="31"/>
        <v>0</v>
      </c>
      <c r="O50" s="13"/>
      <c r="P50" s="1">
        <f>SUM(OSRRefP22_4x_0)</f>
        <v>26592.34</v>
      </c>
      <c r="Q50" s="1"/>
      <c r="R50" s="5">
        <f t="shared" si="32"/>
        <v>4.0799255042621885E-2</v>
      </c>
      <c r="S50" s="1"/>
      <c r="T50" s="1">
        <f>SUM(OSRRefT22_4x_0)</f>
        <v>850</v>
      </c>
      <c r="U50" s="1"/>
      <c r="V50" s="5">
        <f t="shared" si="33"/>
        <v>1.125484951604147E-3</v>
      </c>
      <c r="W50" s="1"/>
      <c r="X50" s="1">
        <f t="shared" si="34"/>
        <v>25742.34</v>
      </c>
      <c r="Y50" s="1"/>
      <c r="Z50" s="5">
        <f t="shared" si="35"/>
        <v>30.285105882352941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6">
        <v>2428.08</v>
      </c>
      <c r="E51" s="2"/>
      <c r="F51" s="7">
        <f t="shared" si="28"/>
        <v>5.5283699860383659E-2</v>
      </c>
      <c r="G51" s="2"/>
      <c r="H51" s="6"/>
      <c r="I51" s="2"/>
      <c r="J51" s="7">
        <f t="shared" si="29"/>
        <v>0</v>
      </c>
      <c r="K51" s="2"/>
      <c r="L51" s="6">
        <f t="shared" si="30"/>
        <v>2428.08</v>
      </c>
      <c r="M51" s="2"/>
      <c r="N51" s="7">
        <f t="shared" si="31"/>
        <v>0</v>
      </c>
      <c r="O51" s="11"/>
      <c r="P51" s="6">
        <v>26592.34</v>
      </c>
      <c r="Q51" s="2"/>
      <c r="R51" s="7">
        <f t="shared" si="32"/>
        <v>4.0799255042621885E-2</v>
      </c>
      <c r="S51" s="2"/>
      <c r="T51" s="6">
        <v>850</v>
      </c>
      <c r="U51" s="2"/>
      <c r="V51" s="7">
        <f t="shared" si="33"/>
        <v>1.125484951604147E-3</v>
      </c>
      <c r="W51" s="2"/>
      <c r="X51" s="6">
        <f t="shared" si="34"/>
        <v>25742.34</v>
      </c>
      <c r="Y51" s="2"/>
      <c r="Z51" s="7">
        <f t="shared" si="35"/>
        <v>30.285105882352941</v>
      </c>
    </row>
    <row r="52" spans="1:26" s="27" customFormat="1" outlineLevel="1" collapsed="1" x14ac:dyDescent="0.25">
      <c r="A52" s="26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13793.679999999998</v>
      </c>
      <c r="E52" s="1"/>
      <c r="F52" s="5">
        <f t="shared" si="28"/>
        <v>0.31406117800491612</v>
      </c>
      <c r="G52" s="1"/>
      <c r="H52" s="1">
        <f>SUM(OSRRefH22_5x_0)</f>
        <v>13683</v>
      </c>
      <c r="I52" s="1"/>
      <c r="J52" s="5">
        <f t="shared" si="29"/>
        <v>0.12578599007170435</v>
      </c>
      <c r="K52" s="1"/>
      <c r="L52" s="1">
        <f t="shared" si="30"/>
        <v>110.67999999999847</v>
      </c>
      <c r="M52" s="1"/>
      <c r="N52" s="5">
        <f t="shared" si="31"/>
        <v>8.0888693999852709E-3</v>
      </c>
      <c r="O52" s="13"/>
      <c r="P52" s="1">
        <f>SUM(OSRRefP22_5x_0)</f>
        <v>120870.3</v>
      </c>
      <c r="Q52" s="1"/>
      <c r="R52" s="5">
        <f t="shared" si="32"/>
        <v>0.18544506413419129</v>
      </c>
      <c r="S52" s="1"/>
      <c r="T52" s="1">
        <f>SUM(OSRRefT22_5x_0)</f>
        <v>121896</v>
      </c>
      <c r="U52" s="1"/>
      <c r="V52" s="5">
        <f t="shared" si="33"/>
        <v>0.16140248665969306</v>
      </c>
      <c r="W52" s="1"/>
      <c r="X52" s="1">
        <f t="shared" si="34"/>
        <v>-1025.6999999999971</v>
      </c>
      <c r="Y52" s="1"/>
      <c r="Z52" s="5">
        <f t="shared" si="35"/>
        <v>-8.4145501082890095E-3</v>
      </c>
    </row>
    <row r="53" spans="1:26" s="24" customFormat="1" hidden="1" outlineLevel="2" x14ac:dyDescent="0.25">
      <c r="A53" s="25"/>
      <c r="B53" s="11" t="str">
        <f>CONCATENATE("          ", "6321", " - ", "BUILDING DEPRECIATION")</f>
        <v xml:space="preserve">          6321 - BUILDING DEPRECIATION</v>
      </c>
      <c r="C53" s="11"/>
      <c r="D53" s="6">
        <v>10612.46</v>
      </c>
      <c r="E53" s="2"/>
      <c r="F53" s="7">
        <f t="shared" si="28"/>
        <v>0.24162962234371482</v>
      </c>
      <c r="G53" s="2"/>
      <c r="H53" s="6">
        <v>10612</v>
      </c>
      <c r="I53" s="2"/>
      <c r="J53" s="7">
        <f t="shared" si="29"/>
        <v>9.7554697554697561E-2</v>
      </c>
      <c r="K53" s="2"/>
      <c r="L53" s="6">
        <f t="shared" si="30"/>
        <v>0.45999999999912689</v>
      </c>
      <c r="M53" s="2"/>
      <c r="N53" s="7">
        <f t="shared" si="31"/>
        <v>4.3347154165013841E-5</v>
      </c>
      <c r="O53" s="11"/>
      <c r="P53" s="6">
        <v>95512.14</v>
      </c>
      <c r="Q53" s="2"/>
      <c r="R53" s="7">
        <f t="shared" si="32"/>
        <v>0.14653934777934577</v>
      </c>
      <c r="S53" s="2"/>
      <c r="T53" s="6">
        <v>95508</v>
      </c>
      <c r="U53" s="2"/>
      <c r="V53" s="7">
        <f t="shared" si="33"/>
        <v>0.12646213736212808</v>
      </c>
      <c r="W53" s="2"/>
      <c r="X53" s="6">
        <f t="shared" si="34"/>
        <v>4.1399999999994179</v>
      </c>
      <c r="Y53" s="2"/>
      <c r="Z53" s="7">
        <f t="shared" si="35"/>
        <v>4.3347154165090026E-5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3181.22</v>
      </c>
      <c r="E54" s="2"/>
      <c r="F54" s="7">
        <f t="shared" si="28"/>
        <v>7.2431555661201311E-2</v>
      </c>
      <c r="G54" s="2"/>
      <c r="H54" s="6">
        <v>2654</v>
      </c>
      <c r="I54" s="2"/>
      <c r="J54" s="7">
        <f t="shared" si="29"/>
        <v>2.4397867255010114E-2</v>
      </c>
      <c r="K54" s="2"/>
      <c r="L54" s="6">
        <f t="shared" si="30"/>
        <v>527.2199999999998</v>
      </c>
      <c r="M54" s="2"/>
      <c r="N54" s="7">
        <f t="shared" si="31"/>
        <v>0.19865109269027875</v>
      </c>
      <c r="O54" s="11"/>
      <c r="P54" s="6">
        <v>25358.16</v>
      </c>
      <c r="Q54" s="2"/>
      <c r="R54" s="7">
        <f t="shared" si="32"/>
        <v>3.8905716354845514E-2</v>
      </c>
      <c r="S54" s="2"/>
      <c r="T54" s="6">
        <v>23886</v>
      </c>
      <c r="U54" s="2"/>
      <c r="V54" s="7">
        <f t="shared" si="33"/>
        <v>3.1627451240019595E-2</v>
      </c>
      <c r="W54" s="2"/>
      <c r="X54" s="6">
        <f t="shared" si="34"/>
        <v>1472.1599999999999</v>
      </c>
      <c r="Y54" s="2"/>
      <c r="Z54" s="7">
        <f t="shared" si="35"/>
        <v>6.1632755589047974E-2</v>
      </c>
    </row>
    <row r="55" spans="1:26" s="24" customFormat="1" hidden="1" outlineLevel="2" x14ac:dyDescent="0.25">
      <c r="A55" s="25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8"/>
        <v>0</v>
      </c>
      <c r="G55" s="2"/>
      <c r="H55" s="6">
        <v>417</v>
      </c>
      <c r="I55" s="2"/>
      <c r="J55" s="7">
        <f t="shared" si="29"/>
        <v>3.8334252619966905E-3</v>
      </c>
      <c r="K55" s="2"/>
      <c r="L55" s="6">
        <f t="shared" si="30"/>
        <v>-417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2502</v>
      </c>
      <c r="U55" s="2"/>
      <c r="V55" s="7">
        <f t="shared" si="33"/>
        <v>3.3128980575453837E-3</v>
      </c>
      <c r="W55" s="2"/>
      <c r="X55" s="6">
        <f t="shared" si="34"/>
        <v>-2502</v>
      </c>
      <c r="Y55" s="2"/>
      <c r="Z55" s="7">
        <f t="shared" si="35"/>
        <v>-1</v>
      </c>
    </row>
    <row r="56" spans="1:26" s="27" customFormat="1" outlineLevel="1" collapsed="1" x14ac:dyDescent="0.25">
      <c r="A56" s="26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50.01</v>
      </c>
      <c r="E56" s="1"/>
      <c r="F56" s="5">
        <f t="shared" ref="F56:F70" si="36">IF(D$12=0,0,D56/D$12)</f>
        <v>1.1386518689737515E-3</v>
      </c>
      <c r="G56" s="1"/>
      <c r="H56" s="1">
        <f>SUM(OSRRefH22_6x_0)</f>
        <v>25</v>
      </c>
      <c r="I56" s="1"/>
      <c r="J56" s="5">
        <f t="shared" ref="J56:J70" si="37">IF(H$12=0,0,H56/H$12)</f>
        <v>2.2982165839308696E-4</v>
      </c>
      <c r="K56" s="1"/>
      <c r="L56" s="1">
        <f t="shared" ref="L56:L70" si="38">+D56-H56</f>
        <v>25.009999999999998</v>
      </c>
      <c r="M56" s="1"/>
      <c r="N56" s="5">
        <f t="shared" ref="N56:N70" si="39">IF(H56=0,0,L56/H56)</f>
        <v>1.0004</v>
      </c>
      <c r="O56" s="13"/>
      <c r="P56" s="1">
        <f>SUM(OSRRefP22_6x_0)</f>
        <v>146.37</v>
      </c>
      <c r="Q56" s="1"/>
      <c r="R56" s="5">
        <f t="shared" ref="R56:R70" si="40">IF(P$12=0,0,P56/P$12)</f>
        <v>2.2456793800728199E-4</v>
      </c>
      <c r="S56" s="1"/>
      <c r="T56" s="1">
        <f>SUM(OSRRefT22_6x_0)</f>
        <v>225</v>
      </c>
      <c r="U56" s="1"/>
      <c r="V56" s="5">
        <f t="shared" ref="V56:V70" si="41">IF(T$12=0,0,T56/T$12)</f>
        <v>2.9792248718933304E-4</v>
      </c>
      <c r="W56" s="1"/>
      <c r="X56" s="1">
        <f t="shared" ref="X56:X70" si="42">+P56-T56</f>
        <v>-78.63</v>
      </c>
      <c r="Y56" s="1"/>
      <c r="Z56" s="5">
        <f t="shared" ref="Z56:Z70" si="43">IF(T56=0,0,X56/T56)</f>
        <v>-0.34946666666666665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6">
        <v>50.01</v>
      </c>
      <c r="E57" s="2"/>
      <c r="F57" s="7">
        <f t="shared" si="36"/>
        <v>1.1386518689737515E-3</v>
      </c>
      <c r="G57" s="2"/>
      <c r="H57" s="6">
        <v>25</v>
      </c>
      <c r="I57" s="2"/>
      <c r="J57" s="7">
        <f t="shared" si="37"/>
        <v>2.2982165839308696E-4</v>
      </c>
      <c r="K57" s="2"/>
      <c r="L57" s="6">
        <f t="shared" si="38"/>
        <v>25.009999999999998</v>
      </c>
      <c r="M57" s="2"/>
      <c r="N57" s="7">
        <f t="shared" si="39"/>
        <v>1.0004</v>
      </c>
      <c r="O57" s="11"/>
      <c r="P57" s="6">
        <v>146.37</v>
      </c>
      <c r="Q57" s="2"/>
      <c r="R57" s="7">
        <f t="shared" si="40"/>
        <v>2.2456793800728199E-4</v>
      </c>
      <c r="S57" s="2"/>
      <c r="T57" s="6">
        <v>225</v>
      </c>
      <c r="U57" s="2"/>
      <c r="V57" s="7">
        <f t="shared" si="41"/>
        <v>2.9792248718933304E-4</v>
      </c>
      <c r="W57" s="2"/>
      <c r="X57" s="6">
        <f t="shared" si="42"/>
        <v>-78.63</v>
      </c>
      <c r="Y57" s="2"/>
      <c r="Z57" s="7">
        <f t="shared" si="43"/>
        <v>-0.34946666666666665</v>
      </c>
    </row>
    <row r="58" spans="1:26" s="27" customFormat="1" outlineLevel="1" collapsed="1" x14ac:dyDescent="0.25">
      <c r="A58" s="26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36.270000000000003</v>
      </c>
      <c r="E58" s="1"/>
      <c r="F58" s="5">
        <f t="shared" si="36"/>
        <v>8.2581290317292489E-4</v>
      </c>
      <c r="G58" s="1"/>
      <c r="H58" s="1">
        <f>SUM(OSRRefH22_7x_0)</f>
        <v>125</v>
      </c>
      <c r="I58" s="1"/>
      <c r="J58" s="5">
        <f t="shared" si="37"/>
        <v>1.1491082919654347E-3</v>
      </c>
      <c r="K58" s="1"/>
      <c r="L58" s="1">
        <f t="shared" si="38"/>
        <v>-88.72999999999999</v>
      </c>
      <c r="M58" s="1"/>
      <c r="N58" s="5">
        <f t="shared" si="39"/>
        <v>-0.70983999999999992</v>
      </c>
      <c r="O58" s="13"/>
      <c r="P58" s="1">
        <f>SUM(OSRRefP22_7x_0)</f>
        <v>974.09</v>
      </c>
      <c r="Q58" s="1"/>
      <c r="R58" s="5">
        <f t="shared" si="40"/>
        <v>1.4944960219547266E-3</v>
      </c>
      <c r="S58" s="1"/>
      <c r="T58" s="1">
        <f>SUM(OSRRefT22_7x_0)</f>
        <v>1125</v>
      </c>
      <c r="U58" s="1"/>
      <c r="V58" s="5">
        <f t="shared" si="41"/>
        <v>1.4896124359466652E-3</v>
      </c>
      <c r="W58" s="1"/>
      <c r="X58" s="1">
        <f t="shared" si="42"/>
        <v>-150.90999999999997</v>
      </c>
      <c r="Y58" s="1"/>
      <c r="Z58" s="5">
        <f t="shared" si="43"/>
        <v>-0.13414222222222219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6">
        <v>36.270000000000003</v>
      </c>
      <c r="E59" s="2"/>
      <c r="F59" s="7">
        <f t="shared" si="36"/>
        <v>8.2581290317292489E-4</v>
      </c>
      <c r="G59" s="2"/>
      <c r="H59" s="6">
        <v>125</v>
      </c>
      <c r="I59" s="2"/>
      <c r="J59" s="7">
        <f t="shared" si="37"/>
        <v>1.1491082919654347E-3</v>
      </c>
      <c r="K59" s="2"/>
      <c r="L59" s="6">
        <f t="shared" si="38"/>
        <v>-88.72999999999999</v>
      </c>
      <c r="M59" s="2"/>
      <c r="N59" s="7">
        <f t="shared" si="39"/>
        <v>-0.70983999999999992</v>
      </c>
      <c r="O59" s="11"/>
      <c r="P59" s="6">
        <v>974.09</v>
      </c>
      <c r="Q59" s="2"/>
      <c r="R59" s="7">
        <f t="shared" si="40"/>
        <v>1.4944960219547266E-3</v>
      </c>
      <c r="S59" s="2"/>
      <c r="T59" s="6">
        <v>1125</v>
      </c>
      <c r="U59" s="2"/>
      <c r="V59" s="7">
        <f t="shared" si="41"/>
        <v>1.4896124359466652E-3</v>
      </c>
      <c r="W59" s="2"/>
      <c r="X59" s="6">
        <f t="shared" si="42"/>
        <v>-150.90999999999997</v>
      </c>
      <c r="Y59" s="2"/>
      <c r="Z59" s="7">
        <f t="shared" si="43"/>
        <v>-0.13414222222222219</v>
      </c>
    </row>
    <row r="60" spans="1:26" s="27" customFormat="1" outlineLevel="1" collapsed="1" x14ac:dyDescent="0.25">
      <c r="A60" s="26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10.8</v>
      </c>
      <c r="E60" s="1"/>
      <c r="F60" s="5">
        <f t="shared" si="36"/>
        <v>2.4589962377357565E-4</v>
      </c>
      <c r="G60" s="1"/>
      <c r="H60" s="1">
        <f>SUM(OSRRefH22_8x_0)</f>
        <v>0</v>
      </c>
      <c r="I60" s="1"/>
      <c r="J60" s="5">
        <f t="shared" si="37"/>
        <v>0</v>
      </c>
      <c r="K60" s="1"/>
      <c r="L60" s="1">
        <f t="shared" si="38"/>
        <v>10.8</v>
      </c>
      <c r="M60" s="1"/>
      <c r="N60" s="5">
        <f t="shared" si="39"/>
        <v>0</v>
      </c>
      <c r="O60" s="13"/>
      <c r="P60" s="1">
        <f>SUM(OSRRefP22_8x_0)</f>
        <v>1937.01</v>
      </c>
      <c r="Q60" s="1"/>
      <c r="R60" s="5">
        <f t="shared" si="40"/>
        <v>2.9718544893044016E-3</v>
      </c>
      <c r="S60" s="1"/>
      <c r="T60" s="1">
        <f>SUM(OSRRefT22_8x_0)</f>
        <v>1400</v>
      </c>
      <c r="U60" s="1"/>
      <c r="V60" s="5">
        <f t="shared" si="41"/>
        <v>1.8537399202891835E-3</v>
      </c>
      <c r="W60" s="1"/>
      <c r="X60" s="1">
        <f t="shared" si="42"/>
        <v>537.01</v>
      </c>
      <c r="Y60" s="1"/>
      <c r="Z60" s="5">
        <f t="shared" si="43"/>
        <v>0.38357857142857144</v>
      </c>
    </row>
    <row r="61" spans="1:26" s="24" customFormat="1" hidden="1" outlineLevel="2" x14ac:dyDescent="0.25">
      <c r="A61" s="25"/>
      <c r="B61" s="11" t="str">
        <f>CONCATENATE("          ", "6279", " - ", "GENERAL EXPENSE")</f>
        <v xml:space="preserve">          6279 - GENERAL EXPENSE</v>
      </c>
      <c r="C61" s="11"/>
      <c r="D61" s="6">
        <v>10.8</v>
      </c>
      <c r="E61" s="2"/>
      <c r="F61" s="7">
        <f t="shared" si="36"/>
        <v>2.4589962377357565E-4</v>
      </c>
      <c r="G61" s="2"/>
      <c r="H61" s="6"/>
      <c r="I61" s="2"/>
      <c r="J61" s="7">
        <f t="shared" si="37"/>
        <v>0</v>
      </c>
      <c r="K61" s="2"/>
      <c r="L61" s="6">
        <f t="shared" si="38"/>
        <v>10.8</v>
      </c>
      <c r="M61" s="2"/>
      <c r="N61" s="7">
        <f t="shared" si="39"/>
        <v>0</v>
      </c>
      <c r="O61" s="11"/>
      <c r="P61" s="6">
        <v>1937.01</v>
      </c>
      <c r="Q61" s="2"/>
      <c r="R61" s="7">
        <f t="shared" si="40"/>
        <v>2.9718544893044016E-3</v>
      </c>
      <c r="S61" s="2"/>
      <c r="T61" s="6">
        <v>1400</v>
      </c>
      <c r="U61" s="2"/>
      <c r="V61" s="7">
        <f t="shared" si="41"/>
        <v>1.8537399202891835E-3</v>
      </c>
      <c r="W61" s="2"/>
      <c r="X61" s="6">
        <f t="shared" si="42"/>
        <v>537.01</v>
      </c>
      <c r="Y61" s="2"/>
      <c r="Z61" s="7">
        <f t="shared" si="43"/>
        <v>0.38357857142857144</v>
      </c>
    </row>
    <row r="62" spans="1:26" s="27" customFormat="1" outlineLevel="1" collapsed="1" x14ac:dyDescent="0.25">
      <c r="A62" s="26"/>
      <c r="B62" s="13" t="str">
        <f>CONCATENATE("     ","Insurance                                         ")</f>
        <v xml:space="preserve">     Insurance                                         </v>
      </c>
      <c r="C62" s="13"/>
      <c r="D62" s="1">
        <f>SUM(OSRRefD22_9x_0)</f>
        <v>641.28</v>
      </c>
      <c r="E62" s="1"/>
      <c r="F62" s="5">
        <f t="shared" si="36"/>
        <v>1.4600973216066534E-2</v>
      </c>
      <c r="G62" s="1"/>
      <c r="H62" s="1">
        <f>SUM(OSRRefH22_9x_0)</f>
        <v>604</v>
      </c>
      <c r="I62" s="1"/>
      <c r="J62" s="5">
        <f t="shared" si="37"/>
        <v>5.5524912667769813E-3</v>
      </c>
      <c r="K62" s="1"/>
      <c r="L62" s="1">
        <f t="shared" si="38"/>
        <v>37.279999999999973</v>
      </c>
      <c r="M62" s="1"/>
      <c r="N62" s="5">
        <f t="shared" si="39"/>
        <v>6.1721854304635719E-2</v>
      </c>
      <c r="O62" s="13"/>
      <c r="P62" s="1">
        <f>SUM(OSRRefP22_9x_0)</f>
        <v>5771.52</v>
      </c>
      <c r="Q62" s="1"/>
      <c r="R62" s="5">
        <f t="shared" si="40"/>
        <v>8.8549453137103801E-3</v>
      </c>
      <c r="S62" s="1"/>
      <c r="T62" s="1">
        <f>SUM(OSRRefT22_9x_0)</f>
        <v>5436</v>
      </c>
      <c r="U62" s="1"/>
      <c r="V62" s="5">
        <f t="shared" si="41"/>
        <v>7.1978072904942863E-3</v>
      </c>
      <c r="W62" s="1"/>
      <c r="X62" s="1">
        <f t="shared" si="42"/>
        <v>335.52000000000044</v>
      </c>
      <c r="Y62" s="1"/>
      <c r="Z62" s="5">
        <f t="shared" si="43"/>
        <v>6.1721854304635844E-2</v>
      </c>
    </row>
    <row r="63" spans="1:26" s="24" customFormat="1" hidden="1" outlineLevel="2" x14ac:dyDescent="0.25">
      <c r="A63" s="25"/>
      <c r="B63" s="11" t="str">
        <f>CONCATENATE("          ", "6314", " - ", "LIABILITY INSURANCE")</f>
        <v xml:space="preserve">          6314 - LIABILITY INSURANCE</v>
      </c>
      <c r="C63" s="11"/>
      <c r="D63" s="6">
        <v>641.28</v>
      </c>
      <c r="E63" s="2"/>
      <c r="F63" s="7">
        <f t="shared" si="36"/>
        <v>1.4600973216066534E-2</v>
      </c>
      <c r="G63" s="2"/>
      <c r="H63" s="6">
        <v>604</v>
      </c>
      <c r="I63" s="2"/>
      <c r="J63" s="7">
        <f t="shared" si="37"/>
        <v>5.5524912667769813E-3</v>
      </c>
      <c r="K63" s="2"/>
      <c r="L63" s="6">
        <f t="shared" si="38"/>
        <v>37.279999999999973</v>
      </c>
      <c r="M63" s="2"/>
      <c r="N63" s="7">
        <f t="shared" si="39"/>
        <v>6.1721854304635719E-2</v>
      </c>
      <c r="O63" s="11"/>
      <c r="P63" s="6">
        <v>5771.52</v>
      </c>
      <c r="Q63" s="2"/>
      <c r="R63" s="7">
        <f t="shared" si="40"/>
        <v>8.8549453137103801E-3</v>
      </c>
      <c r="S63" s="2"/>
      <c r="T63" s="6">
        <v>5436</v>
      </c>
      <c r="U63" s="2"/>
      <c r="V63" s="7">
        <f t="shared" si="41"/>
        <v>7.1978072904942863E-3</v>
      </c>
      <c r="W63" s="2"/>
      <c r="X63" s="6">
        <f t="shared" si="42"/>
        <v>335.52000000000044</v>
      </c>
      <c r="Y63" s="2"/>
      <c r="Z63" s="7">
        <f t="shared" si="43"/>
        <v>6.1721854304635844E-2</v>
      </c>
    </row>
    <row r="64" spans="1:26" s="27" customFormat="1" outlineLevel="1" collapsed="1" x14ac:dyDescent="0.25">
      <c r="A64" s="26"/>
      <c r="B64" s="13" t="str">
        <f>CONCATENATE("     ","Interest                                          ")</f>
        <v xml:space="preserve">     Interest                                          </v>
      </c>
      <c r="C64" s="13"/>
      <c r="D64" s="1">
        <f>SUM(OSRRefD22_10x_0)</f>
        <v>7754</v>
      </c>
      <c r="E64" s="1"/>
      <c r="F64" s="5">
        <f t="shared" si="36"/>
        <v>0.17654682247595421</v>
      </c>
      <c r="G64" s="1"/>
      <c r="H64" s="1">
        <f>SUM(OSRRefH22_10x_0)</f>
        <v>7754</v>
      </c>
      <c r="I64" s="1"/>
      <c r="J64" s="5">
        <f t="shared" si="37"/>
        <v>7.1281485567199848E-2</v>
      </c>
      <c r="K64" s="1"/>
      <c r="L64" s="1">
        <f t="shared" si="38"/>
        <v>0</v>
      </c>
      <c r="M64" s="1"/>
      <c r="N64" s="5">
        <f t="shared" si="39"/>
        <v>0</v>
      </c>
      <c r="O64" s="13"/>
      <c r="P64" s="1">
        <f>SUM(OSRRefP22_10x_0)</f>
        <v>69393.05</v>
      </c>
      <c r="Q64" s="1"/>
      <c r="R64" s="5">
        <f t="shared" si="40"/>
        <v>0.10646617579105158</v>
      </c>
      <c r="S64" s="1"/>
      <c r="T64" s="1">
        <f>SUM(OSRRefT22_10x_0)</f>
        <v>69786</v>
      </c>
      <c r="U64" s="1"/>
      <c r="V64" s="5">
        <f t="shared" si="41"/>
        <v>9.2403638626643539E-2</v>
      </c>
      <c r="W64" s="1"/>
      <c r="X64" s="1">
        <f t="shared" si="42"/>
        <v>-392.94999999999709</v>
      </c>
      <c r="Y64" s="1"/>
      <c r="Z64" s="5">
        <f t="shared" si="43"/>
        <v>-5.6307855443784869E-3</v>
      </c>
    </row>
    <row r="65" spans="1:26" s="24" customFormat="1" hidden="1" outlineLevel="2" x14ac:dyDescent="0.25">
      <c r="A65" s="25"/>
      <c r="B65" s="11" t="str">
        <f>CONCATENATE("          ", "6401", " - ", "INTEREST EXPENSE")</f>
        <v xml:space="preserve">          6401 - INTEREST EXPENSE</v>
      </c>
      <c r="C65" s="11"/>
      <c r="D65" s="6">
        <v>7754</v>
      </c>
      <c r="E65" s="2"/>
      <c r="F65" s="7">
        <f t="shared" si="36"/>
        <v>0.17654682247595421</v>
      </c>
      <c r="G65" s="2"/>
      <c r="H65" s="6">
        <v>7754</v>
      </c>
      <c r="I65" s="2"/>
      <c r="J65" s="7">
        <f t="shared" si="37"/>
        <v>7.1281485567199848E-2</v>
      </c>
      <c r="K65" s="2"/>
      <c r="L65" s="6">
        <f t="shared" si="38"/>
        <v>0</v>
      </c>
      <c r="M65" s="2"/>
      <c r="N65" s="7">
        <f t="shared" si="39"/>
        <v>0</v>
      </c>
      <c r="O65" s="11"/>
      <c r="P65" s="6">
        <v>69393.05</v>
      </c>
      <c r="Q65" s="2"/>
      <c r="R65" s="7">
        <f t="shared" si="40"/>
        <v>0.10646617579105158</v>
      </c>
      <c r="S65" s="2"/>
      <c r="T65" s="6">
        <v>69786</v>
      </c>
      <c r="U65" s="2"/>
      <c r="V65" s="7">
        <f t="shared" si="41"/>
        <v>9.2403638626643539E-2</v>
      </c>
      <c r="W65" s="2"/>
      <c r="X65" s="6">
        <f t="shared" si="42"/>
        <v>-392.94999999999709</v>
      </c>
      <c r="Y65" s="2"/>
      <c r="Z65" s="7">
        <f t="shared" si="43"/>
        <v>-5.6307855443784869E-3</v>
      </c>
    </row>
    <row r="66" spans="1:26" s="27" customFormat="1" outlineLevel="1" collapsed="1" x14ac:dyDescent="0.25">
      <c r="A66" s="26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424.52</v>
      </c>
      <c r="E66" s="1"/>
      <c r="F66" s="5">
        <f t="shared" si="36"/>
        <v>9.6656766929961412E-3</v>
      </c>
      <c r="G66" s="1"/>
      <c r="H66" s="1">
        <f>SUM(OSRRefH22_11x_0)</f>
        <v>1200</v>
      </c>
      <c r="I66" s="1"/>
      <c r="J66" s="5">
        <f t="shared" si="37"/>
        <v>1.1031439602868174E-2</v>
      </c>
      <c r="K66" s="1"/>
      <c r="L66" s="1">
        <f t="shared" si="38"/>
        <v>-775.48</v>
      </c>
      <c r="M66" s="1"/>
      <c r="N66" s="5">
        <f t="shared" si="39"/>
        <v>-0.64623333333333333</v>
      </c>
      <c r="O66" s="13"/>
      <c r="P66" s="1">
        <f>SUM(OSRRefP22_11x_0)</f>
        <v>24011.19</v>
      </c>
      <c r="Q66" s="1"/>
      <c r="R66" s="5">
        <f t="shared" si="40"/>
        <v>3.6839129790264873E-2</v>
      </c>
      <c r="S66" s="1"/>
      <c r="T66" s="1">
        <f>SUM(OSRRefT22_11x_0)</f>
        <v>12600</v>
      </c>
      <c r="U66" s="1"/>
      <c r="V66" s="5">
        <f t="shared" si="41"/>
        <v>1.668365928260265E-2</v>
      </c>
      <c r="W66" s="1"/>
      <c r="X66" s="1">
        <f t="shared" si="42"/>
        <v>11411.189999999999</v>
      </c>
      <c r="Y66" s="1"/>
      <c r="Z66" s="5">
        <f t="shared" si="43"/>
        <v>0.90564999999999984</v>
      </c>
    </row>
    <row r="67" spans="1:26" s="24" customFormat="1" hidden="1" outlineLevel="2" x14ac:dyDescent="0.25">
      <c r="A67" s="25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36"/>
        <v>0</v>
      </c>
      <c r="G67" s="2"/>
      <c r="H67" s="6"/>
      <c r="I67" s="2"/>
      <c r="J67" s="7">
        <f t="shared" si="37"/>
        <v>0</v>
      </c>
      <c r="K67" s="2"/>
      <c r="L67" s="6">
        <f t="shared" si="38"/>
        <v>0</v>
      </c>
      <c r="M67" s="2"/>
      <c r="N67" s="7">
        <f t="shared" si="39"/>
        <v>0</v>
      </c>
      <c r="O67" s="11"/>
      <c r="P67" s="6">
        <v>2623.84</v>
      </c>
      <c r="Q67" s="2"/>
      <c r="R67" s="7">
        <f t="shared" si="40"/>
        <v>4.0256223164653058E-3</v>
      </c>
      <c r="S67" s="2"/>
      <c r="T67" s="6"/>
      <c r="U67" s="2"/>
      <c r="V67" s="7">
        <f t="shared" si="41"/>
        <v>0</v>
      </c>
      <c r="W67" s="2"/>
      <c r="X67" s="6">
        <f t="shared" si="42"/>
        <v>2623.84</v>
      </c>
      <c r="Y67" s="2"/>
      <c r="Z67" s="7">
        <f t="shared" si="43"/>
        <v>0</v>
      </c>
    </row>
    <row r="68" spans="1:26" s="24" customFormat="1" hidden="1" outlineLevel="2" x14ac:dyDescent="0.25">
      <c r="A68" s="25"/>
      <c r="B68" s="11" t="str">
        <f>CONCATENATE("          ", "6372", " - ", "COMPUTER HARDWARE MAINTENANCE")</f>
        <v xml:space="preserve">          6372 - COMPUTER HARDWARE MAINTENANCE</v>
      </c>
      <c r="C68" s="11"/>
      <c r="D68" s="6"/>
      <c r="E68" s="2"/>
      <c r="F68" s="7">
        <f t="shared" si="36"/>
        <v>0</v>
      </c>
      <c r="G68" s="2"/>
      <c r="H68" s="6"/>
      <c r="I68" s="2"/>
      <c r="J68" s="7">
        <f t="shared" si="37"/>
        <v>0</v>
      </c>
      <c r="K68" s="2"/>
      <c r="L68" s="6">
        <f t="shared" si="38"/>
        <v>0</v>
      </c>
      <c r="M68" s="2"/>
      <c r="N68" s="7">
        <f t="shared" si="39"/>
        <v>0</v>
      </c>
      <c r="O68" s="11"/>
      <c r="P68" s="6">
        <v>-0.01</v>
      </c>
      <c r="Q68" s="2"/>
      <c r="R68" s="7">
        <f t="shared" si="40"/>
        <v>-1.5342483979454943E-8</v>
      </c>
      <c r="S68" s="2"/>
      <c r="T68" s="6"/>
      <c r="U68" s="2"/>
      <c r="V68" s="7">
        <f t="shared" si="41"/>
        <v>0</v>
      </c>
      <c r="W68" s="2"/>
      <c r="X68" s="6">
        <f t="shared" si="42"/>
        <v>-0.01</v>
      </c>
      <c r="Y68" s="2"/>
      <c r="Z68" s="7">
        <f t="shared" si="43"/>
        <v>0</v>
      </c>
    </row>
    <row r="69" spans="1:26" s="24" customFormat="1" hidden="1" outlineLevel="2" x14ac:dyDescent="0.25">
      <c r="A69" s="25"/>
      <c r="B69" s="11" t="str">
        <f>CONCATENATE("          ", "6373", " - ", "MAINTENANCE CONTRACTS")</f>
        <v xml:space="preserve">          6373 - MAINTENANCE CONTRACTS</v>
      </c>
      <c r="C69" s="11"/>
      <c r="D69" s="6">
        <v>108.52</v>
      </c>
      <c r="E69" s="2"/>
      <c r="F69" s="7">
        <f t="shared" si="36"/>
        <v>2.4708358492507802E-3</v>
      </c>
      <c r="G69" s="2"/>
      <c r="H69" s="6"/>
      <c r="I69" s="2"/>
      <c r="J69" s="7">
        <f t="shared" si="37"/>
        <v>0</v>
      </c>
      <c r="K69" s="2"/>
      <c r="L69" s="6">
        <f t="shared" si="38"/>
        <v>108.52</v>
      </c>
      <c r="M69" s="2"/>
      <c r="N69" s="7">
        <f t="shared" si="39"/>
        <v>0</v>
      </c>
      <c r="O69" s="11"/>
      <c r="P69" s="6">
        <v>3877.26</v>
      </c>
      <c r="Q69" s="2"/>
      <c r="R69" s="7">
        <f t="shared" si="40"/>
        <v>5.9486799434181475E-3</v>
      </c>
      <c r="S69" s="2"/>
      <c r="T69" s="6"/>
      <c r="U69" s="2"/>
      <c r="V69" s="7">
        <f t="shared" si="41"/>
        <v>0</v>
      </c>
      <c r="W69" s="2"/>
      <c r="X69" s="6">
        <f t="shared" si="42"/>
        <v>3877.26</v>
      </c>
      <c r="Y69" s="2"/>
      <c r="Z69" s="7">
        <f t="shared" si="43"/>
        <v>0</v>
      </c>
    </row>
    <row r="70" spans="1:26" s="24" customFormat="1" hidden="1" outlineLevel="2" x14ac:dyDescent="0.25">
      <c r="A70" s="25"/>
      <c r="B70" s="11" t="str">
        <f>CONCATENATE("          ", "6375", " - ", "OUTSIDE REPAIRS &amp; MAINTENANCE")</f>
        <v xml:space="preserve">          6375 - OUTSIDE REPAIRS &amp; MAINTENANCE</v>
      </c>
      <c r="C70" s="11"/>
      <c r="D70" s="6">
        <v>316</v>
      </c>
      <c r="E70" s="2"/>
      <c r="F70" s="7">
        <f t="shared" si="36"/>
        <v>7.194840843745361E-3</v>
      </c>
      <c r="G70" s="2"/>
      <c r="H70" s="6">
        <v>1200</v>
      </c>
      <c r="I70" s="2"/>
      <c r="J70" s="7">
        <f t="shared" si="37"/>
        <v>1.1031439602868174E-2</v>
      </c>
      <c r="K70" s="2"/>
      <c r="L70" s="6">
        <f t="shared" si="38"/>
        <v>-884</v>
      </c>
      <c r="M70" s="2"/>
      <c r="N70" s="7">
        <f t="shared" si="39"/>
        <v>-0.73666666666666669</v>
      </c>
      <c r="O70" s="11"/>
      <c r="P70" s="6">
        <v>17510.099999999999</v>
      </c>
      <c r="Q70" s="2"/>
      <c r="R70" s="7">
        <f t="shared" si="40"/>
        <v>2.6864842872865398E-2</v>
      </c>
      <c r="S70" s="2"/>
      <c r="T70" s="6">
        <v>12600</v>
      </c>
      <c r="U70" s="2"/>
      <c r="V70" s="7">
        <f t="shared" si="41"/>
        <v>1.668365928260265E-2</v>
      </c>
      <c r="W70" s="2"/>
      <c r="X70" s="6">
        <f t="shared" si="42"/>
        <v>4910.0999999999985</v>
      </c>
      <c r="Y70" s="2"/>
      <c r="Z70" s="7">
        <f t="shared" si="43"/>
        <v>0.38969047619047609</v>
      </c>
    </row>
    <row r="71" spans="1:26" s="27" customFormat="1" outlineLevel="1" collapsed="1" x14ac:dyDescent="0.25">
      <c r="A71" s="26"/>
      <c r="B71" s="13" t="str">
        <f>CONCATENATE("     ","Services                                          ")</f>
        <v xml:space="preserve">     Services                                          </v>
      </c>
      <c r="C71" s="13"/>
      <c r="D71" s="1">
        <f>SUM(OSRRefD22_12x_0)</f>
        <v>5143.54</v>
      </c>
      <c r="E71" s="1"/>
      <c r="F71" s="5">
        <f t="shared" ref="F71:F76" si="44">IF(D$12=0,0,D71/D$12)</f>
        <v>0.1171106065615127</v>
      </c>
      <c r="G71" s="1"/>
      <c r="H71" s="1">
        <f>SUM(OSRRefH22_12x_0)</f>
        <v>4135</v>
      </c>
      <c r="I71" s="1"/>
      <c r="J71" s="5">
        <f t="shared" ref="J71:J76" si="45">IF(H$12=0,0,H71/H$12)</f>
        <v>3.8012502298216587E-2</v>
      </c>
      <c r="K71" s="1"/>
      <c r="L71" s="1">
        <f t="shared" ref="L71:L76" si="46">+D71-H71</f>
        <v>1008.54</v>
      </c>
      <c r="M71" s="1"/>
      <c r="N71" s="5">
        <f t="shared" ref="N71:N76" si="47">IF(H71=0,0,L71/H71)</f>
        <v>0.24390326481257557</v>
      </c>
      <c r="O71" s="13"/>
      <c r="P71" s="1">
        <f>SUM(OSRRefP22_12x_0)</f>
        <v>42285.97</v>
      </c>
      <c r="Q71" s="1"/>
      <c r="R71" s="5">
        <f t="shared" ref="R71:R76" si="48">IF(P$12=0,0,P71/P$12)</f>
        <v>6.4877181728071234E-2</v>
      </c>
      <c r="S71" s="1"/>
      <c r="T71" s="1">
        <f>SUM(OSRRefT22_12x_0)</f>
        <v>36815</v>
      </c>
      <c r="U71" s="1"/>
      <c r="V71" s="5">
        <f t="shared" ref="V71:V76" si="49">IF(T$12=0,0,T71/T$12)</f>
        <v>4.8746739403890203E-2</v>
      </c>
      <c r="W71" s="1"/>
      <c r="X71" s="1">
        <f t="shared" ref="X71:X76" si="50">+P71-T71</f>
        <v>5470.9700000000012</v>
      </c>
      <c r="Y71" s="1"/>
      <c r="Z71" s="5">
        <f t="shared" ref="Z71:Z76" si="51">IF(T71=0,0,X71/T71)</f>
        <v>0.1486070895015619</v>
      </c>
    </row>
    <row r="72" spans="1:26" s="24" customFormat="1" hidden="1" outlineLevel="2" x14ac:dyDescent="0.25">
      <c r="A72" s="25"/>
      <c r="B72" s="11" t="str">
        <f>CONCATENATE("          ", "6282", " - ", "JANITORIAL/EXTERMINATOR EXPENS")</f>
        <v xml:space="preserve">          6282 - JANITORIAL/EXTERMINATOR EXPENS</v>
      </c>
      <c r="C72" s="11"/>
      <c r="D72" s="6">
        <v>328.54</v>
      </c>
      <c r="E72" s="2"/>
      <c r="F72" s="7">
        <f t="shared" si="44"/>
        <v>7.4803576291269016E-3</v>
      </c>
      <c r="G72" s="2"/>
      <c r="H72" s="6">
        <v>350</v>
      </c>
      <c r="I72" s="2"/>
      <c r="J72" s="7">
        <f t="shared" si="45"/>
        <v>3.2175032175032173E-3</v>
      </c>
      <c r="K72" s="2"/>
      <c r="L72" s="6">
        <f t="shared" si="46"/>
        <v>-21.45999999999998</v>
      </c>
      <c r="M72" s="2"/>
      <c r="N72" s="7">
        <f t="shared" si="47"/>
        <v>-6.1314285714285655E-2</v>
      </c>
      <c r="O72" s="11"/>
      <c r="P72" s="6">
        <v>3285.4</v>
      </c>
      <c r="Q72" s="2"/>
      <c r="R72" s="7">
        <f t="shared" si="48"/>
        <v>5.0406196866101269E-3</v>
      </c>
      <c r="S72" s="2"/>
      <c r="T72" s="6">
        <v>3150</v>
      </c>
      <c r="U72" s="2"/>
      <c r="V72" s="7">
        <f t="shared" si="49"/>
        <v>4.1709148206506624E-3</v>
      </c>
      <c r="W72" s="2"/>
      <c r="X72" s="6">
        <f t="shared" si="50"/>
        <v>135.40000000000009</v>
      </c>
      <c r="Y72" s="2"/>
      <c r="Z72" s="7">
        <f t="shared" si="51"/>
        <v>4.2984126984127013E-2</v>
      </c>
    </row>
    <row r="73" spans="1:26" s="24" customFormat="1" hidden="1" outlineLevel="2" x14ac:dyDescent="0.25">
      <c r="A73" s="25"/>
      <c r="B73" s="11" t="str">
        <f>CONCATENATE("          ", "6283", " - ", "PLANT SERVICE")</f>
        <v xml:space="preserve">          6283 - PLANT SERVICE</v>
      </c>
      <c r="C73" s="11"/>
      <c r="D73" s="6">
        <v>123.1</v>
      </c>
      <c r="E73" s="2"/>
      <c r="F73" s="7">
        <f t="shared" si="44"/>
        <v>2.8028003413451074E-3</v>
      </c>
      <c r="G73" s="2"/>
      <c r="H73" s="6">
        <v>60</v>
      </c>
      <c r="I73" s="2"/>
      <c r="J73" s="7">
        <f t="shared" si="45"/>
        <v>5.5157198014340876E-4</v>
      </c>
      <c r="K73" s="2"/>
      <c r="L73" s="6">
        <f t="shared" si="46"/>
        <v>63.099999999999994</v>
      </c>
      <c r="M73" s="2"/>
      <c r="N73" s="7">
        <f t="shared" si="47"/>
        <v>1.0516666666666665</v>
      </c>
      <c r="O73" s="11"/>
      <c r="P73" s="6">
        <v>430.85</v>
      </c>
      <c r="Q73" s="2"/>
      <c r="R73" s="7">
        <f t="shared" si="48"/>
        <v>6.610309222548162E-4</v>
      </c>
      <c r="S73" s="2"/>
      <c r="T73" s="6">
        <v>540</v>
      </c>
      <c r="U73" s="2"/>
      <c r="V73" s="7">
        <f t="shared" si="49"/>
        <v>7.1501396925439931E-4</v>
      </c>
      <c r="W73" s="2"/>
      <c r="X73" s="6">
        <f t="shared" si="50"/>
        <v>-109.14999999999998</v>
      </c>
      <c r="Y73" s="2"/>
      <c r="Z73" s="7">
        <f t="shared" si="51"/>
        <v>-0.20212962962962958</v>
      </c>
    </row>
    <row r="74" spans="1:26" s="24" customFormat="1" hidden="1" outlineLevel="2" x14ac:dyDescent="0.25">
      <c r="A74" s="25"/>
      <c r="B74" s="11" t="str">
        <f>CONCATENATE("          ", "6284", " - ", "TRASH REMOVAL EXPENSE")</f>
        <v xml:space="preserve">          6284 - TRASH REMOVAL EXPENSE</v>
      </c>
      <c r="C74" s="11"/>
      <c r="D74" s="6">
        <v>761</v>
      </c>
      <c r="E74" s="2"/>
      <c r="F74" s="7">
        <f t="shared" si="44"/>
        <v>1.7326816082563985E-2</v>
      </c>
      <c r="G74" s="2"/>
      <c r="H74" s="6">
        <v>475</v>
      </c>
      <c r="I74" s="2"/>
      <c r="J74" s="7">
        <f t="shared" si="45"/>
        <v>4.3666115094686524E-3</v>
      </c>
      <c r="K74" s="2"/>
      <c r="L74" s="6">
        <f t="shared" si="46"/>
        <v>286</v>
      </c>
      <c r="M74" s="2"/>
      <c r="N74" s="7">
        <f t="shared" si="47"/>
        <v>0.6021052631578947</v>
      </c>
      <c r="O74" s="11"/>
      <c r="P74" s="6">
        <v>6841</v>
      </c>
      <c r="Q74" s="2"/>
      <c r="R74" s="7">
        <f t="shared" si="48"/>
        <v>1.0495793290345126E-2</v>
      </c>
      <c r="S74" s="2"/>
      <c r="T74" s="6">
        <v>4275</v>
      </c>
      <c r="U74" s="2"/>
      <c r="V74" s="7">
        <f t="shared" si="49"/>
        <v>5.6605272565973279E-3</v>
      </c>
      <c r="W74" s="2"/>
      <c r="X74" s="6">
        <f t="shared" si="50"/>
        <v>2566</v>
      </c>
      <c r="Y74" s="2"/>
      <c r="Z74" s="7">
        <f t="shared" si="51"/>
        <v>0.60023391812865501</v>
      </c>
    </row>
    <row r="75" spans="1:26" s="24" customFormat="1" hidden="1" outlineLevel="2" x14ac:dyDescent="0.25">
      <c r="A75" s="25"/>
      <c r="B75" s="11" t="str">
        <f>CONCATENATE("          ", "6285", " - ", "JANITORIAL SERVICES")</f>
        <v xml:space="preserve">          6285 - JANITORIAL SERVICES</v>
      </c>
      <c r="C75" s="11"/>
      <c r="D75" s="6">
        <v>3930.9</v>
      </c>
      <c r="E75" s="2"/>
      <c r="F75" s="7">
        <f t="shared" si="44"/>
        <v>8.9500632508476702E-2</v>
      </c>
      <c r="G75" s="2"/>
      <c r="H75" s="6">
        <v>3000</v>
      </c>
      <c r="I75" s="2"/>
      <c r="J75" s="7">
        <f t="shared" si="45"/>
        <v>2.7578599007170437E-2</v>
      </c>
      <c r="K75" s="2"/>
      <c r="L75" s="6">
        <f t="shared" si="46"/>
        <v>930.90000000000009</v>
      </c>
      <c r="M75" s="2"/>
      <c r="N75" s="7">
        <f t="shared" si="47"/>
        <v>0.31030000000000002</v>
      </c>
      <c r="O75" s="11"/>
      <c r="P75" s="6">
        <v>29782.300000000003</v>
      </c>
      <c r="Q75" s="2"/>
      <c r="R75" s="7">
        <f t="shared" si="48"/>
        <v>4.5693446062132097E-2</v>
      </c>
      <c r="S75" s="2"/>
      <c r="T75" s="6">
        <v>27000</v>
      </c>
      <c r="U75" s="2"/>
      <c r="V75" s="7">
        <f t="shared" si="49"/>
        <v>3.5750698462719964E-2</v>
      </c>
      <c r="W75" s="2"/>
      <c r="X75" s="6">
        <f t="shared" si="50"/>
        <v>2782.3000000000029</v>
      </c>
      <c r="Y75" s="2"/>
      <c r="Z75" s="7">
        <f t="shared" si="51"/>
        <v>0.10304814814814825</v>
      </c>
    </row>
    <row r="76" spans="1:26" s="24" customFormat="1" hidden="1" outlineLevel="2" x14ac:dyDescent="0.25">
      <c r="A76" s="25"/>
      <c r="B76" s="11" t="str">
        <f>CONCATENATE("          ", "6286", " - ", "LAUNDRY EXPENSE")</f>
        <v xml:space="preserve">          6286 - LAUNDRY EXPENSE</v>
      </c>
      <c r="C76" s="11"/>
      <c r="D76" s="6"/>
      <c r="E76" s="2"/>
      <c r="F76" s="7">
        <f t="shared" si="44"/>
        <v>0</v>
      </c>
      <c r="G76" s="2"/>
      <c r="H76" s="6">
        <v>250</v>
      </c>
      <c r="I76" s="2"/>
      <c r="J76" s="7">
        <f t="shared" si="45"/>
        <v>2.2982165839308694E-3</v>
      </c>
      <c r="K76" s="2"/>
      <c r="L76" s="6">
        <f t="shared" si="46"/>
        <v>-250</v>
      </c>
      <c r="M76" s="2"/>
      <c r="N76" s="7">
        <f t="shared" si="47"/>
        <v>-1</v>
      </c>
      <c r="O76" s="11"/>
      <c r="P76" s="6">
        <v>1946.42</v>
      </c>
      <c r="Q76" s="2"/>
      <c r="R76" s="7">
        <f t="shared" si="48"/>
        <v>2.986291766729069E-3</v>
      </c>
      <c r="S76" s="2"/>
      <c r="T76" s="6">
        <v>1850</v>
      </c>
      <c r="U76" s="2"/>
      <c r="V76" s="7">
        <f t="shared" si="49"/>
        <v>2.4495848946678497E-3</v>
      </c>
      <c r="W76" s="2"/>
      <c r="X76" s="6">
        <f t="shared" si="50"/>
        <v>96.420000000000073</v>
      </c>
      <c r="Y76" s="2"/>
      <c r="Z76" s="7">
        <f t="shared" si="51"/>
        <v>5.2118918918918955E-2</v>
      </c>
    </row>
    <row r="77" spans="1:26" s="27" customFormat="1" outlineLevel="1" collapsed="1" x14ac:dyDescent="0.25">
      <c r="A77" s="26"/>
      <c r="B77" s="13" t="str">
        <f>CONCATENATE("     ","Subscriptions &amp; Dues                              ")</f>
        <v xml:space="preserve">     Subscriptions &amp; Dues                              </v>
      </c>
      <c r="C77" s="13"/>
      <c r="D77" s="1">
        <f>SUM(OSRRefD22_13x_0)</f>
        <v>80.989999999999995</v>
      </c>
      <c r="E77" s="1"/>
      <c r="F77" s="5">
        <f t="shared" ref="F77:F79" si="52">IF(D$12=0,0,D77/D$12)</f>
        <v>1.8440194934649897E-3</v>
      </c>
      <c r="G77" s="1"/>
      <c r="H77" s="1">
        <f>SUM(OSRRefH22_13x_0)</f>
        <v>200</v>
      </c>
      <c r="I77" s="1"/>
      <c r="J77" s="5">
        <f t="shared" ref="J77:J79" si="53">IF(H$12=0,0,H77/H$12)</f>
        <v>1.8385732671446957E-3</v>
      </c>
      <c r="K77" s="1"/>
      <c r="L77" s="1">
        <f t="shared" ref="L77:L79" si="54">+D77-H77</f>
        <v>-119.01</v>
      </c>
      <c r="M77" s="1"/>
      <c r="N77" s="5">
        <f t="shared" ref="N77:N79" si="55">IF(H77=0,0,L77/H77)</f>
        <v>-0.59505000000000008</v>
      </c>
      <c r="O77" s="13"/>
      <c r="P77" s="1">
        <f>SUM(OSRRefP22_13x_0)</f>
        <v>2638.42</v>
      </c>
      <c r="Q77" s="1"/>
      <c r="R77" s="5">
        <f t="shared" ref="R77:R79" si="56">IF(P$12=0,0,P77/P$12)</f>
        <v>4.0479916581073506E-3</v>
      </c>
      <c r="S77" s="1"/>
      <c r="T77" s="1">
        <f>SUM(OSRRefT22_13x_0)</f>
        <v>1800</v>
      </c>
      <c r="U77" s="1"/>
      <c r="V77" s="5">
        <f t="shared" ref="V77:V79" si="57">IF(T$12=0,0,T77/T$12)</f>
        <v>2.3833798975146643E-3</v>
      </c>
      <c r="W77" s="1"/>
      <c r="X77" s="1">
        <f t="shared" ref="X77:X79" si="58">+P77-T77</f>
        <v>838.42000000000007</v>
      </c>
      <c r="Y77" s="1"/>
      <c r="Z77" s="5">
        <f t="shared" ref="Z77:Z79" si="59">IF(T77=0,0,X77/T77)</f>
        <v>0.46578888888888892</v>
      </c>
    </row>
    <row r="78" spans="1:26" s="24" customFormat="1" hidden="1" outlineLevel="2" x14ac:dyDescent="0.25">
      <c r="A78" s="25"/>
      <c r="B78" s="11" t="str">
        <f>CONCATENATE("          ", "6258", " - ", "MEMBERSHIP DUES")</f>
        <v xml:space="preserve">          6258 - MEMBERSHIP DUES</v>
      </c>
      <c r="C78" s="11"/>
      <c r="D78" s="6"/>
      <c r="E78" s="2"/>
      <c r="F78" s="7">
        <f t="shared" si="52"/>
        <v>0</v>
      </c>
      <c r="G78" s="2"/>
      <c r="H78" s="6"/>
      <c r="I78" s="2"/>
      <c r="J78" s="7">
        <f t="shared" si="53"/>
        <v>0</v>
      </c>
      <c r="K78" s="2"/>
      <c r="L78" s="6">
        <f t="shared" si="54"/>
        <v>0</v>
      </c>
      <c r="M78" s="2"/>
      <c r="N78" s="7">
        <f t="shared" si="55"/>
        <v>0</v>
      </c>
      <c r="O78" s="11"/>
      <c r="P78" s="6">
        <v>978</v>
      </c>
      <c r="Q78" s="2"/>
      <c r="R78" s="7">
        <f t="shared" si="56"/>
        <v>1.5004949331906933E-3</v>
      </c>
      <c r="S78" s="2"/>
      <c r="T78" s="6"/>
      <c r="U78" s="2"/>
      <c r="V78" s="7">
        <f t="shared" si="57"/>
        <v>0</v>
      </c>
      <c r="W78" s="2"/>
      <c r="X78" s="6">
        <f t="shared" si="58"/>
        <v>978</v>
      </c>
      <c r="Y78" s="2"/>
      <c r="Z78" s="7">
        <f t="shared" si="59"/>
        <v>0</v>
      </c>
    </row>
    <row r="79" spans="1:26" s="24" customFormat="1" hidden="1" outlineLevel="2" x14ac:dyDescent="0.25">
      <c r="A79" s="25"/>
      <c r="B79" s="11" t="str">
        <f>CONCATENATE("          ", "6275", " - ", "SUBSCRIPTIONS")</f>
        <v xml:space="preserve">          6275 - SUBSCRIPTIONS</v>
      </c>
      <c r="C79" s="11"/>
      <c r="D79" s="6">
        <v>80.989999999999995</v>
      </c>
      <c r="E79" s="2"/>
      <c r="F79" s="7">
        <f t="shared" si="52"/>
        <v>1.8440194934649897E-3</v>
      </c>
      <c r="G79" s="2"/>
      <c r="H79" s="6">
        <v>200</v>
      </c>
      <c r="I79" s="2"/>
      <c r="J79" s="7">
        <f t="shared" si="53"/>
        <v>1.8385732671446957E-3</v>
      </c>
      <c r="K79" s="2"/>
      <c r="L79" s="6">
        <f t="shared" si="54"/>
        <v>-119.01</v>
      </c>
      <c r="M79" s="2"/>
      <c r="N79" s="7">
        <f t="shared" si="55"/>
        <v>-0.59505000000000008</v>
      </c>
      <c r="O79" s="11"/>
      <c r="P79" s="6">
        <v>1660.42</v>
      </c>
      <c r="Q79" s="2"/>
      <c r="R79" s="7">
        <f t="shared" si="56"/>
        <v>2.5474967249166577E-3</v>
      </c>
      <c r="S79" s="2"/>
      <c r="T79" s="6">
        <v>1800</v>
      </c>
      <c r="U79" s="2"/>
      <c r="V79" s="7">
        <f t="shared" si="57"/>
        <v>2.3833798975146643E-3</v>
      </c>
      <c r="W79" s="2"/>
      <c r="X79" s="6">
        <f t="shared" si="58"/>
        <v>-139.57999999999993</v>
      </c>
      <c r="Y79" s="2"/>
      <c r="Z79" s="7">
        <f t="shared" si="59"/>
        <v>-7.7544444444444402E-2</v>
      </c>
    </row>
    <row r="80" spans="1:26" s="27" customFormat="1" outlineLevel="1" collapsed="1" x14ac:dyDescent="0.25">
      <c r="A80" s="26"/>
      <c r="B80" s="13" t="str">
        <f>CONCATENATE("     ","Supplies                                          ")</f>
        <v xml:space="preserve">     Supplies                                          </v>
      </c>
      <c r="C80" s="13"/>
      <c r="D80" s="1">
        <f>SUM(OSRRefD22_14x_0)</f>
        <v>1810.2999999999997</v>
      </c>
      <c r="E80" s="1"/>
      <c r="F80" s="5">
        <f t="shared" ref="F80:F89" si="60">IF(D$12=0,0,D80/D$12)</f>
        <v>4.1217786010861471E-2</v>
      </c>
      <c r="G80" s="1"/>
      <c r="H80" s="1">
        <f>SUM(OSRRefH22_14x_0)</f>
        <v>1310</v>
      </c>
      <c r="I80" s="1"/>
      <c r="J80" s="5">
        <f t="shared" ref="J80:J89" si="61">IF(H$12=0,0,H80/H$12)</f>
        <v>1.2042654899797757E-2</v>
      </c>
      <c r="K80" s="1"/>
      <c r="L80" s="1">
        <f t="shared" ref="L80:L89" si="62">+D80-H80</f>
        <v>500.29999999999973</v>
      </c>
      <c r="M80" s="1"/>
      <c r="N80" s="5">
        <f t="shared" ref="N80:N89" si="63">IF(H80=0,0,L80/H80)</f>
        <v>0.3819083969465647</v>
      </c>
      <c r="O80" s="13"/>
      <c r="P80" s="1">
        <f>SUM(OSRRefP22_14x_0)</f>
        <v>21774.560000000001</v>
      </c>
      <c r="Q80" s="1"/>
      <c r="R80" s="5">
        <f t="shared" ref="R80:R89" si="64">IF(P$12=0,0,P80/P$12)</f>
        <v>3.3407583795968046E-2</v>
      </c>
      <c r="S80" s="1"/>
      <c r="T80" s="1">
        <f>SUM(OSRRefT22_14x_0)</f>
        <v>15440</v>
      </c>
      <c r="U80" s="1"/>
      <c r="V80" s="5">
        <f t="shared" ref="V80:V89" si="65">IF(T$12=0,0,T80/T$12)</f>
        <v>2.0444103120903567E-2</v>
      </c>
      <c r="W80" s="1"/>
      <c r="X80" s="1">
        <f t="shared" ref="X80:X89" si="66">+P80-T80</f>
        <v>6334.5600000000013</v>
      </c>
      <c r="Y80" s="1"/>
      <c r="Z80" s="5">
        <f t="shared" ref="Z80:Z89" si="67">IF(T80=0,0,X80/T80)</f>
        <v>0.41026943005181354</v>
      </c>
    </row>
    <row r="81" spans="1:26" s="24" customFormat="1" hidden="1" outlineLevel="2" x14ac:dyDescent="0.25">
      <c r="A81" s="25"/>
      <c r="B81" s="11" t="str">
        <f>CONCATENATE("          ", "6234", " - ", "EXPENDABLE SUPPLIES &amp; EQUIPMEN")</f>
        <v xml:space="preserve">          6234 - EXPENDABLE SUPPLIES &amp; EQUIPMEN</v>
      </c>
      <c r="C81" s="11"/>
      <c r="D81" s="6">
        <v>14.32</v>
      </c>
      <c r="E81" s="2"/>
      <c r="F81" s="7">
        <f t="shared" si="60"/>
        <v>3.2604468633681507E-4</v>
      </c>
      <c r="G81" s="2"/>
      <c r="H81" s="6"/>
      <c r="I81" s="2"/>
      <c r="J81" s="7">
        <f t="shared" si="61"/>
        <v>0</v>
      </c>
      <c r="K81" s="2"/>
      <c r="L81" s="6">
        <f t="shared" si="62"/>
        <v>14.32</v>
      </c>
      <c r="M81" s="2"/>
      <c r="N81" s="7">
        <f t="shared" si="63"/>
        <v>0</v>
      </c>
      <c r="O81" s="11"/>
      <c r="P81" s="6">
        <v>1090.83</v>
      </c>
      <c r="Q81" s="2"/>
      <c r="R81" s="7">
        <f t="shared" si="64"/>
        <v>1.6736041799308833E-3</v>
      </c>
      <c r="S81" s="2"/>
      <c r="T81" s="6">
        <v>600</v>
      </c>
      <c r="U81" s="2"/>
      <c r="V81" s="7">
        <f t="shared" si="65"/>
        <v>7.9445996583822143E-4</v>
      </c>
      <c r="W81" s="2"/>
      <c r="X81" s="6">
        <f t="shared" si="66"/>
        <v>490.82999999999993</v>
      </c>
      <c r="Y81" s="2"/>
      <c r="Z81" s="7">
        <f t="shared" si="67"/>
        <v>0.81804999999999983</v>
      </c>
    </row>
    <row r="82" spans="1:26" s="24" customFormat="1" hidden="1" outlineLevel="2" x14ac:dyDescent="0.25">
      <c r="A82" s="25"/>
      <c r="B82" s="11" t="str">
        <f>CONCATENATE("          ", "6237", " - ", "JANITORIAL SUPPLIES")</f>
        <v xml:space="preserve">          6237 - JANITORIAL SUPPLIES</v>
      </c>
      <c r="C82" s="11"/>
      <c r="D82" s="6">
        <v>1100.3399999999999</v>
      </c>
      <c r="E82" s="2"/>
      <c r="F82" s="7">
        <f t="shared" si="60"/>
        <v>2.505307333546446E-2</v>
      </c>
      <c r="G82" s="2"/>
      <c r="H82" s="6">
        <v>400</v>
      </c>
      <c r="I82" s="2"/>
      <c r="J82" s="7">
        <f t="shared" si="61"/>
        <v>3.6771465342893914E-3</v>
      </c>
      <c r="K82" s="2"/>
      <c r="L82" s="6">
        <f t="shared" si="62"/>
        <v>700.33999999999992</v>
      </c>
      <c r="M82" s="2"/>
      <c r="N82" s="7">
        <f t="shared" si="63"/>
        <v>1.7508499999999998</v>
      </c>
      <c r="O82" s="11"/>
      <c r="P82" s="6">
        <v>8948.91</v>
      </c>
      <c r="Q82" s="2"/>
      <c r="R82" s="7">
        <f t="shared" si="64"/>
        <v>1.3729850830858413E-2</v>
      </c>
      <c r="S82" s="2"/>
      <c r="T82" s="6">
        <v>3450</v>
      </c>
      <c r="U82" s="2"/>
      <c r="V82" s="7">
        <f t="shared" si="65"/>
        <v>4.5681448035697738E-3</v>
      </c>
      <c r="W82" s="2"/>
      <c r="X82" s="6">
        <f t="shared" si="66"/>
        <v>5498.91</v>
      </c>
      <c r="Y82" s="2"/>
      <c r="Z82" s="7">
        <f t="shared" si="67"/>
        <v>1.5938869565217391</v>
      </c>
    </row>
    <row r="83" spans="1:26" s="24" customFormat="1" hidden="1" outlineLevel="2" x14ac:dyDescent="0.25">
      <c r="A83" s="25"/>
      <c r="B83" s="11" t="str">
        <f>CONCATENATE("          ", "6239", " - ", "KITCHEN SUPPLIES")</f>
        <v xml:space="preserve">          6239 - KITCHEN SUPPLIES</v>
      </c>
      <c r="C83" s="11"/>
      <c r="D83" s="6">
        <v>83.11</v>
      </c>
      <c r="E83" s="2"/>
      <c r="F83" s="7">
        <f t="shared" si="60"/>
        <v>1.8922886788723954E-3</v>
      </c>
      <c r="G83" s="2"/>
      <c r="H83" s="6"/>
      <c r="I83" s="2"/>
      <c r="J83" s="7">
        <f t="shared" si="61"/>
        <v>0</v>
      </c>
      <c r="K83" s="2"/>
      <c r="L83" s="6">
        <f t="shared" si="62"/>
        <v>83.11</v>
      </c>
      <c r="M83" s="2"/>
      <c r="N83" s="7">
        <f t="shared" si="63"/>
        <v>0</v>
      </c>
      <c r="O83" s="11"/>
      <c r="P83" s="6">
        <v>425.78</v>
      </c>
      <c r="Q83" s="2"/>
      <c r="R83" s="7">
        <f t="shared" si="64"/>
        <v>6.5325228287723249E-4</v>
      </c>
      <c r="S83" s="2"/>
      <c r="T83" s="6">
        <v>650</v>
      </c>
      <c r="U83" s="2"/>
      <c r="V83" s="7">
        <f t="shared" si="65"/>
        <v>8.6066496299140659E-4</v>
      </c>
      <c r="W83" s="2"/>
      <c r="X83" s="6">
        <f t="shared" si="66"/>
        <v>-224.22000000000003</v>
      </c>
      <c r="Y83" s="2"/>
      <c r="Z83" s="7">
        <f t="shared" si="67"/>
        <v>-0.34495384615384622</v>
      </c>
    </row>
    <row r="84" spans="1:26" s="24" customFormat="1" hidden="1" outlineLevel="2" x14ac:dyDescent="0.25">
      <c r="A84" s="25"/>
      <c r="B84" s="11" t="str">
        <f>CONCATENATE("          ", "6241", " - ", "OFFICE EXPENSE")</f>
        <v xml:space="preserve">          6241 - OFFICE EXPENSE</v>
      </c>
      <c r="C84" s="11"/>
      <c r="D84" s="6">
        <v>77.08</v>
      </c>
      <c r="E84" s="2"/>
      <c r="F84" s="7">
        <f t="shared" si="60"/>
        <v>1.7549947222654822E-3</v>
      </c>
      <c r="G84" s="2"/>
      <c r="H84" s="6">
        <v>100</v>
      </c>
      <c r="I84" s="2"/>
      <c r="J84" s="7">
        <f t="shared" si="61"/>
        <v>9.1928663357234786E-4</v>
      </c>
      <c r="K84" s="2"/>
      <c r="L84" s="6">
        <f t="shared" si="62"/>
        <v>-22.92</v>
      </c>
      <c r="M84" s="2"/>
      <c r="N84" s="7">
        <f t="shared" si="63"/>
        <v>-0.22920000000000001</v>
      </c>
      <c r="O84" s="11"/>
      <c r="P84" s="6">
        <v>5703.34</v>
      </c>
      <c r="Q84" s="2"/>
      <c r="R84" s="7">
        <f t="shared" si="64"/>
        <v>8.7503402579384559E-3</v>
      </c>
      <c r="S84" s="2"/>
      <c r="T84" s="6">
        <v>1050</v>
      </c>
      <c r="U84" s="2"/>
      <c r="V84" s="7">
        <f t="shared" si="65"/>
        <v>1.3903049402168876E-3</v>
      </c>
      <c r="W84" s="2"/>
      <c r="X84" s="6">
        <f t="shared" si="66"/>
        <v>4653.34</v>
      </c>
      <c r="Y84" s="2"/>
      <c r="Z84" s="7">
        <f t="shared" si="67"/>
        <v>4.4317523809523811</v>
      </c>
    </row>
    <row r="85" spans="1:26" s="24" customFormat="1" hidden="1" outlineLevel="2" x14ac:dyDescent="0.25">
      <c r="A85" s="25"/>
      <c r="B85" s="11" t="str">
        <f>CONCATENATE("          ", "6243", " - ", "PAPER SUPPLIES")</f>
        <v xml:space="preserve">          6243 - PAPER SUPPLIES</v>
      </c>
      <c r="C85" s="11"/>
      <c r="D85" s="6">
        <v>505.45</v>
      </c>
      <c r="E85" s="2"/>
      <c r="F85" s="7">
        <f t="shared" si="60"/>
        <v>1.1508330077440166E-2</v>
      </c>
      <c r="G85" s="2"/>
      <c r="H85" s="6">
        <v>750</v>
      </c>
      <c r="I85" s="2"/>
      <c r="J85" s="7">
        <f t="shared" si="61"/>
        <v>6.8946497517926092E-3</v>
      </c>
      <c r="K85" s="2"/>
      <c r="L85" s="6">
        <f t="shared" si="62"/>
        <v>-244.55</v>
      </c>
      <c r="M85" s="2"/>
      <c r="N85" s="7">
        <f t="shared" si="63"/>
        <v>-0.32606666666666667</v>
      </c>
      <c r="O85" s="11"/>
      <c r="P85" s="6">
        <v>5123.8</v>
      </c>
      <c r="Q85" s="2"/>
      <c r="R85" s="7">
        <f t="shared" si="64"/>
        <v>7.8611819413931232E-3</v>
      </c>
      <c r="S85" s="2"/>
      <c r="T85" s="6">
        <v>7250</v>
      </c>
      <c r="U85" s="2"/>
      <c r="V85" s="7">
        <f t="shared" si="65"/>
        <v>9.5997245872118421E-3</v>
      </c>
      <c r="W85" s="2"/>
      <c r="X85" s="6">
        <f t="shared" si="66"/>
        <v>-2126.1999999999998</v>
      </c>
      <c r="Y85" s="2"/>
      <c r="Z85" s="7">
        <f t="shared" si="67"/>
        <v>-0.29326896551724135</v>
      </c>
    </row>
    <row r="86" spans="1:26" s="24" customFormat="1" hidden="1" outlineLevel="2" x14ac:dyDescent="0.25">
      <c r="A86" s="25"/>
      <c r="B86" s="11" t="str">
        <f>CONCATENATE("          ", "6244", " - ", "SAFETY SUPPLY EXPENSE")</f>
        <v xml:space="preserve">          6244 - SAFETY SUPPLY EXPENSE</v>
      </c>
      <c r="C86" s="11"/>
      <c r="D86" s="6"/>
      <c r="E86" s="2"/>
      <c r="F86" s="7">
        <f t="shared" si="60"/>
        <v>0</v>
      </c>
      <c r="G86" s="2"/>
      <c r="H86" s="6">
        <v>60</v>
      </c>
      <c r="I86" s="2"/>
      <c r="J86" s="7">
        <f t="shared" si="61"/>
        <v>5.5157198014340876E-4</v>
      </c>
      <c r="K86" s="2"/>
      <c r="L86" s="6">
        <f t="shared" si="62"/>
        <v>-60</v>
      </c>
      <c r="M86" s="2"/>
      <c r="N86" s="7">
        <f t="shared" si="63"/>
        <v>-1</v>
      </c>
      <c r="O86" s="11"/>
      <c r="P86" s="6"/>
      <c r="Q86" s="2"/>
      <c r="R86" s="7">
        <f t="shared" si="64"/>
        <v>0</v>
      </c>
      <c r="S86" s="2"/>
      <c r="T86" s="6">
        <v>540</v>
      </c>
      <c r="U86" s="2"/>
      <c r="V86" s="7">
        <f t="shared" si="65"/>
        <v>7.1501396925439931E-4</v>
      </c>
      <c r="W86" s="2"/>
      <c r="X86" s="6">
        <f t="shared" si="66"/>
        <v>-540</v>
      </c>
      <c r="Y86" s="2"/>
      <c r="Z86" s="7">
        <f t="shared" si="67"/>
        <v>-1</v>
      </c>
    </row>
    <row r="87" spans="1:26" s="24" customFormat="1" hidden="1" outlineLevel="2" x14ac:dyDescent="0.25">
      <c r="A87" s="25"/>
      <c r="B87" s="11" t="str">
        <f>CONCATENATE("          ", "6246", " - ", "REPLACEMENTS")</f>
        <v xml:space="preserve">          6246 - REPLACEMENTS</v>
      </c>
      <c r="C87" s="11"/>
      <c r="D87" s="6"/>
      <c r="E87" s="2"/>
      <c r="F87" s="7">
        <f t="shared" si="60"/>
        <v>0</v>
      </c>
      <c r="G87" s="2"/>
      <c r="H87" s="6"/>
      <c r="I87" s="2"/>
      <c r="J87" s="7">
        <f t="shared" si="61"/>
        <v>0</v>
      </c>
      <c r="K87" s="2"/>
      <c r="L87" s="6">
        <f t="shared" si="62"/>
        <v>0</v>
      </c>
      <c r="M87" s="2"/>
      <c r="N87" s="7">
        <f t="shared" si="63"/>
        <v>0</v>
      </c>
      <c r="O87" s="11"/>
      <c r="P87" s="6">
        <v>25.87</v>
      </c>
      <c r="Q87" s="2"/>
      <c r="R87" s="7">
        <f t="shared" si="64"/>
        <v>3.9691006054849937E-5</v>
      </c>
      <c r="S87" s="2"/>
      <c r="T87" s="6"/>
      <c r="U87" s="2"/>
      <c r="V87" s="7">
        <f t="shared" si="65"/>
        <v>0</v>
      </c>
      <c r="W87" s="2"/>
      <c r="X87" s="6">
        <f t="shared" si="66"/>
        <v>25.87</v>
      </c>
      <c r="Y87" s="2"/>
      <c r="Z87" s="7">
        <f t="shared" si="67"/>
        <v>0</v>
      </c>
    </row>
    <row r="88" spans="1:26" s="24" customFormat="1" hidden="1" outlineLevel="2" x14ac:dyDescent="0.25">
      <c r="A88" s="25"/>
      <c r="B88" s="11" t="str">
        <f>CONCATENATE("          ", "6247", " - ", "STORE SUPPLIES")</f>
        <v xml:space="preserve">          6247 - STORE SUPPLIES</v>
      </c>
      <c r="C88" s="11"/>
      <c r="D88" s="6">
        <v>30</v>
      </c>
      <c r="E88" s="2"/>
      <c r="F88" s="7">
        <f t="shared" si="60"/>
        <v>6.8305451048215448E-4</v>
      </c>
      <c r="G88" s="2"/>
      <c r="H88" s="6"/>
      <c r="I88" s="2"/>
      <c r="J88" s="7">
        <f t="shared" si="61"/>
        <v>0</v>
      </c>
      <c r="K88" s="2"/>
      <c r="L88" s="6">
        <f t="shared" si="62"/>
        <v>30</v>
      </c>
      <c r="M88" s="2"/>
      <c r="N88" s="7">
        <f t="shared" si="63"/>
        <v>0</v>
      </c>
      <c r="O88" s="11"/>
      <c r="P88" s="6">
        <v>440.56</v>
      </c>
      <c r="Q88" s="2"/>
      <c r="R88" s="7">
        <f t="shared" si="64"/>
        <v>6.7592847419886692E-4</v>
      </c>
      <c r="S88" s="2"/>
      <c r="T88" s="6">
        <v>300</v>
      </c>
      <c r="U88" s="2"/>
      <c r="V88" s="7">
        <f t="shared" si="65"/>
        <v>3.9722998291911072E-4</v>
      </c>
      <c r="W88" s="2"/>
      <c r="X88" s="6">
        <f t="shared" si="66"/>
        <v>140.56</v>
      </c>
      <c r="Y88" s="2"/>
      <c r="Z88" s="7">
        <f t="shared" si="67"/>
        <v>0.46853333333333336</v>
      </c>
    </row>
    <row r="89" spans="1:26" s="24" customFormat="1" hidden="1" outlineLevel="2" x14ac:dyDescent="0.25">
      <c r="A89" s="25"/>
      <c r="B89" s="11" t="str">
        <f>CONCATENATE("          ", "6248", " - ", "UNIFORMS")</f>
        <v xml:space="preserve">          6248 - UNIFORMS</v>
      </c>
      <c r="C89" s="11"/>
      <c r="D89" s="6"/>
      <c r="E89" s="2"/>
      <c r="F89" s="7">
        <f t="shared" si="60"/>
        <v>0</v>
      </c>
      <c r="G89" s="2"/>
      <c r="H89" s="6"/>
      <c r="I89" s="2"/>
      <c r="J89" s="7">
        <f t="shared" si="61"/>
        <v>0</v>
      </c>
      <c r="K89" s="2"/>
      <c r="L89" s="6">
        <f t="shared" si="62"/>
        <v>0</v>
      </c>
      <c r="M89" s="2"/>
      <c r="N89" s="7">
        <f t="shared" si="63"/>
        <v>0</v>
      </c>
      <c r="O89" s="11"/>
      <c r="P89" s="6">
        <v>15.47</v>
      </c>
      <c r="Q89" s="2"/>
      <c r="R89" s="7">
        <f t="shared" si="64"/>
        <v>2.3734822716216798E-5</v>
      </c>
      <c r="S89" s="2"/>
      <c r="T89" s="6">
        <v>1600</v>
      </c>
      <c r="U89" s="2"/>
      <c r="V89" s="7">
        <f t="shared" si="65"/>
        <v>2.1185599089019241E-3</v>
      </c>
      <c r="W89" s="2"/>
      <c r="X89" s="6">
        <f t="shared" si="66"/>
        <v>-1584.53</v>
      </c>
      <c r="Y89" s="2"/>
      <c r="Z89" s="7">
        <f t="shared" si="67"/>
        <v>-0.99033125</v>
      </c>
    </row>
    <row r="90" spans="1:26" s="27" customFormat="1" outlineLevel="1" collapsed="1" x14ac:dyDescent="0.25">
      <c r="A90" s="26"/>
      <c r="B90" s="13" t="str">
        <f>CONCATENATE("     ","Telephone/Data Lines                              ")</f>
        <v xml:space="preserve">     Telephone/Data Lines                              </v>
      </c>
      <c r="C90" s="13"/>
      <c r="D90" s="1">
        <f>SUM(OSRRefD22_15x_0)</f>
        <v>201.54</v>
      </c>
      <c r="E90" s="1"/>
      <c r="F90" s="5">
        <f t="shared" ref="F90:F96" si="68">IF(D$12=0,0,D90/D$12)</f>
        <v>4.5887602014191139E-3</v>
      </c>
      <c r="G90" s="1"/>
      <c r="H90" s="1">
        <f>SUM(OSRRefH22_15x_0)</f>
        <v>150</v>
      </c>
      <c r="I90" s="1"/>
      <c r="J90" s="5">
        <f t="shared" ref="J90:J96" si="69">IF(H$12=0,0,H90/H$12)</f>
        <v>1.3789299503585218E-3</v>
      </c>
      <c r="K90" s="1"/>
      <c r="L90" s="1">
        <f t="shared" ref="L90:L96" si="70">+D90-H90</f>
        <v>51.539999999999992</v>
      </c>
      <c r="M90" s="1"/>
      <c r="N90" s="5">
        <f t="shared" ref="N90:N96" si="71">IF(H90=0,0,L90/H90)</f>
        <v>0.34359999999999996</v>
      </c>
      <c r="O90" s="13"/>
      <c r="P90" s="1">
        <f>SUM(OSRRefP22_15x_0)</f>
        <v>1322.79</v>
      </c>
      <c r="Q90" s="1"/>
      <c r="R90" s="5">
        <f t="shared" ref="R90:R96" si="72">IF(P$12=0,0,P90/P$12)</f>
        <v>2.0294884383183203E-3</v>
      </c>
      <c r="S90" s="1"/>
      <c r="T90" s="1">
        <f>SUM(OSRRefT22_15x_0)</f>
        <v>1350</v>
      </c>
      <c r="U90" s="1"/>
      <c r="V90" s="5">
        <f t="shared" ref="V90:V96" si="73">IF(T$12=0,0,T90/T$12)</f>
        <v>1.7875349231359983E-3</v>
      </c>
      <c r="W90" s="1"/>
      <c r="X90" s="1">
        <f t="shared" ref="X90:X96" si="74">+P90-T90</f>
        <v>-27.210000000000036</v>
      </c>
      <c r="Y90" s="1"/>
      <c r="Z90" s="5">
        <f t="shared" ref="Z90:Z96" si="75">IF(T90=0,0,X90/T90)</f>
        <v>-2.0155555555555583E-2</v>
      </c>
    </row>
    <row r="91" spans="1:26" s="24" customFormat="1" hidden="1" outlineLevel="2" x14ac:dyDescent="0.25">
      <c r="A91" s="25"/>
      <c r="B91" s="11" t="str">
        <f>CONCATENATE("          ", "6309", " - ", "TELEPHONE")</f>
        <v xml:space="preserve">          6309 - TELEPHONE</v>
      </c>
      <c r="C91" s="11"/>
      <c r="D91" s="6">
        <v>201.54</v>
      </c>
      <c r="E91" s="2"/>
      <c r="F91" s="7">
        <f t="shared" si="68"/>
        <v>4.5887602014191139E-3</v>
      </c>
      <c r="G91" s="2"/>
      <c r="H91" s="6">
        <v>150</v>
      </c>
      <c r="I91" s="2"/>
      <c r="J91" s="7">
        <f t="shared" si="69"/>
        <v>1.3789299503585218E-3</v>
      </c>
      <c r="K91" s="2"/>
      <c r="L91" s="6">
        <f t="shared" si="70"/>
        <v>51.539999999999992</v>
      </c>
      <c r="M91" s="2"/>
      <c r="N91" s="7">
        <f t="shared" si="71"/>
        <v>0.34359999999999996</v>
      </c>
      <c r="O91" s="11"/>
      <c r="P91" s="6">
        <v>1322.79</v>
      </c>
      <c r="Q91" s="2"/>
      <c r="R91" s="7">
        <f t="shared" si="72"/>
        <v>2.0294884383183203E-3</v>
      </c>
      <c r="S91" s="2"/>
      <c r="T91" s="6">
        <v>1350</v>
      </c>
      <c r="U91" s="2"/>
      <c r="V91" s="7">
        <f t="shared" si="73"/>
        <v>1.7875349231359983E-3</v>
      </c>
      <c r="W91" s="2"/>
      <c r="X91" s="6">
        <f t="shared" si="74"/>
        <v>-27.210000000000036</v>
      </c>
      <c r="Y91" s="2"/>
      <c r="Z91" s="7">
        <f t="shared" si="75"/>
        <v>-2.0155555555555583E-2</v>
      </c>
    </row>
    <row r="92" spans="1:26" s="27" customFormat="1" outlineLevel="1" collapsed="1" x14ac:dyDescent="0.25">
      <c r="A92" s="26"/>
      <c r="B92" s="13" t="str">
        <f>CONCATENATE("     ","Training                                          ")</f>
        <v xml:space="preserve">     Training                                          </v>
      </c>
      <c r="C92" s="13"/>
      <c r="D92" s="1">
        <f>SUM(OSRRefD22_16x_0)</f>
        <v>0</v>
      </c>
      <c r="E92" s="1"/>
      <c r="F92" s="5">
        <f t="shared" si="68"/>
        <v>0</v>
      </c>
      <c r="G92" s="1"/>
      <c r="H92" s="1">
        <f>SUM(OSRRefH22_16x_0)</f>
        <v>0</v>
      </c>
      <c r="I92" s="1"/>
      <c r="J92" s="5">
        <f t="shared" si="69"/>
        <v>0</v>
      </c>
      <c r="K92" s="1"/>
      <c r="L92" s="1">
        <f t="shared" si="70"/>
        <v>0</v>
      </c>
      <c r="M92" s="1"/>
      <c r="N92" s="5">
        <f t="shared" si="71"/>
        <v>0</v>
      </c>
      <c r="O92" s="13"/>
      <c r="P92" s="1">
        <f>SUM(OSRRefP22_16x_0)</f>
        <v>185</v>
      </c>
      <c r="Q92" s="1"/>
      <c r="R92" s="5">
        <f t="shared" si="72"/>
        <v>2.8383595361991645E-4</v>
      </c>
      <c r="S92" s="1"/>
      <c r="T92" s="1">
        <f>SUM(OSRRefT22_16x_0)</f>
        <v>0</v>
      </c>
      <c r="U92" s="1"/>
      <c r="V92" s="5">
        <f t="shared" si="73"/>
        <v>0</v>
      </c>
      <c r="W92" s="1"/>
      <c r="X92" s="1">
        <f t="shared" si="74"/>
        <v>185</v>
      </c>
      <c r="Y92" s="1"/>
      <c r="Z92" s="5">
        <f t="shared" si="75"/>
        <v>0</v>
      </c>
    </row>
    <row r="93" spans="1:26" s="24" customFormat="1" hidden="1" outlineLevel="2" x14ac:dyDescent="0.25">
      <c r="A93" s="25"/>
      <c r="B93" s="11" t="str">
        <f>CONCATENATE("          ", "6376", " - ", "TRAINING")</f>
        <v xml:space="preserve">          6376 - TRAINING</v>
      </c>
      <c r="C93" s="11"/>
      <c r="D93" s="6"/>
      <c r="E93" s="2"/>
      <c r="F93" s="7">
        <f t="shared" si="68"/>
        <v>0</v>
      </c>
      <c r="G93" s="2"/>
      <c r="H93" s="6"/>
      <c r="I93" s="2"/>
      <c r="J93" s="7">
        <f t="shared" si="69"/>
        <v>0</v>
      </c>
      <c r="K93" s="2"/>
      <c r="L93" s="6">
        <f t="shared" si="70"/>
        <v>0</v>
      </c>
      <c r="M93" s="2"/>
      <c r="N93" s="7">
        <f t="shared" si="71"/>
        <v>0</v>
      </c>
      <c r="O93" s="11"/>
      <c r="P93" s="6">
        <v>185</v>
      </c>
      <c r="Q93" s="2"/>
      <c r="R93" s="7">
        <f t="shared" si="72"/>
        <v>2.8383595361991645E-4</v>
      </c>
      <c r="S93" s="2"/>
      <c r="T93" s="6"/>
      <c r="U93" s="2"/>
      <c r="V93" s="7">
        <f t="shared" si="73"/>
        <v>0</v>
      </c>
      <c r="W93" s="2"/>
      <c r="X93" s="6">
        <f t="shared" si="74"/>
        <v>185</v>
      </c>
      <c r="Y93" s="2"/>
      <c r="Z93" s="7">
        <f t="shared" si="75"/>
        <v>0</v>
      </c>
    </row>
    <row r="94" spans="1:26" s="27" customFormat="1" outlineLevel="1" collapsed="1" x14ac:dyDescent="0.25">
      <c r="A94" s="26"/>
      <c r="B94" s="13" t="str">
        <f>CONCATENATE("     ","Travel                                            ")</f>
        <v xml:space="preserve">     Travel                                            </v>
      </c>
      <c r="C94" s="13"/>
      <c r="D94" s="1">
        <f>SUM(OSRRefD22_17x_0)</f>
        <v>0</v>
      </c>
      <c r="E94" s="1"/>
      <c r="F94" s="5">
        <f t="shared" si="68"/>
        <v>0</v>
      </c>
      <c r="G94" s="1"/>
      <c r="H94" s="1">
        <f>SUM(OSRRefH22_17x_0)</f>
        <v>0</v>
      </c>
      <c r="I94" s="1"/>
      <c r="J94" s="5">
        <f t="shared" si="69"/>
        <v>0</v>
      </c>
      <c r="K94" s="1"/>
      <c r="L94" s="1">
        <f t="shared" si="70"/>
        <v>0</v>
      </c>
      <c r="M94" s="1"/>
      <c r="N94" s="5">
        <f t="shared" si="71"/>
        <v>0</v>
      </c>
      <c r="O94" s="13"/>
      <c r="P94" s="1">
        <f>SUM(OSRRefP22_17x_0)</f>
        <v>0</v>
      </c>
      <c r="Q94" s="1"/>
      <c r="R94" s="5">
        <f t="shared" si="72"/>
        <v>0</v>
      </c>
      <c r="S94" s="1"/>
      <c r="T94" s="1">
        <f>SUM(OSRRefT22_17x_0)</f>
        <v>2400</v>
      </c>
      <c r="U94" s="1"/>
      <c r="V94" s="5">
        <f t="shared" si="73"/>
        <v>3.1778398633528857E-3</v>
      </c>
      <c r="W94" s="1"/>
      <c r="X94" s="1">
        <f t="shared" si="74"/>
        <v>-2400</v>
      </c>
      <c r="Y94" s="1"/>
      <c r="Z94" s="5">
        <f t="shared" si="75"/>
        <v>-1</v>
      </c>
    </row>
    <row r="95" spans="1:26" s="24" customFormat="1" hidden="1" outlineLevel="2" x14ac:dyDescent="0.25">
      <c r="A95" s="25"/>
      <c r="B95" s="11" t="str">
        <f>CONCATENATE("          ", "6292", " - ", "TRAVEL/CONFERENCE")</f>
        <v xml:space="preserve">          6292 - TRAVEL/CONFERENCE</v>
      </c>
      <c r="C95" s="11"/>
      <c r="D95" s="6"/>
      <c r="E95" s="2"/>
      <c r="F95" s="7">
        <f t="shared" si="68"/>
        <v>0</v>
      </c>
      <c r="G95" s="2"/>
      <c r="H95" s="6"/>
      <c r="I95" s="2"/>
      <c r="J95" s="7">
        <f t="shared" si="69"/>
        <v>0</v>
      </c>
      <c r="K95" s="2"/>
      <c r="L95" s="6">
        <f t="shared" si="70"/>
        <v>0</v>
      </c>
      <c r="M95" s="2"/>
      <c r="N95" s="7">
        <f t="shared" si="71"/>
        <v>0</v>
      </c>
      <c r="O95" s="11"/>
      <c r="P95" s="6"/>
      <c r="Q95" s="2"/>
      <c r="R95" s="7">
        <f t="shared" si="72"/>
        <v>0</v>
      </c>
      <c r="S95" s="2"/>
      <c r="T95" s="6">
        <v>2400</v>
      </c>
      <c r="U95" s="2"/>
      <c r="V95" s="7">
        <f t="shared" si="73"/>
        <v>3.1778398633528857E-3</v>
      </c>
      <c r="W95" s="2"/>
      <c r="X95" s="6">
        <f t="shared" si="74"/>
        <v>-2400</v>
      </c>
      <c r="Y95" s="2"/>
      <c r="Z95" s="7">
        <f t="shared" si="75"/>
        <v>-1</v>
      </c>
    </row>
    <row r="96" spans="1:26" s="24" customFormat="1" hidden="1" outlineLevel="2" x14ac:dyDescent="0.25">
      <c r="A96" s="25"/>
      <c r="B96" s="11" t="str">
        <f>CONCATENATE("          ", "6298", " - ", "VEHICLE MILEAGE")</f>
        <v xml:space="preserve">          6298 - VEHICLE MILEAGE</v>
      </c>
      <c r="C96" s="11"/>
      <c r="D96" s="6"/>
      <c r="E96" s="2"/>
      <c r="F96" s="7">
        <f t="shared" si="68"/>
        <v>0</v>
      </c>
      <c r="G96" s="2"/>
      <c r="H96" s="6"/>
      <c r="I96" s="2"/>
      <c r="J96" s="7">
        <f t="shared" si="69"/>
        <v>0</v>
      </c>
      <c r="K96" s="2"/>
      <c r="L96" s="6">
        <f t="shared" si="70"/>
        <v>0</v>
      </c>
      <c r="M96" s="2"/>
      <c r="N96" s="7">
        <f t="shared" si="71"/>
        <v>0</v>
      </c>
      <c r="O96" s="11"/>
      <c r="P96" s="6"/>
      <c r="Q96" s="2"/>
      <c r="R96" s="7">
        <f t="shared" si="72"/>
        <v>0</v>
      </c>
      <c r="S96" s="2"/>
      <c r="T96" s="6">
        <v>0</v>
      </c>
      <c r="U96" s="2"/>
      <c r="V96" s="7">
        <f t="shared" si="73"/>
        <v>0</v>
      </c>
      <c r="W96" s="2"/>
      <c r="X96" s="6">
        <f t="shared" si="74"/>
        <v>0</v>
      </c>
      <c r="Y96" s="2"/>
      <c r="Z96" s="7">
        <f t="shared" si="75"/>
        <v>0</v>
      </c>
    </row>
    <row r="97" spans="1:26" s="27" customFormat="1" outlineLevel="1" collapsed="1" x14ac:dyDescent="0.25">
      <c r="A97" s="26"/>
      <c r="B97" s="13" t="str">
        <f>CONCATENATE("     ","Utilities                                         ")</f>
        <v xml:space="preserve">     Utilities                                         </v>
      </c>
      <c r="C97" s="13"/>
      <c r="D97" s="1">
        <f>SUM(OSRRefD22_18x_0)</f>
        <v>2312</v>
      </c>
      <c r="E97" s="1"/>
      <c r="F97" s="5">
        <f t="shared" ref="F97:F98" si="76">IF(D$12=0,0,D97/D$12)</f>
        <v>5.2640734274491376E-2</v>
      </c>
      <c r="G97" s="1"/>
      <c r="H97" s="1">
        <f>SUM(OSRRefH22_18x_0)</f>
        <v>2100</v>
      </c>
      <c r="I97" s="1"/>
      <c r="J97" s="5">
        <f t="shared" ref="J97:J98" si="77">IF(H$12=0,0,H97/H$12)</f>
        <v>1.9305019305019305E-2</v>
      </c>
      <c r="K97" s="1"/>
      <c r="L97" s="1">
        <f t="shared" ref="L97:L98" si="78">+D97-H97</f>
        <v>212</v>
      </c>
      <c r="M97" s="1"/>
      <c r="N97" s="5">
        <f t="shared" ref="N97:N98" si="79">IF(H97=0,0,L97/H97)</f>
        <v>0.10095238095238095</v>
      </c>
      <c r="O97" s="13"/>
      <c r="P97" s="1">
        <f>SUM(OSRRefP22_18x_0)</f>
        <v>20148</v>
      </c>
      <c r="Q97" s="1"/>
      <c r="R97" s="5">
        <f t="shared" ref="R97:R98" si="80">IF(P$12=0,0,P97/P$12)</f>
        <v>3.0912036721805817E-2</v>
      </c>
      <c r="S97" s="1"/>
      <c r="T97" s="1">
        <f>SUM(OSRRefT22_18x_0)</f>
        <v>18900</v>
      </c>
      <c r="U97" s="1"/>
      <c r="V97" s="5">
        <f t="shared" ref="V97:V98" si="81">IF(T$12=0,0,T97/T$12)</f>
        <v>2.5025488923903976E-2</v>
      </c>
      <c r="W97" s="1"/>
      <c r="X97" s="1">
        <f t="shared" ref="X97:X98" si="82">+P97-T97</f>
        <v>1248</v>
      </c>
      <c r="Y97" s="1"/>
      <c r="Z97" s="5">
        <f t="shared" ref="Z97:Z98" si="83">IF(T97=0,0,X97/T97)</f>
        <v>6.6031746031746039E-2</v>
      </c>
    </row>
    <row r="98" spans="1:26" s="24" customFormat="1" hidden="1" outlineLevel="2" x14ac:dyDescent="0.25">
      <c r="A98" s="25"/>
      <c r="B98" s="11" t="str">
        <f>CONCATENATE("          ", "6274", " - ", "UTILITIES")</f>
        <v xml:space="preserve">          6274 - UTILITIES</v>
      </c>
      <c r="C98" s="11"/>
      <c r="D98" s="6">
        <v>2312</v>
      </c>
      <c r="E98" s="2"/>
      <c r="F98" s="7">
        <f t="shared" si="76"/>
        <v>5.2640734274491376E-2</v>
      </c>
      <c r="G98" s="2"/>
      <c r="H98" s="6">
        <v>2100</v>
      </c>
      <c r="I98" s="2"/>
      <c r="J98" s="7">
        <f t="shared" si="77"/>
        <v>1.9305019305019305E-2</v>
      </c>
      <c r="K98" s="2"/>
      <c r="L98" s="6">
        <f t="shared" si="78"/>
        <v>212</v>
      </c>
      <c r="M98" s="2"/>
      <c r="N98" s="7">
        <f t="shared" si="79"/>
        <v>0.10095238095238095</v>
      </c>
      <c r="O98" s="11"/>
      <c r="P98" s="6">
        <v>20148</v>
      </c>
      <c r="Q98" s="2"/>
      <c r="R98" s="7">
        <f t="shared" si="80"/>
        <v>3.0912036721805817E-2</v>
      </c>
      <c r="S98" s="2"/>
      <c r="T98" s="6">
        <v>18900</v>
      </c>
      <c r="U98" s="2"/>
      <c r="V98" s="7">
        <f t="shared" si="81"/>
        <v>2.5025488923903976E-2</v>
      </c>
      <c r="W98" s="2"/>
      <c r="X98" s="6">
        <f t="shared" si="82"/>
        <v>1248</v>
      </c>
      <c r="Y98" s="2"/>
      <c r="Z98" s="7">
        <f t="shared" si="83"/>
        <v>6.6031746031746039E-2</v>
      </c>
    </row>
    <row r="99" spans="1:26" s="56" customFormat="1" x14ac:dyDescent="0.25">
      <c r="A99" s="36"/>
      <c r="B99" s="36"/>
      <c r="C99" s="36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6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3" customFormat="1" collapsed="1" x14ac:dyDescent="0.25">
      <c r="A100" s="10"/>
      <c r="B100" s="29" t="s">
        <v>0</v>
      </c>
      <c r="C100" s="10"/>
      <c r="D100" s="4">
        <f>SUM(OSRRefD25x_0)</f>
        <v>0</v>
      </c>
      <c r="E100" s="4"/>
      <c r="F100" s="12">
        <f t="shared" ref="F100:F101" si="84">IF(D$12=0,0,D100/D$12)</f>
        <v>0</v>
      </c>
      <c r="G100" s="4"/>
      <c r="H100" s="4">
        <f>SUM(OSRRefH25x_0)</f>
        <v>0</v>
      </c>
      <c r="I100" s="4"/>
      <c r="J100" s="12">
        <f t="shared" ref="J100:J101" si="85">IF(H$12=0,0,H100/H$12)</f>
        <v>0</v>
      </c>
      <c r="K100" s="4"/>
      <c r="L100" s="4">
        <f t="shared" ref="L100:L101" si="86">+D100-H100</f>
        <v>0</v>
      </c>
      <c r="M100" s="4"/>
      <c r="N100" s="12">
        <f t="shared" ref="N100:N101" si="87">IF(H100=0,0,L100/H100)</f>
        <v>0</v>
      </c>
      <c r="O100" s="10"/>
      <c r="P100" s="4">
        <f>SUM(OSRRefP25x_0)</f>
        <v>68.760000000000005</v>
      </c>
      <c r="Q100" s="4"/>
      <c r="R100" s="12">
        <f t="shared" ref="R100:R101" si="88">IF(P$12=0,0,P100/P$12)</f>
        <v>1.0549491984273219E-4</v>
      </c>
      <c r="S100" s="4"/>
      <c r="T100" s="4">
        <f>SUM(OSRRefT25x_0)</f>
        <v>0</v>
      </c>
      <c r="U100" s="4"/>
      <c r="V100" s="12">
        <f t="shared" ref="V100:V101" si="89">IF(T$12=0,0,T100/T$12)</f>
        <v>0</v>
      </c>
      <c r="W100" s="4"/>
      <c r="X100" s="4">
        <f t="shared" ref="X100:X101" si="90">+P100-T100</f>
        <v>68.760000000000005</v>
      </c>
      <c r="Y100" s="4"/>
      <c r="Z100" s="12">
        <f t="shared" ref="Z100:Z101" si="91">IF(T100=0,0,X100/T100)</f>
        <v>0</v>
      </c>
    </row>
    <row r="101" spans="1:26" s="24" customFormat="1" hidden="1" outlineLevel="1" x14ac:dyDescent="0.25">
      <c r="A101" s="44"/>
      <c r="B101" s="11" t="str">
        <f>CONCATENATE("          ", "9150", " - ", "MISC. INCOME")</f>
        <v xml:space="preserve">          9150 - MISC. INCOME</v>
      </c>
      <c r="C101" s="11"/>
      <c r="D101" s="2">
        <f>0</f>
        <v>0</v>
      </c>
      <c r="E101" s="2"/>
      <c r="F101" s="19">
        <f t="shared" si="84"/>
        <v>0</v>
      </c>
      <c r="G101" s="2"/>
      <c r="H101" s="2"/>
      <c r="I101" s="2"/>
      <c r="J101" s="19">
        <f t="shared" si="85"/>
        <v>0</v>
      </c>
      <c r="K101" s="2"/>
      <c r="L101" s="2">
        <f t="shared" si="86"/>
        <v>0</v>
      </c>
      <c r="M101" s="2"/>
      <c r="N101" s="19">
        <f t="shared" si="87"/>
        <v>0</v>
      </c>
      <c r="O101" s="11"/>
      <c r="P101" s="2">
        <f>--68.76</f>
        <v>68.760000000000005</v>
      </c>
      <c r="Q101" s="2"/>
      <c r="R101" s="19">
        <f t="shared" si="88"/>
        <v>1.0549491984273219E-4</v>
      </c>
      <c r="S101" s="2"/>
      <c r="T101" s="2"/>
      <c r="U101" s="2"/>
      <c r="V101" s="19">
        <f t="shared" si="89"/>
        <v>0</v>
      </c>
      <c r="W101" s="2"/>
      <c r="X101" s="2">
        <f t="shared" si="90"/>
        <v>68.760000000000005</v>
      </c>
      <c r="Y101" s="2"/>
      <c r="Z101" s="19">
        <f t="shared" si="91"/>
        <v>0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10"/>
      <c r="B103" s="28" t="s">
        <v>3</v>
      </c>
      <c r="C103" s="28"/>
      <c r="D103" s="20">
        <f>+D22-D24+D100</f>
        <v>-46173.72</v>
      </c>
      <c r="E103" s="14"/>
      <c r="F103" s="22">
        <f>IF(D$12=0,0,D103/D$12)</f>
        <v>-1.0513055903913355</v>
      </c>
      <c r="G103" s="14"/>
      <c r="H103" s="20">
        <f>+H22-H24+H100</f>
        <v>8280.2696246769119</v>
      </c>
      <c r="I103" s="14"/>
      <c r="J103" s="22">
        <f>IF(H$12=0,0,H103/H$12)</f>
        <v>7.6119411883406068E-2</v>
      </c>
      <c r="K103" s="16"/>
      <c r="L103" s="20">
        <f>+D103-H103</f>
        <v>-54453.989624676913</v>
      </c>
      <c r="M103" s="16"/>
      <c r="N103" s="22">
        <f>IF(H103=0,0,L103/H103)</f>
        <v>-6.5763546470024101</v>
      </c>
      <c r="O103" s="29"/>
      <c r="P103" s="20">
        <f>+P22-P24+P100</f>
        <v>-198209.7200000002</v>
      </c>
      <c r="Q103" s="14"/>
      <c r="R103" s="22">
        <f>IF(P$12=0,0,P103/P$12)</f>
        <v>-0.30410294536722532</v>
      </c>
      <c r="S103" s="14"/>
      <c r="T103" s="20">
        <f>+T22-T24+T100</f>
        <v>-91669.514148146147</v>
      </c>
      <c r="U103" s="14"/>
      <c r="V103" s="22">
        <f>IF(T$12=0,0,T103/T$12)</f>
        <v>-0.12137959846423758</v>
      </c>
      <c r="W103" s="16"/>
      <c r="X103" s="20">
        <f>+P103-T103</f>
        <v>-106540.20585185406</v>
      </c>
      <c r="Y103" s="16"/>
      <c r="Z103" s="22">
        <f>IF(T103=0,0,X103/T103)</f>
        <v>1.1622206885451094</v>
      </c>
    </row>
    <row r="104" spans="1:26" x14ac:dyDescent="0.25">
      <c r="A104" s="9"/>
      <c r="B104" s="10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25">
      <c r="A105" s="52"/>
      <c r="B105" s="10" t="s">
        <v>14</v>
      </c>
      <c r="C105" s="10"/>
      <c r="D105" s="4">
        <v>7886.92</v>
      </c>
      <c r="E105" s="4"/>
      <c r="F105" s="12">
        <f>IF(D$12=0,0,D105/D$12)</f>
        <v>0.1795732093270638</v>
      </c>
      <c r="G105" s="4"/>
      <c r="H105" s="4">
        <v>10543</v>
      </c>
      <c r="I105" s="4"/>
      <c r="J105" s="12">
        <f>IF(H$12=0,0,H105/H$12)</f>
        <v>9.6920389777532631E-2</v>
      </c>
      <c r="K105" s="4"/>
      <c r="L105" s="4">
        <f>+D105-H105</f>
        <v>-2656.08</v>
      </c>
      <c r="M105" s="4"/>
      <c r="N105" s="12">
        <f>IF(H105=0,0,L105/H105)</f>
        <v>-0.25192829365455754</v>
      </c>
      <c r="O105" s="10"/>
      <c r="P105" s="4">
        <v>69840.34</v>
      </c>
      <c r="Q105" s="4"/>
      <c r="R105" s="12">
        <f>IF(P$12=0,0,P105/P$12)</f>
        <v>0.10715242975696862</v>
      </c>
      <c r="S105" s="4"/>
      <c r="T105" s="4">
        <v>88279</v>
      </c>
      <c r="U105" s="4"/>
      <c r="V105" s="12">
        <f>IF(T$12=0,0,T105/T$12)</f>
        <v>0.11689021887372059</v>
      </c>
      <c r="W105" s="4"/>
      <c r="X105" s="4">
        <f>+P105-T105</f>
        <v>-18438.660000000003</v>
      </c>
      <c r="Y105" s="4"/>
      <c r="Z105" s="12">
        <f>IF(T105=0,0,X105/T105)</f>
        <v>-0.20886802070707647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8" t="s">
        <v>4</v>
      </c>
      <c r="C107" s="28"/>
      <c r="D107" s="31">
        <f>+D103-D105</f>
        <v>-54060.639999999999</v>
      </c>
      <c r="E107" s="14"/>
      <c r="F107" s="34">
        <f>IF(D$12=0,0,D107/D$12)</f>
        <v>-1.2308787997183994</v>
      </c>
      <c r="G107" s="14"/>
      <c r="H107" s="31">
        <f>+H103-H105</f>
        <v>-2262.7303753230881</v>
      </c>
      <c r="I107" s="14"/>
      <c r="J107" s="34">
        <f>IF(H$12=0,0,H107/H$12)</f>
        <v>-2.080097789412657E-2</v>
      </c>
      <c r="K107" s="16"/>
      <c r="L107" s="31">
        <f>D107-H107</f>
        <v>-51797.909624676911</v>
      </c>
      <c r="M107" s="16"/>
      <c r="N107" s="34">
        <f>IF(H107=0,0,L107/H107)</f>
        <v>22.891772784585903</v>
      </c>
      <c r="O107" s="29"/>
      <c r="P107" s="31">
        <f>+P103-P105</f>
        <v>-268050.06000000017</v>
      </c>
      <c r="Q107" s="14"/>
      <c r="R107" s="34">
        <f>IF(P$12=0,0,P107/P$12)</f>
        <v>-0.41125537512419386</v>
      </c>
      <c r="S107" s="14"/>
      <c r="T107" s="31">
        <f>+T103-T105</f>
        <v>-179948.51414814615</v>
      </c>
      <c r="U107" s="14"/>
      <c r="V107" s="34">
        <f>IF(T$12=0,0,T107/T$12)</f>
        <v>-0.23826981733795816</v>
      </c>
      <c r="W107" s="16"/>
      <c r="X107" s="31">
        <f>P107-T107</f>
        <v>-88101.545851854025</v>
      </c>
      <c r="Y107" s="16"/>
      <c r="Z107" s="34">
        <f>IF(T107=0,0,X107/T107)</f>
        <v>0.48959307204572244</v>
      </c>
    </row>
    <row r="108" spans="1:26" ht="15.75" thickTop="1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8" t="s">
        <v>5</v>
      </c>
      <c r="C110" s="28"/>
      <c r="D110" s="32">
        <f>SUM(D107:D109)</f>
        <v>-54060.639999999999</v>
      </c>
      <c r="E110" s="14"/>
      <c r="F110" s="35">
        <f>IF(D$12=0,0,D110/D$12)</f>
        <v>-1.2308787997183994</v>
      </c>
      <c r="G110" s="14"/>
      <c r="H110" s="32">
        <f>SUM(H107:H109)</f>
        <v>-2262.7303753230881</v>
      </c>
      <c r="I110" s="14"/>
      <c r="J110" s="35">
        <f>IF(H$12=0,0,H110/H$12)</f>
        <v>-2.080097789412657E-2</v>
      </c>
      <c r="K110" s="16"/>
      <c r="L110" s="32">
        <f>+D110-H110</f>
        <v>-51797.909624676911</v>
      </c>
      <c r="M110" s="16"/>
      <c r="N110" s="35">
        <f>IF(H110=0,0,L110/H110)</f>
        <v>22.891772784585903</v>
      </c>
      <c r="O110" s="29"/>
      <c r="P110" s="32">
        <f>SUM(P107:P109)</f>
        <v>-268050.06000000017</v>
      </c>
      <c r="Q110" s="14"/>
      <c r="R110" s="35">
        <f>IF(P$12=0,0,P110/P$12)</f>
        <v>-0.41125537512419386</v>
      </c>
      <c r="S110" s="14"/>
      <c r="T110" s="32">
        <f>SUM(T107:T109)</f>
        <v>-179948.51414814615</v>
      </c>
      <c r="U110" s="14"/>
      <c r="V110" s="35">
        <f>IF(T$12=0,0,T110/T$12)</f>
        <v>-0.23826981733795816</v>
      </c>
      <c r="W110" s="16"/>
      <c r="X110" s="32">
        <f>+P110-T110</f>
        <v>-88101.545851854025</v>
      </c>
      <c r="Y110" s="16"/>
      <c r="Z110" s="35">
        <f>IF(T110=0,0,X110/T110)</f>
        <v>0.48959307204572244</v>
      </c>
    </row>
    <row r="111" spans="1:26" ht="15.75" thickTop="1" x14ac:dyDescent="0.25">
      <c r="A111" s="9"/>
      <c r="C111" s="9"/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  <row r="112" spans="1:26" x14ac:dyDescent="0.25">
      <c r="A112" s="9"/>
      <c r="B112" s="57">
        <v>43934.466802048613</v>
      </c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  <row r="113" spans="1:24" x14ac:dyDescent="0.25">
      <c r="A113" s="9"/>
      <c r="B113" s="62" t="s">
        <v>314</v>
      </c>
      <c r="D113" s="18"/>
      <c r="E113" s="18"/>
      <c r="G113" s="18"/>
      <c r="H113" s="18"/>
      <c r="I113" s="18"/>
      <c r="J113" s="42"/>
      <c r="K113" s="18"/>
      <c r="L113" s="18"/>
      <c r="M113" s="18"/>
      <c r="P113" s="18"/>
      <c r="Q113" s="18"/>
      <c r="R113" s="42"/>
      <c r="S113" s="18"/>
      <c r="T113" s="18"/>
      <c r="U113" s="18"/>
      <c r="V113" s="42"/>
      <c r="W113" s="18"/>
      <c r="X113" s="18"/>
    </row>
    <row r="114" spans="1:24" x14ac:dyDescent="0.25">
      <c r="A114" s="9"/>
      <c r="B114" s="60"/>
      <c r="D114" s="18"/>
      <c r="E114" s="18"/>
      <c r="G114" s="18"/>
      <c r="H114" s="18"/>
      <c r="I114" s="18"/>
      <c r="J114" s="42"/>
      <c r="K114" s="18"/>
      <c r="L114" s="18"/>
      <c r="M114" s="18"/>
      <c r="P114" s="18"/>
      <c r="Q114" s="18"/>
      <c r="R114" s="42"/>
      <c r="S114" s="18"/>
      <c r="T114" s="18"/>
      <c r="U114" s="18"/>
      <c r="V114" s="42"/>
      <c r="W114" s="18"/>
      <c r="X114" s="18"/>
    </row>
    <row r="115" spans="1:24" x14ac:dyDescent="0.25">
      <c r="D115" s="18"/>
      <c r="E115" s="18"/>
      <c r="G115" s="18"/>
      <c r="H115" s="18"/>
      <c r="I115" s="18"/>
      <c r="J115" s="42"/>
      <c r="K115" s="18"/>
      <c r="L115" s="18"/>
      <c r="M115" s="18"/>
      <c r="P115" s="18"/>
      <c r="Q115" s="18"/>
      <c r="R115" s="42"/>
      <c r="S115" s="18"/>
      <c r="T115" s="18"/>
      <c r="U115" s="18"/>
      <c r="V115" s="42"/>
      <c r="W115" s="18"/>
      <c r="X115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","418", " - ", "Nugget")</f>
        <v>Department 418 - Nugget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68100.97</v>
      </c>
      <c r="E12" s="4"/>
      <c r="F12" s="12"/>
      <c r="G12" s="4"/>
      <c r="H12" s="4">
        <f>SUM(OSRRefH13x_0)</f>
        <v>166600</v>
      </c>
      <c r="I12" s="4"/>
      <c r="J12" s="12"/>
      <c r="K12" s="4"/>
      <c r="L12" s="4">
        <f t="shared" ref="L12:L16" si="0">+D12-H12</f>
        <v>-98499.03</v>
      </c>
      <c r="M12" s="4"/>
      <c r="N12" s="12">
        <f t="shared" ref="N12:N16" si="1">IF(H12=0,0,L12/H12)</f>
        <v>-0.59123067226890758</v>
      </c>
      <c r="O12" s="10"/>
      <c r="P12" s="4">
        <f>SUM(OSRRefP13x_0)</f>
        <v>1068795.77</v>
      </c>
      <c r="Q12" s="4"/>
      <c r="R12" s="12"/>
      <c r="S12" s="4"/>
      <c r="T12" s="4">
        <f>SUM(OSRRefT13x_0)</f>
        <v>1238650</v>
      </c>
      <c r="U12" s="4"/>
      <c r="V12" s="12"/>
      <c r="W12" s="4"/>
      <c r="X12" s="4">
        <f t="shared" ref="X12:X16" si="2">+P12-T12</f>
        <v>-169854.22999999998</v>
      </c>
      <c r="Y12" s="4"/>
      <c r="Z12" s="12">
        <f t="shared" ref="Z12:Z16" si="3">IF(T12=0,0,X12/T12)</f>
        <v>-0.13712851087877931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65440</v>
      </c>
      <c r="I13" s="2"/>
      <c r="J13" s="19"/>
      <c r="K13" s="2"/>
      <c r="L13" s="2">
        <f t="shared" si="0"/>
        <v>-65440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485780</v>
      </c>
      <c r="U13" s="2"/>
      <c r="V13" s="19"/>
      <c r="W13" s="2"/>
      <c r="X13" s="2">
        <f t="shared" si="2"/>
        <v>-485780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>--24162.83</f>
        <v>24162.83</v>
      </c>
      <c r="E14" s="2"/>
      <c r="F14" s="19"/>
      <c r="G14" s="2"/>
      <c r="H14" s="2"/>
      <c r="I14" s="2"/>
      <c r="J14" s="19"/>
      <c r="K14" s="2"/>
      <c r="L14" s="2">
        <f t="shared" si="0"/>
        <v>24162.83</v>
      </c>
      <c r="M14" s="2"/>
      <c r="N14" s="19">
        <f t="shared" si="1"/>
        <v>0</v>
      </c>
      <c r="O14" s="11"/>
      <c r="P14" s="2">
        <f>--381406.04</f>
        <v>381406.04</v>
      </c>
      <c r="Q14" s="2"/>
      <c r="R14" s="19"/>
      <c r="S14" s="2"/>
      <c r="T14" s="2"/>
      <c r="U14" s="2"/>
      <c r="V14" s="19"/>
      <c r="W14" s="2"/>
      <c r="X14" s="2">
        <f t="shared" si="2"/>
        <v>381406.04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101160</v>
      </c>
      <c r="I15" s="2"/>
      <c r="J15" s="19"/>
      <c r="K15" s="2"/>
      <c r="L15" s="2">
        <f t="shared" si="0"/>
        <v>-101160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752870</v>
      </c>
      <c r="U15" s="2"/>
      <c r="V15" s="19"/>
      <c r="W15" s="2"/>
      <c r="X15" s="2">
        <f t="shared" si="2"/>
        <v>-752870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"4155", " - ", "NON-TAXABLE SALES-FOOD")</f>
        <v xml:space="preserve">          4155 - NON-TAXABLE SALES-FOOD</v>
      </c>
      <c r="C16" s="11"/>
      <c r="D16" s="2">
        <f>--43938.14</f>
        <v>43938.14</v>
      </c>
      <c r="E16" s="2"/>
      <c r="F16" s="19"/>
      <c r="G16" s="2"/>
      <c r="H16" s="2"/>
      <c r="I16" s="2"/>
      <c r="J16" s="19"/>
      <c r="K16" s="2"/>
      <c r="L16" s="2">
        <f t="shared" si="0"/>
        <v>43938.14</v>
      </c>
      <c r="M16" s="2"/>
      <c r="N16" s="19">
        <f t="shared" si="1"/>
        <v>0</v>
      </c>
      <c r="O16" s="11"/>
      <c r="P16" s="2">
        <f>--687389.73</f>
        <v>687389.73</v>
      </c>
      <c r="Q16" s="2"/>
      <c r="R16" s="19"/>
      <c r="S16" s="2"/>
      <c r="T16" s="2"/>
      <c r="U16" s="2"/>
      <c r="V16" s="19"/>
      <c r="W16" s="2"/>
      <c r="X16" s="2">
        <f t="shared" si="2"/>
        <v>687389.73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20974.880000000001</v>
      </c>
      <c r="E18" s="4"/>
      <c r="F18" s="12">
        <f t="shared" ref="F18:F21" si="4">IF(D$12=0,0,D18/D$12)</f>
        <v>0.30799678771095335</v>
      </c>
      <c r="G18" s="4"/>
      <c r="H18" s="4">
        <f>SUM(OSRRefH16x_0)</f>
        <v>51370</v>
      </c>
      <c r="I18" s="4"/>
      <c r="J18" s="12">
        <f t="shared" ref="J18:J21" si="5">IF(H$12=0,0,H18/H$12)</f>
        <v>0.30834333733493396</v>
      </c>
      <c r="K18" s="4"/>
      <c r="L18" s="4">
        <f t="shared" ref="L18:L21" si="6">+D18-H18</f>
        <v>-30395.119999999999</v>
      </c>
      <c r="M18" s="4"/>
      <c r="N18" s="12">
        <f t="shared" ref="N18:N21" si="7">IF(H18=0,0,L18/H18)</f>
        <v>-0.59169009149308938</v>
      </c>
      <c r="O18" s="10"/>
      <c r="P18" s="4">
        <f>SUM(OSRRefP16x_0)</f>
        <v>353871.06999999995</v>
      </c>
      <c r="Q18" s="4"/>
      <c r="R18" s="12">
        <f t="shared" ref="R18:R21" si="8">IF(P$12=0,0,P18/P$12)</f>
        <v>0.3310932546074728</v>
      </c>
      <c r="S18" s="4"/>
      <c r="T18" s="4">
        <f>SUM(OSRRefT16x_0)</f>
        <v>381384</v>
      </c>
      <c r="U18" s="4"/>
      <c r="V18" s="12">
        <f t="shared" ref="V18:V21" si="9">IF(T$12=0,0,T18/T$12)</f>
        <v>0.30790295886650787</v>
      </c>
      <c r="W18" s="4"/>
      <c r="X18" s="4">
        <f t="shared" ref="X18:X21" si="10">+P18-T18</f>
        <v>-27512.930000000051</v>
      </c>
      <c r="Y18" s="4"/>
      <c r="Z18" s="12">
        <f t="shared" ref="Z18:Z21" si="11">IF(T18=0,0,X18/T18)</f>
        <v>-7.2139706962012176E-2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51370</v>
      </c>
      <c r="I19" s="2"/>
      <c r="J19" s="19">
        <f t="shared" si="5"/>
        <v>0.30834333733493396</v>
      </c>
      <c r="K19" s="2"/>
      <c r="L19" s="2">
        <f t="shared" si="6"/>
        <v>-51370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381384</v>
      </c>
      <c r="U19" s="2"/>
      <c r="V19" s="19">
        <f t="shared" si="9"/>
        <v>0.30790295886650787</v>
      </c>
      <c r="W19" s="2"/>
      <c r="X19" s="2">
        <f t="shared" si="10"/>
        <v>-381384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22525.88</v>
      </c>
      <c r="E20" s="2"/>
      <c r="F20" s="19">
        <f t="shared" si="4"/>
        <v>0.33077179370572846</v>
      </c>
      <c r="G20" s="2"/>
      <c r="H20" s="2"/>
      <c r="I20" s="2"/>
      <c r="J20" s="19">
        <f t="shared" si="5"/>
        <v>0</v>
      </c>
      <c r="K20" s="2"/>
      <c r="L20" s="2">
        <f t="shared" si="6"/>
        <v>22525.88</v>
      </c>
      <c r="M20" s="2"/>
      <c r="N20" s="19">
        <f t="shared" si="7"/>
        <v>0</v>
      </c>
      <c r="O20" s="11"/>
      <c r="P20" s="2">
        <v>360936.39999999997</v>
      </c>
      <c r="Q20" s="2"/>
      <c r="R20" s="19">
        <f t="shared" si="8"/>
        <v>0.33770380659347105</v>
      </c>
      <c r="S20" s="2"/>
      <c r="T20" s="2"/>
      <c r="U20" s="2"/>
      <c r="V20" s="19">
        <f t="shared" si="9"/>
        <v>0</v>
      </c>
      <c r="W20" s="2"/>
      <c r="X20" s="2">
        <f t="shared" si="10"/>
        <v>360936.39999999997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-1551</v>
      </c>
      <c r="E21" s="2"/>
      <c r="F21" s="19">
        <f t="shared" si="4"/>
        <v>-2.277500599477511E-2</v>
      </c>
      <c r="G21" s="2"/>
      <c r="H21" s="2"/>
      <c r="I21" s="2"/>
      <c r="J21" s="19">
        <f t="shared" si="5"/>
        <v>0</v>
      </c>
      <c r="K21" s="2"/>
      <c r="L21" s="2">
        <f t="shared" si="6"/>
        <v>-1551</v>
      </c>
      <c r="M21" s="2"/>
      <c r="N21" s="19">
        <f t="shared" si="7"/>
        <v>0</v>
      </c>
      <c r="O21" s="11"/>
      <c r="P21" s="2">
        <v>-7065.33</v>
      </c>
      <c r="Q21" s="2"/>
      <c r="R21" s="19">
        <f t="shared" si="8"/>
        <v>-6.6105519859982233E-3</v>
      </c>
      <c r="S21" s="2"/>
      <c r="T21" s="2"/>
      <c r="U21" s="2"/>
      <c r="V21" s="19">
        <f t="shared" si="9"/>
        <v>0</v>
      </c>
      <c r="W21" s="2"/>
      <c r="X21" s="2">
        <f t="shared" si="10"/>
        <v>-7065.33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0">
        <f>D12-D18</f>
        <v>47126.09</v>
      </c>
      <c r="E23" s="14"/>
      <c r="F23" s="22">
        <f>IF(D$12=0,0,D23/D$12)</f>
        <v>0.6920032122890466</v>
      </c>
      <c r="G23" s="14"/>
      <c r="H23" s="20">
        <f>H12-H18</f>
        <v>115230</v>
      </c>
      <c r="I23" s="14"/>
      <c r="J23" s="22">
        <f>IF(H$12=0,0,H23/H$12)</f>
        <v>0.69165666266506598</v>
      </c>
      <c r="K23" s="16"/>
      <c r="L23" s="20">
        <f>+D23-H23</f>
        <v>-68103.91</v>
      </c>
      <c r="M23" s="16"/>
      <c r="N23" s="22">
        <f>IF(H23=0,0,L23/H23)</f>
        <v>-0.59102586132083657</v>
      </c>
      <c r="O23" s="29"/>
      <c r="P23" s="20">
        <f>P12-P18</f>
        <v>714924.70000000007</v>
      </c>
      <c r="Q23" s="14"/>
      <c r="R23" s="22">
        <f>IF(P$12=0,0,P23/P$12)</f>
        <v>0.66890674539252715</v>
      </c>
      <c r="S23" s="14"/>
      <c r="T23" s="20">
        <f>T12-T18</f>
        <v>857266</v>
      </c>
      <c r="U23" s="14"/>
      <c r="V23" s="22">
        <f>IF(T$12=0,0,T23/T$12)</f>
        <v>0.69209704113349213</v>
      </c>
      <c r="W23" s="16"/>
      <c r="X23" s="20">
        <f>+P23-T23</f>
        <v>-142341.29999999993</v>
      </c>
      <c r="Y23" s="16"/>
      <c r="Z23" s="22">
        <f>IF(T23=0,0,X23/T23)</f>
        <v>-0.16604099544365453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1">
        <f>SUM(OSRRefD22x_0)</f>
        <v>72771.97</v>
      </c>
      <c r="E25" s="21"/>
      <c r="F25" s="30">
        <f t="shared" ref="F25:F35" si="12">IF(D$12=0,0,D25/D$12)</f>
        <v>1.0685893314001254</v>
      </c>
      <c r="G25" s="21"/>
      <c r="H25" s="21">
        <f>SUM(OSRRefH22x_0)</f>
        <v>70603.928643923078</v>
      </c>
      <c r="I25" s="21"/>
      <c r="J25" s="30">
        <f t="shared" ref="J25:J35" si="13">IF(H$12=0,0,H25/H$12)</f>
        <v>0.42379308909917812</v>
      </c>
      <c r="K25" s="4"/>
      <c r="L25" s="21">
        <f t="shared" ref="L25:L35" si="14">+D25-H25</f>
        <v>2168.041356076923</v>
      </c>
      <c r="M25" s="4"/>
      <c r="N25" s="30">
        <f t="shared" ref="N25:N35" si="15">IF(H25=0,0,L25/H25)</f>
        <v>3.0707092334918216E-2</v>
      </c>
      <c r="O25" s="10"/>
      <c r="P25" s="21">
        <f>SUM(OSRRefP22x_0)</f>
        <v>572831.09999999986</v>
      </c>
      <c r="Q25" s="21"/>
      <c r="R25" s="30">
        <f t="shared" ref="R25:R35" si="16">IF(P$12=0,0,P25/P$12)</f>
        <v>0.53595936293797253</v>
      </c>
      <c r="S25" s="21"/>
      <c r="T25" s="21">
        <f>SUM(OSRRefT22x_0)</f>
        <v>581140.34069486544</v>
      </c>
      <c r="U25" s="21"/>
      <c r="V25" s="30">
        <f t="shared" ref="V25:V35" si="17">IF(T$12=0,0,T25/T$12)</f>
        <v>0.46917235756256043</v>
      </c>
      <c r="W25" s="4"/>
      <c r="X25" s="21">
        <f t="shared" ref="X25:X35" si="18">+P25-T25</f>
        <v>-8309.2406948655844</v>
      </c>
      <c r="Y25" s="4"/>
      <c r="Z25" s="30">
        <f t="shared" ref="Z25:Z35" si="19">IF(T25=0,0,X25/T25)</f>
        <v>-1.4298165370743809E-2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13440.539999999999</v>
      </c>
      <c r="E26" s="1"/>
      <c r="F26" s="5">
        <f t="shared" si="12"/>
        <v>0.19736194653321382</v>
      </c>
      <c r="G26" s="1"/>
      <c r="H26" s="1">
        <f>SUM(OSRRefH22_0x_0)</f>
        <v>10867.091720846156</v>
      </c>
      <c r="I26" s="1"/>
      <c r="J26" s="5">
        <f t="shared" si="13"/>
        <v>6.5228641781789651E-2</v>
      </c>
      <c r="K26" s="1"/>
      <c r="L26" s="1">
        <f t="shared" si="14"/>
        <v>2573.448279153843</v>
      </c>
      <c r="M26" s="1"/>
      <c r="N26" s="5">
        <f t="shared" si="15"/>
        <v>0.23681113082143598</v>
      </c>
      <c r="O26" s="13"/>
      <c r="P26" s="1">
        <f>SUM(OSRRefP22_0x_0)</f>
        <v>85958.88</v>
      </c>
      <c r="Q26" s="1"/>
      <c r="R26" s="5">
        <f t="shared" si="16"/>
        <v>8.042591710481789E-2</v>
      </c>
      <c r="S26" s="1"/>
      <c r="T26" s="1">
        <f>SUM(OSRRefT22_0x_0)</f>
        <v>94404.395694865365</v>
      </c>
      <c r="U26" s="1"/>
      <c r="V26" s="5">
        <f t="shared" si="17"/>
        <v>7.6215553784253307E-2</v>
      </c>
      <c r="W26" s="1"/>
      <c r="X26" s="1">
        <f t="shared" si="18"/>
        <v>-8445.5156948653603</v>
      </c>
      <c r="Y26" s="1"/>
      <c r="Z26" s="5">
        <f t="shared" si="19"/>
        <v>-8.9461042917567346E-2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6">
        <v>3224.32</v>
      </c>
      <c r="E27" s="2"/>
      <c r="F27" s="7">
        <f t="shared" si="12"/>
        <v>4.7346168490698448E-2</v>
      </c>
      <c r="G27" s="2"/>
      <c r="H27" s="6">
        <v>1021.69139469231</v>
      </c>
      <c r="I27" s="2"/>
      <c r="J27" s="7">
        <f t="shared" si="13"/>
        <v>6.132601408717347E-3</v>
      </c>
      <c r="K27" s="2"/>
      <c r="L27" s="6">
        <f t="shared" si="14"/>
        <v>2202.6286053076901</v>
      </c>
      <c r="M27" s="2"/>
      <c r="N27" s="7">
        <f t="shared" si="15"/>
        <v>2.1558648890950365</v>
      </c>
      <c r="O27" s="11"/>
      <c r="P27" s="6">
        <v>17922.62</v>
      </c>
      <c r="Q27" s="2"/>
      <c r="R27" s="7">
        <f t="shared" si="16"/>
        <v>1.6768984779945376E-2</v>
      </c>
      <c r="S27" s="2"/>
      <c r="T27" s="6">
        <v>9448.8855052499948</v>
      </c>
      <c r="U27" s="2"/>
      <c r="V27" s="7">
        <f t="shared" si="17"/>
        <v>7.6283740404876231E-3</v>
      </c>
      <c r="W27" s="2"/>
      <c r="X27" s="6">
        <f t="shared" si="18"/>
        <v>8473.7344947500042</v>
      </c>
      <c r="Y27" s="2"/>
      <c r="Z27" s="7">
        <f t="shared" si="19"/>
        <v>0.89679724556317497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6">
        <v>2190.9299999999998</v>
      </c>
      <c r="E28" s="2"/>
      <c r="F28" s="7">
        <f t="shared" si="12"/>
        <v>3.2171788448828259E-2</v>
      </c>
      <c r="G28" s="2"/>
      <c r="H28" s="6">
        <v>1580.9256984615399</v>
      </c>
      <c r="I28" s="2"/>
      <c r="J28" s="7">
        <f t="shared" si="13"/>
        <v>9.489349930741537E-3</v>
      </c>
      <c r="K28" s="2"/>
      <c r="L28" s="6">
        <f t="shared" si="14"/>
        <v>610.00430153845991</v>
      </c>
      <c r="M28" s="2"/>
      <c r="N28" s="7">
        <f t="shared" si="15"/>
        <v>0.38585260656593712</v>
      </c>
      <c r="O28" s="11"/>
      <c r="P28" s="6">
        <v>10474.969999999999</v>
      </c>
      <c r="Q28" s="2"/>
      <c r="R28" s="7">
        <f t="shared" si="16"/>
        <v>9.8007217973925913E-3</v>
      </c>
      <c r="S28" s="2"/>
      <c r="T28" s="6">
        <v>12491.827810000001</v>
      </c>
      <c r="U28" s="2"/>
      <c r="V28" s="7">
        <f t="shared" si="17"/>
        <v>1.0085034359988698E-2</v>
      </c>
      <c r="W28" s="2"/>
      <c r="X28" s="6">
        <f t="shared" si="18"/>
        <v>-2016.8578100000013</v>
      </c>
      <c r="Y28" s="2"/>
      <c r="Z28" s="7">
        <f t="shared" si="19"/>
        <v>-0.16145417953851873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6">
        <v>5413.82</v>
      </c>
      <c r="E29" s="2"/>
      <c r="F29" s="7">
        <f t="shared" si="12"/>
        <v>7.9496958707049245E-2</v>
      </c>
      <c r="G29" s="2"/>
      <c r="H29" s="6">
        <v>5182.9230769230799</v>
      </c>
      <c r="I29" s="2"/>
      <c r="J29" s="7">
        <f t="shared" si="13"/>
        <v>3.1109982454520287E-2</v>
      </c>
      <c r="K29" s="2"/>
      <c r="L29" s="6">
        <f t="shared" si="14"/>
        <v>230.89692307691985</v>
      </c>
      <c r="M29" s="2"/>
      <c r="N29" s="7">
        <f t="shared" si="15"/>
        <v>4.4549556234972192E-2</v>
      </c>
      <c r="O29" s="11"/>
      <c r="P29" s="6">
        <v>36669.760000000002</v>
      </c>
      <c r="Q29" s="2"/>
      <c r="R29" s="7">
        <f t="shared" si="16"/>
        <v>3.4309417223835008E-2</v>
      </c>
      <c r="S29" s="2"/>
      <c r="T29" s="6">
        <v>45277.615384615397</v>
      </c>
      <c r="U29" s="2"/>
      <c r="V29" s="7">
        <f t="shared" si="17"/>
        <v>3.655400265177039E-2</v>
      </c>
      <c r="W29" s="2"/>
      <c r="X29" s="6">
        <f t="shared" si="18"/>
        <v>-8607.8553846153955</v>
      </c>
      <c r="Y29" s="2"/>
      <c r="Z29" s="7">
        <f t="shared" si="19"/>
        <v>-0.19011282532207308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6">
        <v>146.81</v>
      </c>
      <c r="E30" s="2"/>
      <c r="F30" s="7">
        <f t="shared" si="12"/>
        <v>2.1557695874229103E-3</v>
      </c>
      <c r="G30" s="2"/>
      <c r="H30" s="6">
        <v>105.93832</v>
      </c>
      <c r="I30" s="2"/>
      <c r="J30" s="7">
        <f t="shared" si="13"/>
        <v>6.3588427370948387E-4</v>
      </c>
      <c r="K30" s="2"/>
      <c r="L30" s="6">
        <f t="shared" si="14"/>
        <v>40.871679999999998</v>
      </c>
      <c r="M30" s="2"/>
      <c r="N30" s="7">
        <f t="shared" si="15"/>
        <v>0.38580638243083332</v>
      </c>
      <c r="O30" s="11"/>
      <c r="P30" s="6">
        <v>839.2</v>
      </c>
      <c r="Q30" s="2"/>
      <c r="R30" s="7">
        <f t="shared" si="16"/>
        <v>7.8518274824384833E-4</v>
      </c>
      <c r="S30" s="2"/>
      <c r="T30" s="6">
        <v>837.08124499999997</v>
      </c>
      <c r="U30" s="2"/>
      <c r="V30" s="7">
        <f t="shared" si="17"/>
        <v>6.7580127154563436E-4</v>
      </c>
      <c r="W30" s="2"/>
      <c r="X30" s="6">
        <f t="shared" si="18"/>
        <v>2.1187550000000783</v>
      </c>
      <c r="Y30" s="2"/>
      <c r="Z30" s="7">
        <f t="shared" si="19"/>
        <v>2.5311222926755199E-3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6">
        <v>639.83000000000004</v>
      </c>
      <c r="E31" s="2"/>
      <c r="F31" s="7">
        <f t="shared" si="12"/>
        <v>9.3953140461875955E-3</v>
      </c>
      <c r="G31" s="2"/>
      <c r="H31" s="6">
        <v>776.77846153846201</v>
      </c>
      <c r="I31" s="2"/>
      <c r="J31" s="7">
        <f t="shared" si="13"/>
        <v>4.6625357835441894E-3</v>
      </c>
      <c r="K31" s="2"/>
      <c r="L31" s="6">
        <f t="shared" si="14"/>
        <v>-136.94846153846197</v>
      </c>
      <c r="M31" s="2"/>
      <c r="N31" s="7">
        <f t="shared" si="15"/>
        <v>-0.17630311384693434</v>
      </c>
      <c r="O31" s="11"/>
      <c r="P31" s="6">
        <v>5129.7700000000004</v>
      </c>
      <c r="Q31" s="2"/>
      <c r="R31" s="7">
        <f t="shared" si="16"/>
        <v>4.7995792498317993E-3</v>
      </c>
      <c r="S31" s="2"/>
      <c r="T31" s="6">
        <v>7573.5900000000029</v>
      </c>
      <c r="U31" s="2"/>
      <c r="V31" s="7">
        <f t="shared" si="17"/>
        <v>6.1143906672587118E-3</v>
      </c>
      <c r="W31" s="2"/>
      <c r="X31" s="6">
        <f t="shared" si="18"/>
        <v>-2443.8200000000024</v>
      </c>
      <c r="Y31" s="2"/>
      <c r="Z31" s="7">
        <f t="shared" si="19"/>
        <v>-0.3226765642185544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6">
        <v>701.69</v>
      </c>
      <c r="E33" s="2"/>
      <c r="F33" s="7">
        <f t="shared" si="12"/>
        <v>1.0303671151820598E-2</v>
      </c>
      <c r="G33" s="2"/>
      <c r="H33" s="6">
        <v>590.33538461538501</v>
      </c>
      <c r="I33" s="2"/>
      <c r="J33" s="7">
        <f t="shared" si="13"/>
        <v>3.5434296795641357E-3</v>
      </c>
      <c r="K33" s="2"/>
      <c r="L33" s="6">
        <f t="shared" si="14"/>
        <v>111.35461538461504</v>
      </c>
      <c r="M33" s="2"/>
      <c r="N33" s="7">
        <f t="shared" si="15"/>
        <v>0.18862941013973733</v>
      </c>
      <c r="O33" s="11"/>
      <c r="P33" s="6">
        <v>5418.12</v>
      </c>
      <c r="Q33" s="2"/>
      <c r="R33" s="7">
        <f t="shared" si="16"/>
        <v>5.0693688654849375E-3</v>
      </c>
      <c r="S33" s="2"/>
      <c r="T33" s="6">
        <v>5547.6900000000032</v>
      </c>
      <c r="U33" s="2"/>
      <c r="V33" s="7">
        <f t="shared" si="17"/>
        <v>4.4788196827190915E-3</v>
      </c>
      <c r="W33" s="2"/>
      <c r="X33" s="6">
        <f t="shared" si="18"/>
        <v>-129.57000000000335</v>
      </c>
      <c r="Y33" s="2"/>
      <c r="Z33" s="7">
        <f t="shared" si="19"/>
        <v>-2.3355666953273034E-2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6">
        <v>745.33</v>
      </c>
      <c r="E34" s="2"/>
      <c r="F34" s="7">
        <f t="shared" si="12"/>
        <v>1.0944484344349281E-2</v>
      </c>
      <c r="G34" s="2"/>
      <c r="H34" s="6">
        <v>1458.49938461538</v>
      </c>
      <c r="I34" s="2"/>
      <c r="J34" s="7">
        <f t="shared" si="13"/>
        <v>8.754498106935054E-3</v>
      </c>
      <c r="K34" s="2"/>
      <c r="L34" s="6">
        <f t="shared" si="14"/>
        <v>-713.16938461537995</v>
      </c>
      <c r="M34" s="2"/>
      <c r="N34" s="7">
        <f t="shared" si="15"/>
        <v>-0.48897475867187246</v>
      </c>
      <c r="O34" s="11"/>
      <c r="P34" s="6">
        <v>5606.67</v>
      </c>
      <c r="Q34" s="2"/>
      <c r="R34" s="7">
        <f t="shared" si="16"/>
        <v>5.2457823630795248E-3</v>
      </c>
      <c r="S34" s="2"/>
      <c r="T34" s="6">
        <v>11877.705749999977</v>
      </c>
      <c r="U34" s="2"/>
      <c r="V34" s="7">
        <f t="shared" si="17"/>
        <v>9.5892348524603214E-3</v>
      </c>
      <c r="W34" s="2"/>
      <c r="X34" s="6">
        <f t="shared" si="18"/>
        <v>-6271.0357499999773</v>
      </c>
      <c r="Y34" s="2"/>
      <c r="Z34" s="7">
        <f t="shared" si="19"/>
        <v>-0.52796692239997522</v>
      </c>
    </row>
    <row r="35" spans="1:26" s="24" customFormat="1" hidden="1" outlineLevel="2" x14ac:dyDescent="0.25">
      <c r="A35" s="25"/>
      <c r="B35" s="11" t="str">
        <f>CONCATENATE("          ", "6156", " - ", "EMPLOYEE MEALS")</f>
        <v xml:space="preserve">          6156 - EMPLOYEE MEALS</v>
      </c>
      <c r="C35" s="11"/>
      <c r="D35" s="6">
        <v>377.81</v>
      </c>
      <c r="E35" s="2"/>
      <c r="F35" s="7">
        <f t="shared" si="12"/>
        <v>5.547791756857501E-3</v>
      </c>
      <c r="G35" s="2"/>
      <c r="H35" s="6">
        <v>150</v>
      </c>
      <c r="I35" s="2"/>
      <c r="J35" s="7">
        <f t="shared" si="13"/>
        <v>9.0036014405762304E-4</v>
      </c>
      <c r="K35" s="2"/>
      <c r="L35" s="6">
        <f t="shared" si="14"/>
        <v>227.81</v>
      </c>
      <c r="M35" s="2"/>
      <c r="N35" s="7">
        <f t="shared" si="15"/>
        <v>1.5187333333333333</v>
      </c>
      <c r="O35" s="11"/>
      <c r="P35" s="6">
        <v>3897.77</v>
      </c>
      <c r="Q35" s="2"/>
      <c r="R35" s="7">
        <f t="shared" si="16"/>
        <v>3.6468800770047957E-3</v>
      </c>
      <c r="S35" s="2"/>
      <c r="T35" s="6">
        <v>1350</v>
      </c>
      <c r="U35" s="2"/>
      <c r="V35" s="7">
        <f t="shared" si="17"/>
        <v>1.0898962580228474E-3</v>
      </c>
      <c r="W35" s="2"/>
      <c r="X35" s="6">
        <f t="shared" si="18"/>
        <v>2547.77</v>
      </c>
      <c r="Y35" s="2"/>
      <c r="Z35" s="7">
        <f t="shared" si="19"/>
        <v>1.887237037037037</v>
      </c>
    </row>
    <row r="36" spans="1:26" s="27" customFormat="1" outlineLevel="1" collapsed="1" x14ac:dyDescent="0.25">
      <c r="A36" s="26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44530.289999999994</v>
      </c>
      <c r="E36" s="1"/>
      <c r="F36" s="5">
        <f t="shared" ref="F36:F46" si="20">IF(D$12=0,0,D36/D$12)</f>
        <v>0.65388628091494139</v>
      </c>
      <c r="G36" s="1"/>
      <c r="H36" s="1">
        <f>SUM(OSRRefH22_1x_0)</f>
        <v>39564.836923076917</v>
      </c>
      <c r="I36" s="1"/>
      <c r="J36" s="5">
        <f t="shared" ref="J36:J46" si="21">IF(H$12=0,0,H36/H$12)</f>
        <v>0.23748401514451931</v>
      </c>
      <c r="K36" s="1"/>
      <c r="L36" s="1">
        <f t="shared" ref="L36:L46" si="22">+D36-H36</f>
        <v>4965.4530769230769</v>
      </c>
      <c r="M36" s="1"/>
      <c r="N36" s="5">
        <f t="shared" ref="N36:N46" si="23">IF(H36=0,0,L36/H36)</f>
        <v>0.1255016692366773</v>
      </c>
      <c r="O36" s="13"/>
      <c r="P36" s="1">
        <f>SUM(OSRRefP22_1x_0)</f>
        <v>311733.17000000004</v>
      </c>
      <c r="Q36" s="1"/>
      <c r="R36" s="5">
        <f t="shared" ref="R36:R46" si="24">IF(P$12=0,0,P36/P$12)</f>
        <v>0.2916676681832302</v>
      </c>
      <c r="S36" s="1"/>
      <c r="T36" s="1">
        <f>SUM(OSRRefT22_1x_0)</f>
        <v>310858.94500000012</v>
      </c>
      <c r="U36" s="1"/>
      <c r="V36" s="5">
        <f t="shared" ref="V36:V46" si="25">IF(T$12=0,0,T36/T$12)</f>
        <v>0.25096592661365208</v>
      </c>
      <c r="W36" s="1"/>
      <c r="X36" s="1">
        <f t="shared" ref="X36:X46" si="26">+P36-T36</f>
        <v>874.22499999991851</v>
      </c>
      <c r="Y36" s="1"/>
      <c r="Z36" s="5">
        <f t="shared" ref="Z36:Z46" si="27">IF(T36=0,0,X36/T36)</f>
        <v>2.8122883837231002E-3</v>
      </c>
    </row>
    <row r="37" spans="1:26" s="24" customFormat="1" hidden="1" outlineLevel="2" x14ac:dyDescent="0.25">
      <c r="A37" s="25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5"/>
      <c r="B38" s="11" t="str">
        <f>CONCATENATE("          ", "6002", " - ", "STAFF SALARIES")</f>
        <v xml:space="preserve">          6002 - STAFF SALARIES</v>
      </c>
      <c r="C38" s="11"/>
      <c r="D38" s="6">
        <v>15696</v>
      </c>
      <c r="E38" s="2"/>
      <c r="F38" s="7">
        <f t="shared" si="20"/>
        <v>0.23048129857768546</v>
      </c>
      <c r="G38" s="2"/>
      <c r="H38" s="6">
        <v>8129.0769230769192</v>
      </c>
      <c r="I38" s="2"/>
      <c r="J38" s="7">
        <f t="shared" si="21"/>
        <v>4.879397913011356E-2</v>
      </c>
      <c r="K38" s="2"/>
      <c r="L38" s="6">
        <f t="shared" si="22"/>
        <v>7566.9230769230808</v>
      </c>
      <c r="M38" s="2"/>
      <c r="N38" s="7">
        <f t="shared" si="23"/>
        <v>0.93084653381025473</v>
      </c>
      <c r="O38" s="11"/>
      <c r="P38" s="6">
        <v>80298</v>
      </c>
      <c r="Q38" s="2"/>
      <c r="R38" s="7">
        <f t="shared" si="24"/>
        <v>7.5129414106869075E-2</v>
      </c>
      <c r="S38" s="2"/>
      <c r="T38" s="6">
        <v>79258.500000000116</v>
      </c>
      <c r="U38" s="2"/>
      <c r="V38" s="7">
        <f t="shared" si="25"/>
        <v>6.3987809308521465E-2</v>
      </c>
      <c r="W38" s="2"/>
      <c r="X38" s="6">
        <f t="shared" si="26"/>
        <v>1039.4999999998836</v>
      </c>
      <c r="Y38" s="2"/>
      <c r="Z38" s="7">
        <f t="shared" si="27"/>
        <v>1.3115312553226241E-2</v>
      </c>
    </row>
    <row r="39" spans="1:26" s="24" customFormat="1" hidden="1" outlineLevel="2" x14ac:dyDescent="0.25">
      <c r="A39" s="25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"6004", " - ", "STAFF HOURLY")</f>
        <v xml:space="preserve">          6004 - STAFF HOURLY</v>
      </c>
      <c r="C40" s="11"/>
      <c r="D40" s="6">
        <v>4866.4399999999996</v>
      </c>
      <c r="E40" s="2"/>
      <c r="F40" s="7">
        <f t="shared" si="20"/>
        <v>7.1459187732568263E-2</v>
      </c>
      <c r="G40" s="2"/>
      <c r="H40" s="6">
        <v>4040.46</v>
      </c>
      <c r="I40" s="2"/>
      <c r="J40" s="7">
        <f t="shared" si="21"/>
        <v>2.4252460984393757E-2</v>
      </c>
      <c r="K40" s="2"/>
      <c r="L40" s="6">
        <f t="shared" si="22"/>
        <v>825.97999999999956</v>
      </c>
      <c r="M40" s="2"/>
      <c r="N40" s="7">
        <f t="shared" si="23"/>
        <v>0.20442721868302113</v>
      </c>
      <c r="O40" s="11"/>
      <c r="P40" s="6">
        <v>36355.360000000001</v>
      </c>
      <c r="Q40" s="2"/>
      <c r="R40" s="7">
        <f t="shared" si="24"/>
        <v>3.4015254382977207E-2</v>
      </c>
      <c r="S40" s="2"/>
      <c r="T40" s="6">
        <v>30577.545000000002</v>
      </c>
      <c r="U40" s="2"/>
      <c r="V40" s="7">
        <f t="shared" si="25"/>
        <v>2.4686186574092765E-2</v>
      </c>
      <c r="W40" s="2"/>
      <c r="X40" s="6">
        <f t="shared" si="26"/>
        <v>5777.8149999999987</v>
      </c>
      <c r="Y40" s="2"/>
      <c r="Z40" s="7">
        <f t="shared" si="27"/>
        <v>0.18895614412471631</v>
      </c>
    </row>
    <row r="41" spans="1:26" s="24" customFormat="1" hidden="1" outlineLevel="2" x14ac:dyDescent="0.25">
      <c r="A41" s="25"/>
      <c r="B41" s="11" t="str">
        <f>CONCATENATE("          ", "6005", " - ", "TEMPORARY WAGES-HOURLY")</f>
        <v xml:space="preserve">          6005 - TEMPORARY WAGES-HOURLY</v>
      </c>
      <c r="C41" s="11"/>
      <c r="D41" s="6">
        <v>14078.97</v>
      </c>
      <c r="E41" s="2"/>
      <c r="F41" s="7">
        <f t="shared" si="20"/>
        <v>0.20673670286928364</v>
      </c>
      <c r="G41" s="2"/>
      <c r="H41" s="6">
        <v>10170.299999999999</v>
      </c>
      <c r="I41" s="2"/>
      <c r="J41" s="7">
        <f t="shared" si="21"/>
        <v>6.1046218487394957E-2</v>
      </c>
      <c r="K41" s="2"/>
      <c r="L41" s="6">
        <f t="shared" si="22"/>
        <v>3908.67</v>
      </c>
      <c r="M41" s="2"/>
      <c r="N41" s="7">
        <f t="shared" si="23"/>
        <v>0.38432199640128611</v>
      </c>
      <c r="O41" s="11"/>
      <c r="P41" s="6">
        <v>91629.97</v>
      </c>
      <c r="Q41" s="2"/>
      <c r="R41" s="7">
        <f t="shared" si="24"/>
        <v>8.5731972910034995E-2</v>
      </c>
      <c r="S41" s="2"/>
      <c r="T41" s="6">
        <v>82228.899999999994</v>
      </c>
      <c r="U41" s="2"/>
      <c r="V41" s="7">
        <f t="shared" si="25"/>
        <v>6.6385904008396238E-2</v>
      </c>
      <c r="W41" s="2"/>
      <c r="X41" s="6">
        <f t="shared" si="26"/>
        <v>9401.070000000007</v>
      </c>
      <c r="Y41" s="2"/>
      <c r="Z41" s="7">
        <f t="shared" si="27"/>
        <v>0.11432805254600277</v>
      </c>
    </row>
    <row r="42" spans="1:26" s="24" customFormat="1" hidden="1" outlineLevel="2" x14ac:dyDescent="0.25">
      <c r="A42" s="25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>
        <v>7215.01</v>
      </c>
      <c r="Q42" s="2"/>
      <c r="R42" s="7">
        <f t="shared" si="24"/>
        <v>6.7505974504371404E-3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7215.01</v>
      </c>
      <c r="Y42" s="2"/>
      <c r="Z42" s="7">
        <f t="shared" si="27"/>
        <v>0</v>
      </c>
    </row>
    <row r="43" spans="1:26" s="24" customFormat="1" hidden="1" outlineLevel="2" x14ac:dyDescent="0.25">
      <c r="A43" s="25"/>
      <c r="B43" s="11" t="str">
        <f>CONCATENATE("          ", "6007", " - ", "STUDENT HOURLY")</f>
        <v xml:space="preserve">          6007 - STUDENT HOURLY</v>
      </c>
      <c r="C43" s="11"/>
      <c r="D43" s="6">
        <v>9888.8799999999992</v>
      </c>
      <c r="E43" s="2"/>
      <c r="F43" s="7">
        <f t="shared" si="20"/>
        <v>0.14520909173540406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9888.8799999999992</v>
      </c>
      <c r="M43" s="2"/>
      <c r="N43" s="7">
        <f t="shared" si="23"/>
        <v>0</v>
      </c>
      <c r="O43" s="11"/>
      <c r="P43" s="6">
        <v>94404.83</v>
      </c>
      <c r="Q43" s="2"/>
      <c r="R43" s="7">
        <f t="shared" si="24"/>
        <v>8.8328221957689815E-2</v>
      </c>
      <c r="S43" s="2"/>
      <c r="T43" s="6">
        <v>2535</v>
      </c>
      <c r="U43" s="2"/>
      <c r="V43" s="7">
        <f t="shared" si="25"/>
        <v>2.0465829733984581E-3</v>
      </c>
      <c r="W43" s="2"/>
      <c r="X43" s="6">
        <f t="shared" si="26"/>
        <v>91869.83</v>
      </c>
      <c r="Y43" s="2"/>
      <c r="Z43" s="7">
        <f t="shared" si="27"/>
        <v>36.2405641025641</v>
      </c>
    </row>
    <row r="44" spans="1:26" s="24" customFormat="1" hidden="1" outlineLevel="2" x14ac:dyDescent="0.25">
      <c r="A44" s="25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0"/>
        <v>0</v>
      </c>
      <c r="G44" s="2"/>
      <c r="H44" s="6">
        <v>17225</v>
      </c>
      <c r="I44" s="2"/>
      <c r="J44" s="7">
        <f t="shared" si="21"/>
        <v>0.10339135654261705</v>
      </c>
      <c r="K44" s="2"/>
      <c r="L44" s="6">
        <f t="shared" si="22"/>
        <v>-17225</v>
      </c>
      <c r="M44" s="2"/>
      <c r="N44" s="7">
        <f t="shared" si="23"/>
        <v>-1</v>
      </c>
      <c r="O44" s="11"/>
      <c r="P44" s="6">
        <v>1830</v>
      </c>
      <c r="Q44" s="2"/>
      <c r="R44" s="7">
        <f t="shared" si="24"/>
        <v>1.7122073752219285E-3</v>
      </c>
      <c r="S44" s="2"/>
      <c r="T44" s="6">
        <v>116259</v>
      </c>
      <c r="U44" s="2"/>
      <c r="V44" s="7">
        <f t="shared" si="25"/>
        <v>9.3859443749243127E-2</v>
      </c>
      <c r="W44" s="2"/>
      <c r="X44" s="6">
        <f t="shared" si="26"/>
        <v>-114429</v>
      </c>
      <c r="Y44" s="2"/>
      <c r="Z44" s="7">
        <f t="shared" si="27"/>
        <v>-0.98425928315227207</v>
      </c>
    </row>
    <row r="45" spans="1:26" s="24" customFormat="1" hidden="1" outlineLevel="2" x14ac:dyDescent="0.25">
      <c r="A45" s="25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5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7" customFormat="1" outlineLevel="1" collapsed="1" x14ac:dyDescent="0.25">
      <c r="A47" s="26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81.010000000000005</v>
      </c>
      <c r="E47" s="1"/>
      <c r="F47" s="5">
        <f t="shared" ref="F47:F56" si="28">IF(D$12=0,0,D47/D$12)</f>
        <v>1.1895572118869966E-3</v>
      </c>
      <c r="G47" s="1"/>
      <c r="H47" s="1">
        <f>SUM(OSRRefH22_2x_0)</f>
        <v>250</v>
      </c>
      <c r="I47" s="1"/>
      <c r="J47" s="5">
        <f t="shared" ref="J47:J56" si="29">IF(H$12=0,0,H47/H$12)</f>
        <v>1.5006002400960385E-3</v>
      </c>
      <c r="K47" s="1"/>
      <c r="L47" s="1">
        <f t="shared" ref="L47:L56" si="30">+D47-H47</f>
        <v>-168.99</v>
      </c>
      <c r="M47" s="1"/>
      <c r="N47" s="5">
        <f t="shared" ref="N47:N56" si="31">IF(H47=0,0,L47/H47)</f>
        <v>-0.67596000000000001</v>
      </c>
      <c r="O47" s="13"/>
      <c r="P47" s="1">
        <f>SUM(OSRRefP22_2x_0)</f>
        <v>4363.6499999999996</v>
      </c>
      <c r="Q47" s="1"/>
      <c r="R47" s="5">
        <f t="shared" ref="R47:R56" si="32">IF(P$12=0,0,P47/P$12)</f>
        <v>4.0827725207033703E-3</v>
      </c>
      <c r="S47" s="1"/>
      <c r="T47" s="1">
        <f>SUM(OSRRefT22_2x_0)</f>
        <v>5930</v>
      </c>
      <c r="U47" s="1"/>
      <c r="V47" s="5">
        <f t="shared" ref="V47:V56" si="33">IF(T$12=0,0,T47/T$12)</f>
        <v>4.7874702296855452E-3</v>
      </c>
      <c r="W47" s="1"/>
      <c r="X47" s="1">
        <f t="shared" ref="X47:X56" si="34">+P47-T47</f>
        <v>-1566.3500000000004</v>
      </c>
      <c r="Y47" s="1"/>
      <c r="Z47" s="5">
        <f t="shared" ref="Z47:Z56" si="35">IF(T47=0,0,X47/T47)</f>
        <v>-0.26413996627318725</v>
      </c>
    </row>
    <row r="48" spans="1:26" s="24" customFormat="1" hidden="1" outlineLevel="2" x14ac:dyDescent="0.25">
      <c r="A48" s="25"/>
      <c r="B48" s="11" t="str">
        <f>CONCATENATE("          ", "6362", " - ", "ADVERTISING EXPENSE")</f>
        <v xml:space="preserve">          6362 - ADVERTISING EXPENSE</v>
      </c>
      <c r="C48" s="11"/>
      <c r="D48" s="6">
        <v>81.010000000000005</v>
      </c>
      <c r="E48" s="2"/>
      <c r="F48" s="7">
        <f t="shared" si="28"/>
        <v>1.1895572118869966E-3</v>
      </c>
      <c r="G48" s="2"/>
      <c r="H48" s="6">
        <v>250</v>
      </c>
      <c r="I48" s="2"/>
      <c r="J48" s="7">
        <f t="shared" si="29"/>
        <v>1.5006002400960385E-3</v>
      </c>
      <c r="K48" s="2"/>
      <c r="L48" s="6">
        <f t="shared" si="30"/>
        <v>-168.99</v>
      </c>
      <c r="M48" s="2"/>
      <c r="N48" s="7">
        <f t="shared" si="31"/>
        <v>-0.67596000000000001</v>
      </c>
      <c r="O48" s="11"/>
      <c r="P48" s="6">
        <v>4363.6499999999996</v>
      </c>
      <c r="Q48" s="2"/>
      <c r="R48" s="7">
        <f t="shared" si="32"/>
        <v>4.0827725207033703E-3</v>
      </c>
      <c r="S48" s="2"/>
      <c r="T48" s="6">
        <v>5930</v>
      </c>
      <c r="U48" s="2"/>
      <c r="V48" s="7">
        <f t="shared" si="33"/>
        <v>4.7874702296855452E-3</v>
      </c>
      <c r="W48" s="2"/>
      <c r="X48" s="6">
        <f t="shared" si="34"/>
        <v>-1566.3500000000004</v>
      </c>
      <c r="Y48" s="2"/>
      <c r="Z48" s="7">
        <f t="shared" si="35"/>
        <v>-0.26413996627318725</v>
      </c>
    </row>
    <row r="49" spans="1:26" s="27" customFormat="1" outlineLevel="1" collapsed="1" x14ac:dyDescent="0.25">
      <c r="A49" s="26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-4.97</v>
      </c>
      <c r="E49" s="1"/>
      <c r="F49" s="5">
        <f t="shared" si="28"/>
        <v>-7.2979870918138165E-5</v>
      </c>
      <c r="G49" s="1"/>
      <c r="H49" s="1">
        <f>SUM(OSRRefH22_3x_0)</f>
        <v>10</v>
      </c>
      <c r="I49" s="1"/>
      <c r="J49" s="5">
        <f t="shared" si="29"/>
        <v>6.0024009603841539E-5</v>
      </c>
      <c r="K49" s="1"/>
      <c r="L49" s="1">
        <f t="shared" si="30"/>
        <v>-14.969999999999999</v>
      </c>
      <c r="M49" s="1"/>
      <c r="N49" s="5">
        <f t="shared" si="31"/>
        <v>-1.4969999999999999</v>
      </c>
      <c r="O49" s="13"/>
      <c r="P49" s="1">
        <f>SUM(OSRRefP22_3x_0)</f>
        <v>-326.89</v>
      </c>
      <c r="Q49" s="1"/>
      <c r="R49" s="5">
        <f t="shared" si="32"/>
        <v>-3.0584889010180119E-4</v>
      </c>
      <c r="S49" s="1"/>
      <c r="T49" s="1">
        <f>SUM(OSRRefT22_3x_0)</f>
        <v>90</v>
      </c>
      <c r="U49" s="1"/>
      <c r="V49" s="5">
        <f t="shared" si="33"/>
        <v>7.2659750534856496E-5</v>
      </c>
      <c r="W49" s="1"/>
      <c r="X49" s="1">
        <f t="shared" si="34"/>
        <v>-416.89</v>
      </c>
      <c r="Y49" s="1"/>
      <c r="Z49" s="5">
        <f t="shared" si="35"/>
        <v>-4.6321111111111106</v>
      </c>
    </row>
    <row r="50" spans="1:26" s="24" customFormat="1" hidden="1" outlineLevel="2" x14ac:dyDescent="0.25">
      <c r="A50" s="25"/>
      <c r="B50" s="11" t="str">
        <f>CONCATENATE("          ", "6272", " - ", "CASH (OVER/SHORT)")</f>
        <v xml:space="preserve">          6272 - CASH (OVER/SHORT)</v>
      </c>
      <c r="C50" s="11"/>
      <c r="D50" s="6">
        <v>-4.97</v>
      </c>
      <c r="E50" s="2"/>
      <c r="F50" s="7">
        <f t="shared" si="28"/>
        <v>-7.2979870918138165E-5</v>
      </c>
      <c r="G50" s="2"/>
      <c r="H50" s="6">
        <v>10</v>
      </c>
      <c r="I50" s="2"/>
      <c r="J50" s="7">
        <f t="shared" si="29"/>
        <v>6.0024009603841539E-5</v>
      </c>
      <c r="K50" s="2"/>
      <c r="L50" s="6">
        <f t="shared" si="30"/>
        <v>-14.969999999999999</v>
      </c>
      <c r="M50" s="2"/>
      <c r="N50" s="7">
        <f t="shared" si="31"/>
        <v>-1.4969999999999999</v>
      </c>
      <c r="O50" s="11"/>
      <c r="P50" s="6">
        <v>-326.89</v>
      </c>
      <c r="Q50" s="2"/>
      <c r="R50" s="7">
        <f t="shared" si="32"/>
        <v>-3.0584889010180119E-4</v>
      </c>
      <c r="S50" s="2"/>
      <c r="T50" s="6">
        <v>90</v>
      </c>
      <c r="U50" s="2"/>
      <c r="V50" s="7">
        <f t="shared" si="33"/>
        <v>7.2659750534856496E-5</v>
      </c>
      <c r="W50" s="2"/>
      <c r="X50" s="6">
        <f t="shared" si="34"/>
        <v>-416.89</v>
      </c>
      <c r="Y50" s="2"/>
      <c r="Z50" s="7">
        <f t="shared" si="35"/>
        <v>-4.6321111111111106</v>
      </c>
    </row>
    <row r="51" spans="1:26" s="27" customFormat="1" outlineLevel="1" collapsed="1" x14ac:dyDescent="0.25">
      <c r="A51" s="26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3485.76</v>
      </c>
      <c r="E51" s="1"/>
      <c r="F51" s="5">
        <f t="shared" si="28"/>
        <v>5.1185174014408315E-2</v>
      </c>
      <c r="G51" s="1"/>
      <c r="H51" s="1">
        <f>SUM(OSRRefH22_4x_0)</f>
        <v>6135</v>
      </c>
      <c r="I51" s="1"/>
      <c r="J51" s="5">
        <f t="shared" si="29"/>
        <v>3.682472989195678E-2</v>
      </c>
      <c r="K51" s="1"/>
      <c r="L51" s="1">
        <f t="shared" si="30"/>
        <v>-2649.24</v>
      </c>
      <c r="M51" s="1"/>
      <c r="N51" s="5">
        <f t="shared" si="31"/>
        <v>-0.43182396088019559</v>
      </c>
      <c r="O51" s="13"/>
      <c r="P51" s="1">
        <f>SUM(OSRRefP22_4x_0)</f>
        <v>41983.19</v>
      </c>
      <c r="Q51" s="1"/>
      <c r="R51" s="5">
        <f t="shared" si="32"/>
        <v>3.9280834728603019E-2</v>
      </c>
      <c r="S51" s="1"/>
      <c r="T51" s="1">
        <f>SUM(OSRRefT22_4x_0)</f>
        <v>45560</v>
      </c>
      <c r="U51" s="1"/>
      <c r="V51" s="5">
        <f t="shared" si="33"/>
        <v>3.6781980381867356E-2</v>
      </c>
      <c r="W51" s="1"/>
      <c r="X51" s="1">
        <f t="shared" si="34"/>
        <v>-3576.8099999999977</v>
      </c>
      <c r="Y51" s="1"/>
      <c r="Z51" s="5">
        <f t="shared" si="35"/>
        <v>-7.8507682177348506E-2</v>
      </c>
    </row>
    <row r="52" spans="1:26" s="24" customFormat="1" hidden="1" outlineLevel="2" x14ac:dyDescent="0.25">
      <c r="A52" s="25"/>
      <c r="B52" s="11" t="str">
        <f>CONCATENATE("          ", "6381", " - ", "BANK/CREDIT CARD FEES")</f>
        <v xml:space="preserve">          6381 - BANK/CREDIT CARD FEES</v>
      </c>
      <c r="C52" s="11"/>
      <c r="D52" s="6">
        <v>3485.76</v>
      </c>
      <c r="E52" s="2"/>
      <c r="F52" s="7">
        <f t="shared" si="28"/>
        <v>5.1185174014408315E-2</v>
      </c>
      <c r="G52" s="2"/>
      <c r="H52" s="6">
        <v>6135</v>
      </c>
      <c r="I52" s="2"/>
      <c r="J52" s="7">
        <f t="shared" si="29"/>
        <v>3.682472989195678E-2</v>
      </c>
      <c r="K52" s="2"/>
      <c r="L52" s="6">
        <f t="shared" si="30"/>
        <v>-2649.24</v>
      </c>
      <c r="M52" s="2"/>
      <c r="N52" s="7">
        <f t="shared" si="31"/>
        <v>-0.43182396088019559</v>
      </c>
      <c r="O52" s="11"/>
      <c r="P52" s="6">
        <v>41983.19</v>
      </c>
      <c r="Q52" s="2"/>
      <c r="R52" s="7">
        <f t="shared" si="32"/>
        <v>3.9280834728603019E-2</v>
      </c>
      <c r="S52" s="2"/>
      <c r="T52" s="6">
        <v>45560</v>
      </c>
      <c r="U52" s="2"/>
      <c r="V52" s="7">
        <f t="shared" si="33"/>
        <v>3.6781980381867356E-2</v>
      </c>
      <c r="W52" s="2"/>
      <c r="X52" s="6">
        <f t="shared" si="34"/>
        <v>-3576.8099999999977</v>
      </c>
      <c r="Y52" s="2"/>
      <c r="Z52" s="7">
        <f t="shared" si="35"/>
        <v>-7.8507682177348506E-2</v>
      </c>
    </row>
    <row r="53" spans="1:26" s="27" customFormat="1" outlineLevel="1" collapsed="1" x14ac:dyDescent="0.25">
      <c r="A53" s="26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8471.56</v>
      </c>
      <c r="E53" s="1"/>
      <c r="F53" s="5">
        <f t="shared" si="28"/>
        <v>0.12439705337530434</v>
      </c>
      <c r="G53" s="1"/>
      <c r="H53" s="1">
        <f>SUM(OSRRefH22_5x_0)</f>
        <v>8780</v>
      </c>
      <c r="I53" s="1"/>
      <c r="J53" s="5">
        <f t="shared" si="29"/>
        <v>5.2701080432172871E-2</v>
      </c>
      <c r="K53" s="1"/>
      <c r="L53" s="1">
        <f t="shared" si="30"/>
        <v>-308.44000000000051</v>
      </c>
      <c r="M53" s="1"/>
      <c r="N53" s="5">
        <f t="shared" si="31"/>
        <v>-3.51298405466971E-2</v>
      </c>
      <c r="O53" s="13"/>
      <c r="P53" s="1">
        <f>SUM(OSRRefP22_5x_0)</f>
        <v>74579.319999999992</v>
      </c>
      <c r="Q53" s="1"/>
      <c r="R53" s="5">
        <f t="shared" si="32"/>
        <v>6.977883155357173E-2</v>
      </c>
      <c r="S53" s="1"/>
      <c r="T53" s="1">
        <f>SUM(OSRRefT22_5x_0)</f>
        <v>78552</v>
      </c>
      <c r="U53" s="1"/>
      <c r="V53" s="5">
        <f t="shared" si="33"/>
        <v>6.3417430266822755E-2</v>
      </c>
      <c r="W53" s="1"/>
      <c r="X53" s="1">
        <f t="shared" si="34"/>
        <v>-3972.6800000000076</v>
      </c>
      <c r="Y53" s="1"/>
      <c r="Z53" s="5">
        <f t="shared" si="35"/>
        <v>-5.0573887361238509E-2</v>
      </c>
    </row>
    <row r="54" spans="1:26" s="24" customFormat="1" hidden="1" outlineLevel="2" x14ac:dyDescent="0.25">
      <c r="A54" s="25"/>
      <c r="B54" s="11" t="str">
        <f>CONCATENATE("          ", "6321", " - ", "BUILDING DEPRECIATION")</f>
        <v xml:space="preserve">          6321 - BUILDING DEPRECIATION</v>
      </c>
      <c r="C54" s="11"/>
      <c r="D54" s="6">
        <v>6537.05</v>
      </c>
      <c r="E54" s="2"/>
      <c r="F54" s="7">
        <f t="shared" si="28"/>
        <v>9.5990556375335032E-2</v>
      </c>
      <c r="G54" s="2"/>
      <c r="H54" s="6">
        <v>6537</v>
      </c>
      <c r="I54" s="2"/>
      <c r="J54" s="7">
        <f t="shared" si="29"/>
        <v>3.9237695078031209E-2</v>
      </c>
      <c r="K54" s="2"/>
      <c r="L54" s="6">
        <f t="shared" si="30"/>
        <v>5.0000000000181899E-2</v>
      </c>
      <c r="M54" s="2"/>
      <c r="N54" s="7">
        <f t="shared" si="31"/>
        <v>7.6487685482915549E-6</v>
      </c>
      <c r="O54" s="11"/>
      <c r="P54" s="6">
        <v>58833.45</v>
      </c>
      <c r="Q54" s="2"/>
      <c r="R54" s="7">
        <f t="shared" si="32"/>
        <v>5.504648469931725E-2</v>
      </c>
      <c r="S54" s="2"/>
      <c r="T54" s="6">
        <v>58833</v>
      </c>
      <c r="U54" s="2"/>
      <c r="V54" s="7">
        <f t="shared" si="33"/>
        <v>4.7497678924635689E-2</v>
      </c>
      <c r="W54" s="2"/>
      <c r="X54" s="6">
        <f t="shared" si="34"/>
        <v>0.44999999999708962</v>
      </c>
      <c r="Y54" s="2"/>
      <c r="Z54" s="7">
        <f t="shared" si="35"/>
        <v>7.6487685482142614E-6</v>
      </c>
    </row>
    <row r="55" spans="1:26" s="24" customFormat="1" hidden="1" outlineLevel="2" x14ac:dyDescent="0.25">
      <c r="A55" s="25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1934.51</v>
      </c>
      <c r="E55" s="2"/>
      <c r="F55" s="7">
        <f t="shared" si="28"/>
        <v>2.8406496999969309E-2</v>
      </c>
      <c r="G55" s="2"/>
      <c r="H55" s="6">
        <v>1726</v>
      </c>
      <c r="I55" s="2"/>
      <c r="J55" s="7">
        <f t="shared" si="29"/>
        <v>1.0360144057623049E-2</v>
      </c>
      <c r="K55" s="2"/>
      <c r="L55" s="6">
        <f t="shared" si="30"/>
        <v>208.51</v>
      </c>
      <c r="M55" s="2"/>
      <c r="N55" s="7">
        <f t="shared" si="31"/>
        <v>0.12080533024333719</v>
      </c>
      <c r="O55" s="11"/>
      <c r="P55" s="6">
        <v>15745.87</v>
      </c>
      <c r="Q55" s="2"/>
      <c r="R55" s="7">
        <f t="shared" si="32"/>
        <v>1.4732346854254485E-2</v>
      </c>
      <c r="S55" s="2"/>
      <c r="T55" s="6">
        <v>15534</v>
      </c>
      <c r="U55" s="2"/>
      <c r="V55" s="7">
        <f t="shared" si="33"/>
        <v>1.2541072942316231E-2</v>
      </c>
      <c r="W55" s="2"/>
      <c r="X55" s="6">
        <f t="shared" si="34"/>
        <v>211.8700000000008</v>
      </c>
      <c r="Y55" s="2"/>
      <c r="Z55" s="7">
        <f t="shared" si="35"/>
        <v>1.36391142011073E-2</v>
      </c>
    </row>
    <row r="56" spans="1:26" s="24" customFormat="1" hidden="1" outlineLevel="2" x14ac:dyDescent="0.25">
      <c r="A56" s="25"/>
      <c r="B56" s="11" t="str">
        <f>CONCATENATE("          ", "6324", " - ", "FURNITURE + FIXT DEPRECIATION")</f>
        <v xml:space="preserve">          6324 - FURNITURE + FIXT DEPRECIATION</v>
      </c>
      <c r="C56" s="11"/>
      <c r="D56" s="6"/>
      <c r="E56" s="2"/>
      <c r="F56" s="7">
        <f t="shared" si="28"/>
        <v>0</v>
      </c>
      <c r="G56" s="2"/>
      <c r="H56" s="6">
        <v>517</v>
      </c>
      <c r="I56" s="2"/>
      <c r="J56" s="7">
        <f t="shared" si="29"/>
        <v>3.1032412965186075E-3</v>
      </c>
      <c r="K56" s="2"/>
      <c r="L56" s="6">
        <f t="shared" si="30"/>
        <v>-517</v>
      </c>
      <c r="M56" s="2"/>
      <c r="N56" s="7">
        <f t="shared" si="31"/>
        <v>-1</v>
      </c>
      <c r="O56" s="11"/>
      <c r="P56" s="6"/>
      <c r="Q56" s="2"/>
      <c r="R56" s="7">
        <f t="shared" si="32"/>
        <v>0</v>
      </c>
      <c r="S56" s="2"/>
      <c r="T56" s="6">
        <v>4185</v>
      </c>
      <c r="U56" s="2"/>
      <c r="V56" s="7">
        <f t="shared" si="33"/>
        <v>3.378678399870827E-3</v>
      </c>
      <c r="W56" s="2"/>
      <c r="X56" s="6">
        <f t="shared" si="34"/>
        <v>-4185</v>
      </c>
      <c r="Y56" s="2"/>
      <c r="Z56" s="7">
        <f t="shared" si="35"/>
        <v>-1</v>
      </c>
    </row>
    <row r="57" spans="1:26" s="27" customFormat="1" outlineLevel="1" collapsed="1" x14ac:dyDescent="0.25">
      <c r="A57" s="26"/>
      <c r="B57" s="13" t="str">
        <f>CONCATENATE("     ","Discounts and Markdowns                           ")</f>
        <v xml:space="preserve">     Discounts and Markdowns                           </v>
      </c>
      <c r="C57" s="13"/>
      <c r="D57" s="1">
        <f>SUM(OSRRefD22_6x_0)</f>
        <v>0</v>
      </c>
      <c r="E57" s="1"/>
      <c r="F57" s="5">
        <f t="shared" ref="F57:F67" si="36">IF(D$12=0,0,D57/D$12)</f>
        <v>0</v>
      </c>
      <c r="G57" s="1"/>
      <c r="H57" s="1">
        <f>SUM(OSRRefH22_6x_0)</f>
        <v>0</v>
      </c>
      <c r="I57" s="1"/>
      <c r="J57" s="5">
        <f t="shared" ref="J57:J67" si="37">IF(H$12=0,0,H57/H$12)</f>
        <v>0</v>
      </c>
      <c r="K57" s="1"/>
      <c r="L57" s="1">
        <f t="shared" ref="L57:L67" si="38">+D57-H57</f>
        <v>0</v>
      </c>
      <c r="M57" s="1"/>
      <c r="N57" s="5">
        <f t="shared" ref="N57:N67" si="39">IF(H57=0,0,L57/H57)</f>
        <v>0</v>
      </c>
      <c r="O57" s="13"/>
      <c r="P57" s="1">
        <f>SUM(OSRRefP22_6x_0)</f>
        <v>0.09</v>
      </c>
      <c r="Q57" s="1"/>
      <c r="R57" s="5">
        <f t="shared" ref="R57:R67" si="40">IF(P$12=0,0,P57/P$12)</f>
        <v>8.4206920092881724E-8</v>
      </c>
      <c r="S57" s="1"/>
      <c r="T57" s="1">
        <f>SUM(OSRRefT22_6x_0)</f>
        <v>0</v>
      </c>
      <c r="U57" s="1"/>
      <c r="V57" s="5">
        <f t="shared" ref="V57:V67" si="41">IF(T$12=0,0,T57/T$12)</f>
        <v>0</v>
      </c>
      <c r="W57" s="1"/>
      <c r="X57" s="1">
        <f t="shared" ref="X57:X67" si="42">+P57-T57</f>
        <v>0.09</v>
      </c>
      <c r="Y57" s="1"/>
      <c r="Z57" s="5">
        <f t="shared" ref="Z57:Z67" si="43">IF(T57=0,0,X57/T57)</f>
        <v>0</v>
      </c>
    </row>
    <row r="58" spans="1:26" s="24" customFormat="1" hidden="1" outlineLevel="2" x14ac:dyDescent="0.25">
      <c r="A58" s="25"/>
      <c r="B58" s="11" t="str">
        <f>CONCATENATE("          ", "6382", " - ", "DISCOUNTS/MARK DOWNS")</f>
        <v xml:space="preserve">          6382 - DISCOUNTS/MARK DOWNS</v>
      </c>
      <c r="C58" s="11"/>
      <c r="D58" s="6"/>
      <c r="E58" s="2"/>
      <c r="F58" s="7">
        <f t="shared" si="36"/>
        <v>0</v>
      </c>
      <c r="G58" s="2"/>
      <c r="H58" s="6"/>
      <c r="I58" s="2"/>
      <c r="J58" s="7">
        <f t="shared" si="37"/>
        <v>0</v>
      </c>
      <c r="K58" s="2"/>
      <c r="L58" s="6">
        <f t="shared" si="38"/>
        <v>0</v>
      </c>
      <c r="M58" s="2"/>
      <c r="N58" s="7">
        <f t="shared" si="39"/>
        <v>0</v>
      </c>
      <c r="O58" s="11"/>
      <c r="P58" s="6">
        <v>0.09</v>
      </c>
      <c r="Q58" s="2"/>
      <c r="R58" s="7">
        <f t="shared" si="40"/>
        <v>8.4206920092881724E-8</v>
      </c>
      <c r="S58" s="2"/>
      <c r="T58" s="6"/>
      <c r="U58" s="2"/>
      <c r="V58" s="7">
        <f t="shared" si="41"/>
        <v>0</v>
      </c>
      <c r="W58" s="2"/>
      <c r="X58" s="6">
        <f t="shared" si="42"/>
        <v>0.09</v>
      </c>
      <c r="Y58" s="2"/>
      <c r="Z58" s="7">
        <f t="shared" si="43"/>
        <v>0</v>
      </c>
    </row>
    <row r="59" spans="1:26" s="27" customFormat="1" outlineLevel="1" collapsed="1" x14ac:dyDescent="0.25">
      <c r="A59" s="26"/>
      <c r="B59" s="13" t="str">
        <f>CONCATENATE("     ","Donations                                         ")</f>
        <v xml:space="preserve">     Donations                                         </v>
      </c>
      <c r="C59" s="13"/>
      <c r="D59" s="1">
        <f>SUM(OSRRefD22_7x_0)</f>
        <v>0</v>
      </c>
      <c r="E59" s="1"/>
      <c r="F59" s="5">
        <f t="shared" si="36"/>
        <v>0</v>
      </c>
      <c r="G59" s="1"/>
      <c r="H59" s="1">
        <f>SUM(OSRRefH22_7x_0)</f>
        <v>100</v>
      </c>
      <c r="I59" s="1"/>
      <c r="J59" s="5">
        <f t="shared" si="37"/>
        <v>6.0024009603841532E-4</v>
      </c>
      <c r="K59" s="1"/>
      <c r="L59" s="1">
        <f t="shared" si="38"/>
        <v>-100</v>
      </c>
      <c r="M59" s="1"/>
      <c r="N59" s="5">
        <f t="shared" si="39"/>
        <v>-1</v>
      </c>
      <c r="O59" s="13"/>
      <c r="P59" s="1">
        <f>SUM(OSRRefP22_7x_0)</f>
        <v>73</v>
      </c>
      <c r="Q59" s="1"/>
      <c r="R59" s="5">
        <f t="shared" si="40"/>
        <v>6.8301168519781851E-5</v>
      </c>
      <c r="S59" s="1"/>
      <c r="T59" s="1">
        <f>SUM(OSRRefT22_7x_0)</f>
        <v>100</v>
      </c>
      <c r="U59" s="1"/>
      <c r="V59" s="5">
        <f t="shared" si="41"/>
        <v>8.0733056149840556E-5</v>
      </c>
      <c r="W59" s="1"/>
      <c r="X59" s="1">
        <f t="shared" si="42"/>
        <v>-27</v>
      </c>
      <c r="Y59" s="1"/>
      <c r="Z59" s="5">
        <f t="shared" si="43"/>
        <v>-0.27</v>
      </c>
    </row>
    <row r="60" spans="1:26" s="24" customFormat="1" hidden="1" outlineLevel="2" x14ac:dyDescent="0.25">
      <c r="A60" s="25"/>
      <c r="B60" s="11" t="str">
        <f>CONCATENATE("          ", "6399", " - ", "DONATION-ON CAMPUS")</f>
        <v xml:space="preserve">          6399 - DONATION-ON CAMPUS</v>
      </c>
      <c r="C60" s="11"/>
      <c r="D60" s="6"/>
      <c r="E60" s="2"/>
      <c r="F60" s="7">
        <f t="shared" si="36"/>
        <v>0</v>
      </c>
      <c r="G60" s="2"/>
      <c r="H60" s="6">
        <v>100</v>
      </c>
      <c r="I60" s="2"/>
      <c r="J60" s="7">
        <f t="shared" si="37"/>
        <v>6.0024009603841532E-4</v>
      </c>
      <c r="K60" s="2"/>
      <c r="L60" s="6">
        <f t="shared" si="38"/>
        <v>-100</v>
      </c>
      <c r="M60" s="2"/>
      <c r="N60" s="7">
        <f t="shared" si="39"/>
        <v>-1</v>
      </c>
      <c r="O60" s="11"/>
      <c r="P60" s="6">
        <v>73</v>
      </c>
      <c r="Q60" s="2"/>
      <c r="R60" s="7">
        <f t="shared" si="40"/>
        <v>6.8301168519781851E-5</v>
      </c>
      <c r="S60" s="2"/>
      <c r="T60" s="6">
        <v>100</v>
      </c>
      <c r="U60" s="2"/>
      <c r="V60" s="7">
        <f t="shared" si="41"/>
        <v>8.0733056149840556E-5</v>
      </c>
      <c r="W60" s="2"/>
      <c r="X60" s="6">
        <f t="shared" si="42"/>
        <v>-27</v>
      </c>
      <c r="Y60" s="2"/>
      <c r="Z60" s="7">
        <f t="shared" si="43"/>
        <v>-0.27</v>
      </c>
    </row>
    <row r="61" spans="1:26" s="27" customFormat="1" outlineLevel="1" collapsed="1" x14ac:dyDescent="0.25">
      <c r="A61" s="26"/>
      <c r="B61" s="13" t="str">
        <f>CONCATENATE("     ","Employees' Appreciation                           ")</f>
        <v xml:space="preserve">     Employees' Appreciation                           </v>
      </c>
      <c r="C61" s="13"/>
      <c r="D61" s="1">
        <f>SUM(OSRRefD22_8x_0)</f>
        <v>0</v>
      </c>
      <c r="E61" s="1"/>
      <c r="F61" s="5">
        <f t="shared" si="36"/>
        <v>0</v>
      </c>
      <c r="G61" s="1"/>
      <c r="H61" s="1">
        <f>SUM(OSRRefH22_8x_0)</f>
        <v>75</v>
      </c>
      <c r="I61" s="1"/>
      <c r="J61" s="5">
        <f t="shared" si="37"/>
        <v>4.5018007202881152E-4</v>
      </c>
      <c r="K61" s="1"/>
      <c r="L61" s="1">
        <f t="shared" si="38"/>
        <v>-75</v>
      </c>
      <c r="M61" s="1"/>
      <c r="N61" s="5">
        <f t="shared" si="39"/>
        <v>-1</v>
      </c>
      <c r="O61" s="13"/>
      <c r="P61" s="1">
        <f>SUM(OSRRefP22_8x_0)</f>
        <v>8.25</v>
      </c>
      <c r="Q61" s="1"/>
      <c r="R61" s="5">
        <f t="shared" si="40"/>
        <v>7.7189676751808245E-6</v>
      </c>
      <c r="S61" s="1"/>
      <c r="T61" s="1">
        <f>SUM(OSRRefT22_8x_0)</f>
        <v>800</v>
      </c>
      <c r="U61" s="1"/>
      <c r="V61" s="5">
        <f t="shared" si="41"/>
        <v>6.4586444919872445E-4</v>
      </c>
      <c r="W61" s="1"/>
      <c r="X61" s="1">
        <f t="shared" si="42"/>
        <v>-791.75</v>
      </c>
      <c r="Y61" s="1"/>
      <c r="Z61" s="5">
        <f t="shared" si="43"/>
        <v>-0.98968750000000005</v>
      </c>
    </row>
    <row r="62" spans="1:26" s="24" customFormat="1" hidden="1" outlineLevel="2" x14ac:dyDescent="0.25">
      <c r="A62" s="25"/>
      <c r="B62" s="11" t="str">
        <f>CONCATENATE("          ", "6277", " - ", "EMPLOYEE APPRECIATION")</f>
        <v xml:space="preserve">          6277 - EMPLOYEE APPRECIATION</v>
      </c>
      <c r="C62" s="11"/>
      <c r="D62" s="6"/>
      <c r="E62" s="2"/>
      <c r="F62" s="7">
        <f t="shared" si="36"/>
        <v>0</v>
      </c>
      <c r="G62" s="2"/>
      <c r="H62" s="6">
        <v>75</v>
      </c>
      <c r="I62" s="2"/>
      <c r="J62" s="7">
        <f t="shared" si="37"/>
        <v>4.5018007202881152E-4</v>
      </c>
      <c r="K62" s="2"/>
      <c r="L62" s="6">
        <f t="shared" si="38"/>
        <v>-75</v>
      </c>
      <c r="M62" s="2"/>
      <c r="N62" s="7">
        <f t="shared" si="39"/>
        <v>-1</v>
      </c>
      <c r="O62" s="11"/>
      <c r="P62" s="6">
        <v>8.25</v>
      </c>
      <c r="Q62" s="2"/>
      <c r="R62" s="7">
        <f t="shared" si="40"/>
        <v>7.7189676751808245E-6</v>
      </c>
      <c r="S62" s="2"/>
      <c r="T62" s="6">
        <v>800</v>
      </c>
      <c r="U62" s="2"/>
      <c r="V62" s="7">
        <f t="shared" si="41"/>
        <v>6.4586444919872445E-4</v>
      </c>
      <c r="W62" s="2"/>
      <c r="X62" s="6">
        <f t="shared" si="42"/>
        <v>-791.75</v>
      </c>
      <c r="Y62" s="2"/>
      <c r="Z62" s="7">
        <f t="shared" si="43"/>
        <v>-0.98968750000000005</v>
      </c>
    </row>
    <row r="63" spans="1:26" s="27" customFormat="1" outlineLevel="1" collapsed="1" x14ac:dyDescent="0.25">
      <c r="A63" s="26"/>
      <c r="B63" s="13" t="str">
        <f>CONCATENATE("     ","Equipment Rental                                  ")</f>
        <v xml:space="preserve">     Equipment Rental                                  </v>
      </c>
      <c r="C63" s="13"/>
      <c r="D63" s="1">
        <f>SUM(OSRRefD22_9x_0)</f>
        <v>755.95</v>
      </c>
      <c r="E63" s="1"/>
      <c r="F63" s="5">
        <f t="shared" si="36"/>
        <v>1.1100429259671338E-2</v>
      </c>
      <c r="G63" s="1"/>
      <c r="H63" s="1">
        <f>SUM(OSRRefH22_9x_0)</f>
        <v>255</v>
      </c>
      <c r="I63" s="1"/>
      <c r="J63" s="5">
        <f t="shared" si="37"/>
        <v>1.5306122448979591E-3</v>
      </c>
      <c r="K63" s="1"/>
      <c r="L63" s="1">
        <f t="shared" si="38"/>
        <v>500.95000000000005</v>
      </c>
      <c r="M63" s="1"/>
      <c r="N63" s="5">
        <f t="shared" si="39"/>
        <v>1.9645098039215687</v>
      </c>
      <c r="O63" s="13"/>
      <c r="P63" s="1">
        <f>SUM(OSRRefP22_9x_0)</f>
        <v>6323.7</v>
      </c>
      <c r="Q63" s="1"/>
      <c r="R63" s="5">
        <f t="shared" si="40"/>
        <v>5.9166588954595129E-3</v>
      </c>
      <c r="S63" s="1"/>
      <c r="T63" s="1">
        <f>SUM(OSRRefT22_9x_0)</f>
        <v>961</v>
      </c>
      <c r="U63" s="1"/>
      <c r="V63" s="5">
        <f t="shared" si="41"/>
        <v>7.7584466959996774E-4</v>
      </c>
      <c r="W63" s="1"/>
      <c r="X63" s="1">
        <f t="shared" si="42"/>
        <v>5362.7</v>
      </c>
      <c r="Y63" s="1"/>
      <c r="Z63" s="5">
        <f t="shared" si="43"/>
        <v>5.580332986472424</v>
      </c>
    </row>
    <row r="64" spans="1:26" s="24" customFormat="1" hidden="1" outlineLevel="2" x14ac:dyDescent="0.25">
      <c r="A64" s="25"/>
      <c r="B64" s="11" t="str">
        <f>CONCATENATE("          ", "6351", " - ", "EQUIPMENT RENTAL")</f>
        <v xml:space="preserve">          6351 - EQUIPMENT RENTAL</v>
      </c>
      <c r="C64" s="11"/>
      <c r="D64" s="6">
        <v>755.95</v>
      </c>
      <c r="E64" s="2"/>
      <c r="F64" s="7">
        <f t="shared" si="36"/>
        <v>1.1100429259671338E-2</v>
      </c>
      <c r="G64" s="2"/>
      <c r="H64" s="6">
        <v>255</v>
      </c>
      <c r="I64" s="2"/>
      <c r="J64" s="7">
        <f t="shared" si="37"/>
        <v>1.5306122448979591E-3</v>
      </c>
      <c r="K64" s="2"/>
      <c r="L64" s="6">
        <f t="shared" si="38"/>
        <v>500.95000000000005</v>
      </c>
      <c r="M64" s="2"/>
      <c r="N64" s="7">
        <f t="shared" si="39"/>
        <v>1.9645098039215687</v>
      </c>
      <c r="O64" s="11"/>
      <c r="P64" s="6">
        <v>6323.7</v>
      </c>
      <c r="Q64" s="2"/>
      <c r="R64" s="7">
        <f t="shared" si="40"/>
        <v>5.9166588954595129E-3</v>
      </c>
      <c r="S64" s="2"/>
      <c r="T64" s="6">
        <v>961</v>
      </c>
      <c r="U64" s="2"/>
      <c r="V64" s="7">
        <f t="shared" si="41"/>
        <v>7.7584466959996774E-4</v>
      </c>
      <c r="W64" s="2"/>
      <c r="X64" s="6">
        <f t="shared" si="42"/>
        <v>5362.7</v>
      </c>
      <c r="Y64" s="2"/>
      <c r="Z64" s="7">
        <f t="shared" si="43"/>
        <v>5.580332986472424</v>
      </c>
    </row>
    <row r="65" spans="1:26" s="27" customFormat="1" outlineLevel="1" collapsed="1" x14ac:dyDescent="0.25">
      <c r="A65" s="26"/>
      <c r="B65" s="13" t="str">
        <f>CONCATENATE("     ","General                                           ")</f>
        <v xml:space="preserve">     General                                           </v>
      </c>
      <c r="C65" s="13"/>
      <c r="D65" s="1">
        <f>SUM(OSRRefD22_10x_0)</f>
        <v>52.8</v>
      </c>
      <c r="E65" s="1"/>
      <c r="F65" s="5">
        <f t="shared" si="36"/>
        <v>7.7531935301362073E-4</v>
      </c>
      <c r="G65" s="1"/>
      <c r="H65" s="1">
        <f>SUM(OSRRefH22_10x_0)</f>
        <v>900</v>
      </c>
      <c r="I65" s="1"/>
      <c r="J65" s="5">
        <f t="shared" si="37"/>
        <v>5.4021608643457387E-3</v>
      </c>
      <c r="K65" s="1"/>
      <c r="L65" s="1">
        <f t="shared" si="38"/>
        <v>-847.2</v>
      </c>
      <c r="M65" s="1"/>
      <c r="N65" s="5">
        <f t="shared" si="39"/>
        <v>-0.94133333333333336</v>
      </c>
      <c r="O65" s="13"/>
      <c r="P65" s="1">
        <f>SUM(OSRRefP22_10x_0)</f>
        <v>13442.380000000001</v>
      </c>
      <c r="Q65" s="1"/>
      <c r="R65" s="5">
        <f t="shared" si="40"/>
        <v>1.2577126872423907E-2</v>
      </c>
      <c r="S65" s="1"/>
      <c r="T65" s="1">
        <f>SUM(OSRRefT22_10x_0)</f>
        <v>6500</v>
      </c>
      <c r="U65" s="1"/>
      <c r="V65" s="5">
        <f t="shared" si="41"/>
        <v>5.2476486497396359E-3</v>
      </c>
      <c r="W65" s="1"/>
      <c r="X65" s="1">
        <f t="shared" si="42"/>
        <v>6942.380000000001</v>
      </c>
      <c r="Y65" s="1"/>
      <c r="Z65" s="5">
        <f t="shared" si="43"/>
        <v>1.0680584615384616</v>
      </c>
    </row>
    <row r="66" spans="1:26" s="24" customFormat="1" hidden="1" outlineLevel="2" x14ac:dyDescent="0.25">
      <c r="A66" s="25"/>
      <c r="B66" s="11" t="str">
        <f>CONCATENATE("          ", "6269", " - ", "ENTERTAINMENT")</f>
        <v xml:space="preserve">          6269 - ENTERTAINMENT</v>
      </c>
      <c r="C66" s="11"/>
      <c r="D66" s="6"/>
      <c r="E66" s="2"/>
      <c r="F66" s="7">
        <f t="shared" si="36"/>
        <v>0</v>
      </c>
      <c r="G66" s="2"/>
      <c r="H66" s="6">
        <v>900</v>
      </c>
      <c r="I66" s="2"/>
      <c r="J66" s="7">
        <f t="shared" si="37"/>
        <v>5.4021608643457387E-3</v>
      </c>
      <c r="K66" s="2"/>
      <c r="L66" s="6">
        <f t="shared" si="38"/>
        <v>-900</v>
      </c>
      <c r="M66" s="2"/>
      <c r="N66" s="7">
        <f t="shared" si="39"/>
        <v>-1</v>
      </c>
      <c r="O66" s="11"/>
      <c r="P66" s="6">
        <v>10050</v>
      </c>
      <c r="Q66" s="2"/>
      <c r="R66" s="7">
        <f t="shared" si="40"/>
        <v>9.4031060770384603E-3</v>
      </c>
      <c r="S66" s="2"/>
      <c r="T66" s="6">
        <v>6500</v>
      </c>
      <c r="U66" s="2"/>
      <c r="V66" s="7">
        <f t="shared" si="41"/>
        <v>5.2476486497396359E-3</v>
      </c>
      <c r="W66" s="2"/>
      <c r="X66" s="6">
        <f t="shared" si="42"/>
        <v>3550</v>
      </c>
      <c r="Y66" s="2"/>
      <c r="Z66" s="7">
        <f t="shared" si="43"/>
        <v>0.5461538461538461</v>
      </c>
    </row>
    <row r="67" spans="1:26" s="24" customFormat="1" hidden="1" outlineLevel="2" x14ac:dyDescent="0.25">
      <c r="A67" s="25"/>
      <c r="B67" s="11" t="str">
        <f>CONCATENATE("          ", "6279", " - ", "GENERAL EXPENSE")</f>
        <v xml:space="preserve">          6279 - GENERAL EXPENSE</v>
      </c>
      <c r="C67" s="11"/>
      <c r="D67" s="6">
        <v>52.8</v>
      </c>
      <c r="E67" s="2"/>
      <c r="F67" s="7">
        <f t="shared" si="36"/>
        <v>7.7531935301362073E-4</v>
      </c>
      <c r="G67" s="2"/>
      <c r="H67" s="6"/>
      <c r="I67" s="2"/>
      <c r="J67" s="7">
        <f t="shared" si="37"/>
        <v>0</v>
      </c>
      <c r="K67" s="2"/>
      <c r="L67" s="6">
        <f t="shared" si="38"/>
        <v>52.8</v>
      </c>
      <c r="M67" s="2"/>
      <c r="N67" s="7">
        <f t="shared" si="39"/>
        <v>0</v>
      </c>
      <c r="O67" s="11"/>
      <c r="P67" s="6">
        <v>3392.38</v>
      </c>
      <c r="Q67" s="2"/>
      <c r="R67" s="7">
        <f t="shared" si="40"/>
        <v>3.1740207953854459E-3</v>
      </c>
      <c r="S67" s="2"/>
      <c r="T67" s="6"/>
      <c r="U67" s="2"/>
      <c r="V67" s="7">
        <f t="shared" si="41"/>
        <v>0</v>
      </c>
      <c r="W67" s="2"/>
      <c r="X67" s="6">
        <f t="shared" si="42"/>
        <v>3392.38</v>
      </c>
      <c r="Y67" s="2"/>
      <c r="Z67" s="7">
        <f t="shared" si="43"/>
        <v>0</v>
      </c>
    </row>
    <row r="68" spans="1:26" s="27" customFormat="1" outlineLevel="1" collapsed="1" x14ac:dyDescent="0.25">
      <c r="A68" s="26"/>
      <c r="B68" s="13" t="str">
        <f>CONCATENATE("     ","Repair and Maintenance                            ")</f>
        <v xml:space="preserve">     Repair and Maintenance                            </v>
      </c>
      <c r="C68" s="13"/>
      <c r="D68" s="1">
        <f>SUM(OSRRefD22_11x_0)</f>
        <v>198.87</v>
      </c>
      <c r="E68" s="1"/>
      <c r="F68" s="5">
        <f t="shared" ref="F68:F71" si="44">IF(D$12=0,0,D68/D$12)</f>
        <v>2.9202227222314163E-3</v>
      </c>
      <c r="G68" s="1"/>
      <c r="H68" s="1">
        <f>SUM(OSRRefH22_11x_0)</f>
        <v>1838</v>
      </c>
      <c r="I68" s="1"/>
      <c r="J68" s="5">
        <f t="shared" ref="J68:J71" si="45">IF(H$12=0,0,H68/H$12)</f>
        <v>1.1032412965186075E-2</v>
      </c>
      <c r="K68" s="1"/>
      <c r="L68" s="1">
        <f t="shared" ref="L68:L71" si="46">+D68-H68</f>
        <v>-1639.13</v>
      </c>
      <c r="M68" s="1"/>
      <c r="N68" s="5">
        <f t="shared" ref="N68:N71" si="47">IF(H68=0,0,L68/H68)</f>
        <v>-0.89180087051142554</v>
      </c>
      <c r="O68" s="13"/>
      <c r="P68" s="1">
        <f>SUM(OSRRefP22_11x_0)</f>
        <v>17856.98</v>
      </c>
      <c r="Q68" s="1"/>
      <c r="R68" s="5">
        <f t="shared" ref="R68:R71" si="48">IF(P$12=0,0,P68/P$12)</f>
        <v>1.6707569866224303E-2</v>
      </c>
      <c r="S68" s="1"/>
      <c r="T68" s="1">
        <f>SUM(OSRRefT22_11x_0)</f>
        <v>12889</v>
      </c>
      <c r="U68" s="1"/>
      <c r="V68" s="5">
        <f t="shared" ref="V68:V71" si="49">IF(T$12=0,0,T68/T$12)</f>
        <v>1.0405683607152948E-2</v>
      </c>
      <c r="W68" s="1"/>
      <c r="X68" s="1">
        <f t="shared" ref="X68:X71" si="50">+P68-T68</f>
        <v>4967.9799999999996</v>
      </c>
      <c r="Y68" s="1"/>
      <c r="Z68" s="5">
        <f t="shared" ref="Z68:Z71" si="51">IF(T68=0,0,X68/T68)</f>
        <v>0.38544340134998833</v>
      </c>
    </row>
    <row r="69" spans="1:26" s="24" customFormat="1" hidden="1" outlineLevel="2" x14ac:dyDescent="0.25">
      <c r="A69" s="25"/>
      <c r="B69" s="11" t="str">
        <f>CONCATENATE("          ", "6371", " - ", "COMPUTER SOFTWARE MAINTENANCE")</f>
        <v xml:space="preserve">          6371 - COMPUTER SOFTWARE MAINTENANCE</v>
      </c>
      <c r="C69" s="11"/>
      <c r="D69" s="6"/>
      <c r="E69" s="2"/>
      <c r="F69" s="7">
        <f t="shared" si="44"/>
        <v>0</v>
      </c>
      <c r="G69" s="2"/>
      <c r="H69" s="6"/>
      <c r="I69" s="2"/>
      <c r="J69" s="7">
        <f t="shared" si="45"/>
        <v>0</v>
      </c>
      <c r="K69" s="2"/>
      <c r="L69" s="6">
        <f t="shared" si="46"/>
        <v>0</v>
      </c>
      <c r="M69" s="2"/>
      <c r="N69" s="7">
        <f t="shared" si="47"/>
        <v>0</v>
      </c>
      <c r="O69" s="11"/>
      <c r="P69" s="6">
        <v>2623.85</v>
      </c>
      <c r="Q69" s="2"/>
      <c r="R69" s="7">
        <f t="shared" si="48"/>
        <v>2.454959192063419E-3</v>
      </c>
      <c r="S69" s="2"/>
      <c r="T69" s="6"/>
      <c r="U69" s="2"/>
      <c r="V69" s="7">
        <f t="shared" si="49"/>
        <v>0</v>
      </c>
      <c r="W69" s="2"/>
      <c r="X69" s="6">
        <f t="shared" si="50"/>
        <v>2623.85</v>
      </c>
      <c r="Y69" s="2"/>
      <c r="Z69" s="7">
        <f t="shared" si="51"/>
        <v>0</v>
      </c>
    </row>
    <row r="70" spans="1:26" s="24" customFormat="1" hidden="1" outlineLevel="2" x14ac:dyDescent="0.25">
      <c r="A70" s="25"/>
      <c r="B70" s="11" t="str">
        <f>CONCATENATE("          ", "6373", " - ", "MAINTENANCE CONTRACTS")</f>
        <v xml:space="preserve">          6373 - MAINTENANCE CONTRACTS</v>
      </c>
      <c r="C70" s="11"/>
      <c r="D70" s="6">
        <v>198.87</v>
      </c>
      <c r="E70" s="2"/>
      <c r="F70" s="7">
        <f t="shared" si="44"/>
        <v>2.9202227222314163E-3</v>
      </c>
      <c r="G70" s="2"/>
      <c r="H70" s="6">
        <v>188</v>
      </c>
      <c r="I70" s="2"/>
      <c r="J70" s="7">
        <f t="shared" si="45"/>
        <v>1.128451380552221E-3</v>
      </c>
      <c r="K70" s="2"/>
      <c r="L70" s="6">
        <f t="shared" si="46"/>
        <v>10.870000000000005</v>
      </c>
      <c r="M70" s="2"/>
      <c r="N70" s="7">
        <f t="shared" si="47"/>
        <v>5.7819148936170239E-2</v>
      </c>
      <c r="O70" s="11"/>
      <c r="P70" s="6">
        <v>1443.95</v>
      </c>
      <c r="Q70" s="2"/>
      <c r="R70" s="7">
        <f t="shared" si="48"/>
        <v>1.3510064696457397E-3</v>
      </c>
      <c r="S70" s="2"/>
      <c r="T70" s="6">
        <v>564</v>
      </c>
      <c r="U70" s="2"/>
      <c r="V70" s="7">
        <f t="shared" si="49"/>
        <v>4.5533443668510073E-4</v>
      </c>
      <c r="W70" s="2"/>
      <c r="X70" s="6">
        <f t="shared" si="50"/>
        <v>879.95</v>
      </c>
      <c r="Y70" s="2"/>
      <c r="Z70" s="7">
        <f t="shared" si="51"/>
        <v>1.560195035460993</v>
      </c>
    </row>
    <row r="71" spans="1:26" s="24" customFormat="1" hidden="1" outlineLevel="2" x14ac:dyDescent="0.25">
      <c r="A71" s="25"/>
      <c r="B71" s="11" t="str">
        <f>CONCATENATE("          ", "6375", " - ", "OUTSIDE REPAIRS &amp; MAINTENANCE")</f>
        <v xml:space="preserve">          6375 - OUTSIDE REPAIRS &amp; MAINTENANCE</v>
      </c>
      <c r="C71" s="11"/>
      <c r="D71" s="6"/>
      <c r="E71" s="2"/>
      <c r="F71" s="7">
        <f t="shared" si="44"/>
        <v>0</v>
      </c>
      <c r="G71" s="2"/>
      <c r="H71" s="6">
        <v>1650</v>
      </c>
      <c r="I71" s="2"/>
      <c r="J71" s="7">
        <f t="shared" si="45"/>
        <v>9.9039615846338528E-3</v>
      </c>
      <c r="K71" s="2"/>
      <c r="L71" s="6">
        <f t="shared" si="46"/>
        <v>-1650</v>
      </c>
      <c r="M71" s="2"/>
      <c r="N71" s="7">
        <f t="shared" si="47"/>
        <v>-1</v>
      </c>
      <c r="O71" s="11"/>
      <c r="P71" s="6">
        <v>13789.18</v>
      </c>
      <c r="Q71" s="2"/>
      <c r="R71" s="7">
        <f t="shared" si="48"/>
        <v>1.2901604204515143E-2</v>
      </c>
      <c r="S71" s="2"/>
      <c r="T71" s="6">
        <v>12325</v>
      </c>
      <c r="U71" s="2"/>
      <c r="V71" s="7">
        <f t="shared" si="49"/>
        <v>9.9503491704678489E-3</v>
      </c>
      <c r="W71" s="2"/>
      <c r="X71" s="6">
        <f t="shared" si="50"/>
        <v>1464.1800000000003</v>
      </c>
      <c r="Y71" s="2"/>
      <c r="Z71" s="7">
        <f t="shared" si="51"/>
        <v>0.11879756592292091</v>
      </c>
    </row>
    <row r="72" spans="1:26" s="27" customFormat="1" outlineLevel="1" collapsed="1" x14ac:dyDescent="0.25">
      <c r="A72" s="26"/>
      <c r="B72" s="13" t="str">
        <f>CONCATENATE("     ","Services                                          ")</f>
        <v xml:space="preserve">     Services                                          </v>
      </c>
      <c r="C72" s="13"/>
      <c r="D72" s="1">
        <f>SUM(OSRRefD22_12x_0)</f>
        <v>783.9</v>
      </c>
      <c r="E72" s="1"/>
      <c r="F72" s="5">
        <f t="shared" ref="F72:F75" si="52">IF(D$12=0,0,D72/D$12)</f>
        <v>1.1510849258094268E-2</v>
      </c>
      <c r="G72" s="1"/>
      <c r="H72" s="1">
        <f>SUM(OSRRefH22_12x_0)</f>
        <v>645</v>
      </c>
      <c r="I72" s="1"/>
      <c r="J72" s="5">
        <f t="shared" ref="J72:J75" si="53">IF(H$12=0,0,H72/H$12)</f>
        <v>3.8715486194477789E-3</v>
      </c>
      <c r="K72" s="1"/>
      <c r="L72" s="1">
        <f t="shared" ref="L72:L75" si="54">+D72-H72</f>
        <v>138.89999999999998</v>
      </c>
      <c r="M72" s="1"/>
      <c r="N72" s="5">
        <f t="shared" ref="N72:N75" si="55">IF(H72=0,0,L72/H72)</f>
        <v>0.21534883720930229</v>
      </c>
      <c r="O72" s="13"/>
      <c r="P72" s="1">
        <f>SUM(OSRRefP22_12x_0)</f>
        <v>3771.8999999999996</v>
      </c>
      <c r="Q72" s="1"/>
      <c r="R72" s="5">
        <f t="shared" ref="R72:R75" si="56">IF(P$12=0,0,P72/P$12)</f>
        <v>3.5291120210926728E-3</v>
      </c>
      <c r="S72" s="1"/>
      <c r="T72" s="1">
        <f>SUM(OSRRefT22_12x_0)</f>
        <v>5514</v>
      </c>
      <c r="U72" s="1"/>
      <c r="V72" s="5">
        <f t="shared" ref="V72:V75" si="57">IF(T$12=0,0,T72/T$12)</f>
        <v>4.4516207161022078E-3</v>
      </c>
      <c r="W72" s="1"/>
      <c r="X72" s="1">
        <f t="shared" ref="X72:X75" si="58">+P72-T72</f>
        <v>-1742.1000000000004</v>
      </c>
      <c r="Y72" s="1"/>
      <c r="Z72" s="5">
        <f t="shared" ref="Z72:Z75" si="59">IF(T72=0,0,X72/T72)</f>
        <v>-0.31594124047878136</v>
      </c>
    </row>
    <row r="73" spans="1:26" s="24" customFormat="1" hidden="1" outlineLevel="2" x14ac:dyDescent="0.25">
      <c r="A73" s="25"/>
      <c r="B73" s="11" t="str">
        <f>CONCATENATE("          ", "6283", " - ", "PLANT SERVICE")</f>
        <v xml:space="preserve">          6283 - PLANT SERVICE</v>
      </c>
      <c r="C73" s="11"/>
      <c r="D73" s="6">
        <v>79.5</v>
      </c>
      <c r="E73" s="2"/>
      <c r="F73" s="7">
        <f t="shared" si="52"/>
        <v>1.1673842531170996E-3</v>
      </c>
      <c r="G73" s="2"/>
      <c r="H73" s="6">
        <v>30</v>
      </c>
      <c r="I73" s="2"/>
      <c r="J73" s="7">
        <f t="shared" si="53"/>
        <v>1.800720288115246E-4</v>
      </c>
      <c r="K73" s="2"/>
      <c r="L73" s="6">
        <f t="shared" si="54"/>
        <v>49.5</v>
      </c>
      <c r="M73" s="2"/>
      <c r="N73" s="7">
        <f t="shared" si="55"/>
        <v>1.65</v>
      </c>
      <c r="O73" s="11"/>
      <c r="P73" s="6">
        <v>278.25</v>
      </c>
      <c r="Q73" s="2"/>
      <c r="R73" s="7">
        <f t="shared" si="56"/>
        <v>2.6033972795382602E-4</v>
      </c>
      <c r="S73" s="2"/>
      <c r="T73" s="6">
        <v>270</v>
      </c>
      <c r="U73" s="2"/>
      <c r="V73" s="7">
        <f t="shared" si="57"/>
        <v>2.1797925160456949E-4</v>
      </c>
      <c r="W73" s="2"/>
      <c r="X73" s="6">
        <f t="shared" si="58"/>
        <v>8.25</v>
      </c>
      <c r="Y73" s="2"/>
      <c r="Z73" s="7">
        <f t="shared" si="59"/>
        <v>3.0555555555555555E-2</v>
      </c>
    </row>
    <row r="74" spans="1:26" s="24" customFormat="1" hidden="1" outlineLevel="2" x14ac:dyDescent="0.25">
      <c r="A74" s="25"/>
      <c r="B74" s="11" t="str">
        <f>CONCATENATE("          ", "6285", " - ", "JANITORIAL SERVICES")</f>
        <v xml:space="preserve">          6285 - JANITORIAL SERVICES</v>
      </c>
      <c r="C74" s="11"/>
      <c r="D74" s="6">
        <v>612.6</v>
      </c>
      <c r="E74" s="2"/>
      <c r="F74" s="7">
        <f t="shared" si="52"/>
        <v>8.9954665843966688E-3</v>
      </c>
      <c r="G74" s="2"/>
      <c r="H74" s="6">
        <v>288</v>
      </c>
      <c r="I74" s="2"/>
      <c r="J74" s="7">
        <f t="shared" si="53"/>
        <v>1.7286914765906362E-3</v>
      </c>
      <c r="K74" s="2"/>
      <c r="L74" s="6">
        <f t="shared" si="54"/>
        <v>324.60000000000002</v>
      </c>
      <c r="M74" s="2"/>
      <c r="N74" s="7">
        <f t="shared" si="55"/>
        <v>1.1270833333333334</v>
      </c>
      <c r="O74" s="11"/>
      <c r="P74" s="6">
        <v>1876.6</v>
      </c>
      <c r="Q74" s="2"/>
      <c r="R74" s="7">
        <f t="shared" si="56"/>
        <v>1.7558078471811315E-3</v>
      </c>
      <c r="S74" s="2"/>
      <c r="T74" s="6">
        <v>2808</v>
      </c>
      <c r="U74" s="2"/>
      <c r="V74" s="7">
        <f t="shared" si="57"/>
        <v>2.2669842166875226E-3</v>
      </c>
      <c r="W74" s="2"/>
      <c r="X74" s="6">
        <f t="shared" si="58"/>
        <v>-931.40000000000009</v>
      </c>
      <c r="Y74" s="2"/>
      <c r="Z74" s="7">
        <f t="shared" si="59"/>
        <v>-0.3316951566951567</v>
      </c>
    </row>
    <row r="75" spans="1:26" s="24" customFormat="1" hidden="1" outlineLevel="2" x14ac:dyDescent="0.25">
      <c r="A75" s="25"/>
      <c r="B75" s="11" t="str">
        <f>CONCATENATE("          ", "6286", " - ", "LAUNDRY EXPENSE")</f>
        <v xml:space="preserve">          6286 - LAUNDRY EXPENSE</v>
      </c>
      <c r="C75" s="11"/>
      <c r="D75" s="6">
        <v>91.8</v>
      </c>
      <c r="E75" s="2"/>
      <c r="F75" s="7">
        <f t="shared" si="52"/>
        <v>1.3479984205804997E-3</v>
      </c>
      <c r="G75" s="2"/>
      <c r="H75" s="6">
        <v>327</v>
      </c>
      <c r="I75" s="2"/>
      <c r="J75" s="7">
        <f t="shared" si="53"/>
        <v>1.9627851140456183E-3</v>
      </c>
      <c r="K75" s="2"/>
      <c r="L75" s="6">
        <f t="shared" si="54"/>
        <v>-235.2</v>
      </c>
      <c r="M75" s="2"/>
      <c r="N75" s="7">
        <f t="shared" si="55"/>
        <v>-0.71926605504587149</v>
      </c>
      <c r="O75" s="11"/>
      <c r="P75" s="6">
        <v>1617.05</v>
      </c>
      <c r="Q75" s="2"/>
      <c r="R75" s="7">
        <f t="shared" si="56"/>
        <v>1.5129644459577155E-3</v>
      </c>
      <c r="S75" s="2"/>
      <c r="T75" s="6">
        <v>2436</v>
      </c>
      <c r="U75" s="2"/>
      <c r="V75" s="7">
        <f t="shared" si="57"/>
        <v>1.9666572478101159E-3</v>
      </c>
      <c r="W75" s="2"/>
      <c r="X75" s="6">
        <f t="shared" si="58"/>
        <v>-818.95</v>
      </c>
      <c r="Y75" s="2"/>
      <c r="Z75" s="7">
        <f t="shared" si="59"/>
        <v>-0.33618637110016425</v>
      </c>
    </row>
    <row r="76" spans="1:26" s="27" customFormat="1" outlineLevel="1" collapsed="1" x14ac:dyDescent="0.25">
      <c r="A76" s="26"/>
      <c r="B76" s="13" t="str">
        <f>CONCATENATE("     ","Subscriptions &amp; Dues                              ")</f>
        <v xml:space="preserve">     Subscriptions &amp; Dues                              </v>
      </c>
      <c r="C76" s="13"/>
      <c r="D76" s="1">
        <f>SUM(OSRRefD22_13x_0)</f>
        <v>81</v>
      </c>
      <c r="E76" s="1"/>
      <c r="F76" s="5">
        <f t="shared" ref="F76:F78" si="60">IF(D$12=0,0,D76/D$12)</f>
        <v>1.1894103711004411E-3</v>
      </c>
      <c r="G76" s="1"/>
      <c r="H76" s="1">
        <f>SUM(OSRRefH22_13x_0)</f>
        <v>194</v>
      </c>
      <c r="I76" s="1"/>
      <c r="J76" s="5">
        <f t="shared" ref="J76:J78" si="61">IF(H$12=0,0,H76/H$12)</f>
        <v>1.1644657863145258E-3</v>
      </c>
      <c r="K76" s="1"/>
      <c r="L76" s="1">
        <f t="shared" ref="L76:L78" si="62">+D76-H76</f>
        <v>-113</v>
      </c>
      <c r="M76" s="1"/>
      <c r="N76" s="5">
        <f t="shared" ref="N76:N78" si="63">IF(H76=0,0,L76/H76)</f>
        <v>-0.58247422680412375</v>
      </c>
      <c r="O76" s="13"/>
      <c r="P76" s="1">
        <f>SUM(OSRRefP22_13x_0)</f>
        <v>2638.44</v>
      </c>
      <c r="Q76" s="1"/>
      <c r="R76" s="5">
        <f t="shared" ref="R76:R78" si="64">IF(P$12=0,0,P76/P$12)</f>
        <v>2.4686100694429206E-3</v>
      </c>
      <c r="S76" s="1"/>
      <c r="T76" s="1">
        <f>SUM(OSRRefT22_13x_0)</f>
        <v>1571</v>
      </c>
      <c r="U76" s="1"/>
      <c r="V76" s="5">
        <f t="shared" ref="V76:V78" si="65">IF(T$12=0,0,T76/T$12)</f>
        <v>1.268316312113995E-3</v>
      </c>
      <c r="W76" s="1"/>
      <c r="X76" s="1">
        <f t="shared" ref="X76:X78" si="66">+P76-T76</f>
        <v>1067.44</v>
      </c>
      <c r="Y76" s="1"/>
      <c r="Z76" s="5">
        <f t="shared" ref="Z76:Z78" si="67">IF(T76=0,0,X76/T76)</f>
        <v>0.67946530872056021</v>
      </c>
    </row>
    <row r="77" spans="1:26" s="24" customFormat="1" hidden="1" outlineLevel="2" x14ac:dyDescent="0.25">
      <c r="A77" s="25"/>
      <c r="B77" s="11" t="str">
        <f>CONCATENATE("          ", "6258", " - ", "MEMBERSHIP DUES")</f>
        <v xml:space="preserve">          6258 - MEMBERSHIP DUES</v>
      </c>
      <c r="C77" s="11"/>
      <c r="D77" s="6"/>
      <c r="E77" s="2"/>
      <c r="F77" s="7">
        <f t="shared" si="60"/>
        <v>0</v>
      </c>
      <c r="G77" s="2"/>
      <c r="H77" s="6"/>
      <c r="I77" s="2"/>
      <c r="J77" s="7">
        <f t="shared" si="61"/>
        <v>0</v>
      </c>
      <c r="K77" s="2"/>
      <c r="L77" s="6">
        <f t="shared" si="62"/>
        <v>0</v>
      </c>
      <c r="M77" s="2"/>
      <c r="N77" s="7">
        <f t="shared" si="63"/>
        <v>0</v>
      </c>
      <c r="O77" s="11"/>
      <c r="P77" s="6">
        <v>978</v>
      </c>
      <c r="Q77" s="2"/>
      <c r="R77" s="7">
        <f t="shared" si="64"/>
        <v>9.1504853167598146E-4</v>
      </c>
      <c r="S77" s="2"/>
      <c r="T77" s="6"/>
      <c r="U77" s="2"/>
      <c r="V77" s="7">
        <f t="shared" si="65"/>
        <v>0</v>
      </c>
      <c r="W77" s="2"/>
      <c r="X77" s="6">
        <f t="shared" si="66"/>
        <v>978</v>
      </c>
      <c r="Y77" s="2"/>
      <c r="Z77" s="7">
        <f t="shared" si="67"/>
        <v>0</v>
      </c>
    </row>
    <row r="78" spans="1:26" s="24" customFormat="1" hidden="1" outlineLevel="2" x14ac:dyDescent="0.25">
      <c r="A78" s="25"/>
      <c r="B78" s="11" t="str">
        <f>CONCATENATE("          ", "6275", " - ", "SUBSCRIPTIONS")</f>
        <v xml:space="preserve">          6275 - SUBSCRIPTIONS</v>
      </c>
      <c r="C78" s="11"/>
      <c r="D78" s="6">
        <v>81</v>
      </c>
      <c r="E78" s="2"/>
      <c r="F78" s="7">
        <f t="shared" si="60"/>
        <v>1.1894103711004411E-3</v>
      </c>
      <c r="G78" s="2"/>
      <c r="H78" s="6">
        <v>194</v>
      </c>
      <c r="I78" s="2"/>
      <c r="J78" s="7">
        <f t="shared" si="61"/>
        <v>1.1644657863145258E-3</v>
      </c>
      <c r="K78" s="2"/>
      <c r="L78" s="6">
        <f t="shared" si="62"/>
        <v>-113</v>
      </c>
      <c r="M78" s="2"/>
      <c r="N78" s="7">
        <f t="shared" si="63"/>
        <v>-0.58247422680412375</v>
      </c>
      <c r="O78" s="11"/>
      <c r="P78" s="6">
        <v>1660.44</v>
      </c>
      <c r="Q78" s="2"/>
      <c r="R78" s="7">
        <f t="shared" si="64"/>
        <v>1.5535615377669394E-3</v>
      </c>
      <c r="S78" s="2"/>
      <c r="T78" s="6">
        <v>1571</v>
      </c>
      <c r="U78" s="2"/>
      <c r="V78" s="7">
        <f t="shared" si="65"/>
        <v>1.268316312113995E-3</v>
      </c>
      <c r="W78" s="2"/>
      <c r="X78" s="6">
        <f t="shared" si="66"/>
        <v>89.440000000000055</v>
      </c>
      <c r="Y78" s="2"/>
      <c r="Z78" s="7">
        <f t="shared" si="67"/>
        <v>5.6931890515595197E-2</v>
      </c>
    </row>
    <row r="79" spans="1:26" s="27" customFormat="1" outlineLevel="1" collapsed="1" x14ac:dyDescent="0.25">
      <c r="A79" s="26"/>
      <c r="B79" s="13" t="str">
        <f>CONCATENATE("     ","Supplies                                          ")</f>
        <v xml:space="preserve">     Supplies                                          </v>
      </c>
      <c r="C79" s="13"/>
      <c r="D79" s="1">
        <f>SUM(OSRRefD22_14x_0)</f>
        <v>709.67000000000007</v>
      </c>
      <c r="E79" s="1"/>
      <c r="F79" s="5">
        <f t="shared" ref="F79:F87" si="68">IF(D$12=0,0,D79/D$12)</f>
        <v>1.0420850099491976E-2</v>
      </c>
      <c r="G79" s="1"/>
      <c r="H79" s="1">
        <f>SUM(OSRRefH22_14x_0)</f>
        <v>550</v>
      </c>
      <c r="I79" s="1"/>
      <c r="J79" s="5">
        <f t="shared" ref="J79:J87" si="69">IF(H$12=0,0,H79/H$12)</f>
        <v>3.3013205282112846E-3</v>
      </c>
      <c r="K79" s="1"/>
      <c r="L79" s="1">
        <f t="shared" ref="L79:L87" si="70">+D79-H79</f>
        <v>159.67000000000007</v>
      </c>
      <c r="M79" s="1"/>
      <c r="N79" s="5">
        <f t="shared" ref="N79:N87" si="71">IF(H79=0,0,L79/H79)</f>
        <v>0.29030909090909102</v>
      </c>
      <c r="O79" s="13"/>
      <c r="P79" s="1">
        <f>SUM(OSRRefP22_14x_0)</f>
        <v>8790.9</v>
      </c>
      <c r="Q79" s="1"/>
      <c r="R79" s="5">
        <f t="shared" ref="R79:R87" si="72">IF(P$12=0,0,P79/P$12)</f>
        <v>8.2250512649390435E-3</v>
      </c>
      <c r="S79" s="1"/>
      <c r="T79" s="1">
        <f>SUM(OSRRefT22_14x_0)</f>
        <v>13370</v>
      </c>
      <c r="U79" s="1"/>
      <c r="V79" s="5">
        <f t="shared" ref="V79:V87" si="73">IF(T$12=0,0,T79/T$12)</f>
        <v>1.0794009607233682E-2</v>
      </c>
      <c r="W79" s="1"/>
      <c r="X79" s="1">
        <f t="shared" ref="X79:X87" si="74">+P79-T79</f>
        <v>-4579.1000000000004</v>
      </c>
      <c r="Y79" s="1"/>
      <c r="Z79" s="5">
        <f t="shared" ref="Z79:Z87" si="75">IF(T79=0,0,X79/T79)</f>
        <v>-0.34249065071054602</v>
      </c>
    </row>
    <row r="80" spans="1:26" s="24" customFormat="1" hidden="1" outlineLevel="2" x14ac:dyDescent="0.25">
      <c r="A80" s="25"/>
      <c r="B80" s="11" t="str">
        <f>CONCATENATE("          ", "6234", " - ", "EXPENDABLE SUPPLIES &amp; EQUIPMEN")</f>
        <v xml:space="preserve">          6234 - EXPENDABLE SUPPLIES &amp; EQUIPMEN</v>
      </c>
      <c r="C80" s="11"/>
      <c r="D80" s="6">
        <v>333.92</v>
      </c>
      <c r="E80" s="2"/>
      <c r="F80" s="7">
        <f t="shared" si="68"/>
        <v>4.9033075446649295E-3</v>
      </c>
      <c r="G80" s="2"/>
      <c r="H80" s="6"/>
      <c r="I80" s="2"/>
      <c r="J80" s="7">
        <f t="shared" si="69"/>
        <v>0</v>
      </c>
      <c r="K80" s="2"/>
      <c r="L80" s="6">
        <f t="shared" si="70"/>
        <v>333.92</v>
      </c>
      <c r="M80" s="2"/>
      <c r="N80" s="7">
        <f t="shared" si="71"/>
        <v>0</v>
      </c>
      <c r="O80" s="11"/>
      <c r="P80" s="6">
        <v>333.92</v>
      </c>
      <c r="Q80" s="2"/>
      <c r="R80" s="7">
        <f t="shared" si="72"/>
        <v>3.1242638619350077E-4</v>
      </c>
      <c r="S80" s="2"/>
      <c r="T80" s="6"/>
      <c r="U80" s="2"/>
      <c r="V80" s="7">
        <f t="shared" si="73"/>
        <v>0</v>
      </c>
      <c r="W80" s="2"/>
      <c r="X80" s="6">
        <f t="shared" si="74"/>
        <v>333.92</v>
      </c>
      <c r="Y80" s="2"/>
      <c r="Z80" s="7">
        <f t="shared" si="75"/>
        <v>0</v>
      </c>
    </row>
    <row r="81" spans="1:26" s="24" customFormat="1" hidden="1" outlineLevel="2" x14ac:dyDescent="0.25">
      <c r="A81" s="25"/>
      <c r="B81" s="11" t="str">
        <f>CONCATENATE("          ", "6237", " - ", "JANITORIAL SUPPLIES")</f>
        <v xml:space="preserve">          6237 - JANITORIAL SUPPLIES</v>
      </c>
      <c r="C81" s="11"/>
      <c r="D81" s="6"/>
      <c r="E81" s="2"/>
      <c r="F81" s="7">
        <f t="shared" si="68"/>
        <v>0</v>
      </c>
      <c r="G81" s="2"/>
      <c r="H81" s="6"/>
      <c r="I81" s="2"/>
      <c r="J81" s="7">
        <f t="shared" si="69"/>
        <v>0</v>
      </c>
      <c r="K81" s="2"/>
      <c r="L81" s="6">
        <f t="shared" si="70"/>
        <v>0</v>
      </c>
      <c r="M81" s="2"/>
      <c r="N81" s="7">
        <f t="shared" si="71"/>
        <v>0</v>
      </c>
      <c r="O81" s="11"/>
      <c r="P81" s="6">
        <v>17.62</v>
      </c>
      <c r="Q81" s="2"/>
      <c r="R81" s="7">
        <f t="shared" si="72"/>
        <v>1.6485843689295292E-5</v>
      </c>
      <c r="S81" s="2"/>
      <c r="T81" s="6">
        <v>2640</v>
      </c>
      <c r="U81" s="2"/>
      <c r="V81" s="7">
        <f t="shared" si="73"/>
        <v>2.1313526823557908E-3</v>
      </c>
      <c r="W81" s="2"/>
      <c r="X81" s="6">
        <f t="shared" si="74"/>
        <v>-2622.38</v>
      </c>
      <c r="Y81" s="2"/>
      <c r="Z81" s="7">
        <f t="shared" si="75"/>
        <v>-0.99332575757575758</v>
      </c>
    </row>
    <row r="82" spans="1:26" s="24" customFormat="1" hidden="1" outlineLevel="2" x14ac:dyDescent="0.25">
      <c r="A82" s="25"/>
      <c r="B82" s="11" t="str">
        <f>CONCATENATE("          ", "6239", " - ", "KITCHEN SUPPLIES")</f>
        <v xml:space="preserve">          6239 - KITCHEN SUPPLIES</v>
      </c>
      <c r="C82" s="11"/>
      <c r="D82" s="6"/>
      <c r="E82" s="2"/>
      <c r="F82" s="7">
        <f t="shared" si="68"/>
        <v>0</v>
      </c>
      <c r="G82" s="2"/>
      <c r="H82" s="6"/>
      <c r="I82" s="2"/>
      <c r="J82" s="7">
        <f t="shared" si="69"/>
        <v>0</v>
      </c>
      <c r="K82" s="2"/>
      <c r="L82" s="6">
        <f t="shared" si="70"/>
        <v>0</v>
      </c>
      <c r="M82" s="2"/>
      <c r="N82" s="7">
        <f t="shared" si="71"/>
        <v>0</v>
      </c>
      <c r="O82" s="11"/>
      <c r="P82" s="6">
        <v>788.08</v>
      </c>
      <c r="Q82" s="2"/>
      <c r="R82" s="7">
        <f t="shared" si="72"/>
        <v>7.3735321763109148E-4</v>
      </c>
      <c r="S82" s="2"/>
      <c r="T82" s="6">
        <v>925</v>
      </c>
      <c r="U82" s="2"/>
      <c r="V82" s="7">
        <f t="shared" si="73"/>
        <v>7.4678076938602511E-4</v>
      </c>
      <c r="W82" s="2"/>
      <c r="X82" s="6">
        <f t="shared" si="74"/>
        <v>-136.91999999999996</v>
      </c>
      <c r="Y82" s="2"/>
      <c r="Z82" s="7">
        <f t="shared" si="75"/>
        <v>-0.14802162162162158</v>
      </c>
    </row>
    <row r="83" spans="1:26" s="24" customFormat="1" hidden="1" outlineLevel="2" x14ac:dyDescent="0.25">
      <c r="A83" s="25"/>
      <c r="B83" s="11" t="str">
        <f>CONCATENATE("          ", "6241", " - ", "OFFICE EXPENSE")</f>
        <v xml:space="preserve">          6241 - OFFICE EXPENSE</v>
      </c>
      <c r="C83" s="11"/>
      <c r="D83" s="6">
        <v>53.28</v>
      </c>
      <c r="E83" s="2"/>
      <c r="F83" s="7">
        <f t="shared" si="68"/>
        <v>7.823677107682901E-4</v>
      </c>
      <c r="G83" s="2"/>
      <c r="H83" s="6">
        <v>50</v>
      </c>
      <c r="I83" s="2"/>
      <c r="J83" s="7">
        <f t="shared" si="69"/>
        <v>3.0012004801920766E-4</v>
      </c>
      <c r="K83" s="2"/>
      <c r="L83" s="6">
        <f t="shared" si="70"/>
        <v>3.2800000000000011</v>
      </c>
      <c r="M83" s="2"/>
      <c r="N83" s="7">
        <f t="shared" si="71"/>
        <v>6.5600000000000019E-2</v>
      </c>
      <c r="O83" s="11"/>
      <c r="P83" s="6">
        <v>1698.1</v>
      </c>
      <c r="Q83" s="2"/>
      <c r="R83" s="7">
        <f t="shared" si="72"/>
        <v>1.5887974556635829E-3</v>
      </c>
      <c r="S83" s="2"/>
      <c r="T83" s="6">
        <v>1080</v>
      </c>
      <c r="U83" s="2"/>
      <c r="V83" s="7">
        <f t="shared" si="73"/>
        <v>8.7191700641827796E-4</v>
      </c>
      <c r="W83" s="2"/>
      <c r="X83" s="6">
        <f t="shared" si="74"/>
        <v>618.09999999999991</v>
      </c>
      <c r="Y83" s="2"/>
      <c r="Z83" s="7">
        <f t="shared" si="75"/>
        <v>0.57231481481481472</v>
      </c>
    </row>
    <row r="84" spans="1:26" s="24" customFormat="1" hidden="1" outlineLevel="2" x14ac:dyDescent="0.25">
      <c r="A84" s="25"/>
      <c r="B84" s="11" t="str">
        <f>CONCATENATE("          ", "6243", " - ", "PAPER SUPPLIES")</f>
        <v xml:space="preserve">          6243 - PAPER SUPPLIES</v>
      </c>
      <c r="C84" s="11"/>
      <c r="D84" s="6">
        <v>190.94</v>
      </c>
      <c r="E84" s="2"/>
      <c r="F84" s="7">
        <f t="shared" si="68"/>
        <v>2.8037779784928171E-3</v>
      </c>
      <c r="G84" s="2"/>
      <c r="H84" s="6">
        <v>500</v>
      </c>
      <c r="I84" s="2"/>
      <c r="J84" s="7">
        <f t="shared" si="69"/>
        <v>3.0012004801920769E-3</v>
      </c>
      <c r="K84" s="2"/>
      <c r="L84" s="6">
        <f t="shared" si="70"/>
        <v>-309.06</v>
      </c>
      <c r="M84" s="2"/>
      <c r="N84" s="7">
        <f t="shared" si="71"/>
        <v>-0.61812</v>
      </c>
      <c r="O84" s="11"/>
      <c r="P84" s="6">
        <v>3574.75</v>
      </c>
      <c r="Q84" s="2"/>
      <c r="R84" s="7">
        <f t="shared" si="72"/>
        <v>3.3446520844669886E-3</v>
      </c>
      <c r="S84" s="2"/>
      <c r="T84" s="6">
        <v>6125</v>
      </c>
      <c r="U84" s="2"/>
      <c r="V84" s="7">
        <f t="shared" si="73"/>
        <v>4.944899689177734E-3</v>
      </c>
      <c r="W84" s="2"/>
      <c r="X84" s="6">
        <f t="shared" si="74"/>
        <v>-2550.25</v>
      </c>
      <c r="Y84" s="2"/>
      <c r="Z84" s="7">
        <f t="shared" si="75"/>
        <v>-0.41636734693877553</v>
      </c>
    </row>
    <row r="85" spans="1:26" s="24" customFormat="1" hidden="1" outlineLevel="2" x14ac:dyDescent="0.25">
      <c r="A85" s="25"/>
      <c r="B85" s="11" t="str">
        <f>CONCATENATE("          ", "6245", " - ", "PRINTING")</f>
        <v xml:space="preserve">          6245 - PRINTING</v>
      </c>
      <c r="C85" s="11"/>
      <c r="D85" s="6"/>
      <c r="E85" s="2"/>
      <c r="F85" s="7">
        <f t="shared" si="68"/>
        <v>0</v>
      </c>
      <c r="G85" s="2"/>
      <c r="H85" s="6"/>
      <c r="I85" s="2"/>
      <c r="J85" s="7">
        <f t="shared" si="69"/>
        <v>0</v>
      </c>
      <c r="K85" s="2"/>
      <c r="L85" s="6">
        <f t="shared" si="70"/>
        <v>0</v>
      </c>
      <c r="M85" s="2"/>
      <c r="N85" s="7">
        <f t="shared" si="71"/>
        <v>0</v>
      </c>
      <c r="O85" s="11"/>
      <c r="P85" s="6">
        <v>22.05</v>
      </c>
      <c r="Q85" s="2"/>
      <c r="R85" s="7">
        <f t="shared" si="72"/>
        <v>2.0630695422756023E-5</v>
      </c>
      <c r="S85" s="2"/>
      <c r="T85" s="6"/>
      <c r="U85" s="2"/>
      <c r="V85" s="7">
        <f t="shared" si="73"/>
        <v>0</v>
      </c>
      <c r="W85" s="2"/>
      <c r="X85" s="6">
        <f t="shared" si="74"/>
        <v>22.05</v>
      </c>
      <c r="Y85" s="2"/>
      <c r="Z85" s="7">
        <f t="shared" si="75"/>
        <v>0</v>
      </c>
    </row>
    <row r="86" spans="1:26" s="24" customFormat="1" hidden="1" outlineLevel="2" x14ac:dyDescent="0.25">
      <c r="A86" s="25"/>
      <c r="B86" s="11" t="str">
        <f>CONCATENATE("          ", "6247", " - ", "STORE SUPPLIES")</f>
        <v xml:space="preserve">          6247 - STORE SUPPLIES</v>
      </c>
      <c r="C86" s="11"/>
      <c r="D86" s="6">
        <v>90</v>
      </c>
      <c r="E86" s="2"/>
      <c r="F86" s="7">
        <f t="shared" si="68"/>
        <v>1.32156707900049E-3</v>
      </c>
      <c r="G86" s="2"/>
      <c r="H86" s="6"/>
      <c r="I86" s="2"/>
      <c r="J86" s="7">
        <f t="shared" si="69"/>
        <v>0</v>
      </c>
      <c r="K86" s="2"/>
      <c r="L86" s="6">
        <f t="shared" si="70"/>
        <v>90</v>
      </c>
      <c r="M86" s="2"/>
      <c r="N86" s="7">
        <f t="shared" si="71"/>
        <v>0</v>
      </c>
      <c r="O86" s="11"/>
      <c r="P86" s="6">
        <v>1534.61</v>
      </c>
      <c r="Q86" s="2"/>
      <c r="R86" s="7">
        <f t="shared" si="72"/>
        <v>1.4358309071526357E-3</v>
      </c>
      <c r="S86" s="2"/>
      <c r="T86" s="6">
        <v>1000</v>
      </c>
      <c r="U86" s="2"/>
      <c r="V86" s="7">
        <f t="shared" si="73"/>
        <v>8.0733056149840548E-4</v>
      </c>
      <c r="W86" s="2"/>
      <c r="X86" s="6">
        <f t="shared" si="74"/>
        <v>534.6099999999999</v>
      </c>
      <c r="Y86" s="2"/>
      <c r="Z86" s="7">
        <f t="shared" si="75"/>
        <v>0.53460999999999992</v>
      </c>
    </row>
    <row r="87" spans="1:26" s="24" customFormat="1" hidden="1" outlineLevel="2" x14ac:dyDescent="0.25">
      <c r="A87" s="25"/>
      <c r="B87" s="11" t="str">
        <f>CONCATENATE("          ", "6248", " - ", "UNIFORMS")</f>
        <v xml:space="preserve">          6248 - UNIFORMS</v>
      </c>
      <c r="C87" s="11"/>
      <c r="D87" s="6">
        <v>41.53</v>
      </c>
      <c r="E87" s="2"/>
      <c r="F87" s="7">
        <f t="shared" si="68"/>
        <v>6.0982978656544829E-4</v>
      </c>
      <c r="G87" s="2"/>
      <c r="H87" s="6"/>
      <c r="I87" s="2"/>
      <c r="J87" s="7">
        <f t="shared" si="69"/>
        <v>0</v>
      </c>
      <c r="K87" s="2"/>
      <c r="L87" s="6">
        <f t="shared" si="70"/>
        <v>41.53</v>
      </c>
      <c r="M87" s="2"/>
      <c r="N87" s="7">
        <f t="shared" si="71"/>
        <v>0</v>
      </c>
      <c r="O87" s="11"/>
      <c r="P87" s="6">
        <v>821.77</v>
      </c>
      <c r="Q87" s="2"/>
      <c r="R87" s="7">
        <f t="shared" si="72"/>
        <v>7.6887467471919351E-4</v>
      </c>
      <c r="S87" s="2"/>
      <c r="T87" s="6">
        <v>1600</v>
      </c>
      <c r="U87" s="2"/>
      <c r="V87" s="7">
        <f t="shared" si="73"/>
        <v>1.2917288983974489E-3</v>
      </c>
      <c r="W87" s="2"/>
      <c r="X87" s="6">
        <f t="shared" si="74"/>
        <v>-778.23</v>
      </c>
      <c r="Y87" s="2"/>
      <c r="Z87" s="7">
        <f t="shared" si="75"/>
        <v>-0.48639375000000001</v>
      </c>
    </row>
    <row r="88" spans="1:26" s="27" customFormat="1" outlineLevel="1" collapsed="1" x14ac:dyDescent="0.25">
      <c r="A88" s="26"/>
      <c r="B88" s="13" t="str">
        <f>CONCATENATE("     ","Telephone/Data Lines                              ")</f>
        <v xml:space="preserve">     Telephone/Data Lines                              </v>
      </c>
      <c r="C88" s="13"/>
      <c r="D88" s="1">
        <f>SUM(OSRRefD22_15x_0)</f>
        <v>185.59</v>
      </c>
      <c r="E88" s="1"/>
      <c r="F88" s="5">
        <f t="shared" ref="F88:F94" si="76">IF(D$12=0,0,D88/D$12)</f>
        <v>2.7252181576855662E-3</v>
      </c>
      <c r="G88" s="1"/>
      <c r="H88" s="1">
        <f>SUM(OSRRefH22_15x_0)</f>
        <v>160</v>
      </c>
      <c r="I88" s="1"/>
      <c r="J88" s="5">
        <f t="shared" ref="J88:J94" si="77">IF(H$12=0,0,H88/H$12)</f>
        <v>9.6038415366146463E-4</v>
      </c>
      <c r="K88" s="1"/>
      <c r="L88" s="1">
        <f t="shared" ref="L88:L94" si="78">+D88-H88</f>
        <v>25.590000000000003</v>
      </c>
      <c r="M88" s="1"/>
      <c r="N88" s="5">
        <f t="shared" ref="N88:N94" si="79">IF(H88=0,0,L88/H88)</f>
        <v>0.15993750000000001</v>
      </c>
      <c r="O88" s="13"/>
      <c r="P88" s="1">
        <f>SUM(OSRRefP22_15x_0)</f>
        <v>1354.19</v>
      </c>
      <c r="Q88" s="1"/>
      <c r="R88" s="5">
        <f t="shared" ref="R88:R94" si="80">IF(P$12=0,0,P88/P$12)</f>
        <v>1.2670241013397724E-3</v>
      </c>
      <c r="S88" s="1"/>
      <c r="T88" s="1">
        <f>SUM(OSRRefT22_15x_0)</f>
        <v>1440</v>
      </c>
      <c r="U88" s="1"/>
      <c r="V88" s="5">
        <f t="shared" ref="V88:V94" si="81">IF(T$12=0,0,T88/T$12)</f>
        <v>1.1625560085577039E-3</v>
      </c>
      <c r="W88" s="1"/>
      <c r="X88" s="1">
        <f t="shared" ref="X88:X94" si="82">+P88-T88</f>
        <v>-85.809999999999945</v>
      </c>
      <c r="Y88" s="1"/>
      <c r="Z88" s="5">
        <f t="shared" ref="Z88:Z94" si="83">IF(T88=0,0,X88/T88)</f>
        <v>-5.9590277777777742E-2</v>
      </c>
    </row>
    <row r="89" spans="1:26" s="24" customFormat="1" hidden="1" outlineLevel="2" x14ac:dyDescent="0.25">
      <c r="A89" s="25"/>
      <c r="B89" s="11" t="str">
        <f>CONCATENATE("          ", "6309", " - ", "TELEPHONE")</f>
        <v xml:space="preserve">          6309 - TELEPHONE</v>
      </c>
      <c r="C89" s="11"/>
      <c r="D89" s="6">
        <v>185.59</v>
      </c>
      <c r="E89" s="2"/>
      <c r="F89" s="7">
        <f t="shared" si="76"/>
        <v>2.7252181576855662E-3</v>
      </c>
      <c r="G89" s="2"/>
      <c r="H89" s="6">
        <v>160</v>
      </c>
      <c r="I89" s="2"/>
      <c r="J89" s="7">
        <f t="shared" si="77"/>
        <v>9.6038415366146463E-4</v>
      </c>
      <c r="K89" s="2"/>
      <c r="L89" s="6">
        <f t="shared" si="78"/>
        <v>25.590000000000003</v>
      </c>
      <c r="M89" s="2"/>
      <c r="N89" s="7">
        <f t="shared" si="79"/>
        <v>0.15993750000000001</v>
      </c>
      <c r="O89" s="11"/>
      <c r="P89" s="6">
        <v>1354.19</v>
      </c>
      <c r="Q89" s="2"/>
      <c r="R89" s="7">
        <f t="shared" si="80"/>
        <v>1.2670241013397724E-3</v>
      </c>
      <c r="S89" s="2"/>
      <c r="T89" s="6">
        <v>1440</v>
      </c>
      <c r="U89" s="2"/>
      <c r="V89" s="7">
        <f t="shared" si="81"/>
        <v>1.1625560085577039E-3</v>
      </c>
      <c r="W89" s="2"/>
      <c r="X89" s="6">
        <f t="shared" si="82"/>
        <v>-85.809999999999945</v>
      </c>
      <c r="Y89" s="2"/>
      <c r="Z89" s="7">
        <f t="shared" si="83"/>
        <v>-5.9590277777777742E-2</v>
      </c>
    </row>
    <row r="90" spans="1:26" s="27" customFormat="1" outlineLevel="1" collapsed="1" x14ac:dyDescent="0.25">
      <c r="A90" s="26"/>
      <c r="B90" s="13" t="str">
        <f>CONCATENATE("     ","Training                                          ")</f>
        <v xml:space="preserve">     Training                                          </v>
      </c>
      <c r="C90" s="13"/>
      <c r="D90" s="1">
        <f>SUM(OSRRefD22_16x_0)</f>
        <v>0</v>
      </c>
      <c r="E90" s="1"/>
      <c r="F90" s="5">
        <f t="shared" si="76"/>
        <v>0</v>
      </c>
      <c r="G90" s="1"/>
      <c r="H90" s="1">
        <f>SUM(OSRRefH22_16x_0)</f>
        <v>160</v>
      </c>
      <c r="I90" s="1"/>
      <c r="J90" s="5">
        <f t="shared" si="77"/>
        <v>9.6038415366146463E-4</v>
      </c>
      <c r="K90" s="1"/>
      <c r="L90" s="1">
        <f t="shared" si="78"/>
        <v>-160</v>
      </c>
      <c r="M90" s="1"/>
      <c r="N90" s="5">
        <f t="shared" si="79"/>
        <v>-1</v>
      </c>
      <c r="O90" s="13"/>
      <c r="P90" s="1">
        <f>SUM(OSRRefP22_16x_0)</f>
        <v>279.95</v>
      </c>
      <c r="Q90" s="1"/>
      <c r="R90" s="5">
        <f t="shared" si="80"/>
        <v>2.6193030311113597E-4</v>
      </c>
      <c r="S90" s="1"/>
      <c r="T90" s="1">
        <f>SUM(OSRRefT22_16x_0)</f>
        <v>480</v>
      </c>
      <c r="U90" s="1"/>
      <c r="V90" s="5">
        <f t="shared" si="81"/>
        <v>3.8751866951923465E-4</v>
      </c>
      <c r="W90" s="1"/>
      <c r="X90" s="1">
        <f t="shared" si="82"/>
        <v>-200.05</v>
      </c>
      <c r="Y90" s="1"/>
      <c r="Z90" s="5">
        <f t="shared" si="83"/>
        <v>-0.41677083333333337</v>
      </c>
    </row>
    <row r="91" spans="1:26" s="24" customFormat="1" hidden="1" outlineLevel="2" x14ac:dyDescent="0.25">
      <c r="A91" s="25"/>
      <c r="B91" s="11" t="str">
        <f>CONCATENATE("          ", "6376", " - ", "TRAINING")</f>
        <v xml:space="preserve">          6376 - TRAINING</v>
      </c>
      <c r="C91" s="11"/>
      <c r="D91" s="6"/>
      <c r="E91" s="2"/>
      <c r="F91" s="7">
        <f t="shared" si="76"/>
        <v>0</v>
      </c>
      <c r="G91" s="2"/>
      <c r="H91" s="6">
        <v>160</v>
      </c>
      <c r="I91" s="2"/>
      <c r="J91" s="7">
        <f t="shared" si="77"/>
        <v>9.6038415366146463E-4</v>
      </c>
      <c r="K91" s="2"/>
      <c r="L91" s="6">
        <f t="shared" si="78"/>
        <v>-160</v>
      </c>
      <c r="M91" s="2"/>
      <c r="N91" s="7">
        <f t="shared" si="79"/>
        <v>-1</v>
      </c>
      <c r="O91" s="11"/>
      <c r="P91" s="6">
        <v>279.95</v>
      </c>
      <c r="Q91" s="2"/>
      <c r="R91" s="7">
        <f t="shared" si="80"/>
        <v>2.6193030311113597E-4</v>
      </c>
      <c r="S91" s="2"/>
      <c r="T91" s="6">
        <v>480</v>
      </c>
      <c r="U91" s="2"/>
      <c r="V91" s="7">
        <f t="shared" si="81"/>
        <v>3.8751866951923465E-4</v>
      </c>
      <c r="W91" s="2"/>
      <c r="X91" s="6">
        <f t="shared" si="82"/>
        <v>-200.05</v>
      </c>
      <c r="Y91" s="2"/>
      <c r="Z91" s="7">
        <f t="shared" si="83"/>
        <v>-0.41677083333333337</v>
      </c>
    </row>
    <row r="92" spans="1:26" s="27" customFormat="1" outlineLevel="1" collapsed="1" x14ac:dyDescent="0.25">
      <c r="A92" s="26"/>
      <c r="B92" s="13" t="str">
        <f>CONCATENATE("     ","Travel                                            ")</f>
        <v xml:space="preserve">     Travel                                            </v>
      </c>
      <c r="C92" s="13"/>
      <c r="D92" s="1">
        <f>SUM(OSRRefD22_17x_0)</f>
        <v>0</v>
      </c>
      <c r="E92" s="1"/>
      <c r="F92" s="5">
        <f t="shared" si="76"/>
        <v>0</v>
      </c>
      <c r="G92" s="1"/>
      <c r="H92" s="1">
        <f>SUM(OSRRefH22_17x_0)</f>
        <v>120</v>
      </c>
      <c r="I92" s="1"/>
      <c r="J92" s="5">
        <f t="shared" si="77"/>
        <v>7.2028811524609839E-4</v>
      </c>
      <c r="K92" s="1"/>
      <c r="L92" s="1">
        <f t="shared" si="78"/>
        <v>-120</v>
      </c>
      <c r="M92" s="1"/>
      <c r="N92" s="5">
        <f t="shared" si="79"/>
        <v>-1</v>
      </c>
      <c r="O92" s="13"/>
      <c r="P92" s="1">
        <f>SUM(OSRRefP22_17x_0)</f>
        <v>0</v>
      </c>
      <c r="Q92" s="1"/>
      <c r="R92" s="5">
        <f t="shared" si="80"/>
        <v>0</v>
      </c>
      <c r="S92" s="1"/>
      <c r="T92" s="1">
        <f>SUM(OSRRefT22_17x_0)</f>
        <v>2120</v>
      </c>
      <c r="U92" s="1"/>
      <c r="V92" s="5">
        <f t="shared" si="81"/>
        <v>1.7115407903766197E-3</v>
      </c>
      <c r="W92" s="1"/>
      <c r="X92" s="1">
        <f t="shared" si="82"/>
        <v>-2120</v>
      </c>
      <c r="Y92" s="1"/>
      <c r="Z92" s="5">
        <f t="shared" si="83"/>
        <v>-1</v>
      </c>
    </row>
    <row r="93" spans="1:26" s="24" customFormat="1" hidden="1" outlineLevel="2" x14ac:dyDescent="0.25">
      <c r="A93" s="25"/>
      <c r="B93" s="11" t="str">
        <f>CONCATENATE("          ", "6292", " - ", "TRAVEL/CONFERENCE")</f>
        <v xml:space="preserve">          6292 - TRAVEL/CONFERENCE</v>
      </c>
      <c r="C93" s="11"/>
      <c r="D93" s="6"/>
      <c r="E93" s="2"/>
      <c r="F93" s="7">
        <f t="shared" si="76"/>
        <v>0</v>
      </c>
      <c r="G93" s="2"/>
      <c r="H93" s="6"/>
      <c r="I93" s="2"/>
      <c r="J93" s="7">
        <f t="shared" si="77"/>
        <v>0</v>
      </c>
      <c r="K93" s="2"/>
      <c r="L93" s="6">
        <f t="shared" si="78"/>
        <v>0</v>
      </c>
      <c r="M93" s="2"/>
      <c r="N93" s="7">
        <f t="shared" si="79"/>
        <v>0</v>
      </c>
      <c r="O93" s="11"/>
      <c r="P93" s="6"/>
      <c r="Q93" s="2"/>
      <c r="R93" s="7">
        <f t="shared" si="80"/>
        <v>0</v>
      </c>
      <c r="S93" s="2"/>
      <c r="T93" s="6">
        <v>2000</v>
      </c>
      <c r="U93" s="2"/>
      <c r="V93" s="7">
        <f t="shared" si="81"/>
        <v>1.614661122996811E-3</v>
      </c>
      <c r="W93" s="2"/>
      <c r="X93" s="6">
        <f t="shared" si="82"/>
        <v>-2000</v>
      </c>
      <c r="Y93" s="2"/>
      <c r="Z93" s="7">
        <f t="shared" si="83"/>
        <v>-1</v>
      </c>
    </row>
    <row r="94" spans="1:26" s="24" customFormat="1" hidden="1" outlineLevel="2" x14ac:dyDescent="0.25">
      <c r="A94" s="25"/>
      <c r="B94" s="11" t="str">
        <f>CONCATENATE("          ", "6294", " - ", "TRAVEL OPERATIONAL")</f>
        <v xml:space="preserve">          6294 - TRAVEL OPERATIONAL</v>
      </c>
      <c r="C94" s="11"/>
      <c r="D94" s="6"/>
      <c r="E94" s="2"/>
      <c r="F94" s="7">
        <f t="shared" si="76"/>
        <v>0</v>
      </c>
      <c r="G94" s="2"/>
      <c r="H94" s="6">
        <v>120</v>
      </c>
      <c r="I94" s="2"/>
      <c r="J94" s="7">
        <f t="shared" si="77"/>
        <v>7.2028811524609839E-4</v>
      </c>
      <c r="K94" s="2"/>
      <c r="L94" s="6">
        <f t="shared" si="78"/>
        <v>-120</v>
      </c>
      <c r="M94" s="2"/>
      <c r="N94" s="7">
        <f t="shared" si="79"/>
        <v>-1</v>
      </c>
      <c r="O94" s="11"/>
      <c r="P94" s="6"/>
      <c r="Q94" s="2"/>
      <c r="R94" s="7">
        <f t="shared" si="80"/>
        <v>0</v>
      </c>
      <c r="S94" s="2"/>
      <c r="T94" s="6">
        <v>120</v>
      </c>
      <c r="U94" s="2"/>
      <c r="V94" s="7">
        <f t="shared" si="81"/>
        <v>9.6879667379808662E-5</v>
      </c>
      <c r="W94" s="2"/>
      <c r="X94" s="6">
        <f t="shared" si="82"/>
        <v>-120</v>
      </c>
      <c r="Y94" s="2"/>
      <c r="Z94" s="7">
        <f t="shared" si="83"/>
        <v>-1</v>
      </c>
    </row>
    <row r="95" spans="1:26" s="56" customFormat="1" x14ac:dyDescent="0.25">
      <c r="A95" s="36"/>
      <c r="B95" s="36"/>
      <c r="C95" s="36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6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3" customFormat="1" x14ac:dyDescent="0.25">
      <c r="A96" s="10"/>
      <c r="B96" s="29" t="s">
        <v>0</v>
      </c>
      <c r="C96" s="10"/>
      <c r="D96" s="4">
        <f>SUM(0)</f>
        <v>0</v>
      </c>
      <c r="E96" s="4"/>
      <c r="F96" s="12">
        <f>IF(D$12=0,0,D96/D$12)</f>
        <v>0</v>
      </c>
      <c r="G96" s="4"/>
      <c r="H96" s="4">
        <f>SUM(0)</f>
        <v>0</v>
      </c>
      <c r="I96" s="4"/>
      <c r="J96" s="12">
        <f>IF(H$12=0,0,H96/H$12)</f>
        <v>0</v>
      </c>
      <c r="K96" s="4"/>
      <c r="L96" s="4">
        <f>+D96-H96</f>
        <v>0</v>
      </c>
      <c r="M96" s="4"/>
      <c r="N96" s="12">
        <f>IF(H96=0,0,L96/H96)</f>
        <v>0</v>
      </c>
      <c r="O96" s="10"/>
      <c r="P96" s="4">
        <f>SUM(0)</f>
        <v>0</v>
      </c>
      <c r="Q96" s="4"/>
      <c r="R96" s="12">
        <f>IF(P$12=0,0,P96/P$12)</f>
        <v>0</v>
      </c>
      <c r="S96" s="4"/>
      <c r="T96" s="4">
        <f>SUM(0)</f>
        <v>0</v>
      </c>
      <c r="U96" s="4"/>
      <c r="V96" s="12">
        <f>IF(T$12=0,0,T96/T$12)</f>
        <v>0</v>
      </c>
      <c r="W96" s="4"/>
      <c r="X96" s="4">
        <f>+P96-T96</f>
        <v>0</v>
      </c>
      <c r="Y96" s="4"/>
      <c r="Z96" s="12">
        <f>IF(T96=0,0,X96/T96)</f>
        <v>0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10"/>
      <c r="B98" s="28" t="s">
        <v>3</v>
      </c>
      <c r="C98" s="28"/>
      <c r="D98" s="20">
        <f>+D23-D25+D96</f>
        <v>-25645.880000000005</v>
      </c>
      <c r="E98" s="14"/>
      <c r="F98" s="22">
        <f>IF(D$12=0,0,D98/D$12)</f>
        <v>-0.37658611911107881</v>
      </c>
      <c r="G98" s="14"/>
      <c r="H98" s="20">
        <f>+H23-H25+H96</f>
        <v>44626.071356076922</v>
      </c>
      <c r="I98" s="14"/>
      <c r="J98" s="22">
        <f>IF(H$12=0,0,H98/H$12)</f>
        <v>0.26786357356588791</v>
      </c>
      <c r="K98" s="16"/>
      <c r="L98" s="20">
        <f>+D98-H98</f>
        <v>-70271.951356076926</v>
      </c>
      <c r="M98" s="16"/>
      <c r="N98" s="22">
        <f>IF(H98=0,0,L98/H98)</f>
        <v>-1.5746837940397749</v>
      </c>
      <c r="O98" s="29"/>
      <c r="P98" s="20">
        <f>+P23-P25+P96</f>
        <v>142093.60000000021</v>
      </c>
      <c r="Q98" s="14"/>
      <c r="R98" s="22">
        <f>IF(P$12=0,0,P98/P$12)</f>
        <v>0.13294738245455462</v>
      </c>
      <c r="S98" s="14"/>
      <c r="T98" s="20">
        <f>+T23-T25+T96</f>
        <v>276125.65930513456</v>
      </c>
      <c r="U98" s="14"/>
      <c r="V98" s="22">
        <f>IF(T$12=0,0,T98/T$12)</f>
        <v>0.2229246835709317</v>
      </c>
      <c r="W98" s="16"/>
      <c r="X98" s="20">
        <f>+P98-T98</f>
        <v>-134032.05930513435</v>
      </c>
      <c r="Y98" s="16"/>
      <c r="Z98" s="22">
        <f>IF(T98=0,0,X98/T98)</f>
        <v>-0.48540240571058735</v>
      </c>
    </row>
    <row r="99" spans="1:26" x14ac:dyDescent="0.25">
      <c r="A99" s="9"/>
      <c r="B99" s="10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52"/>
      <c r="B100" s="10" t="s">
        <v>14</v>
      </c>
      <c r="C100" s="10"/>
      <c r="D100" s="4">
        <v>12533.47</v>
      </c>
      <c r="E100" s="4"/>
      <c r="F100" s="12">
        <f>IF(D$12=0,0,D100/D$12)</f>
        <v>0.1840424593071141</v>
      </c>
      <c r="G100" s="4"/>
      <c r="H100" s="4">
        <v>15872</v>
      </c>
      <c r="I100" s="4"/>
      <c r="J100" s="12">
        <f>IF(H$12=0,0,H100/H$12)</f>
        <v>9.5270108043217283E-2</v>
      </c>
      <c r="K100" s="4"/>
      <c r="L100" s="4">
        <f>+D100-H100</f>
        <v>-3338.5300000000007</v>
      </c>
      <c r="M100" s="4"/>
      <c r="N100" s="12">
        <f>IF(H100=0,0,L100/H100)</f>
        <v>-0.21034085181451617</v>
      </c>
      <c r="O100" s="10"/>
      <c r="P100" s="4">
        <v>114524.06</v>
      </c>
      <c r="Q100" s="4"/>
      <c r="R100" s="12">
        <f>IF(P$12=0,0,P100/P$12)</f>
        <v>0.10715242632369325</v>
      </c>
      <c r="S100" s="4"/>
      <c r="T100" s="4">
        <v>144788</v>
      </c>
      <c r="U100" s="4"/>
      <c r="V100" s="12">
        <f>IF(T$12=0,0,T100/T$12)</f>
        <v>0.11689177733823114</v>
      </c>
      <c r="W100" s="4"/>
      <c r="X100" s="4">
        <f>+P100-T100</f>
        <v>-30263.940000000002</v>
      </c>
      <c r="Y100" s="4"/>
      <c r="Z100" s="12">
        <f>IF(T100=0,0,X100/T100)</f>
        <v>-0.20902243279829821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8" t="s">
        <v>4</v>
      </c>
      <c r="C102" s="28"/>
      <c r="D102" s="31">
        <f>+D98-D100</f>
        <v>-38179.350000000006</v>
      </c>
      <c r="E102" s="14"/>
      <c r="F102" s="34">
        <f>IF(D$12=0,0,D102/D$12)</f>
        <v>-0.56062857841819291</v>
      </c>
      <c r="G102" s="14"/>
      <c r="H102" s="31">
        <f>+H98-H100</f>
        <v>28754.071356076922</v>
      </c>
      <c r="I102" s="14"/>
      <c r="J102" s="34">
        <f>IF(H$12=0,0,H102/H$12)</f>
        <v>0.1725934655226706</v>
      </c>
      <c r="K102" s="16"/>
      <c r="L102" s="31">
        <f>D102-H102</f>
        <v>-66933.421356076928</v>
      </c>
      <c r="M102" s="16"/>
      <c r="N102" s="34">
        <f>IF(H102=0,0,L102/H102)</f>
        <v>-2.3277893598859394</v>
      </c>
      <c r="O102" s="29"/>
      <c r="P102" s="31">
        <f>+P98-P100</f>
        <v>27569.540000000212</v>
      </c>
      <c r="Q102" s="14"/>
      <c r="R102" s="34">
        <f>IF(P$12=0,0,P102/P$12)</f>
        <v>2.5794956130861382E-2</v>
      </c>
      <c r="S102" s="14"/>
      <c r="T102" s="31">
        <f>+T98-T100</f>
        <v>131337.65930513456</v>
      </c>
      <c r="U102" s="14"/>
      <c r="V102" s="34">
        <f>IF(T$12=0,0,T102/T$12)</f>
        <v>0.10603290623270056</v>
      </c>
      <c r="W102" s="16"/>
      <c r="X102" s="31">
        <f>P102-T102</f>
        <v>-103768.11930513434</v>
      </c>
      <c r="Y102" s="16"/>
      <c r="Z102" s="34">
        <f>IF(T102=0,0,X102/T102)</f>
        <v>-0.79008655898192637</v>
      </c>
    </row>
    <row r="103" spans="1:26" ht="15.75" thickTop="1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8" t="s">
        <v>5</v>
      </c>
      <c r="C105" s="28"/>
      <c r="D105" s="32">
        <f>SUM(D102:D104)</f>
        <v>-38179.350000000006</v>
      </c>
      <c r="E105" s="14"/>
      <c r="F105" s="35">
        <f>IF(D$12=0,0,D105/D$12)</f>
        <v>-0.56062857841819291</v>
      </c>
      <c r="G105" s="14"/>
      <c r="H105" s="32">
        <f>SUM(H102:H104)</f>
        <v>28754.071356076922</v>
      </c>
      <c r="I105" s="14"/>
      <c r="J105" s="35">
        <f>IF(H$12=0,0,H105/H$12)</f>
        <v>0.1725934655226706</v>
      </c>
      <c r="K105" s="16"/>
      <c r="L105" s="32">
        <f>+D105-H105</f>
        <v>-66933.421356076928</v>
      </c>
      <c r="M105" s="16"/>
      <c r="N105" s="35">
        <f>IF(H105=0,0,L105/H105)</f>
        <v>-2.3277893598859394</v>
      </c>
      <c r="O105" s="29"/>
      <c r="P105" s="32">
        <f>SUM(P102:P104)</f>
        <v>27569.540000000212</v>
      </c>
      <c r="Q105" s="14"/>
      <c r="R105" s="35">
        <f>IF(P$12=0,0,P105/P$12)</f>
        <v>2.5794956130861382E-2</v>
      </c>
      <c r="S105" s="14"/>
      <c r="T105" s="32">
        <f>SUM(T102:T104)</f>
        <v>131337.65930513456</v>
      </c>
      <c r="U105" s="14"/>
      <c r="V105" s="35">
        <f>IF(T$12=0,0,T105/T$12)</f>
        <v>0.10603290623270056</v>
      </c>
      <c r="W105" s="16"/>
      <c r="X105" s="32">
        <f>+P105-T105</f>
        <v>-103768.11930513434</v>
      </c>
      <c r="Y105" s="16"/>
      <c r="Z105" s="35">
        <f>IF(T105=0,0,X105/T105)</f>
        <v>-0.79008655898192637</v>
      </c>
    </row>
    <row r="106" spans="1:26" ht="15.75" thickTop="1" x14ac:dyDescent="0.25">
      <c r="A106" s="9"/>
      <c r="C106" s="9"/>
      <c r="D106" s="18"/>
      <c r="E106" s="18"/>
      <c r="G106" s="18"/>
      <c r="H106" s="18"/>
      <c r="I106" s="18"/>
      <c r="J106" s="42"/>
      <c r="K106" s="18"/>
      <c r="L106" s="18"/>
      <c r="M106" s="18"/>
      <c r="P106" s="18"/>
      <c r="Q106" s="18"/>
      <c r="R106" s="42"/>
      <c r="S106" s="18"/>
      <c r="T106" s="18"/>
      <c r="U106" s="18"/>
      <c r="V106" s="42"/>
      <c r="W106" s="18"/>
      <c r="X106" s="18"/>
    </row>
    <row r="107" spans="1:26" x14ac:dyDescent="0.25">
      <c r="A107" s="9"/>
      <c r="B107" s="57">
        <v>43934.466830902777</v>
      </c>
      <c r="D107" s="18"/>
      <c r="E107" s="18"/>
      <c r="G107" s="18"/>
      <c r="H107" s="18"/>
      <c r="I107" s="18"/>
      <c r="J107" s="42"/>
      <c r="K107" s="18"/>
      <c r="L107" s="18"/>
      <c r="M107" s="18"/>
      <c r="P107" s="18"/>
      <c r="Q107" s="18"/>
      <c r="R107" s="42"/>
      <c r="S107" s="18"/>
      <c r="T107" s="18"/>
      <c r="U107" s="18"/>
      <c r="V107" s="42"/>
      <c r="W107" s="18"/>
      <c r="X107" s="18"/>
    </row>
    <row r="108" spans="1:26" x14ac:dyDescent="0.25">
      <c r="A108" s="9"/>
      <c r="B108" s="62" t="s">
        <v>314</v>
      </c>
      <c r="D108" s="18"/>
      <c r="E108" s="18"/>
      <c r="G108" s="18"/>
      <c r="H108" s="18"/>
      <c r="I108" s="18"/>
      <c r="J108" s="42"/>
      <c r="K108" s="18"/>
      <c r="L108" s="18"/>
      <c r="M108" s="18"/>
      <c r="P108" s="18"/>
      <c r="Q108" s="18"/>
      <c r="R108" s="42"/>
      <c r="S108" s="18"/>
      <c r="T108" s="18"/>
      <c r="U108" s="18"/>
      <c r="V108" s="42"/>
      <c r="W108" s="18"/>
      <c r="X108" s="18"/>
    </row>
    <row r="109" spans="1:26" x14ac:dyDescent="0.25">
      <c r="A109" s="9"/>
      <c r="B109" s="60"/>
      <c r="D109" s="18"/>
      <c r="E109" s="18"/>
      <c r="G109" s="18"/>
      <c r="H109" s="18"/>
      <c r="I109" s="18"/>
      <c r="J109" s="42"/>
      <c r="K109" s="18"/>
      <c r="L109" s="18"/>
      <c r="M109" s="18"/>
      <c r="P109" s="18"/>
      <c r="Q109" s="18"/>
      <c r="R109" s="42"/>
      <c r="S109" s="18"/>
      <c r="T109" s="18"/>
      <c r="U109" s="18"/>
      <c r="V109" s="42"/>
      <c r="W109" s="18"/>
      <c r="X109" s="18"/>
    </row>
    <row r="110" spans="1:26" x14ac:dyDescent="0.25">
      <c r="D110" s="18"/>
      <c r="E110" s="18"/>
      <c r="G110" s="18"/>
      <c r="H110" s="18"/>
      <c r="I110" s="18"/>
      <c r="J110" s="42"/>
      <c r="K110" s="18"/>
      <c r="L110" s="18"/>
      <c r="M110" s="18"/>
      <c r="P110" s="18"/>
      <c r="Q110" s="18"/>
      <c r="R110" s="42"/>
      <c r="S110" s="18"/>
      <c r="T110" s="18"/>
      <c r="U110" s="18"/>
      <c r="V110" s="42"/>
      <c r="W110" s="18"/>
      <c r="X110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","423", " - ", "Contract Revenue")</f>
        <v>Department 423 - Contract Revenue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9" t="s">
        <v>8</v>
      </c>
      <c r="C14" s="10"/>
      <c r="D14" s="4">
        <f>SUM(OSRRefD16x_0)</f>
        <v>76.099999999999994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76.099999999999994</v>
      </c>
      <c r="M14" s="4"/>
      <c r="N14" s="12">
        <f t="shared" ref="N14:N15" si="3">IF(H14=0,0,L14/H14)</f>
        <v>0</v>
      </c>
      <c r="O14" s="10"/>
      <c r="P14" s="4">
        <f>SUM(OSRRefP16x_0)</f>
        <v>-729.38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-729.38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>
        <v>76.099999999999994</v>
      </c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76.099999999999994</v>
      </c>
      <c r="M15" s="2"/>
      <c r="N15" s="19">
        <f t="shared" si="3"/>
        <v>0</v>
      </c>
      <c r="O15" s="11"/>
      <c r="P15" s="2">
        <v>-729.38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-729.38</v>
      </c>
      <c r="Y15" s="2"/>
      <c r="Z15" s="19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0">
        <f>D12-D14</f>
        <v>-76.099999999999994</v>
      </c>
      <c r="E17" s="14"/>
      <c r="F17" s="22">
        <f>IF(D$12=0,0,D17/D$12)</f>
        <v>0</v>
      </c>
      <c r="G17" s="14"/>
      <c r="H17" s="20">
        <f>H12-H14</f>
        <v>0</v>
      </c>
      <c r="I17" s="14"/>
      <c r="J17" s="22">
        <f>IF(H$12=0,0,H17/H$12)</f>
        <v>0</v>
      </c>
      <c r="K17" s="16"/>
      <c r="L17" s="20">
        <f>+D17-H17</f>
        <v>-76.099999999999994</v>
      </c>
      <c r="M17" s="16"/>
      <c r="N17" s="22">
        <f>IF(H17=0,0,L17/H17)</f>
        <v>0</v>
      </c>
      <c r="O17" s="29"/>
      <c r="P17" s="20">
        <f>P12-P14</f>
        <v>729.38</v>
      </c>
      <c r="Q17" s="14"/>
      <c r="R17" s="22">
        <f>IF(P$12=0,0,P17/P$12)</f>
        <v>0</v>
      </c>
      <c r="S17" s="14"/>
      <c r="T17" s="20">
        <f>T12-T14</f>
        <v>0</v>
      </c>
      <c r="U17" s="14"/>
      <c r="V17" s="22">
        <f>IF(T$12=0,0,T17/T$12)</f>
        <v>0</v>
      </c>
      <c r="W17" s="16"/>
      <c r="X17" s="20">
        <f>+P17-T17</f>
        <v>729.38</v>
      </c>
      <c r="Y17" s="16"/>
      <c r="Z17" s="22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1">
        <f>SUM(OSRRefD22x_0)</f>
        <v>31141.81</v>
      </c>
      <c r="E19" s="21"/>
      <c r="F19" s="30">
        <f t="shared" ref="F19:F29" si="8">IF(D$12=0,0,D19/D$12)</f>
        <v>0</v>
      </c>
      <c r="G19" s="21"/>
      <c r="H19" s="21">
        <f>SUM(OSRRefH22x_0)</f>
        <v>6331.7953308384567</v>
      </c>
      <c r="I19" s="21"/>
      <c r="J19" s="30">
        <f t="shared" ref="J19:J29" si="9">IF(H$12=0,0,H19/H$12)</f>
        <v>0</v>
      </c>
      <c r="K19" s="4"/>
      <c r="L19" s="21">
        <f t="shared" ref="L19:L29" si="10">+D19-H19</f>
        <v>24810.014669161545</v>
      </c>
      <c r="M19" s="4"/>
      <c r="N19" s="30">
        <f t="shared" ref="N19:N29" si="11">IF(H19=0,0,L19/H19)</f>
        <v>3.9183222724093012</v>
      </c>
      <c r="O19" s="10"/>
      <c r="P19" s="21">
        <f>SUM(OSRRefP22x_0)</f>
        <v>118263.43</v>
      </c>
      <c r="Q19" s="21"/>
      <c r="R19" s="30">
        <f t="shared" ref="R19:R29" si="12">IF(P$12=0,0,P19/P$12)</f>
        <v>0</v>
      </c>
      <c r="S19" s="21"/>
      <c r="T19" s="21">
        <f>SUM(OSRRefT22x_0)</f>
        <v>65115.37947567497</v>
      </c>
      <c r="U19" s="21"/>
      <c r="V19" s="30">
        <f t="shared" ref="V19:V29" si="13">IF(T$12=0,0,T19/T$12)</f>
        <v>0</v>
      </c>
      <c r="W19" s="4"/>
      <c r="X19" s="21">
        <f t="shared" ref="X19:X29" si="14">+P19-T19</f>
        <v>53148.050524325023</v>
      </c>
      <c r="Y19" s="4"/>
      <c r="Z19" s="30">
        <f t="shared" ref="Z19:Z29" si="15">IF(T19=0,0,X19/T19)</f>
        <v>0.81621348062909527</v>
      </c>
    </row>
    <row r="20" spans="1:26" s="27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18703.560000000001</v>
      </c>
      <c r="E20" s="1"/>
      <c r="F20" s="5">
        <f t="shared" si="8"/>
        <v>0</v>
      </c>
      <c r="G20" s="1"/>
      <c r="H20" s="1">
        <f>SUM(OSRRefH22_0x_0)</f>
        <v>2140.130946223077</v>
      </c>
      <c r="I20" s="1"/>
      <c r="J20" s="5">
        <f t="shared" si="9"/>
        <v>0</v>
      </c>
      <c r="K20" s="1"/>
      <c r="L20" s="1">
        <f t="shared" si="10"/>
        <v>16563.429053776923</v>
      </c>
      <c r="M20" s="1"/>
      <c r="N20" s="5">
        <f t="shared" si="11"/>
        <v>7.739446543216534</v>
      </c>
      <c r="O20" s="13"/>
      <c r="P20" s="1">
        <f>SUM(OSRRefP22_0x_0)</f>
        <v>52018.929999999993</v>
      </c>
      <c r="Q20" s="1"/>
      <c r="R20" s="5">
        <f t="shared" si="12"/>
        <v>0</v>
      </c>
      <c r="S20" s="1"/>
      <c r="T20" s="1">
        <f>SUM(OSRRefT22_0x_0)</f>
        <v>20235.901725675001</v>
      </c>
      <c r="U20" s="1"/>
      <c r="V20" s="5">
        <f t="shared" si="13"/>
        <v>0</v>
      </c>
      <c r="W20" s="1"/>
      <c r="X20" s="1">
        <f t="shared" si="14"/>
        <v>31783.028274324992</v>
      </c>
      <c r="Y20" s="1"/>
      <c r="Z20" s="5">
        <f t="shared" si="15"/>
        <v>1.5706257475049492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6">
        <v>846.8</v>
      </c>
      <c r="E21" s="2"/>
      <c r="F21" s="7">
        <f t="shared" si="8"/>
        <v>0</v>
      </c>
      <c r="G21" s="2"/>
      <c r="H21" s="6">
        <v>350.05369483846198</v>
      </c>
      <c r="I21" s="2"/>
      <c r="J21" s="7">
        <f t="shared" si="9"/>
        <v>0</v>
      </c>
      <c r="K21" s="2"/>
      <c r="L21" s="6">
        <f t="shared" si="10"/>
        <v>496.74630516153798</v>
      </c>
      <c r="M21" s="2"/>
      <c r="N21" s="7">
        <f t="shared" si="11"/>
        <v>1.419057454573561</v>
      </c>
      <c r="O21" s="11"/>
      <c r="P21" s="6">
        <v>5405.95</v>
      </c>
      <c r="Q21" s="2"/>
      <c r="R21" s="7">
        <f t="shared" si="12"/>
        <v>0</v>
      </c>
      <c r="S21" s="2"/>
      <c r="T21" s="6">
        <v>3413.023524675003</v>
      </c>
      <c r="U21" s="2"/>
      <c r="V21" s="7">
        <f t="shared" si="13"/>
        <v>0</v>
      </c>
      <c r="W21" s="2"/>
      <c r="X21" s="6">
        <f t="shared" si="14"/>
        <v>1992.9264753249968</v>
      </c>
      <c r="Y21" s="2"/>
      <c r="Z21" s="7">
        <f t="shared" si="15"/>
        <v>0.58391817721642236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6">
        <v>37.64</v>
      </c>
      <c r="E22" s="2"/>
      <c r="F22" s="7">
        <f t="shared" si="8"/>
        <v>0</v>
      </c>
      <c r="G22" s="2"/>
      <c r="H22" s="6">
        <v>86.907359230769202</v>
      </c>
      <c r="I22" s="2"/>
      <c r="J22" s="7">
        <f t="shared" si="9"/>
        <v>0</v>
      </c>
      <c r="K22" s="2"/>
      <c r="L22" s="6">
        <f t="shared" si="10"/>
        <v>-49.267359230769202</v>
      </c>
      <c r="M22" s="2"/>
      <c r="N22" s="7">
        <f t="shared" si="11"/>
        <v>-0.56689513600277808</v>
      </c>
      <c r="O22" s="11"/>
      <c r="P22" s="6">
        <v>196.96</v>
      </c>
      <c r="Q22" s="2"/>
      <c r="R22" s="7">
        <f t="shared" si="12"/>
        <v>0</v>
      </c>
      <c r="S22" s="2"/>
      <c r="T22" s="6">
        <v>847.34675250000123</v>
      </c>
      <c r="U22" s="2"/>
      <c r="V22" s="7">
        <f t="shared" si="13"/>
        <v>0</v>
      </c>
      <c r="W22" s="2"/>
      <c r="X22" s="6">
        <f t="shared" si="14"/>
        <v>-650.38675250000119</v>
      </c>
      <c r="Y22" s="2"/>
      <c r="Z22" s="7">
        <f t="shared" si="15"/>
        <v>-0.76755678897819368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6">
        <v>1016.65</v>
      </c>
      <c r="E23" s="2"/>
      <c r="F23" s="7">
        <f t="shared" si="8"/>
        <v>0</v>
      </c>
      <c r="G23" s="2"/>
      <c r="H23" s="6">
        <v>690.5</v>
      </c>
      <c r="I23" s="2"/>
      <c r="J23" s="7">
        <f t="shared" si="9"/>
        <v>0</v>
      </c>
      <c r="K23" s="2"/>
      <c r="L23" s="6">
        <f t="shared" si="10"/>
        <v>326.14999999999998</v>
      </c>
      <c r="M23" s="2"/>
      <c r="N23" s="7">
        <f t="shared" si="11"/>
        <v>0.47233888486603909</v>
      </c>
      <c r="O23" s="11"/>
      <c r="P23" s="6">
        <v>9118.5300000000007</v>
      </c>
      <c r="Q23" s="2"/>
      <c r="R23" s="7">
        <f t="shared" si="12"/>
        <v>0</v>
      </c>
      <c r="S23" s="2"/>
      <c r="T23" s="6">
        <v>6214.5</v>
      </c>
      <c r="U23" s="2"/>
      <c r="V23" s="7">
        <f t="shared" si="13"/>
        <v>0</v>
      </c>
      <c r="W23" s="2"/>
      <c r="X23" s="6">
        <f t="shared" si="14"/>
        <v>2904.0300000000007</v>
      </c>
      <c r="Y23" s="2"/>
      <c r="Z23" s="7">
        <f t="shared" si="15"/>
        <v>0.46729905865315002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6">
        <v>28.78</v>
      </c>
      <c r="E24" s="2"/>
      <c r="F24" s="7">
        <f t="shared" si="8"/>
        <v>0</v>
      </c>
      <c r="G24" s="2"/>
      <c r="H24" s="6">
        <v>11.892586</v>
      </c>
      <c r="I24" s="2"/>
      <c r="J24" s="7">
        <f t="shared" si="9"/>
        <v>0</v>
      </c>
      <c r="K24" s="2"/>
      <c r="L24" s="6">
        <f t="shared" si="10"/>
        <v>16.887414</v>
      </c>
      <c r="M24" s="2"/>
      <c r="N24" s="7">
        <f t="shared" si="11"/>
        <v>1.4199951129216135</v>
      </c>
      <c r="O24" s="11"/>
      <c r="P24" s="6">
        <v>163.09</v>
      </c>
      <c r="Q24" s="2"/>
      <c r="R24" s="7">
        <f t="shared" si="12"/>
        <v>0</v>
      </c>
      <c r="S24" s="2"/>
      <c r="T24" s="6">
        <v>115.9527135</v>
      </c>
      <c r="U24" s="2"/>
      <c r="V24" s="7">
        <f t="shared" si="13"/>
        <v>0</v>
      </c>
      <c r="W24" s="2"/>
      <c r="X24" s="6">
        <f t="shared" si="14"/>
        <v>47.137286500000002</v>
      </c>
      <c r="Y24" s="2"/>
      <c r="Z24" s="7">
        <f t="shared" si="15"/>
        <v>0.40652163349329468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6">
        <v>1131.3900000000001</v>
      </c>
      <c r="E25" s="2"/>
      <c r="F25" s="7">
        <f t="shared" si="8"/>
        <v>0</v>
      </c>
      <c r="G25" s="2"/>
      <c r="H25" s="6">
        <v>393.37015230769197</v>
      </c>
      <c r="I25" s="2"/>
      <c r="J25" s="7">
        <f t="shared" si="9"/>
        <v>0</v>
      </c>
      <c r="K25" s="2"/>
      <c r="L25" s="6">
        <f t="shared" si="10"/>
        <v>738.01984769230808</v>
      </c>
      <c r="M25" s="2"/>
      <c r="N25" s="7">
        <f t="shared" si="11"/>
        <v>1.8761460252201163</v>
      </c>
      <c r="O25" s="11"/>
      <c r="P25" s="6">
        <v>6412</v>
      </c>
      <c r="Q25" s="2"/>
      <c r="R25" s="7">
        <f t="shared" si="12"/>
        <v>0</v>
      </c>
      <c r="S25" s="2"/>
      <c r="T25" s="6">
        <v>3835.3589849999967</v>
      </c>
      <c r="U25" s="2"/>
      <c r="V25" s="7">
        <f t="shared" si="13"/>
        <v>0</v>
      </c>
      <c r="W25" s="2"/>
      <c r="X25" s="6">
        <f t="shared" si="14"/>
        <v>2576.6410150000033</v>
      </c>
      <c r="Y25" s="2"/>
      <c r="Z25" s="7">
        <f t="shared" si="15"/>
        <v>0.67181221499139687</v>
      </c>
    </row>
    <row r="26" spans="1:26" s="24" customFormat="1" hidden="1" outlineLevel="2" x14ac:dyDescent="0.25">
      <c r="A26" s="25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8"/>
        <v>0</v>
      </c>
      <c r="G26" s="2"/>
      <c r="H26" s="6">
        <v>0</v>
      </c>
      <c r="I26" s="2"/>
      <c r="J26" s="7">
        <f t="shared" si="9"/>
        <v>0</v>
      </c>
      <c r="K26" s="2"/>
      <c r="L26" s="6">
        <f t="shared" si="10"/>
        <v>0</v>
      </c>
      <c r="M26" s="2"/>
      <c r="N26" s="7">
        <f t="shared" si="11"/>
        <v>0</v>
      </c>
      <c r="O26" s="11"/>
      <c r="P26" s="6"/>
      <c r="Q26" s="2"/>
      <c r="R26" s="7">
        <f t="shared" si="12"/>
        <v>0</v>
      </c>
      <c r="S26" s="2"/>
      <c r="T26" s="6">
        <v>0</v>
      </c>
      <c r="U26" s="2"/>
      <c r="V26" s="7">
        <f t="shared" si="13"/>
        <v>0</v>
      </c>
      <c r="W26" s="2"/>
      <c r="X26" s="6">
        <f t="shared" si="14"/>
        <v>0</v>
      </c>
      <c r="Y26" s="2"/>
      <c r="Z26" s="7">
        <f t="shared" si="15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6">
        <v>3373.31</v>
      </c>
      <c r="E27" s="2"/>
      <c r="F27" s="7">
        <f t="shared" si="8"/>
        <v>0</v>
      </c>
      <c r="G27" s="2"/>
      <c r="H27" s="6">
        <v>457.40715384615396</v>
      </c>
      <c r="I27" s="2"/>
      <c r="J27" s="7">
        <f t="shared" si="9"/>
        <v>0</v>
      </c>
      <c r="K27" s="2"/>
      <c r="L27" s="6">
        <f t="shared" si="10"/>
        <v>2915.902846153846</v>
      </c>
      <c r="M27" s="2"/>
      <c r="N27" s="7">
        <f t="shared" si="11"/>
        <v>6.3748518614874827</v>
      </c>
      <c r="O27" s="11"/>
      <c r="P27" s="6">
        <v>8686.68</v>
      </c>
      <c r="Q27" s="2"/>
      <c r="R27" s="7">
        <f t="shared" si="12"/>
        <v>0</v>
      </c>
      <c r="S27" s="2"/>
      <c r="T27" s="6">
        <v>4459.7197500000002</v>
      </c>
      <c r="U27" s="2"/>
      <c r="V27" s="7">
        <f t="shared" si="13"/>
        <v>0</v>
      </c>
      <c r="W27" s="2"/>
      <c r="X27" s="6">
        <f t="shared" si="14"/>
        <v>4226.9602500000001</v>
      </c>
      <c r="Y27" s="2"/>
      <c r="Z27" s="7">
        <f t="shared" si="15"/>
        <v>0.94780849177798665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6">
        <v>12169.51</v>
      </c>
      <c r="E28" s="2"/>
      <c r="F28" s="7">
        <f t="shared" si="8"/>
        <v>0</v>
      </c>
      <c r="G28" s="2"/>
      <c r="H28" s="6">
        <v>0</v>
      </c>
      <c r="I28" s="2"/>
      <c r="J28" s="7">
        <f t="shared" si="9"/>
        <v>0</v>
      </c>
      <c r="K28" s="2"/>
      <c r="L28" s="6">
        <f t="shared" si="10"/>
        <v>12169.51</v>
      </c>
      <c r="M28" s="2"/>
      <c r="N28" s="7">
        <f t="shared" si="11"/>
        <v>0</v>
      </c>
      <c r="O28" s="11"/>
      <c r="P28" s="6">
        <v>20753.63</v>
      </c>
      <c r="Q28" s="2"/>
      <c r="R28" s="7">
        <f t="shared" si="12"/>
        <v>0</v>
      </c>
      <c r="S28" s="2"/>
      <c r="T28" s="6">
        <v>0</v>
      </c>
      <c r="U28" s="2"/>
      <c r="V28" s="7">
        <f t="shared" si="13"/>
        <v>0</v>
      </c>
      <c r="W28" s="2"/>
      <c r="X28" s="6">
        <f t="shared" si="14"/>
        <v>20753.63</v>
      </c>
      <c r="Y28" s="2"/>
      <c r="Z28" s="7">
        <f t="shared" si="15"/>
        <v>0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6">
        <v>99.48</v>
      </c>
      <c r="E29" s="2"/>
      <c r="F29" s="7">
        <f t="shared" si="8"/>
        <v>0</v>
      </c>
      <c r="G29" s="2"/>
      <c r="H29" s="6">
        <v>150</v>
      </c>
      <c r="I29" s="2"/>
      <c r="J29" s="7">
        <f t="shared" si="9"/>
        <v>0</v>
      </c>
      <c r="K29" s="2"/>
      <c r="L29" s="6">
        <f t="shared" si="10"/>
        <v>-50.519999999999996</v>
      </c>
      <c r="M29" s="2"/>
      <c r="N29" s="7">
        <f t="shared" si="11"/>
        <v>-0.33679999999999999</v>
      </c>
      <c r="O29" s="11"/>
      <c r="P29" s="6">
        <v>1282.0899999999999</v>
      </c>
      <c r="Q29" s="2"/>
      <c r="R29" s="7">
        <f t="shared" si="12"/>
        <v>0</v>
      </c>
      <c r="S29" s="2"/>
      <c r="T29" s="6">
        <v>1350</v>
      </c>
      <c r="U29" s="2"/>
      <c r="V29" s="7">
        <f t="shared" si="13"/>
        <v>0</v>
      </c>
      <c r="W29" s="2"/>
      <c r="X29" s="6">
        <f t="shared" si="14"/>
        <v>-67.910000000000082</v>
      </c>
      <c r="Y29" s="2"/>
      <c r="Z29" s="7">
        <f t="shared" si="15"/>
        <v>-5.0303703703703767E-2</v>
      </c>
    </row>
    <row r="30" spans="1:26" s="27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11069.28</v>
      </c>
      <c r="E30" s="1"/>
      <c r="F30" s="5">
        <f t="shared" ref="F30:F40" si="16">IF(D$12=0,0,D30/D$12)</f>
        <v>0</v>
      </c>
      <c r="G30" s="1"/>
      <c r="H30" s="1">
        <f>SUM(OSRRefH22_1x_0)</f>
        <v>4116.6643846153802</v>
      </c>
      <c r="I30" s="1"/>
      <c r="J30" s="5">
        <f t="shared" ref="J30:J40" si="17">IF(H$12=0,0,H30/H$12)</f>
        <v>0</v>
      </c>
      <c r="K30" s="1"/>
      <c r="L30" s="1">
        <f t="shared" ref="L30:L40" si="18">+D30-H30</f>
        <v>6952.6156153846205</v>
      </c>
      <c r="M30" s="1"/>
      <c r="N30" s="5">
        <f t="shared" ref="N30:N40" si="19">IF(H30=0,0,L30/H30)</f>
        <v>1.6888954176997364</v>
      </c>
      <c r="O30" s="13"/>
      <c r="P30" s="1">
        <f>SUM(OSRRefP22_1x_0)</f>
        <v>51023.659999999996</v>
      </c>
      <c r="Q30" s="1"/>
      <c r="R30" s="5">
        <f t="shared" ref="R30:R40" si="20">IF(P$12=0,0,P30/P$12)</f>
        <v>0</v>
      </c>
      <c r="S30" s="1"/>
      <c r="T30" s="1">
        <f>SUM(OSRRefT22_1x_0)</f>
        <v>40137.477749999969</v>
      </c>
      <c r="U30" s="1"/>
      <c r="V30" s="5">
        <f t="shared" ref="V30:V40" si="21">IF(T$12=0,0,T30/T$12)</f>
        <v>0</v>
      </c>
      <c r="W30" s="1"/>
      <c r="X30" s="1">
        <f t="shared" ref="X30:X40" si="22">+P30-T30</f>
        <v>10886.182250000027</v>
      </c>
      <c r="Y30" s="1"/>
      <c r="Z30" s="5">
        <f t="shared" ref="Z30:Z40" si="23">IF(T30=0,0,X30/T30)</f>
        <v>0.271222380185562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6">
        <v>8302.2800000000007</v>
      </c>
      <c r="E31" s="2"/>
      <c r="F31" s="7">
        <f t="shared" si="16"/>
        <v>0</v>
      </c>
      <c r="G31" s="2"/>
      <c r="H31" s="6">
        <v>4116.6643846153802</v>
      </c>
      <c r="I31" s="2"/>
      <c r="J31" s="7">
        <f t="shared" si="17"/>
        <v>0</v>
      </c>
      <c r="K31" s="2"/>
      <c r="L31" s="6">
        <f t="shared" si="18"/>
        <v>4185.6156153846205</v>
      </c>
      <c r="M31" s="2"/>
      <c r="N31" s="7">
        <f t="shared" si="19"/>
        <v>1.0167492961114153</v>
      </c>
      <c r="O31" s="11"/>
      <c r="P31" s="6">
        <v>48256.659999999996</v>
      </c>
      <c r="Q31" s="2"/>
      <c r="R31" s="7">
        <f t="shared" si="20"/>
        <v>0</v>
      </c>
      <c r="S31" s="2"/>
      <c r="T31" s="6">
        <v>40137.477749999969</v>
      </c>
      <c r="U31" s="2"/>
      <c r="V31" s="7">
        <f t="shared" si="21"/>
        <v>0</v>
      </c>
      <c r="W31" s="2"/>
      <c r="X31" s="6">
        <f t="shared" si="22"/>
        <v>8119.1822500000271</v>
      </c>
      <c r="Y31" s="2"/>
      <c r="Z31" s="7">
        <f t="shared" si="23"/>
        <v>0.2022843164329137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6">
        <v>2767</v>
      </c>
      <c r="E32" s="2"/>
      <c r="F32" s="7">
        <f t="shared" si="16"/>
        <v>0</v>
      </c>
      <c r="G32" s="2"/>
      <c r="H32" s="6">
        <v>0</v>
      </c>
      <c r="I32" s="2"/>
      <c r="J32" s="7">
        <f t="shared" si="17"/>
        <v>0</v>
      </c>
      <c r="K32" s="2"/>
      <c r="L32" s="6">
        <f t="shared" si="18"/>
        <v>2767</v>
      </c>
      <c r="M32" s="2"/>
      <c r="N32" s="7">
        <f t="shared" si="19"/>
        <v>0</v>
      </c>
      <c r="O32" s="11"/>
      <c r="P32" s="6">
        <v>2767</v>
      </c>
      <c r="Q32" s="2"/>
      <c r="R32" s="7">
        <f t="shared" si="20"/>
        <v>0</v>
      </c>
      <c r="S32" s="2"/>
      <c r="T32" s="6">
        <v>0</v>
      </c>
      <c r="U32" s="2"/>
      <c r="V32" s="7">
        <f t="shared" si="21"/>
        <v>0</v>
      </c>
      <c r="W32" s="2"/>
      <c r="X32" s="6">
        <f t="shared" si="22"/>
        <v>2767</v>
      </c>
      <c r="Y32" s="2"/>
      <c r="Z32" s="7">
        <f t="shared" si="23"/>
        <v>0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6"/>
        <v>0</v>
      </c>
      <c r="G33" s="2"/>
      <c r="H33" s="6">
        <v>0</v>
      </c>
      <c r="I33" s="2"/>
      <c r="J33" s="7">
        <f t="shared" si="17"/>
        <v>0</v>
      </c>
      <c r="K33" s="2"/>
      <c r="L33" s="6">
        <f t="shared" si="18"/>
        <v>0</v>
      </c>
      <c r="M33" s="2"/>
      <c r="N33" s="7">
        <f t="shared" si="19"/>
        <v>0</v>
      </c>
      <c r="O33" s="11"/>
      <c r="P33" s="6"/>
      <c r="Q33" s="2"/>
      <c r="R33" s="7">
        <f t="shared" si="20"/>
        <v>0</v>
      </c>
      <c r="S33" s="2"/>
      <c r="T33" s="6">
        <v>0</v>
      </c>
      <c r="U33" s="2"/>
      <c r="V33" s="7">
        <f t="shared" si="21"/>
        <v>0</v>
      </c>
      <c r="W33" s="2"/>
      <c r="X33" s="6">
        <f t="shared" si="22"/>
        <v>0</v>
      </c>
      <c r="Y33" s="2"/>
      <c r="Z33" s="7">
        <f t="shared" si="23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16"/>
        <v>0</v>
      </c>
      <c r="G34" s="2"/>
      <c r="H34" s="6">
        <v>0</v>
      </c>
      <c r="I34" s="2"/>
      <c r="J34" s="7">
        <f t="shared" si="17"/>
        <v>0</v>
      </c>
      <c r="K34" s="2"/>
      <c r="L34" s="6">
        <f t="shared" si="18"/>
        <v>0</v>
      </c>
      <c r="M34" s="2"/>
      <c r="N34" s="7">
        <f t="shared" si="19"/>
        <v>0</v>
      </c>
      <c r="O34" s="11"/>
      <c r="P34" s="6"/>
      <c r="Q34" s="2"/>
      <c r="R34" s="7">
        <f t="shared" si="20"/>
        <v>0</v>
      </c>
      <c r="S34" s="2"/>
      <c r="T34" s="6">
        <v>0</v>
      </c>
      <c r="U34" s="2"/>
      <c r="V34" s="7">
        <f t="shared" si="21"/>
        <v>0</v>
      </c>
      <c r="W34" s="2"/>
      <c r="X34" s="6">
        <f t="shared" si="22"/>
        <v>0</v>
      </c>
      <c r="Y34" s="2"/>
      <c r="Z34" s="7">
        <f t="shared" si="23"/>
        <v>0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16"/>
        <v>0</v>
      </c>
      <c r="G35" s="2"/>
      <c r="H35" s="6">
        <v>0</v>
      </c>
      <c r="I35" s="2"/>
      <c r="J35" s="7">
        <f t="shared" si="17"/>
        <v>0</v>
      </c>
      <c r="K35" s="2"/>
      <c r="L35" s="6">
        <f t="shared" si="18"/>
        <v>0</v>
      </c>
      <c r="M35" s="2"/>
      <c r="N35" s="7">
        <f t="shared" si="19"/>
        <v>0</v>
      </c>
      <c r="O35" s="11"/>
      <c r="P35" s="6"/>
      <c r="Q35" s="2"/>
      <c r="R35" s="7">
        <f t="shared" si="20"/>
        <v>0</v>
      </c>
      <c r="S35" s="2"/>
      <c r="T35" s="6">
        <v>0</v>
      </c>
      <c r="U35" s="2"/>
      <c r="V35" s="7">
        <f t="shared" si="21"/>
        <v>0</v>
      </c>
      <c r="W35" s="2"/>
      <c r="X35" s="6">
        <f t="shared" si="22"/>
        <v>0</v>
      </c>
      <c r="Y35" s="2"/>
      <c r="Z35" s="7">
        <f t="shared" si="23"/>
        <v>0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6"/>
        <v>0</v>
      </c>
      <c r="G36" s="2"/>
      <c r="H36" s="6">
        <v>0</v>
      </c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/>
      <c r="Q36" s="2"/>
      <c r="R36" s="7">
        <f t="shared" si="20"/>
        <v>0</v>
      </c>
      <c r="S36" s="2"/>
      <c r="T36" s="6">
        <v>0</v>
      </c>
      <c r="U36" s="2"/>
      <c r="V36" s="7">
        <f t="shared" si="21"/>
        <v>0</v>
      </c>
      <c r="W36" s="2"/>
      <c r="X36" s="6">
        <f t="shared" si="22"/>
        <v>0</v>
      </c>
      <c r="Y36" s="2"/>
      <c r="Z36" s="7">
        <f t="shared" si="23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16"/>
        <v>0</v>
      </c>
      <c r="G37" s="2"/>
      <c r="H37" s="6">
        <v>0</v>
      </c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1"/>
      <c r="P37" s="6"/>
      <c r="Q37" s="2"/>
      <c r="R37" s="7">
        <f t="shared" si="20"/>
        <v>0</v>
      </c>
      <c r="S37" s="2"/>
      <c r="T37" s="6">
        <v>0</v>
      </c>
      <c r="U37" s="2"/>
      <c r="V37" s="7">
        <f t="shared" si="21"/>
        <v>0</v>
      </c>
      <c r="W37" s="2"/>
      <c r="X37" s="6">
        <f t="shared" si="22"/>
        <v>0</v>
      </c>
      <c r="Y37" s="2"/>
      <c r="Z37" s="7">
        <f t="shared" si="23"/>
        <v>0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16"/>
        <v>0</v>
      </c>
      <c r="G38" s="2"/>
      <c r="H38" s="6">
        <v>0</v>
      </c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/>
      <c r="Q38" s="2"/>
      <c r="R38" s="7">
        <f t="shared" si="20"/>
        <v>0</v>
      </c>
      <c r="S38" s="2"/>
      <c r="T38" s="6">
        <v>0</v>
      </c>
      <c r="U38" s="2"/>
      <c r="V38" s="7">
        <f t="shared" si="21"/>
        <v>0</v>
      </c>
      <c r="W38" s="2"/>
      <c r="X38" s="6">
        <f t="shared" si="22"/>
        <v>0</v>
      </c>
      <c r="Y38" s="2"/>
      <c r="Z38" s="7">
        <f t="shared" si="23"/>
        <v>0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6"/>
        <v>0</v>
      </c>
      <c r="G39" s="2"/>
      <c r="H39" s="6">
        <v>0</v>
      </c>
      <c r="I39" s="2"/>
      <c r="J39" s="7">
        <f t="shared" si="17"/>
        <v>0</v>
      </c>
      <c r="K39" s="2"/>
      <c r="L39" s="6">
        <f t="shared" si="18"/>
        <v>0</v>
      </c>
      <c r="M39" s="2"/>
      <c r="N39" s="7">
        <f t="shared" si="19"/>
        <v>0</v>
      </c>
      <c r="O39" s="11"/>
      <c r="P39" s="6"/>
      <c r="Q39" s="2"/>
      <c r="R39" s="7">
        <f t="shared" si="20"/>
        <v>0</v>
      </c>
      <c r="S39" s="2"/>
      <c r="T39" s="6">
        <v>0</v>
      </c>
      <c r="U39" s="2"/>
      <c r="V39" s="7">
        <f t="shared" si="21"/>
        <v>0</v>
      </c>
      <c r="W39" s="2"/>
      <c r="X39" s="6">
        <f t="shared" si="22"/>
        <v>0</v>
      </c>
      <c r="Y39" s="2"/>
      <c r="Z39" s="7">
        <f t="shared" si="23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6"/>
        <v>0</v>
      </c>
      <c r="G40" s="2"/>
      <c r="H40" s="6">
        <v>0</v>
      </c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/>
      <c r="Q40" s="2"/>
      <c r="R40" s="7">
        <f t="shared" si="20"/>
        <v>0</v>
      </c>
      <c r="S40" s="2"/>
      <c r="T40" s="6">
        <v>0</v>
      </c>
      <c r="U40" s="2"/>
      <c r="V40" s="7">
        <f t="shared" si="21"/>
        <v>0</v>
      </c>
      <c r="W40" s="2"/>
      <c r="X40" s="6">
        <f t="shared" si="22"/>
        <v>0</v>
      </c>
      <c r="Y40" s="2"/>
      <c r="Z40" s="7">
        <f t="shared" si="23"/>
        <v>0</v>
      </c>
    </row>
    <row r="41" spans="1:26" s="27" customFormat="1" outlineLevel="1" collapsed="1" x14ac:dyDescent="0.25">
      <c r="A41" s="26"/>
      <c r="B41" s="13" t="str">
        <f>CONCATENATE("     ","General                                           ")</f>
        <v xml:space="preserve">     General                                           </v>
      </c>
      <c r="C41" s="13"/>
      <c r="D41" s="1">
        <f>SUM(OSRRefD22_2x_0)</f>
        <v>0</v>
      </c>
      <c r="E41" s="1"/>
      <c r="F41" s="5">
        <f t="shared" ref="F41:F50" si="24">IF(D$12=0,0,D41/D$12)</f>
        <v>0</v>
      </c>
      <c r="G41" s="1"/>
      <c r="H41" s="1">
        <f>SUM(OSRRefH22_2x_0)</f>
        <v>0</v>
      </c>
      <c r="I41" s="1"/>
      <c r="J41" s="5">
        <f t="shared" ref="J41:J50" si="25">IF(H$12=0,0,H41/H$12)</f>
        <v>0</v>
      </c>
      <c r="K41" s="1"/>
      <c r="L41" s="1">
        <f t="shared" ref="L41:L50" si="26">+D41-H41</f>
        <v>0</v>
      </c>
      <c r="M41" s="1"/>
      <c r="N41" s="5">
        <f t="shared" ref="N41:N50" si="27">IF(H41=0,0,L41/H41)</f>
        <v>0</v>
      </c>
      <c r="O41" s="13"/>
      <c r="P41" s="1">
        <f>SUM(OSRRefP22_2x_0)</f>
        <v>2443.65</v>
      </c>
      <c r="Q41" s="1"/>
      <c r="R41" s="5">
        <f t="shared" ref="R41:R50" si="28">IF(P$12=0,0,P41/P$12)</f>
        <v>0</v>
      </c>
      <c r="S41" s="1"/>
      <c r="T41" s="1">
        <f>SUM(OSRRefT22_2x_0)</f>
        <v>2500</v>
      </c>
      <c r="U41" s="1"/>
      <c r="V41" s="5">
        <f t="shared" ref="V41:V50" si="29">IF(T$12=0,0,T41/T$12)</f>
        <v>0</v>
      </c>
      <c r="W41" s="1"/>
      <c r="X41" s="1">
        <f t="shared" ref="X41:X50" si="30">+P41-T41</f>
        <v>-56.349999999999909</v>
      </c>
      <c r="Y41" s="1"/>
      <c r="Z41" s="5">
        <f t="shared" ref="Z41:Z50" si="31">IF(T41=0,0,X41/T41)</f>
        <v>-2.2539999999999963E-2</v>
      </c>
    </row>
    <row r="42" spans="1:26" s="24" customFormat="1" hidden="1" outlineLevel="2" x14ac:dyDescent="0.25">
      <c r="A42" s="25"/>
      <c r="B42" s="11" t="str">
        <f>CONCATENATE("          ", "6279", " - ", "GENERAL EXPENSE")</f>
        <v xml:space="preserve">          6279 - GENERAL EXPENSE</v>
      </c>
      <c r="C42" s="11"/>
      <c r="D42" s="6"/>
      <c r="E42" s="2"/>
      <c r="F42" s="7">
        <f t="shared" si="24"/>
        <v>0</v>
      </c>
      <c r="G42" s="2"/>
      <c r="H42" s="6"/>
      <c r="I42" s="2"/>
      <c r="J42" s="7">
        <f t="shared" si="25"/>
        <v>0</v>
      </c>
      <c r="K42" s="2"/>
      <c r="L42" s="6">
        <f t="shared" si="26"/>
        <v>0</v>
      </c>
      <c r="M42" s="2"/>
      <c r="N42" s="7">
        <f t="shared" si="27"/>
        <v>0</v>
      </c>
      <c r="O42" s="11"/>
      <c r="P42" s="6">
        <v>2443.65</v>
      </c>
      <c r="Q42" s="2"/>
      <c r="R42" s="7">
        <f t="shared" si="28"/>
        <v>0</v>
      </c>
      <c r="S42" s="2"/>
      <c r="T42" s="6">
        <v>2500</v>
      </c>
      <c r="U42" s="2"/>
      <c r="V42" s="7">
        <f t="shared" si="29"/>
        <v>0</v>
      </c>
      <c r="W42" s="2"/>
      <c r="X42" s="6">
        <f t="shared" si="30"/>
        <v>-56.349999999999909</v>
      </c>
      <c r="Y42" s="2"/>
      <c r="Z42" s="7">
        <f t="shared" si="31"/>
        <v>-2.2539999999999963E-2</v>
      </c>
    </row>
    <row r="43" spans="1:26" s="27" customFormat="1" outlineLevel="1" collapsed="1" x14ac:dyDescent="0.25">
      <c r="A43" s="26"/>
      <c r="B43" s="13" t="str">
        <f>CONCATENATE("     ","Royalty &amp; Commissions                             ")</f>
        <v xml:space="preserve">     Royalty &amp; Commissions                             </v>
      </c>
      <c r="C43" s="13"/>
      <c r="D43" s="1">
        <f>SUM(OSRRefD22_3x_0)</f>
        <v>0</v>
      </c>
      <c r="E43" s="1"/>
      <c r="F43" s="5">
        <f t="shared" si="24"/>
        <v>0</v>
      </c>
      <c r="G43" s="1"/>
      <c r="H43" s="1">
        <f>SUM(OSRRefH22_3x_0)</f>
        <v>0</v>
      </c>
      <c r="I43" s="1"/>
      <c r="J43" s="5">
        <f t="shared" si="25"/>
        <v>0</v>
      </c>
      <c r="K43" s="1"/>
      <c r="L43" s="1">
        <f t="shared" si="26"/>
        <v>0</v>
      </c>
      <c r="M43" s="1"/>
      <c r="N43" s="5">
        <f t="shared" si="27"/>
        <v>0</v>
      </c>
      <c r="O43" s="13"/>
      <c r="P43" s="1">
        <f>SUM(OSRRefP22_3x_0)</f>
        <v>10393.31</v>
      </c>
      <c r="Q43" s="1"/>
      <c r="R43" s="5">
        <f t="shared" si="28"/>
        <v>0</v>
      </c>
      <c r="S43" s="1"/>
      <c r="T43" s="1">
        <f>SUM(OSRRefT22_3x_0)</f>
        <v>1117</v>
      </c>
      <c r="U43" s="1"/>
      <c r="V43" s="5">
        <f t="shared" si="29"/>
        <v>0</v>
      </c>
      <c r="W43" s="1"/>
      <c r="X43" s="1">
        <f t="shared" si="30"/>
        <v>9276.31</v>
      </c>
      <c r="Y43" s="1"/>
      <c r="Z43" s="5">
        <f t="shared" si="31"/>
        <v>8.3046642793196064</v>
      </c>
    </row>
    <row r="44" spans="1:26" s="24" customFormat="1" hidden="1" outlineLevel="2" x14ac:dyDescent="0.25">
      <c r="A44" s="25"/>
      <c r="B44" s="11" t="str">
        <f>CONCATENATE("          ", "6254", " - ", "ROYALTY &amp; COMMISSIONS")</f>
        <v xml:space="preserve">          6254 - ROYALTY &amp; COMMISSIONS</v>
      </c>
      <c r="C44" s="11"/>
      <c r="D44" s="6"/>
      <c r="E44" s="2"/>
      <c r="F44" s="7">
        <f t="shared" si="24"/>
        <v>0</v>
      </c>
      <c r="G44" s="2"/>
      <c r="H44" s="6"/>
      <c r="I44" s="2"/>
      <c r="J44" s="7">
        <f t="shared" si="25"/>
        <v>0</v>
      </c>
      <c r="K44" s="2"/>
      <c r="L44" s="6">
        <f t="shared" si="26"/>
        <v>0</v>
      </c>
      <c r="M44" s="2"/>
      <c r="N44" s="7">
        <f t="shared" si="27"/>
        <v>0</v>
      </c>
      <c r="O44" s="11"/>
      <c r="P44" s="6">
        <v>10393.31</v>
      </c>
      <c r="Q44" s="2"/>
      <c r="R44" s="7">
        <f t="shared" si="28"/>
        <v>0</v>
      </c>
      <c r="S44" s="2"/>
      <c r="T44" s="6">
        <v>1117</v>
      </c>
      <c r="U44" s="2"/>
      <c r="V44" s="7">
        <f t="shared" si="29"/>
        <v>0</v>
      </c>
      <c r="W44" s="2"/>
      <c r="X44" s="6">
        <f t="shared" si="30"/>
        <v>9276.31</v>
      </c>
      <c r="Y44" s="2"/>
      <c r="Z44" s="7">
        <f t="shared" si="31"/>
        <v>8.3046642793196064</v>
      </c>
    </row>
    <row r="45" spans="1:26" s="27" customFormat="1" outlineLevel="1" collapsed="1" x14ac:dyDescent="0.25">
      <c r="A45" s="26"/>
      <c r="B45" s="13" t="str">
        <f>CONCATENATE("     ","Supplies                                          ")</f>
        <v xml:space="preserve">     Supplies                                          </v>
      </c>
      <c r="C45" s="13"/>
      <c r="D45" s="1">
        <f>SUM(OSRRefD22_4x_0)</f>
        <v>67.69</v>
      </c>
      <c r="E45" s="1"/>
      <c r="F45" s="5">
        <f t="shared" si="24"/>
        <v>0</v>
      </c>
      <c r="G45" s="1"/>
      <c r="H45" s="1">
        <f>SUM(OSRRefH22_4x_0)</f>
        <v>0</v>
      </c>
      <c r="I45" s="1"/>
      <c r="J45" s="5">
        <f t="shared" si="25"/>
        <v>0</v>
      </c>
      <c r="K45" s="1"/>
      <c r="L45" s="1">
        <f t="shared" si="26"/>
        <v>67.69</v>
      </c>
      <c r="M45" s="1"/>
      <c r="N45" s="5">
        <f t="shared" si="27"/>
        <v>0</v>
      </c>
      <c r="O45" s="13"/>
      <c r="P45" s="1">
        <f>SUM(OSRRefP22_4x_0)</f>
        <v>140.55000000000001</v>
      </c>
      <c r="Q45" s="1"/>
      <c r="R45" s="5">
        <f t="shared" si="28"/>
        <v>0</v>
      </c>
      <c r="S45" s="1"/>
      <c r="T45" s="1">
        <f>SUM(OSRRefT22_4x_0)</f>
        <v>0</v>
      </c>
      <c r="U45" s="1"/>
      <c r="V45" s="5">
        <f t="shared" si="29"/>
        <v>0</v>
      </c>
      <c r="W45" s="1"/>
      <c r="X45" s="1">
        <f t="shared" si="30"/>
        <v>140.55000000000001</v>
      </c>
      <c r="Y45" s="1"/>
      <c r="Z45" s="5">
        <f t="shared" si="31"/>
        <v>0</v>
      </c>
    </row>
    <row r="46" spans="1:26" s="24" customFormat="1" hidden="1" outlineLevel="2" x14ac:dyDescent="0.25">
      <c r="A46" s="25"/>
      <c r="B46" s="11" t="str">
        <f>CONCATENATE("          ", "6241", " - ", "OFFICE EXPENSE")</f>
        <v xml:space="preserve">          6241 - OFFICE EXPENSE</v>
      </c>
      <c r="C46" s="11"/>
      <c r="D46" s="6">
        <v>67.69</v>
      </c>
      <c r="E46" s="2"/>
      <c r="F46" s="7">
        <f t="shared" si="24"/>
        <v>0</v>
      </c>
      <c r="G46" s="2"/>
      <c r="H46" s="6"/>
      <c r="I46" s="2"/>
      <c r="J46" s="7">
        <f t="shared" si="25"/>
        <v>0</v>
      </c>
      <c r="K46" s="2"/>
      <c r="L46" s="6">
        <f t="shared" si="26"/>
        <v>67.69</v>
      </c>
      <c r="M46" s="2"/>
      <c r="N46" s="7">
        <f t="shared" si="27"/>
        <v>0</v>
      </c>
      <c r="O46" s="11"/>
      <c r="P46" s="6">
        <v>140.55000000000001</v>
      </c>
      <c r="Q46" s="2"/>
      <c r="R46" s="7">
        <f t="shared" si="28"/>
        <v>0</v>
      </c>
      <c r="S46" s="2"/>
      <c r="T46" s="6"/>
      <c r="U46" s="2"/>
      <c r="V46" s="7">
        <f t="shared" si="29"/>
        <v>0</v>
      </c>
      <c r="W46" s="2"/>
      <c r="X46" s="6">
        <f t="shared" si="30"/>
        <v>140.55000000000001</v>
      </c>
      <c r="Y46" s="2"/>
      <c r="Z46" s="7">
        <f t="shared" si="31"/>
        <v>0</v>
      </c>
    </row>
    <row r="47" spans="1:26" s="27" customFormat="1" outlineLevel="1" collapsed="1" x14ac:dyDescent="0.25">
      <c r="A47" s="26"/>
      <c r="B47" s="13" t="str">
        <f>CONCATENATE("     ","Telephone/Data Lines                              ")</f>
        <v xml:space="preserve">     Telephone/Data Lines                              </v>
      </c>
      <c r="C47" s="13"/>
      <c r="D47" s="1">
        <f>SUM(OSRRefD22_5x_0)</f>
        <v>88.55</v>
      </c>
      <c r="E47" s="1"/>
      <c r="F47" s="5">
        <f t="shared" si="24"/>
        <v>0</v>
      </c>
      <c r="G47" s="1"/>
      <c r="H47" s="1">
        <f>SUM(OSRRefH22_5x_0)</f>
        <v>75</v>
      </c>
      <c r="I47" s="1"/>
      <c r="J47" s="5">
        <f t="shared" si="25"/>
        <v>0</v>
      </c>
      <c r="K47" s="1"/>
      <c r="L47" s="1">
        <f t="shared" si="26"/>
        <v>13.549999999999997</v>
      </c>
      <c r="M47" s="1"/>
      <c r="N47" s="5">
        <f t="shared" si="27"/>
        <v>0.18066666666666664</v>
      </c>
      <c r="O47" s="13"/>
      <c r="P47" s="1">
        <f>SUM(OSRRefP22_5x_0)</f>
        <v>1030.5999999999999</v>
      </c>
      <c r="Q47" s="1"/>
      <c r="R47" s="5">
        <f t="shared" si="28"/>
        <v>0</v>
      </c>
      <c r="S47" s="1"/>
      <c r="T47" s="1">
        <f>SUM(OSRRefT22_5x_0)</f>
        <v>1125</v>
      </c>
      <c r="U47" s="1"/>
      <c r="V47" s="5">
        <f t="shared" si="29"/>
        <v>0</v>
      </c>
      <c r="W47" s="1"/>
      <c r="X47" s="1">
        <f t="shared" si="30"/>
        <v>-94.400000000000091</v>
      </c>
      <c r="Y47" s="1"/>
      <c r="Z47" s="5">
        <f t="shared" si="31"/>
        <v>-8.3911111111111186E-2</v>
      </c>
    </row>
    <row r="48" spans="1:26" s="24" customFormat="1" hidden="1" outlineLevel="2" x14ac:dyDescent="0.25">
      <c r="A48" s="25"/>
      <c r="B48" s="11" t="str">
        <f>CONCATENATE("          ", "6309", " - ", "TELEPHONE")</f>
        <v xml:space="preserve">          6309 - TELEPHONE</v>
      </c>
      <c r="C48" s="11"/>
      <c r="D48" s="6">
        <v>88.55</v>
      </c>
      <c r="E48" s="2"/>
      <c r="F48" s="7">
        <f t="shared" si="24"/>
        <v>0</v>
      </c>
      <c r="G48" s="2"/>
      <c r="H48" s="6">
        <v>75</v>
      </c>
      <c r="I48" s="2"/>
      <c r="J48" s="7">
        <f t="shared" si="25"/>
        <v>0</v>
      </c>
      <c r="K48" s="2"/>
      <c r="L48" s="6">
        <f t="shared" si="26"/>
        <v>13.549999999999997</v>
      </c>
      <c r="M48" s="2"/>
      <c r="N48" s="7">
        <f t="shared" si="27"/>
        <v>0.18066666666666664</v>
      </c>
      <c r="O48" s="11"/>
      <c r="P48" s="6">
        <v>1030.5999999999999</v>
      </c>
      <c r="Q48" s="2"/>
      <c r="R48" s="7">
        <f t="shared" si="28"/>
        <v>0</v>
      </c>
      <c r="S48" s="2"/>
      <c r="T48" s="6">
        <v>1125</v>
      </c>
      <c r="U48" s="2"/>
      <c r="V48" s="7">
        <f t="shared" si="29"/>
        <v>0</v>
      </c>
      <c r="W48" s="2"/>
      <c r="X48" s="6">
        <f t="shared" si="30"/>
        <v>-94.400000000000091</v>
      </c>
      <c r="Y48" s="2"/>
      <c r="Z48" s="7">
        <f t="shared" si="31"/>
        <v>-8.3911111111111186E-2</v>
      </c>
    </row>
    <row r="49" spans="1:26" s="27" customFormat="1" outlineLevel="1" collapsed="1" x14ac:dyDescent="0.25">
      <c r="A49" s="26"/>
      <c r="B49" s="13" t="str">
        <f>CONCATENATE("     ","Travel                                            ")</f>
        <v xml:space="preserve">     Travel                                            </v>
      </c>
      <c r="C49" s="13"/>
      <c r="D49" s="1">
        <f>SUM(OSRRefD22_6x_0)</f>
        <v>1212.73</v>
      </c>
      <c r="E49" s="1"/>
      <c r="F49" s="5">
        <f t="shared" si="24"/>
        <v>0</v>
      </c>
      <c r="G49" s="1"/>
      <c r="H49" s="1">
        <f>SUM(OSRRefH22_6x_0)</f>
        <v>0</v>
      </c>
      <c r="I49" s="1"/>
      <c r="J49" s="5">
        <f t="shared" si="25"/>
        <v>0</v>
      </c>
      <c r="K49" s="1"/>
      <c r="L49" s="1">
        <f t="shared" si="26"/>
        <v>1212.73</v>
      </c>
      <c r="M49" s="1"/>
      <c r="N49" s="5">
        <f t="shared" si="27"/>
        <v>0</v>
      </c>
      <c r="O49" s="13"/>
      <c r="P49" s="1">
        <f>SUM(OSRRefP22_6x_0)</f>
        <v>1212.73</v>
      </c>
      <c r="Q49" s="1"/>
      <c r="R49" s="5">
        <f t="shared" si="28"/>
        <v>0</v>
      </c>
      <c r="S49" s="1"/>
      <c r="T49" s="1">
        <f>SUM(OSRRefT22_6x_0)</f>
        <v>0</v>
      </c>
      <c r="U49" s="1"/>
      <c r="V49" s="5">
        <f t="shared" si="29"/>
        <v>0</v>
      </c>
      <c r="W49" s="1"/>
      <c r="X49" s="1">
        <f t="shared" si="30"/>
        <v>1212.73</v>
      </c>
      <c r="Y49" s="1"/>
      <c r="Z49" s="5">
        <f t="shared" si="31"/>
        <v>0</v>
      </c>
    </row>
    <row r="50" spans="1:26" s="24" customFormat="1" hidden="1" outlineLevel="2" x14ac:dyDescent="0.25">
      <c r="A50" s="25"/>
      <c r="B50" s="11" t="str">
        <f>CONCATENATE("          ", "6292", " - ", "TRAVEL/CONFERENCE")</f>
        <v xml:space="preserve">          6292 - TRAVEL/CONFERENCE</v>
      </c>
      <c r="C50" s="11"/>
      <c r="D50" s="6">
        <v>1212.73</v>
      </c>
      <c r="E50" s="2"/>
      <c r="F50" s="7">
        <f t="shared" si="24"/>
        <v>0</v>
      </c>
      <c r="G50" s="2"/>
      <c r="H50" s="6"/>
      <c r="I50" s="2"/>
      <c r="J50" s="7">
        <f t="shared" si="25"/>
        <v>0</v>
      </c>
      <c r="K50" s="2"/>
      <c r="L50" s="6">
        <f t="shared" si="26"/>
        <v>1212.73</v>
      </c>
      <c r="M50" s="2"/>
      <c r="N50" s="7">
        <f t="shared" si="27"/>
        <v>0</v>
      </c>
      <c r="O50" s="11"/>
      <c r="P50" s="6">
        <v>1212.73</v>
      </c>
      <c r="Q50" s="2"/>
      <c r="R50" s="7">
        <f t="shared" si="28"/>
        <v>0</v>
      </c>
      <c r="S50" s="2"/>
      <c r="T50" s="6"/>
      <c r="U50" s="2"/>
      <c r="V50" s="7">
        <f t="shared" si="29"/>
        <v>0</v>
      </c>
      <c r="W50" s="2"/>
      <c r="X50" s="6">
        <f t="shared" si="30"/>
        <v>1212.73</v>
      </c>
      <c r="Y50" s="2"/>
      <c r="Z50" s="7">
        <f t="shared" si="31"/>
        <v>0</v>
      </c>
    </row>
    <row r="51" spans="1:26" s="56" customFormat="1" x14ac:dyDescent="0.25">
      <c r="A51" s="36"/>
      <c r="B51" s="36"/>
      <c r="C51" s="36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6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collapsed="1" x14ac:dyDescent="0.25">
      <c r="A52" s="10"/>
      <c r="B52" s="29" t="s">
        <v>0</v>
      </c>
      <c r="C52" s="10"/>
      <c r="D52" s="4">
        <f>SUM(OSRRefD25x_0)</f>
        <v>22450.79</v>
      </c>
      <c r="E52" s="4"/>
      <c r="F52" s="12">
        <f t="shared" ref="F52:F53" si="32">IF(D$12=0,0,D52/D$12)</f>
        <v>0</v>
      </c>
      <c r="G52" s="4"/>
      <c r="H52" s="4">
        <f>SUM(OSRRefH25x_0)</f>
        <v>28141</v>
      </c>
      <c r="I52" s="4"/>
      <c r="J52" s="12">
        <f t="shared" ref="J52:J53" si="33">IF(H$12=0,0,H52/H$12)</f>
        <v>0</v>
      </c>
      <c r="K52" s="4"/>
      <c r="L52" s="4">
        <f t="shared" ref="L52:L53" si="34">+D52-H52</f>
        <v>-5690.2099999999991</v>
      </c>
      <c r="M52" s="4"/>
      <c r="N52" s="12">
        <f t="shared" ref="N52:N53" si="35">IF(H52=0,0,L52/H52)</f>
        <v>-0.20220354642692154</v>
      </c>
      <c r="O52" s="10"/>
      <c r="P52" s="4">
        <f>SUM(OSRRefP25x_0)</f>
        <v>142783.59</v>
      </c>
      <c r="Q52" s="4"/>
      <c r="R52" s="12">
        <f t="shared" ref="R52:R53" si="36">IF(P$12=0,0,P52/P$12)</f>
        <v>0</v>
      </c>
      <c r="S52" s="4"/>
      <c r="T52" s="4">
        <f>SUM(OSRRefT25x_0)</f>
        <v>161061</v>
      </c>
      <c r="U52" s="4"/>
      <c r="V52" s="12">
        <f t="shared" ref="V52:V53" si="37">IF(T$12=0,0,T52/T$12)</f>
        <v>0</v>
      </c>
      <c r="W52" s="4"/>
      <c r="X52" s="4">
        <f t="shared" ref="X52:X53" si="38">+P52-T52</f>
        <v>-18277.410000000003</v>
      </c>
      <c r="Y52" s="4"/>
      <c r="Z52" s="12">
        <f t="shared" ref="Z52:Z53" si="39">IF(T52=0,0,X52/T52)</f>
        <v>-0.11348128969769219</v>
      </c>
    </row>
    <row r="53" spans="1:26" s="24" customFormat="1" hidden="1" outlineLevel="1" x14ac:dyDescent="0.25">
      <c r="A53" s="44"/>
      <c r="B53" s="11" t="str">
        <f>CONCATENATE("          ", "9150", " - ", "MISC. INCOME")</f>
        <v xml:space="preserve">          9150 - MISC. INCOME</v>
      </c>
      <c r="C53" s="11"/>
      <c r="D53" s="2">
        <f>--22450.79</f>
        <v>22450.79</v>
      </c>
      <c r="E53" s="2"/>
      <c r="F53" s="19">
        <f t="shared" si="32"/>
        <v>0</v>
      </c>
      <c r="G53" s="2"/>
      <c r="H53" s="2">
        <v>28141</v>
      </c>
      <c r="I53" s="2"/>
      <c r="J53" s="19">
        <f t="shared" si="33"/>
        <v>0</v>
      </c>
      <c r="K53" s="2"/>
      <c r="L53" s="2">
        <f t="shared" si="34"/>
        <v>-5690.2099999999991</v>
      </c>
      <c r="M53" s="2"/>
      <c r="N53" s="19">
        <f t="shared" si="35"/>
        <v>-0.20220354642692154</v>
      </c>
      <c r="O53" s="11"/>
      <c r="P53" s="2">
        <f>--142783.59</f>
        <v>142783.59</v>
      </c>
      <c r="Q53" s="2"/>
      <c r="R53" s="19">
        <f t="shared" si="36"/>
        <v>0</v>
      </c>
      <c r="S53" s="2"/>
      <c r="T53" s="2">
        <v>161061</v>
      </c>
      <c r="U53" s="2"/>
      <c r="V53" s="19">
        <f t="shared" si="37"/>
        <v>0</v>
      </c>
      <c r="W53" s="2"/>
      <c r="X53" s="2">
        <f t="shared" si="38"/>
        <v>-18277.410000000003</v>
      </c>
      <c r="Y53" s="2"/>
      <c r="Z53" s="19">
        <f t="shared" si="39"/>
        <v>-0.11348128969769219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10"/>
      <c r="B55" s="28" t="s">
        <v>3</v>
      </c>
      <c r="C55" s="28"/>
      <c r="D55" s="20">
        <f>+D17-D19+D52</f>
        <v>-8767.119999999999</v>
      </c>
      <c r="E55" s="14"/>
      <c r="F55" s="22">
        <f>IF(D$12=0,0,D55/D$12)</f>
        <v>0</v>
      </c>
      <c r="G55" s="14"/>
      <c r="H55" s="20">
        <f>+H17-H19+H52</f>
        <v>21809.204669161543</v>
      </c>
      <c r="I55" s="14"/>
      <c r="J55" s="22">
        <f>IF(H$12=0,0,H55/H$12)</f>
        <v>0</v>
      </c>
      <c r="K55" s="16"/>
      <c r="L55" s="20">
        <f>+D55-H55</f>
        <v>-30576.324669161542</v>
      </c>
      <c r="M55" s="16"/>
      <c r="N55" s="22">
        <f>IF(H55=0,0,L55/H55)</f>
        <v>-1.4019917339029242</v>
      </c>
      <c r="O55" s="29"/>
      <c r="P55" s="20">
        <f>+P17-P19+P52</f>
        <v>25249.540000000008</v>
      </c>
      <c r="Q55" s="14"/>
      <c r="R55" s="22">
        <f>IF(P$12=0,0,P55/P$12)</f>
        <v>0</v>
      </c>
      <c r="S55" s="14"/>
      <c r="T55" s="20">
        <f>+T17-T19+T52</f>
        <v>95945.62052432503</v>
      </c>
      <c r="U55" s="14"/>
      <c r="V55" s="22">
        <f>IF(T$12=0,0,T55/T$12)</f>
        <v>0</v>
      </c>
      <c r="W55" s="16"/>
      <c r="X55" s="20">
        <f>+P55-T55</f>
        <v>-70696.080524325022</v>
      </c>
      <c r="Y55" s="16"/>
      <c r="Z55" s="22">
        <f>IF(T55=0,0,X55/T55)</f>
        <v>-0.73683488769976213</v>
      </c>
    </row>
    <row r="56" spans="1:26" x14ac:dyDescent="0.25">
      <c r="A56" s="9"/>
      <c r="B56" s="10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25">
      <c r="A57" s="52"/>
      <c r="B57" s="10" t="s">
        <v>14</v>
      </c>
      <c r="C57" s="10"/>
      <c r="D57" s="4"/>
      <c r="E57" s="4"/>
      <c r="F57" s="12">
        <f>IF(D$12=0,0,D57/D$12)</f>
        <v>0</v>
      </c>
      <c r="G57" s="4"/>
      <c r="H57" s="4"/>
      <c r="I57" s="4"/>
      <c r="J57" s="12">
        <f>IF(H$12=0,0,H57/H$12)</f>
        <v>0</v>
      </c>
      <c r="K57" s="4"/>
      <c r="L57" s="4">
        <f>+D57-H57</f>
        <v>0</v>
      </c>
      <c r="M57" s="4"/>
      <c r="N57" s="12">
        <f>IF(H57=0,0,L57/H57)</f>
        <v>0</v>
      </c>
      <c r="O57" s="10"/>
      <c r="P57" s="4"/>
      <c r="Q57" s="4"/>
      <c r="R57" s="12">
        <f>IF(P$12=0,0,P57/P$12)</f>
        <v>0</v>
      </c>
      <c r="S57" s="4"/>
      <c r="T57" s="4"/>
      <c r="U57" s="4"/>
      <c r="V57" s="12">
        <f>IF(T$12=0,0,T57/T$12)</f>
        <v>0</v>
      </c>
      <c r="W57" s="4"/>
      <c r="X57" s="4">
        <f>+P57-T57</f>
        <v>0</v>
      </c>
      <c r="Y57" s="4"/>
      <c r="Z57" s="12">
        <f>IF(T57=0,0,X57/T57)</f>
        <v>0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ht="15.75" thickBot="1" x14ac:dyDescent="0.3">
      <c r="A59" s="10"/>
      <c r="B59" s="28" t="s">
        <v>4</v>
      </c>
      <c r="C59" s="28"/>
      <c r="D59" s="31">
        <f>+D55-D57</f>
        <v>-8767.119999999999</v>
      </c>
      <c r="E59" s="14"/>
      <c r="F59" s="34">
        <f>IF(D$12=0,0,D59/D$12)</f>
        <v>0</v>
      </c>
      <c r="G59" s="14"/>
      <c r="H59" s="31">
        <f>+H55-H57</f>
        <v>21809.204669161543</v>
      </c>
      <c r="I59" s="14"/>
      <c r="J59" s="34">
        <f>IF(H$12=0,0,H59/H$12)</f>
        <v>0</v>
      </c>
      <c r="K59" s="16"/>
      <c r="L59" s="31">
        <f>D59-H59</f>
        <v>-30576.324669161542</v>
      </c>
      <c r="M59" s="16"/>
      <c r="N59" s="34">
        <f>IF(H59=0,0,L59/H59)</f>
        <v>-1.4019917339029242</v>
      </c>
      <c r="O59" s="29"/>
      <c r="P59" s="31">
        <f>+P55-P57</f>
        <v>25249.540000000008</v>
      </c>
      <c r="Q59" s="14"/>
      <c r="R59" s="34">
        <f>IF(P$12=0,0,P59/P$12)</f>
        <v>0</v>
      </c>
      <c r="S59" s="14"/>
      <c r="T59" s="31">
        <f>+T55-T57</f>
        <v>95945.62052432503</v>
      </c>
      <c r="U59" s="14"/>
      <c r="V59" s="34">
        <f>IF(T$12=0,0,T59/T$12)</f>
        <v>0</v>
      </c>
      <c r="W59" s="16"/>
      <c r="X59" s="31">
        <f>P59-T59</f>
        <v>-70696.080524325022</v>
      </c>
      <c r="Y59" s="16"/>
      <c r="Z59" s="34">
        <f>IF(T59=0,0,X59/T59)</f>
        <v>-0.73683488769976213</v>
      </c>
    </row>
    <row r="60" spans="1:26" ht="15.75" thickTop="1" x14ac:dyDescent="0.25">
      <c r="A60" s="9"/>
      <c r="B60" s="9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x14ac:dyDescent="0.25">
      <c r="A61" s="9"/>
      <c r="B61" s="9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8" t="s">
        <v>5</v>
      </c>
      <c r="C62" s="28"/>
      <c r="D62" s="32">
        <f>SUM(D59:D61)</f>
        <v>-8767.119999999999</v>
      </c>
      <c r="E62" s="14"/>
      <c r="F62" s="35">
        <f>IF(D$12=0,0,D62/D$12)</f>
        <v>0</v>
      </c>
      <c r="G62" s="14"/>
      <c r="H62" s="32">
        <f>SUM(H59:H61)</f>
        <v>21809.204669161543</v>
      </c>
      <c r="I62" s="14"/>
      <c r="J62" s="35">
        <f>IF(H$12=0,0,H62/H$12)</f>
        <v>0</v>
      </c>
      <c r="K62" s="16"/>
      <c r="L62" s="32">
        <f>+D62-H62</f>
        <v>-30576.324669161542</v>
      </c>
      <c r="M62" s="16"/>
      <c r="N62" s="35">
        <f>IF(H62=0,0,L62/H62)</f>
        <v>-1.4019917339029242</v>
      </c>
      <c r="O62" s="29"/>
      <c r="P62" s="32">
        <f>SUM(P59:P61)</f>
        <v>25249.540000000008</v>
      </c>
      <c r="Q62" s="14"/>
      <c r="R62" s="35">
        <f>IF(P$12=0,0,P62/P$12)</f>
        <v>0</v>
      </c>
      <c r="S62" s="14"/>
      <c r="T62" s="32">
        <f>SUM(T59:T61)</f>
        <v>95945.62052432503</v>
      </c>
      <c r="U62" s="14"/>
      <c r="V62" s="35">
        <f>IF(T$12=0,0,T62/T$12)</f>
        <v>0</v>
      </c>
      <c r="W62" s="16"/>
      <c r="X62" s="32">
        <f>+P62-T62</f>
        <v>-70696.080524325022</v>
      </c>
      <c r="Y62" s="16"/>
      <c r="Z62" s="35">
        <f>IF(T62=0,0,X62/T62)</f>
        <v>-0.73683488769976213</v>
      </c>
    </row>
    <row r="63" spans="1:26" ht="15.75" thickTop="1" x14ac:dyDescent="0.25">
      <c r="A63" s="9"/>
      <c r="C63" s="9"/>
      <c r="D63" s="18"/>
      <c r="E63" s="18"/>
      <c r="G63" s="18"/>
      <c r="H63" s="18"/>
      <c r="I63" s="18"/>
      <c r="J63" s="42"/>
      <c r="K63" s="18"/>
      <c r="L63" s="18"/>
      <c r="M63" s="18"/>
      <c r="P63" s="18"/>
      <c r="Q63" s="18"/>
      <c r="R63" s="42"/>
      <c r="S63" s="18"/>
      <c r="T63" s="18"/>
      <c r="U63" s="18"/>
      <c r="V63" s="42"/>
      <c r="W63" s="18"/>
      <c r="X63" s="18"/>
    </row>
    <row r="64" spans="1:26" x14ac:dyDescent="0.25">
      <c r="A64" s="9"/>
      <c r="B64" s="57">
        <v>43934.466860034721</v>
      </c>
      <c r="D64" s="18"/>
      <c r="E64" s="18"/>
      <c r="G64" s="18"/>
      <c r="H64" s="18"/>
      <c r="I64" s="18"/>
      <c r="J64" s="42"/>
      <c r="K64" s="18"/>
      <c r="L64" s="18"/>
      <c r="M64" s="18"/>
      <c r="P64" s="18"/>
      <c r="Q64" s="18"/>
      <c r="R64" s="42"/>
      <c r="S64" s="18"/>
      <c r="T64" s="18"/>
      <c r="U64" s="18"/>
      <c r="V64" s="42"/>
      <c r="W64" s="18"/>
      <c r="X64" s="18"/>
    </row>
    <row r="65" spans="1:24" x14ac:dyDescent="0.25">
      <c r="A65" s="9"/>
      <c r="B65" s="62" t="s">
        <v>314</v>
      </c>
      <c r="D65" s="18"/>
      <c r="E65" s="18"/>
      <c r="G65" s="18"/>
      <c r="H65" s="18"/>
      <c r="I65" s="18"/>
      <c r="J65" s="42"/>
      <c r="K65" s="18"/>
      <c r="L65" s="18"/>
      <c r="M65" s="18"/>
      <c r="P65" s="18"/>
      <c r="Q65" s="18"/>
      <c r="R65" s="42"/>
      <c r="S65" s="18"/>
      <c r="T65" s="18"/>
      <c r="U65" s="18"/>
      <c r="V65" s="42"/>
      <c r="W65" s="18"/>
      <c r="X65" s="18"/>
    </row>
    <row r="66" spans="1:24" x14ac:dyDescent="0.25">
      <c r="A66" s="9"/>
      <c r="B66" s="60"/>
      <c r="D66" s="18"/>
      <c r="E66" s="18"/>
      <c r="G66" s="18"/>
      <c r="H66" s="18"/>
      <c r="I66" s="18"/>
      <c r="J66" s="42"/>
      <c r="K66" s="18"/>
      <c r="L66" s="18"/>
      <c r="M66" s="18"/>
      <c r="P66" s="18"/>
      <c r="Q66" s="18"/>
      <c r="R66" s="42"/>
      <c r="S66" s="18"/>
      <c r="T66" s="18"/>
      <c r="U66" s="18"/>
      <c r="V66" s="42"/>
      <c r="W66" s="18"/>
      <c r="X66" s="18"/>
    </row>
    <row r="67" spans="1:24" x14ac:dyDescent="0.25">
      <c r="D67" s="18"/>
      <c r="E67" s="18"/>
      <c r="G67" s="18"/>
      <c r="H67" s="18"/>
      <c r="I67" s="18"/>
      <c r="J67" s="42"/>
      <c r="K67" s="18"/>
      <c r="L67" s="18"/>
      <c r="M67" s="18"/>
      <c r="P67" s="18"/>
      <c r="Q67" s="18"/>
      <c r="R67" s="42"/>
      <c r="S67" s="18"/>
      <c r="T67" s="18"/>
      <c r="U67" s="18"/>
      <c r="V67" s="42"/>
      <c r="W67" s="18"/>
      <c r="X67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","424", " - ", "Blair Field")</f>
        <v>Department 424 - Blair Field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28911.120000000003</v>
      </c>
      <c r="E12" s="4"/>
      <c r="F12" s="12"/>
      <c r="G12" s="4"/>
      <c r="H12" s="4">
        <f>SUM(OSRRefH13x_0)</f>
        <v>75000</v>
      </c>
      <c r="I12" s="4"/>
      <c r="J12" s="12"/>
      <c r="K12" s="4"/>
      <c r="L12" s="4">
        <f t="shared" ref="L12:L16" si="0">+D12-H12</f>
        <v>-46088.88</v>
      </c>
      <c r="M12" s="4"/>
      <c r="N12" s="12">
        <f t="shared" ref="N12:N16" si="1">IF(H12=0,0,L12/H12)</f>
        <v>-0.61451840000000002</v>
      </c>
      <c r="O12" s="10"/>
      <c r="P12" s="4">
        <f>SUM(OSRRefP13x_0)</f>
        <v>157290.23000000001</v>
      </c>
      <c r="Q12" s="4"/>
      <c r="R12" s="12"/>
      <c r="S12" s="4"/>
      <c r="T12" s="4">
        <f>SUM(OSRRefT13x_0)</f>
        <v>122000</v>
      </c>
      <c r="U12" s="4"/>
      <c r="V12" s="12"/>
      <c r="W12" s="4"/>
      <c r="X12" s="4">
        <f t="shared" ref="X12:X16" si="2">+P12-T12</f>
        <v>35290.23000000001</v>
      </c>
      <c r="Y12" s="4"/>
      <c r="Z12" s="12">
        <f t="shared" ref="Z12:Z16" si="3">IF(T12=0,0,X12/T12)</f>
        <v>0.28926418032786894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18750</v>
      </c>
      <c r="I13" s="2"/>
      <c r="J13" s="19"/>
      <c r="K13" s="2"/>
      <c r="L13" s="2">
        <f t="shared" si="0"/>
        <v>-18750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30500</v>
      </c>
      <c r="U13" s="2"/>
      <c r="V13" s="19"/>
      <c r="W13" s="2"/>
      <c r="X13" s="2">
        <f t="shared" si="2"/>
        <v>-30500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>--29215.24</f>
        <v>29215.24</v>
      </c>
      <c r="E14" s="2"/>
      <c r="F14" s="19"/>
      <c r="G14" s="2"/>
      <c r="H14" s="2"/>
      <c r="I14" s="2"/>
      <c r="J14" s="19"/>
      <c r="K14" s="2"/>
      <c r="L14" s="2">
        <f t="shared" si="0"/>
        <v>29215.24</v>
      </c>
      <c r="M14" s="2"/>
      <c r="N14" s="19">
        <f t="shared" si="1"/>
        <v>0</v>
      </c>
      <c r="O14" s="11"/>
      <c r="P14" s="2">
        <f>--157788.64</f>
        <v>157788.64000000001</v>
      </c>
      <c r="Q14" s="2"/>
      <c r="R14" s="19"/>
      <c r="S14" s="2"/>
      <c r="T14" s="2"/>
      <c r="U14" s="2"/>
      <c r="V14" s="19"/>
      <c r="W14" s="2"/>
      <c r="X14" s="2">
        <f t="shared" si="2"/>
        <v>157788.64000000001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56250</v>
      </c>
      <c r="I15" s="2"/>
      <c r="J15" s="19"/>
      <c r="K15" s="2"/>
      <c r="L15" s="2">
        <f t="shared" si="0"/>
        <v>-56250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91500</v>
      </c>
      <c r="U15" s="2"/>
      <c r="V15" s="19"/>
      <c r="W15" s="2"/>
      <c r="X15" s="2">
        <f t="shared" si="2"/>
        <v>-91500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-304.12</f>
        <v>-304.12</v>
      </c>
      <c r="E16" s="2"/>
      <c r="F16" s="19"/>
      <c r="G16" s="2"/>
      <c r="H16" s="2"/>
      <c r="I16" s="2"/>
      <c r="J16" s="19"/>
      <c r="K16" s="2"/>
      <c r="L16" s="2">
        <f t="shared" si="0"/>
        <v>-304.12</v>
      </c>
      <c r="M16" s="2"/>
      <c r="N16" s="19">
        <f t="shared" si="1"/>
        <v>0</v>
      </c>
      <c r="O16" s="11"/>
      <c r="P16" s="2">
        <f>-498.41</f>
        <v>-498.41</v>
      </c>
      <c r="Q16" s="2"/>
      <c r="R16" s="19"/>
      <c r="S16" s="2"/>
      <c r="T16" s="2"/>
      <c r="U16" s="2"/>
      <c r="V16" s="19"/>
      <c r="W16" s="2"/>
      <c r="X16" s="2">
        <f t="shared" si="2"/>
        <v>-498.41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7228.49</v>
      </c>
      <c r="E18" s="4"/>
      <c r="F18" s="12">
        <f t="shared" ref="F18:F21" si="4">IF(D$12=0,0,D18/D$12)</f>
        <v>0.25002455802473234</v>
      </c>
      <c r="G18" s="4"/>
      <c r="H18" s="4">
        <f>SUM(OSRRefH16x_0)</f>
        <v>18750</v>
      </c>
      <c r="I18" s="4"/>
      <c r="J18" s="12">
        <f t="shared" ref="J18:J21" si="5">IF(H$12=0,0,H18/H$12)</f>
        <v>0.25</v>
      </c>
      <c r="K18" s="4"/>
      <c r="L18" s="4">
        <f t="shared" ref="L18:L21" si="6">+D18-H18</f>
        <v>-11521.51</v>
      </c>
      <c r="M18" s="4"/>
      <c r="N18" s="12">
        <f t="shared" ref="N18:N21" si="7">IF(H18=0,0,L18/H18)</f>
        <v>-0.6144805333333333</v>
      </c>
      <c r="O18" s="10"/>
      <c r="P18" s="4">
        <f>SUM(OSRRefP16x_0)</f>
        <v>39162.25</v>
      </c>
      <c r="Q18" s="4"/>
      <c r="R18" s="12">
        <f t="shared" ref="R18:R21" si="8">IF(P$12=0,0,P18/P$12)</f>
        <v>0.24898081718107984</v>
      </c>
      <c r="S18" s="4"/>
      <c r="T18" s="4">
        <f>SUM(OSRRefT16x_0)</f>
        <v>30500</v>
      </c>
      <c r="U18" s="4"/>
      <c r="V18" s="12">
        <f t="shared" ref="V18:V21" si="9">IF(T$12=0,0,T18/T$12)</f>
        <v>0.25</v>
      </c>
      <c r="W18" s="4"/>
      <c r="X18" s="4">
        <f t="shared" ref="X18:X21" si="10">+P18-T18</f>
        <v>8662.25</v>
      </c>
      <c r="Y18" s="4"/>
      <c r="Z18" s="12">
        <f t="shared" ref="Z18:Z21" si="11">IF(T18=0,0,X18/T18)</f>
        <v>0.2840081967213115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18750</v>
      </c>
      <c r="I19" s="2"/>
      <c r="J19" s="19">
        <f t="shared" si="5"/>
        <v>0.25</v>
      </c>
      <c r="K19" s="2"/>
      <c r="L19" s="2">
        <f t="shared" si="6"/>
        <v>-18750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30500</v>
      </c>
      <c r="U19" s="2"/>
      <c r="V19" s="19">
        <f t="shared" si="9"/>
        <v>0.25</v>
      </c>
      <c r="W19" s="2"/>
      <c r="X19" s="2">
        <f t="shared" si="10"/>
        <v>-30500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2730.49</v>
      </c>
      <c r="E20" s="2"/>
      <c r="F20" s="19">
        <f t="shared" si="4"/>
        <v>9.4444283030197362E-2</v>
      </c>
      <c r="G20" s="2"/>
      <c r="H20" s="2"/>
      <c r="I20" s="2"/>
      <c r="J20" s="19">
        <f t="shared" si="5"/>
        <v>0</v>
      </c>
      <c r="K20" s="2"/>
      <c r="L20" s="2">
        <f t="shared" si="6"/>
        <v>2730.49</v>
      </c>
      <c r="M20" s="2"/>
      <c r="N20" s="19">
        <f t="shared" si="7"/>
        <v>0</v>
      </c>
      <c r="O20" s="11"/>
      <c r="P20" s="2">
        <v>43126.25</v>
      </c>
      <c r="Q20" s="2"/>
      <c r="R20" s="19">
        <f t="shared" si="8"/>
        <v>0.27418263677279892</v>
      </c>
      <c r="S20" s="2"/>
      <c r="T20" s="2"/>
      <c r="U20" s="2"/>
      <c r="V20" s="19">
        <f t="shared" si="9"/>
        <v>0</v>
      </c>
      <c r="W20" s="2"/>
      <c r="X20" s="2">
        <f t="shared" si="10"/>
        <v>43126.25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4498</v>
      </c>
      <c r="E21" s="2"/>
      <c r="F21" s="19">
        <f t="shared" si="4"/>
        <v>0.15558027499453497</v>
      </c>
      <c r="G21" s="2"/>
      <c r="H21" s="2"/>
      <c r="I21" s="2"/>
      <c r="J21" s="19">
        <f t="shared" si="5"/>
        <v>0</v>
      </c>
      <c r="K21" s="2"/>
      <c r="L21" s="2">
        <f t="shared" si="6"/>
        <v>4498</v>
      </c>
      <c r="M21" s="2"/>
      <c r="N21" s="19">
        <f t="shared" si="7"/>
        <v>0</v>
      </c>
      <c r="O21" s="11"/>
      <c r="P21" s="2">
        <v>-3964</v>
      </c>
      <c r="Q21" s="2"/>
      <c r="R21" s="19">
        <f t="shared" si="8"/>
        <v>-2.5201819591719077E-2</v>
      </c>
      <c r="S21" s="2"/>
      <c r="T21" s="2"/>
      <c r="U21" s="2"/>
      <c r="V21" s="19">
        <f t="shared" si="9"/>
        <v>0</v>
      </c>
      <c r="W21" s="2"/>
      <c r="X21" s="2">
        <f t="shared" si="10"/>
        <v>-3964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0">
        <f>D12-D18</f>
        <v>21682.630000000005</v>
      </c>
      <c r="E23" s="14"/>
      <c r="F23" s="22">
        <f>IF(D$12=0,0,D23/D$12)</f>
        <v>0.74997544197526778</v>
      </c>
      <c r="G23" s="14"/>
      <c r="H23" s="20">
        <f>H12-H18</f>
        <v>56250</v>
      </c>
      <c r="I23" s="14"/>
      <c r="J23" s="22">
        <f>IF(H$12=0,0,H23/H$12)</f>
        <v>0.75</v>
      </c>
      <c r="K23" s="16"/>
      <c r="L23" s="20">
        <f>+D23-H23</f>
        <v>-34567.369999999995</v>
      </c>
      <c r="M23" s="16"/>
      <c r="N23" s="22">
        <f>IF(H23=0,0,L23/H23)</f>
        <v>-0.61453102222222211</v>
      </c>
      <c r="O23" s="29"/>
      <c r="P23" s="20">
        <f>P12-P18</f>
        <v>118127.98000000001</v>
      </c>
      <c r="Q23" s="14"/>
      <c r="R23" s="22">
        <f>IF(P$12=0,0,P23/P$12)</f>
        <v>0.75101918281892022</v>
      </c>
      <c r="S23" s="14"/>
      <c r="T23" s="20">
        <f>T12-T18</f>
        <v>91500</v>
      </c>
      <c r="U23" s="14"/>
      <c r="V23" s="22">
        <f>IF(T$12=0,0,T23/T$12)</f>
        <v>0.75</v>
      </c>
      <c r="W23" s="16"/>
      <c r="X23" s="20">
        <f>+P23-T23</f>
        <v>26627.98000000001</v>
      </c>
      <c r="Y23" s="16"/>
      <c r="Z23" s="22">
        <f>IF(T23=0,0,X23/T23)</f>
        <v>0.2910161748633881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1">
        <f>SUM(OSRRefD22x_0)</f>
        <v>19000.8</v>
      </c>
      <c r="E25" s="21"/>
      <c r="F25" s="30">
        <f t="shared" ref="F25:F34" si="12">IF(D$12=0,0,D25/D$12)</f>
        <v>0.65721424835841702</v>
      </c>
      <c r="G25" s="21"/>
      <c r="H25" s="21">
        <f>SUM(OSRRefH22x_0)</f>
        <v>23941.821499999998</v>
      </c>
      <c r="I25" s="21"/>
      <c r="J25" s="30">
        <f t="shared" ref="J25:J34" si="13">IF(H$12=0,0,H25/H$12)</f>
        <v>0.31922428666666663</v>
      </c>
      <c r="K25" s="4"/>
      <c r="L25" s="21">
        <f t="shared" ref="L25:L34" si="14">+D25-H25</f>
        <v>-4941.0214999999989</v>
      </c>
      <c r="M25" s="4"/>
      <c r="N25" s="30">
        <f t="shared" ref="N25:N34" si="15">IF(H25=0,0,L25/H25)</f>
        <v>-0.20637617317462664</v>
      </c>
      <c r="O25" s="10"/>
      <c r="P25" s="21">
        <f>SUM(OSRRefP22x_0)</f>
        <v>88247.859999999986</v>
      </c>
      <c r="Q25" s="21"/>
      <c r="R25" s="30">
        <f t="shared" ref="R25:R34" si="16">IF(P$12=0,0,P25/P$12)</f>
        <v>0.56105112186561101</v>
      </c>
      <c r="S25" s="21"/>
      <c r="T25" s="21">
        <f>SUM(OSRRefT22x_0)</f>
        <v>72321.5242</v>
      </c>
      <c r="U25" s="21"/>
      <c r="V25" s="30">
        <f t="shared" ref="V25:V34" si="17">IF(T$12=0,0,T25/T$12)</f>
        <v>0.59279937868852461</v>
      </c>
      <c r="W25" s="4"/>
      <c r="X25" s="21">
        <f t="shared" ref="X25:X34" si="18">+P25-T25</f>
        <v>15926.335799999986</v>
      </c>
      <c r="Y25" s="4"/>
      <c r="Z25" s="30">
        <f t="shared" ref="Z25:Z34" si="19">IF(T25=0,0,X25/T25)</f>
        <v>0.22021571000020471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388.13</v>
      </c>
      <c r="E26" s="1"/>
      <c r="F26" s="5">
        <f t="shared" si="12"/>
        <v>1.3424938224461728E-2</v>
      </c>
      <c r="G26" s="1"/>
      <c r="H26" s="1">
        <f>SUM(OSRRefH22_0x_0)</f>
        <v>241.32149999999999</v>
      </c>
      <c r="I26" s="1"/>
      <c r="J26" s="5">
        <f t="shared" si="13"/>
        <v>3.21762E-3</v>
      </c>
      <c r="K26" s="1"/>
      <c r="L26" s="1">
        <f t="shared" si="14"/>
        <v>146.80850000000001</v>
      </c>
      <c r="M26" s="1"/>
      <c r="N26" s="5">
        <f t="shared" si="15"/>
        <v>0.60835234324334975</v>
      </c>
      <c r="O26" s="13"/>
      <c r="P26" s="1">
        <f>SUM(OSRRefP22_0x_0)</f>
        <v>1171.8399999999999</v>
      </c>
      <c r="Q26" s="1"/>
      <c r="R26" s="5">
        <f t="shared" si="16"/>
        <v>7.4501766575075885E-3</v>
      </c>
      <c r="S26" s="1"/>
      <c r="T26" s="1">
        <f>SUM(OSRRefT22_0x_0)</f>
        <v>1172.5242000000001</v>
      </c>
      <c r="U26" s="1"/>
      <c r="V26" s="5">
        <f t="shared" si="17"/>
        <v>9.6108540983606567E-3</v>
      </c>
      <c r="W26" s="1"/>
      <c r="X26" s="1">
        <f t="shared" si="18"/>
        <v>-0.68420000000014625</v>
      </c>
      <c r="Y26" s="1"/>
      <c r="Z26" s="5">
        <f t="shared" si="19"/>
        <v>-5.8352740182262013E-4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6">
        <v>388.13</v>
      </c>
      <c r="E27" s="2"/>
      <c r="F27" s="7">
        <f t="shared" si="12"/>
        <v>1.3424938224461728E-2</v>
      </c>
      <c r="G27" s="2"/>
      <c r="H27" s="6">
        <v>0</v>
      </c>
      <c r="I27" s="2"/>
      <c r="J27" s="7">
        <f t="shared" si="13"/>
        <v>0</v>
      </c>
      <c r="K27" s="2"/>
      <c r="L27" s="6">
        <f t="shared" si="14"/>
        <v>388.13</v>
      </c>
      <c r="M27" s="2"/>
      <c r="N27" s="7">
        <f t="shared" si="15"/>
        <v>0</v>
      </c>
      <c r="O27" s="11"/>
      <c r="P27" s="6">
        <v>1182.24</v>
      </c>
      <c r="Q27" s="2"/>
      <c r="R27" s="7">
        <f t="shared" si="16"/>
        <v>7.5162964667290517E-3</v>
      </c>
      <c r="S27" s="2"/>
      <c r="T27" s="6">
        <v>0</v>
      </c>
      <c r="U27" s="2"/>
      <c r="V27" s="7">
        <f t="shared" si="17"/>
        <v>0</v>
      </c>
      <c r="W27" s="2"/>
      <c r="X27" s="6">
        <f t="shared" si="18"/>
        <v>1182.24</v>
      </c>
      <c r="Y27" s="2"/>
      <c r="Z27" s="7">
        <f t="shared" si="19"/>
        <v>0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6"/>
      <c r="E28" s="2"/>
      <c r="F28" s="7">
        <f t="shared" si="12"/>
        <v>0</v>
      </c>
      <c r="G28" s="2"/>
      <c r="H28" s="6">
        <v>0</v>
      </c>
      <c r="I28" s="2"/>
      <c r="J28" s="7">
        <f t="shared" si="13"/>
        <v>0</v>
      </c>
      <c r="K28" s="2"/>
      <c r="L28" s="6">
        <f t="shared" si="14"/>
        <v>0</v>
      </c>
      <c r="M28" s="2"/>
      <c r="N28" s="7">
        <f t="shared" si="15"/>
        <v>0</v>
      </c>
      <c r="O28" s="11"/>
      <c r="P28" s="6">
        <v>-10.4</v>
      </c>
      <c r="Q28" s="2"/>
      <c r="R28" s="7">
        <f t="shared" si="16"/>
        <v>-6.6119809221462769E-5</v>
      </c>
      <c r="S28" s="2"/>
      <c r="T28" s="6">
        <v>0</v>
      </c>
      <c r="U28" s="2"/>
      <c r="V28" s="7">
        <f t="shared" si="17"/>
        <v>0</v>
      </c>
      <c r="W28" s="2"/>
      <c r="X28" s="6">
        <f t="shared" si="18"/>
        <v>-10.4</v>
      </c>
      <c r="Y28" s="2"/>
      <c r="Z28" s="7">
        <f t="shared" si="19"/>
        <v>0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6"/>
      <c r="E29" s="2"/>
      <c r="F29" s="7">
        <f t="shared" si="12"/>
        <v>0</v>
      </c>
      <c r="G29" s="2"/>
      <c r="H29" s="6">
        <v>0</v>
      </c>
      <c r="I29" s="2"/>
      <c r="J29" s="7">
        <f t="shared" si="13"/>
        <v>0</v>
      </c>
      <c r="K29" s="2"/>
      <c r="L29" s="6">
        <f t="shared" si="14"/>
        <v>0</v>
      </c>
      <c r="M29" s="2"/>
      <c r="N29" s="7">
        <f t="shared" si="15"/>
        <v>0</v>
      </c>
      <c r="O29" s="11"/>
      <c r="P29" s="6"/>
      <c r="Q29" s="2"/>
      <c r="R29" s="7">
        <f t="shared" si="16"/>
        <v>0</v>
      </c>
      <c r="S29" s="2"/>
      <c r="T29" s="6">
        <v>0</v>
      </c>
      <c r="U29" s="2"/>
      <c r="V29" s="7">
        <f t="shared" si="17"/>
        <v>0</v>
      </c>
      <c r="W29" s="2"/>
      <c r="X29" s="6">
        <f t="shared" si="18"/>
        <v>0</v>
      </c>
      <c r="Y29" s="2"/>
      <c r="Z29" s="7">
        <f t="shared" si="19"/>
        <v>0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6"/>
      <c r="E30" s="2"/>
      <c r="F30" s="7">
        <f t="shared" si="12"/>
        <v>0</v>
      </c>
      <c r="G30" s="2"/>
      <c r="H30" s="6">
        <v>19.246500000000001</v>
      </c>
      <c r="I30" s="2"/>
      <c r="J30" s="7">
        <f t="shared" si="13"/>
        <v>2.5661999999999999E-4</v>
      </c>
      <c r="K30" s="2"/>
      <c r="L30" s="6">
        <f t="shared" si="14"/>
        <v>-19.246500000000001</v>
      </c>
      <c r="M30" s="2"/>
      <c r="N30" s="7">
        <f t="shared" si="15"/>
        <v>-1</v>
      </c>
      <c r="O30" s="11"/>
      <c r="P30" s="6"/>
      <c r="Q30" s="2"/>
      <c r="R30" s="7">
        <f t="shared" si="16"/>
        <v>0</v>
      </c>
      <c r="S30" s="2"/>
      <c r="T30" s="6">
        <v>93.514200000000002</v>
      </c>
      <c r="U30" s="2"/>
      <c r="V30" s="7">
        <f t="shared" si="17"/>
        <v>7.6650983606557383E-4</v>
      </c>
      <c r="W30" s="2"/>
      <c r="X30" s="6">
        <f t="shared" si="18"/>
        <v>-93.514200000000002</v>
      </c>
      <c r="Y30" s="2"/>
      <c r="Z30" s="7">
        <f t="shared" si="19"/>
        <v>-1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6"/>
      <c r="E34" s="2"/>
      <c r="F34" s="7">
        <f t="shared" si="12"/>
        <v>0</v>
      </c>
      <c r="G34" s="2"/>
      <c r="H34" s="6">
        <v>222.07499999999999</v>
      </c>
      <c r="I34" s="2"/>
      <c r="J34" s="7">
        <f t="shared" si="13"/>
        <v>2.9609999999999997E-3</v>
      </c>
      <c r="K34" s="2"/>
      <c r="L34" s="6">
        <f t="shared" si="14"/>
        <v>-222.07499999999999</v>
      </c>
      <c r="M34" s="2"/>
      <c r="N34" s="7">
        <f t="shared" si="15"/>
        <v>-1</v>
      </c>
      <c r="O34" s="11"/>
      <c r="P34" s="6"/>
      <c r="Q34" s="2"/>
      <c r="R34" s="7">
        <f t="shared" si="16"/>
        <v>0</v>
      </c>
      <c r="S34" s="2"/>
      <c r="T34" s="6">
        <v>1079.01</v>
      </c>
      <c r="U34" s="2"/>
      <c r="V34" s="7">
        <f t="shared" si="17"/>
        <v>8.844344262295082E-3</v>
      </c>
      <c r="W34" s="2"/>
      <c r="X34" s="6">
        <f t="shared" si="18"/>
        <v>-1079.01</v>
      </c>
      <c r="Y34" s="2"/>
      <c r="Z34" s="7">
        <f t="shared" si="19"/>
        <v>-1</v>
      </c>
    </row>
    <row r="35" spans="1:26" s="27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7673.1500000000005</v>
      </c>
      <c r="E35" s="1"/>
      <c r="F35" s="5">
        <f t="shared" ref="F35:F45" si="20">IF(D$12=0,0,D35/D$12)</f>
        <v>0.26540479926063049</v>
      </c>
      <c r="G35" s="1"/>
      <c r="H35" s="1">
        <f>SUM(OSRRefH22_1x_0)</f>
        <v>7402.5</v>
      </c>
      <c r="I35" s="1"/>
      <c r="J35" s="5">
        <f t="shared" ref="J35:J45" si="21">IF(H$12=0,0,H35/H$12)</f>
        <v>9.8699999999999996E-2</v>
      </c>
      <c r="K35" s="1"/>
      <c r="L35" s="1">
        <f t="shared" ref="L35:L45" si="22">+D35-H35</f>
        <v>270.65000000000055</v>
      </c>
      <c r="M35" s="1"/>
      <c r="N35" s="5">
        <f t="shared" ref="N35:N45" si="23">IF(H35=0,0,L35/H35)</f>
        <v>3.6561972306653229E-2</v>
      </c>
      <c r="O35" s="13"/>
      <c r="P35" s="1">
        <f>SUM(OSRRefP22_1x_0)</f>
        <v>29540.829999999998</v>
      </c>
      <c r="Q35" s="1"/>
      <c r="R35" s="5">
        <f t="shared" ref="R35:R45" si="24">IF(P$12=0,0,P35/P$12)</f>
        <v>0.18781096575419845</v>
      </c>
      <c r="S35" s="1"/>
      <c r="T35" s="1">
        <f>SUM(OSRRefT22_1x_0)</f>
        <v>35967</v>
      </c>
      <c r="U35" s="1"/>
      <c r="V35" s="5">
        <f t="shared" ref="V35:V45" si="25">IF(T$12=0,0,T35/T$12)</f>
        <v>0.29481147540983604</v>
      </c>
      <c r="W35" s="1"/>
      <c r="X35" s="1">
        <f t="shared" ref="X35:X45" si="26">+P35-T35</f>
        <v>-6426.1700000000019</v>
      </c>
      <c r="Y35" s="1"/>
      <c r="Z35" s="5">
        <f t="shared" ref="Z35:Z45" si="27">IF(T35=0,0,X35/T35)</f>
        <v>-0.17866850168209752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6">
        <v>1464</v>
      </c>
      <c r="E39" s="2"/>
      <c r="F39" s="7">
        <f t="shared" si="20"/>
        <v>5.0637955222765492E-2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1464</v>
      </c>
      <c r="M39" s="2"/>
      <c r="N39" s="7">
        <f t="shared" si="23"/>
        <v>0</v>
      </c>
      <c r="O39" s="11"/>
      <c r="P39" s="6">
        <v>3193.41</v>
      </c>
      <c r="Q39" s="2"/>
      <c r="R39" s="7">
        <f t="shared" si="24"/>
        <v>2.0302659612106866E-2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3193.41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6">
        <v>3609.51</v>
      </c>
      <c r="E40" s="2"/>
      <c r="F40" s="7">
        <f t="shared" si="20"/>
        <v>0.12484850119953844</v>
      </c>
      <c r="G40" s="2"/>
      <c r="H40" s="6">
        <v>2362.5</v>
      </c>
      <c r="I40" s="2"/>
      <c r="J40" s="7">
        <f t="shared" si="21"/>
        <v>3.15E-2</v>
      </c>
      <c r="K40" s="2"/>
      <c r="L40" s="6">
        <f t="shared" si="22"/>
        <v>1247.0100000000002</v>
      </c>
      <c r="M40" s="2"/>
      <c r="N40" s="7">
        <f t="shared" si="23"/>
        <v>0.52783492063492077</v>
      </c>
      <c r="O40" s="11"/>
      <c r="P40" s="6">
        <v>9782.57</v>
      </c>
      <c r="Q40" s="2"/>
      <c r="R40" s="7">
        <f t="shared" si="24"/>
        <v>6.2194390586115866E-2</v>
      </c>
      <c r="S40" s="2"/>
      <c r="T40" s="6">
        <v>17511</v>
      </c>
      <c r="U40" s="2"/>
      <c r="V40" s="7">
        <f t="shared" si="25"/>
        <v>0.1435327868852459</v>
      </c>
      <c r="W40" s="2"/>
      <c r="X40" s="6">
        <f t="shared" si="26"/>
        <v>-7728.43</v>
      </c>
      <c r="Y40" s="2"/>
      <c r="Z40" s="7">
        <f t="shared" si="27"/>
        <v>-0.44134715321797729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>
        <v>247.5</v>
      </c>
      <c r="Q41" s="2"/>
      <c r="R41" s="7">
        <f t="shared" si="24"/>
        <v>1.5735243059915418E-3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247.5</v>
      </c>
      <c r="Y41" s="2"/>
      <c r="Z41" s="7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6">
        <v>1398.05</v>
      </c>
      <c r="E42" s="2"/>
      <c r="F42" s="7">
        <f t="shared" si="20"/>
        <v>4.8356826024035036E-2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1398.05</v>
      </c>
      <c r="M42" s="2"/>
      <c r="N42" s="7">
        <f t="shared" si="23"/>
        <v>0</v>
      </c>
      <c r="O42" s="11"/>
      <c r="P42" s="6">
        <v>13228</v>
      </c>
      <c r="Q42" s="2"/>
      <c r="R42" s="7">
        <f t="shared" si="24"/>
        <v>8.4099311190529755E-2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13228</v>
      </c>
      <c r="Y42" s="2"/>
      <c r="Z42" s="7">
        <f t="shared" si="27"/>
        <v>0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6">
        <v>1201.5899999999999</v>
      </c>
      <c r="E43" s="2"/>
      <c r="F43" s="7">
        <f t="shared" si="20"/>
        <v>4.1561516814291516E-2</v>
      </c>
      <c r="G43" s="2"/>
      <c r="H43" s="6">
        <v>5040</v>
      </c>
      <c r="I43" s="2"/>
      <c r="J43" s="7">
        <f t="shared" si="21"/>
        <v>6.7199999999999996E-2</v>
      </c>
      <c r="K43" s="2"/>
      <c r="L43" s="6">
        <f t="shared" si="22"/>
        <v>-3838.41</v>
      </c>
      <c r="M43" s="2"/>
      <c r="N43" s="7">
        <f t="shared" si="23"/>
        <v>-0.76158928571428564</v>
      </c>
      <c r="O43" s="11"/>
      <c r="P43" s="6">
        <v>3089.35</v>
      </c>
      <c r="Q43" s="2"/>
      <c r="R43" s="7">
        <f t="shared" si="24"/>
        <v>1.9641080059454422E-2</v>
      </c>
      <c r="S43" s="2"/>
      <c r="T43" s="6">
        <v>18456</v>
      </c>
      <c r="U43" s="2"/>
      <c r="V43" s="7">
        <f t="shared" si="25"/>
        <v>0.15127868852459017</v>
      </c>
      <c r="W43" s="2"/>
      <c r="X43" s="6">
        <f t="shared" si="26"/>
        <v>-15366.65</v>
      </c>
      <c r="Y43" s="2"/>
      <c r="Z43" s="7">
        <f t="shared" si="27"/>
        <v>-0.83260999133073255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7" customFormat="1" outlineLevel="1" collapsed="1" x14ac:dyDescent="0.25">
      <c r="A46" s="26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740.13</v>
      </c>
      <c r="E46" s="1"/>
      <c r="F46" s="5">
        <f t="shared" ref="F46:F60" si="28">IF(D$12=0,0,D46/D$12)</f>
        <v>2.5600184288951791E-2</v>
      </c>
      <c r="G46" s="1"/>
      <c r="H46" s="1">
        <f>SUM(OSRRefH22_2x_0)</f>
        <v>0</v>
      </c>
      <c r="I46" s="1"/>
      <c r="J46" s="5">
        <f t="shared" ref="J46:J60" si="29">IF(H$12=0,0,H46/H$12)</f>
        <v>0</v>
      </c>
      <c r="K46" s="1"/>
      <c r="L46" s="1">
        <f t="shared" ref="L46:L60" si="30">+D46-H46</f>
        <v>740.13</v>
      </c>
      <c r="M46" s="1"/>
      <c r="N46" s="5">
        <f t="shared" ref="N46:N60" si="31">IF(H46=0,0,L46/H46)</f>
        <v>0</v>
      </c>
      <c r="O46" s="13"/>
      <c r="P46" s="1">
        <f>SUM(OSRRefP22_2x_0)</f>
        <v>3023.77</v>
      </c>
      <c r="Q46" s="1"/>
      <c r="R46" s="5">
        <f t="shared" ref="R46:R60" si="32">IF(P$12=0,0,P46/P$12)</f>
        <v>1.9224143800921391E-2</v>
      </c>
      <c r="S46" s="1"/>
      <c r="T46" s="1">
        <f>SUM(OSRRefT22_2x_0)</f>
        <v>200</v>
      </c>
      <c r="U46" s="1"/>
      <c r="V46" s="5">
        <f t="shared" ref="V46:V60" si="33">IF(T$12=0,0,T46/T$12)</f>
        <v>1.639344262295082E-3</v>
      </c>
      <c r="W46" s="1"/>
      <c r="X46" s="1">
        <f t="shared" ref="X46:X60" si="34">+P46-T46</f>
        <v>2823.77</v>
      </c>
      <c r="Y46" s="1"/>
      <c r="Z46" s="5">
        <f t="shared" ref="Z46:Z60" si="35">IF(T46=0,0,X46/T46)</f>
        <v>14.11885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6">
        <v>740.13</v>
      </c>
      <c r="E47" s="2"/>
      <c r="F47" s="7">
        <f t="shared" si="28"/>
        <v>2.5600184288951791E-2</v>
      </c>
      <c r="G47" s="2"/>
      <c r="H47" s="6"/>
      <c r="I47" s="2"/>
      <c r="J47" s="7">
        <f t="shared" si="29"/>
        <v>0</v>
      </c>
      <c r="K47" s="2"/>
      <c r="L47" s="6">
        <f t="shared" si="30"/>
        <v>740.13</v>
      </c>
      <c r="M47" s="2"/>
      <c r="N47" s="7">
        <f t="shared" si="31"/>
        <v>0</v>
      </c>
      <c r="O47" s="11"/>
      <c r="P47" s="6">
        <v>3023.77</v>
      </c>
      <c r="Q47" s="2"/>
      <c r="R47" s="7">
        <f t="shared" si="32"/>
        <v>1.9224143800921391E-2</v>
      </c>
      <c r="S47" s="2"/>
      <c r="T47" s="6">
        <v>200</v>
      </c>
      <c r="U47" s="2"/>
      <c r="V47" s="7">
        <f t="shared" si="33"/>
        <v>1.639344262295082E-3</v>
      </c>
      <c r="W47" s="2"/>
      <c r="X47" s="6">
        <f t="shared" si="34"/>
        <v>2823.77</v>
      </c>
      <c r="Y47" s="2"/>
      <c r="Z47" s="7">
        <f t="shared" si="35"/>
        <v>14.11885</v>
      </c>
    </row>
    <row r="48" spans="1:26" s="27" customFormat="1" outlineLevel="1" collapsed="1" x14ac:dyDescent="0.25">
      <c r="A48" s="26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15.65</v>
      </c>
      <c r="E48" s="1"/>
      <c r="F48" s="5">
        <f t="shared" si="28"/>
        <v>5.4131420712860657E-4</v>
      </c>
      <c r="G48" s="1"/>
      <c r="H48" s="1">
        <f>SUM(OSRRefH22_3x_0)</f>
        <v>25</v>
      </c>
      <c r="I48" s="1"/>
      <c r="J48" s="5">
        <f t="shared" si="29"/>
        <v>3.3333333333333332E-4</v>
      </c>
      <c r="K48" s="1"/>
      <c r="L48" s="1">
        <f t="shared" si="30"/>
        <v>-9.35</v>
      </c>
      <c r="M48" s="1"/>
      <c r="N48" s="5">
        <f t="shared" si="31"/>
        <v>-0.374</v>
      </c>
      <c r="O48" s="13"/>
      <c r="P48" s="1">
        <f>SUM(OSRRefP22_3x_0)</f>
        <v>19.399999999999999</v>
      </c>
      <c r="Q48" s="1"/>
      <c r="R48" s="5">
        <f t="shared" si="32"/>
        <v>1.2333887489388246E-4</v>
      </c>
      <c r="S48" s="1"/>
      <c r="T48" s="1">
        <f>SUM(OSRRefT22_3x_0)</f>
        <v>75</v>
      </c>
      <c r="U48" s="1"/>
      <c r="V48" s="5">
        <f t="shared" si="33"/>
        <v>6.1475409836065579E-4</v>
      </c>
      <c r="W48" s="1"/>
      <c r="X48" s="1">
        <f t="shared" si="34"/>
        <v>-55.6</v>
      </c>
      <c r="Y48" s="1"/>
      <c r="Z48" s="5">
        <f t="shared" si="35"/>
        <v>-0.7413333333333334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6">
        <v>15.65</v>
      </c>
      <c r="E49" s="2"/>
      <c r="F49" s="7">
        <f t="shared" si="28"/>
        <v>5.4131420712860657E-4</v>
      </c>
      <c r="G49" s="2"/>
      <c r="H49" s="6">
        <v>25</v>
      </c>
      <c r="I49" s="2"/>
      <c r="J49" s="7">
        <f t="shared" si="29"/>
        <v>3.3333333333333332E-4</v>
      </c>
      <c r="K49" s="2"/>
      <c r="L49" s="6">
        <f t="shared" si="30"/>
        <v>-9.35</v>
      </c>
      <c r="M49" s="2"/>
      <c r="N49" s="7">
        <f t="shared" si="31"/>
        <v>-0.374</v>
      </c>
      <c r="O49" s="11"/>
      <c r="P49" s="6">
        <v>19.399999999999999</v>
      </c>
      <c r="Q49" s="2"/>
      <c r="R49" s="7">
        <f t="shared" si="32"/>
        <v>1.2333887489388246E-4</v>
      </c>
      <c r="S49" s="2"/>
      <c r="T49" s="6">
        <v>75</v>
      </c>
      <c r="U49" s="2"/>
      <c r="V49" s="7">
        <f t="shared" si="33"/>
        <v>6.1475409836065579E-4</v>
      </c>
      <c r="W49" s="2"/>
      <c r="X49" s="6">
        <f t="shared" si="34"/>
        <v>-55.6</v>
      </c>
      <c r="Y49" s="2"/>
      <c r="Z49" s="7">
        <f t="shared" si="35"/>
        <v>-0.7413333333333334</v>
      </c>
    </row>
    <row r="50" spans="1:26" s="27" customFormat="1" outlineLevel="1" collapsed="1" x14ac:dyDescent="0.25">
      <c r="A50" s="26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1252.45</v>
      </c>
      <c r="E50" s="1"/>
      <c r="F50" s="5">
        <f t="shared" si="28"/>
        <v>4.3320701515541425E-2</v>
      </c>
      <c r="G50" s="1"/>
      <c r="H50" s="1">
        <f>SUM(OSRRefH22_4x_0)</f>
        <v>100</v>
      </c>
      <c r="I50" s="1"/>
      <c r="J50" s="5">
        <f t="shared" si="29"/>
        <v>1.3333333333333333E-3</v>
      </c>
      <c r="K50" s="1"/>
      <c r="L50" s="1">
        <f t="shared" si="30"/>
        <v>1152.45</v>
      </c>
      <c r="M50" s="1"/>
      <c r="N50" s="5">
        <f t="shared" si="31"/>
        <v>11.5245</v>
      </c>
      <c r="O50" s="13"/>
      <c r="P50" s="1">
        <f>SUM(OSRRefP22_4x_0)</f>
        <v>4064.54</v>
      </c>
      <c r="Q50" s="1"/>
      <c r="R50" s="5">
        <f t="shared" si="32"/>
        <v>2.5841020132019641E-2</v>
      </c>
      <c r="S50" s="1"/>
      <c r="T50" s="1">
        <f>SUM(OSRRefT22_4x_0)</f>
        <v>350</v>
      </c>
      <c r="U50" s="1"/>
      <c r="V50" s="5">
        <f t="shared" si="33"/>
        <v>2.8688524590163933E-3</v>
      </c>
      <c r="W50" s="1"/>
      <c r="X50" s="1">
        <f t="shared" si="34"/>
        <v>3714.54</v>
      </c>
      <c r="Y50" s="1"/>
      <c r="Z50" s="5">
        <f t="shared" si="35"/>
        <v>10.612971428571429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6">
        <v>1252.45</v>
      </c>
      <c r="E51" s="2"/>
      <c r="F51" s="7">
        <f t="shared" si="28"/>
        <v>4.3320701515541425E-2</v>
      </c>
      <c r="G51" s="2"/>
      <c r="H51" s="6">
        <v>100</v>
      </c>
      <c r="I51" s="2"/>
      <c r="J51" s="7">
        <f t="shared" si="29"/>
        <v>1.3333333333333333E-3</v>
      </c>
      <c r="K51" s="2"/>
      <c r="L51" s="6">
        <f t="shared" si="30"/>
        <v>1152.45</v>
      </c>
      <c r="M51" s="2"/>
      <c r="N51" s="7">
        <f t="shared" si="31"/>
        <v>11.5245</v>
      </c>
      <c r="O51" s="11"/>
      <c r="P51" s="6">
        <v>4064.54</v>
      </c>
      <c r="Q51" s="2"/>
      <c r="R51" s="7">
        <f t="shared" si="32"/>
        <v>2.5841020132019641E-2</v>
      </c>
      <c r="S51" s="2"/>
      <c r="T51" s="6">
        <v>350</v>
      </c>
      <c r="U51" s="2"/>
      <c r="V51" s="7">
        <f t="shared" si="33"/>
        <v>2.8688524590163933E-3</v>
      </c>
      <c r="W51" s="2"/>
      <c r="X51" s="6">
        <f t="shared" si="34"/>
        <v>3714.54</v>
      </c>
      <c r="Y51" s="2"/>
      <c r="Z51" s="7">
        <f t="shared" si="35"/>
        <v>10.612971428571429</v>
      </c>
    </row>
    <row r="52" spans="1:26" s="27" customFormat="1" outlineLevel="1" collapsed="1" x14ac:dyDescent="0.25">
      <c r="A52" s="26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479.29</v>
      </c>
      <c r="E52" s="1"/>
      <c r="F52" s="5">
        <f t="shared" si="28"/>
        <v>1.6578050245026826E-2</v>
      </c>
      <c r="G52" s="1"/>
      <c r="H52" s="1">
        <f>SUM(OSRRefH22_5x_0)</f>
        <v>0</v>
      </c>
      <c r="I52" s="1"/>
      <c r="J52" s="5">
        <f t="shared" si="29"/>
        <v>0</v>
      </c>
      <c r="K52" s="1"/>
      <c r="L52" s="1">
        <f t="shared" si="30"/>
        <v>479.29</v>
      </c>
      <c r="M52" s="1"/>
      <c r="N52" s="5">
        <f t="shared" si="31"/>
        <v>0</v>
      </c>
      <c r="O52" s="13"/>
      <c r="P52" s="1">
        <f>SUM(OSRRefP22_5x_0)</f>
        <v>479.29</v>
      </c>
      <c r="Q52" s="1"/>
      <c r="R52" s="5">
        <f t="shared" si="32"/>
        <v>3.0471695540148932E-3</v>
      </c>
      <c r="S52" s="1"/>
      <c r="T52" s="1">
        <f>SUM(OSRRefT22_5x_0)</f>
        <v>0</v>
      </c>
      <c r="U52" s="1"/>
      <c r="V52" s="5">
        <f t="shared" si="33"/>
        <v>0</v>
      </c>
      <c r="W52" s="1"/>
      <c r="X52" s="1">
        <f t="shared" si="34"/>
        <v>479.29</v>
      </c>
      <c r="Y52" s="1"/>
      <c r="Z52" s="5">
        <f t="shared" si="35"/>
        <v>0</v>
      </c>
    </row>
    <row r="53" spans="1:26" s="24" customFormat="1" hidden="1" outlineLevel="2" x14ac:dyDescent="0.25">
      <c r="A53" s="25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479.29</v>
      </c>
      <c r="E53" s="2"/>
      <c r="F53" s="7">
        <f t="shared" si="28"/>
        <v>1.6578050245026826E-2</v>
      </c>
      <c r="G53" s="2"/>
      <c r="H53" s="6"/>
      <c r="I53" s="2"/>
      <c r="J53" s="7">
        <f t="shared" si="29"/>
        <v>0</v>
      </c>
      <c r="K53" s="2"/>
      <c r="L53" s="6">
        <f t="shared" si="30"/>
        <v>479.29</v>
      </c>
      <c r="M53" s="2"/>
      <c r="N53" s="7">
        <f t="shared" si="31"/>
        <v>0</v>
      </c>
      <c r="O53" s="11"/>
      <c r="P53" s="6">
        <v>479.29</v>
      </c>
      <c r="Q53" s="2"/>
      <c r="R53" s="7">
        <f t="shared" si="32"/>
        <v>3.0471695540148932E-3</v>
      </c>
      <c r="S53" s="2"/>
      <c r="T53" s="6"/>
      <c r="U53" s="2"/>
      <c r="V53" s="7">
        <f t="shared" si="33"/>
        <v>0</v>
      </c>
      <c r="W53" s="2"/>
      <c r="X53" s="6">
        <f t="shared" si="34"/>
        <v>479.29</v>
      </c>
      <c r="Y53" s="2"/>
      <c r="Z53" s="7">
        <f t="shared" si="35"/>
        <v>0</v>
      </c>
    </row>
    <row r="54" spans="1:26" s="27" customFormat="1" outlineLevel="1" collapsed="1" x14ac:dyDescent="0.25">
      <c r="A54" s="26"/>
      <c r="B54" s="13" t="str">
        <f>CONCATENATE("     ","Employees' Appreciation                           ")</f>
        <v xml:space="preserve">     Employees' Appreciation                           </v>
      </c>
      <c r="C54" s="13"/>
      <c r="D54" s="1">
        <f>SUM(OSRRefD22_6x_0)</f>
        <v>0</v>
      </c>
      <c r="E54" s="1"/>
      <c r="F54" s="5">
        <f t="shared" si="28"/>
        <v>0</v>
      </c>
      <c r="G54" s="1"/>
      <c r="H54" s="1">
        <f>SUM(OSRRefH22_6x_0)</f>
        <v>0</v>
      </c>
      <c r="I54" s="1"/>
      <c r="J54" s="5">
        <f t="shared" si="29"/>
        <v>0</v>
      </c>
      <c r="K54" s="1"/>
      <c r="L54" s="1">
        <f t="shared" si="30"/>
        <v>0</v>
      </c>
      <c r="M54" s="1"/>
      <c r="N54" s="5">
        <f t="shared" si="31"/>
        <v>0</v>
      </c>
      <c r="O54" s="13"/>
      <c r="P54" s="1">
        <f>SUM(OSRRefP22_6x_0)</f>
        <v>307.2</v>
      </c>
      <c r="Q54" s="1"/>
      <c r="R54" s="5">
        <f t="shared" si="32"/>
        <v>1.9530774416185923E-3</v>
      </c>
      <c r="S54" s="1"/>
      <c r="T54" s="1">
        <f>SUM(OSRRefT22_6x_0)</f>
        <v>100</v>
      </c>
      <c r="U54" s="1"/>
      <c r="V54" s="5">
        <f t="shared" si="33"/>
        <v>8.1967213114754098E-4</v>
      </c>
      <c r="W54" s="1"/>
      <c r="X54" s="1">
        <f t="shared" si="34"/>
        <v>207.2</v>
      </c>
      <c r="Y54" s="1"/>
      <c r="Z54" s="5">
        <f t="shared" si="35"/>
        <v>2.0720000000000001</v>
      </c>
    </row>
    <row r="55" spans="1:26" s="24" customFormat="1" hidden="1" outlineLevel="2" x14ac:dyDescent="0.25">
      <c r="A55" s="25"/>
      <c r="B55" s="11" t="str">
        <f>CONCATENATE("          ", "6277", " - ", "EMPLOYEE APPRECIATION")</f>
        <v xml:space="preserve">          6277 - EMPLOYEE APPRECIATION</v>
      </c>
      <c r="C55" s="11"/>
      <c r="D55" s="6"/>
      <c r="E55" s="2"/>
      <c r="F55" s="7">
        <f t="shared" si="28"/>
        <v>0</v>
      </c>
      <c r="G55" s="2"/>
      <c r="H55" s="6"/>
      <c r="I55" s="2"/>
      <c r="J55" s="7">
        <f t="shared" si="29"/>
        <v>0</v>
      </c>
      <c r="K55" s="2"/>
      <c r="L55" s="6">
        <f t="shared" si="30"/>
        <v>0</v>
      </c>
      <c r="M55" s="2"/>
      <c r="N55" s="7">
        <f t="shared" si="31"/>
        <v>0</v>
      </c>
      <c r="O55" s="11"/>
      <c r="P55" s="6">
        <v>307.2</v>
      </c>
      <c r="Q55" s="2"/>
      <c r="R55" s="7">
        <f t="shared" si="32"/>
        <v>1.9530774416185923E-3</v>
      </c>
      <c r="S55" s="2"/>
      <c r="T55" s="6">
        <v>100</v>
      </c>
      <c r="U55" s="2"/>
      <c r="V55" s="7">
        <f t="shared" si="33"/>
        <v>8.1967213114754098E-4</v>
      </c>
      <c r="W55" s="2"/>
      <c r="X55" s="6">
        <f t="shared" si="34"/>
        <v>207.2</v>
      </c>
      <c r="Y55" s="2"/>
      <c r="Z55" s="7">
        <f t="shared" si="35"/>
        <v>2.0720000000000001</v>
      </c>
    </row>
    <row r="56" spans="1:26" s="27" customFormat="1" outlineLevel="1" collapsed="1" x14ac:dyDescent="0.25">
      <c r="A56" s="26"/>
      <c r="B56" s="13" t="str">
        <f>CONCATENATE("     ","General                                           ")</f>
        <v xml:space="preserve">     General                                           </v>
      </c>
      <c r="C56" s="13"/>
      <c r="D56" s="1">
        <f>SUM(OSRRefD22_7x_0)</f>
        <v>292.26</v>
      </c>
      <c r="E56" s="1"/>
      <c r="F56" s="5">
        <f t="shared" si="28"/>
        <v>1.0108913110249619E-2</v>
      </c>
      <c r="G56" s="1"/>
      <c r="H56" s="1">
        <f>SUM(OSRRefH22_7x_0)</f>
        <v>0</v>
      </c>
      <c r="I56" s="1"/>
      <c r="J56" s="5">
        <f t="shared" si="29"/>
        <v>0</v>
      </c>
      <c r="K56" s="1"/>
      <c r="L56" s="1">
        <f t="shared" si="30"/>
        <v>292.26</v>
      </c>
      <c r="M56" s="1"/>
      <c r="N56" s="5">
        <f t="shared" si="31"/>
        <v>0</v>
      </c>
      <c r="O56" s="13"/>
      <c r="P56" s="1">
        <f>SUM(OSRRefP22_7x_0)</f>
        <v>4691.25</v>
      </c>
      <c r="Q56" s="1"/>
      <c r="R56" s="5">
        <f t="shared" si="32"/>
        <v>2.9825437981748769E-2</v>
      </c>
      <c r="S56" s="1"/>
      <c r="T56" s="1">
        <f>SUM(OSRRefT22_7x_0)</f>
        <v>0</v>
      </c>
      <c r="U56" s="1"/>
      <c r="V56" s="5">
        <f t="shared" si="33"/>
        <v>0</v>
      </c>
      <c r="W56" s="1"/>
      <c r="X56" s="1">
        <f t="shared" si="34"/>
        <v>4691.25</v>
      </c>
      <c r="Y56" s="1"/>
      <c r="Z56" s="5">
        <f t="shared" si="35"/>
        <v>0</v>
      </c>
    </row>
    <row r="57" spans="1:26" s="24" customFormat="1" hidden="1" outlineLevel="2" x14ac:dyDescent="0.25">
      <c r="A57" s="25"/>
      <c r="B57" s="11" t="str">
        <f>CONCATENATE("          ", "6279", " - ", "GENERAL EXPENSE")</f>
        <v xml:space="preserve">          6279 - GENERAL EXPENSE</v>
      </c>
      <c r="C57" s="11"/>
      <c r="D57" s="6">
        <v>292.26</v>
      </c>
      <c r="E57" s="2"/>
      <c r="F57" s="7">
        <f t="shared" si="28"/>
        <v>1.0108913110249619E-2</v>
      </c>
      <c r="G57" s="2"/>
      <c r="H57" s="6"/>
      <c r="I57" s="2"/>
      <c r="J57" s="7">
        <f t="shared" si="29"/>
        <v>0</v>
      </c>
      <c r="K57" s="2"/>
      <c r="L57" s="6">
        <f t="shared" si="30"/>
        <v>292.26</v>
      </c>
      <c r="M57" s="2"/>
      <c r="N57" s="7">
        <f t="shared" si="31"/>
        <v>0</v>
      </c>
      <c r="O57" s="11"/>
      <c r="P57" s="6">
        <v>4691.25</v>
      </c>
      <c r="Q57" s="2"/>
      <c r="R57" s="7">
        <f t="shared" si="32"/>
        <v>2.9825437981748769E-2</v>
      </c>
      <c r="S57" s="2"/>
      <c r="T57" s="6"/>
      <c r="U57" s="2"/>
      <c r="V57" s="7">
        <f t="shared" si="33"/>
        <v>0</v>
      </c>
      <c r="W57" s="2"/>
      <c r="X57" s="6">
        <f t="shared" si="34"/>
        <v>4691.25</v>
      </c>
      <c r="Y57" s="2"/>
      <c r="Z57" s="7">
        <f t="shared" si="35"/>
        <v>0</v>
      </c>
    </row>
    <row r="58" spans="1:26" s="27" customFormat="1" outlineLevel="1" collapsed="1" x14ac:dyDescent="0.25">
      <c r="A58" s="26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SUM(OSRRefD22_8x_0)</f>
        <v>980</v>
      </c>
      <c r="E58" s="1"/>
      <c r="F58" s="5">
        <f t="shared" si="28"/>
        <v>3.3896991884091655E-2</v>
      </c>
      <c r="G58" s="1"/>
      <c r="H58" s="1">
        <f>SUM(OSRRefH22_8x_0)</f>
        <v>0</v>
      </c>
      <c r="I58" s="1"/>
      <c r="J58" s="5">
        <f t="shared" si="29"/>
        <v>0</v>
      </c>
      <c r="K58" s="1"/>
      <c r="L58" s="1">
        <f t="shared" si="30"/>
        <v>980</v>
      </c>
      <c r="M58" s="1"/>
      <c r="N58" s="5">
        <f t="shared" si="31"/>
        <v>0</v>
      </c>
      <c r="O58" s="13"/>
      <c r="P58" s="1">
        <f>SUM(OSRRefP22_8x_0)</f>
        <v>1797.2199999999998</v>
      </c>
      <c r="Q58" s="1"/>
      <c r="R58" s="5">
        <f t="shared" si="32"/>
        <v>1.1426138800865125E-2</v>
      </c>
      <c r="S58" s="1"/>
      <c r="T58" s="1">
        <f>SUM(OSRRefT22_8x_0)</f>
        <v>5000</v>
      </c>
      <c r="U58" s="1"/>
      <c r="V58" s="5">
        <f t="shared" si="33"/>
        <v>4.0983606557377046E-2</v>
      </c>
      <c r="W58" s="1"/>
      <c r="X58" s="1">
        <f t="shared" si="34"/>
        <v>-3202.78</v>
      </c>
      <c r="Y58" s="1"/>
      <c r="Z58" s="5">
        <f t="shared" si="35"/>
        <v>-0.64055600000000001</v>
      </c>
    </row>
    <row r="59" spans="1:26" s="24" customFormat="1" hidden="1" outlineLevel="2" x14ac:dyDescent="0.25">
      <c r="A59" s="25"/>
      <c r="B59" s="11" t="str">
        <f>CONCATENATE("          ", "6373", " - ", "MAINTENANCE CONTRACTS")</f>
        <v xml:space="preserve">          6373 - MAINTENANCE CONTRACTS</v>
      </c>
      <c r="C59" s="11"/>
      <c r="D59" s="6"/>
      <c r="E59" s="2"/>
      <c r="F59" s="7">
        <f t="shared" si="28"/>
        <v>0</v>
      </c>
      <c r="G59" s="2"/>
      <c r="H59" s="6"/>
      <c r="I59" s="2"/>
      <c r="J59" s="7">
        <f t="shared" si="29"/>
        <v>0</v>
      </c>
      <c r="K59" s="2"/>
      <c r="L59" s="6">
        <f t="shared" si="30"/>
        <v>0</v>
      </c>
      <c r="M59" s="2"/>
      <c r="N59" s="7">
        <f t="shared" si="31"/>
        <v>0</v>
      </c>
      <c r="O59" s="11"/>
      <c r="P59" s="6">
        <v>296.64</v>
      </c>
      <c r="Q59" s="2"/>
      <c r="R59" s="7">
        <f t="shared" si="32"/>
        <v>1.8859404045629532E-3</v>
      </c>
      <c r="S59" s="2"/>
      <c r="T59" s="6"/>
      <c r="U59" s="2"/>
      <c r="V59" s="7">
        <f t="shared" si="33"/>
        <v>0</v>
      </c>
      <c r="W59" s="2"/>
      <c r="X59" s="6">
        <f t="shared" si="34"/>
        <v>296.64</v>
      </c>
      <c r="Y59" s="2"/>
      <c r="Z59" s="7">
        <f t="shared" si="35"/>
        <v>0</v>
      </c>
    </row>
    <row r="60" spans="1:26" s="24" customFormat="1" hidden="1" outlineLevel="2" x14ac:dyDescent="0.25">
      <c r="A60" s="25"/>
      <c r="B60" s="11" t="str">
        <f>CONCATENATE("          ", "6375", " - ", "OUTSIDE REPAIRS &amp; MAINTENANCE")</f>
        <v xml:space="preserve">          6375 - OUTSIDE REPAIRS &amp; MAINTENANCE</v>
      </c>
      <c r="C60" s="11"/>
      <c r="D60" s="6">
        <v>980</v>
      </c>
      <c r="E60" s="2"/>
      <c r="F60" s="7">
        <f t="shared" si="28"/>
        <v>3.3896991884091655E-2</v>
      </c>
      <c r="G60" s="2"/>
      <c r="H60" s="6"/>
      <c r="I60" s="2"/>
      <c r="J60" s="7">
        <f t="shared" si="29"/>
        <v>0</v>
      </c>
      <c r="K60" s="2"/>
      <c r="L60" s="6">
        <f t="shared" si="30"/>
        <v>980</v>
      </c>
      <c r="M60" s="2"/>
      <c r="N60" s="7">
        <f t="shared" si="31"/>
        <v>0</v>
      </c>
      <c r="O60" s="11"/>
      <c r="P60" s="6">
        <v>1500.58</v>
      </c>
      <c r="Q60" s="2"/>
      <c r="R60" s="7">
        <f t="shared" si="32"/>
        <v>9.5401983963021731E-3</v>
      </c>
      <c r="S60" s="2"/>
      <c r="T60" s="6">
        <v>5000</v>
      </c>
      <c r="U60" s="2"/>
      <c r="V60" s="7">
        <f t="shared" si="33"/>
        <v>4.0983606557377046E-2</v>
      </c>
      <c r="W60" s="2"/>
      <c r="X60" s="6">
        <f t="shared" si="34"/>
        <v>-3499.42</v>
      </c>
      <c r="Y60" s="2"/>
      <c r="Z60" s="7">
        <f t="shared" si="35"/>
        <v>-0.69988400000000006</v>
      </c>
    </row>
    <row r="61" spans="1:26" s="27" customFormat="1" outlineLevel="1" collapsed="1" x14ac:dyDescent="0.25">
      <c r="A61" s="26"/>
      <c r="B61" s="13" t="str">
        <f>CONCATENATE("     ","Royalty &amp; Commissions                             ")</f>
        <v xml:space="preserve">     Royalty &amp; Commissions                             </v>
      </c>
      <c r="C61" s="13"/>
      <c r="D61" s="1">
        <f>SUM(OSRRefD22_9x_0)</f>
        <v>7011.76</v>
      </c>
      <c r="E61" s="1"/>
      <c r="F61" s="5">
        <f t="shared" ref="F61:F64" si="36">IF(D$12=0,0,D61/D$12)</f>
        <v>0.24252813450326377</v>
      </c>
      <c r="G61" s="1"/>
      <c r="H61" s="1">
        <f>SUM(OSRRefH22_9x_0)</f>
        <v>15000</v>
      </c>
      <c r="I61" s="1"/>
      <c r="J61" s="5">
        <f t="shared" ref="J61:J64" si="37">IF(H$12=0,0,H61/H$12)</f>
        <v>0.2</v>
      </c>
      <c r="K61" s="1"/>
      <c r="L61" s="1">
        <f t="shared" ref="L61:L64" si="38">+D61-H61</f>
        <v>-7988.24</v>
      </c>
      <c r="M61" s="1"/>
      <c r="N61" s="5">
        <f t="shared" ref="N61:N64" si="39">IF(H61=0,0,L61/H61)</f>
        <v>-0.53254933333333332</v>
      </c>
      <c r="O61" s="13"/>
      <c r="P61" s="1">
        <f>SUM(OSRRefP22_9x_0)</f>
        <v>35313.08</v>
      </c>
      <c r="Q61" s="1"/>
      <c r="R61" s="5">
        <f t="shared" ref="R61:R64" si="40">IF(P$12=0,0,P61/P$12)</f>
        <v>0.2245090492906012</v>
      </c>
      <c r="S61" s="1"/>
      <c r="T61" s="1">
        <f>SUM(OSRRefT22_9x_0)</f>
        <v>24400</v>
      </c>
      <c r="U61" s="1"/>
      <c r="V61" s="5">
        <f t="shared" ref="V61:V64" si="41">IF(T$12=0,0,T61/T$12)</f>
        <v>0.2</v>
      </c>
      <c r="W61" s="1"/>
      <c r="X61" s="1">
        <f t="shared" ref="X61:X64" si="42">+P61-T61</f>
        <v>10913.080000000002</v>
      </c>
      <c r="Y61" s="1"/>
      <c r="Z61" s="5">
        <f t="shared" ref="Z61:Z64" si="43">IF(T61=0,0,X61/T61)</f>
        <v>0.44725737704918039</v>
      </c>
    </row>
    <row r="62" spans="1:26" s="24" customFormat="1" hidden="1" outlineLevel="2" x14ac:dyDescent="0.25">
      <c r="A62" s="25"/>
      <c r="B62" s="11" t="str">
        <f>CONCATENATE("          ", "6252", " - ", "ROYALTY DUE CSTV")</f>
        <v xml:space="preserve">          6252 - ROYALTY DUE CSTV</v>
      </c>
      <c r="C62" s="11"/>
      <c r="D62" s="6"/>
      <c r="E62" s="2"/>
      <c r="F62" s="7">
        <f t="shared" si="36"/>
        <v>0</v>
      </c>
      <c r="G62" s="2"/>
      <c r="H62" s="6">
        <v>15000</v>
      </c>
      <c r="I62" s="2"/>
      <c r="J62" s="7">
        <f t="shared" si="37"/>
        <v>0.2</v>
      </c>
      <c r="K62" s="2"/>
      <c r="L62" s="6">
        <f t="shared" si="38"/>
        <v>-15000</v>
      </c>
      <c r="M62" s="2"/>
      <c r="N62" s="7">
        <f t="shared" si="39"/>
        <v>-1</v>
      </c>
      <c r="O62" s="11"/>
      <c r="P62" s="6"/>
      <c r="Q62" s="2"/>
      <c r="R62" s="7">
        <f t="shared" si="40"/>
        <v>0</v>
      </c>
      <c r="S62" s="2"/>
      <c r="T62" s="6">
        <v>20400</v>
      </c>
      <c r="U62" s="2"/>
      <c r="V62" s="7">
        <f t="shared" si="41"/>
        <v>0.16721311475409836</v>
      </c>
      <c r="W62" s="2"/>
      <c r="X62" s="6">
        <f t="shared" si="42"/>
        <v>-20400</v>
      </c>
      <c r="Y62" s="2"/>
      <c r="Z62" s="7">
        <f t="shared" si="43"/>
        <v>-1</v>
      </c>
    </row>
    <row r="63" spans="1:26" s="24" customFormat="1" hidden="1" outlineLevel="2" x14ac:dyDescent="0.25">
      <c r="A63" s="25"/>
      <c r="B63" s="11" t="str">
        <f>CONCATENATE("          ", "6253", " - ", "ROYALTY DUE ATHLETICS-LRG")</f>
        <v xml:space="preserve">          6253 - ROYALTY DUE ATHLETICS-LRG</v>
      </c>
      <c r="C63" s="11"/>
      <c r="D63" s="6"/>
      <c r="E63" s="2"/>
      <c r="F63" s="7">
        <f t="shared" si="36"/>
        <v>0</v>
      </c>
      <c r="G63" s="2"/>
      <c r="H63" s="6"/>
      <c r="I63" s="2"/>
      <c r="J63" s="7">
        <f t="shared" si="37"/>
        <v>0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/>
      <c r="Q63" s="2"/>
      <c r="R63" s="7">
        <f t="shared" si="40"/>
        <v>0</v>
      </c>
      <c r="S63" s="2"/>
      <c r="T63" s="6">
        <v>4000</v>
      </c>
      <c r="U63" s="2"/>
      <c r="V63" s="7">
        <f t="shared" si="41"/>
        <v>3.2786885245901641E-2</v>
      </c>
      <c r="W63" s="2"/>
      <c r="X63" s="6">
        <f t="shared" si="42"/>
        <v>-4000</v>
      </c>
      <c r="Y63" s="2"/>
      <c r="Z63" s="7">
        <f t="shared" si="43"/>
        <v>-1</v>
      </c>
    </row>
    <row r="64" spans="1:26" s="24" customFormat="1" hidden="1" outlineLevel="2" x14ac:dyDescent="0.25">
      <c r="A64" s="25"/>
      <c r="B64" s="11" t="str">
        <f>CONCATENATE("          ", "6254", " - ", "ROYALTY &amp; COMMISSIONS")</f>
        <v xml:space="preserve">          6254 - ROYALTY &amp; COMMISSIONS</v>
      </c>
      <c r="C64" s="11"/>
      <c r="D64" s="6">
        <v>7011.76</v>
      </c>
      <c r="E64" s="2"/>
      <c r="F64" s="7">
        <f t="shared" si="36"/>
        <v>0.24252813450326377</v>
      </c>
      <c r="G64" s="2"/>
      <c r="H64" s="6"/>
      <c r="I64" s="2"/>
      <c r="J64" s="7">
        <f t="shared" si="37"/>
        <v>0</v>
      </c>
      <c r="K64" s="2"/>
      <c r="L64" s="6">
        <f t="shared" si="38"/>
        <v>7011.76</v>
      </c>
      <c r="M64" s="2"/>
      <c r="N64" s="7">
        <f t="shared" si="39"/>
        <v>0</v>
      </c>
      <c r="O64" s="11"/>
      <c r="P64" s="6">
        <v>35313.08</v>
      </c>
      <c r="Q64" s="2"/>
      <c r="R64" s="7">
        <f t="shared" si="40"/>
        <v>0.2245090492906012</v>
      </c>
      <c r="S64" s="2"/>
      <c r="T64" s="6"/>
      <c r="U64" s="2"/>
      <c r="V64" s="7">
        <f t="shared" si="41"/>
        <v>0</v>
      </c>
      <c r="W64" s="2"/>
      <c r="X64" s="6">
        <f t="shared" si="42"/>
        <v>35313.08</v>
      </c>
      <c r="Y64" s="2"/>
      <c r="Z64" s="7">
        <f t="shared" si="43"/>
        <v>0</v>
      </c>
    </row>
    <row r="65" spans="1:26" s="27" customFormat="1" outlineLevel="1" collapsed="1" x14ac:dyDescent="0.25">
      <c r="A65" s="26"/>
      <c r="B65" s="13" t="str">
        <f>CONCATENATE("     ","Services                                          ")</f>
        <v xml:space="preserve">     Services                                          </v>
      </c>
      <c r="C65" s="13"/>
      <c r="D65" s="1">
        <f>SUM(OSRRefD22_10x_0)</f>
        <v>32.5</v>
      </c>
      <c r="E65" s="1"/>
      <c r="F65" s="5">
        <f t="shared" ref="F65:F72" si="44">IF(D$12=0,0,D65/D$12)</f>
        <v>1.124134934931611E-3</v>
      </c>
      <c r="G65" s="1"/>
      <c r="H65" s="1">
        <f>SUM(OSRRefH22_10x_0)</f>
        <v>25</v>
      </c>
      <c r="I65" s="1"/>
      <c r="J65" s="5">
        <f t="shared" ref="J65:J72" si="45">IF(H$12=0,0,H65/H$12)</f>
        <v>3.3333333333333332E-4</v>
      </c>
      <c r="K65" s="1"/>
      <c r="L65" s="1">
        <f t="shared" ref="L65:L72" si="46">+D65-H65</f>
        <v>7.5</v>
      </c>
      <c r="M65" s="1"/>
      <c r="N65" s="5">
        <f t="shared" ref="N65:N72" si="47">IF(H65=0,0,L65/H65)</f>
        <v>0.3</v>
      </c>
      <c r="O65" s="13"/>
      <c r="P65" s="1">
        <f>SUM(OSRRefP22_10x_0)</f>
        <v>126</v>
      </c>
      <c r="Q65" s="1"/>
      <c r="R65" s="5">
        <f t="shared" ref="R65:R72" si="48">IF(P$12=0,0,P65/P$12)</f>
        <v>8.0106691941387578E-4</v>
      </c>
      <c r="S65" s="1"/>
      <c r="T65" s="1">
        <f>SUM(OSRRefT22_10x_0)</f>
        <v>75</v>
      </c>
      <c r="U65" s="1"/>
      <c r="V65" s="5">
        <f t="shared" ref="V65:V72" si="49">IF(T$12=0,0,T65/T$12)</f>
        <v>6.1475409836065579E-4</v>
      </c>
      <c r="W65" s="1"/>
      <c r="X65" s="1">
        <f t="shared" ref="X65:X72" si="50">+P65-T65</f>
        <v>51</v>
      </c>
      <c r="Y65" s="1"/>
      <c r="Z65" s="5">
        <f t="shared" ref="Z65:Z72" si="51">IF(T65=0,0,X65/T65)</f>
        <v>0.68</v>
      </c>
    </row>
    <row r="66" spans="1:26" s="24" customFormat="1" hidden="1" outlineLevel="2" x14ac:dyDescent="0.25">
      <c r="A66" s="25"/>
      <c r="B66" s="11" t="str">
        <f>CONCATENATE("          ", "6286", " - ", "LAUNDRY EXPENSE")</f>
        <v xml:space="preserve">          6286 - LAUNDRY EXPENSE</v>
      </c>
      <c r="C66" s="11"/>
      <c r="D66" s="6">
        <v>32.5</v>
      </c>
      <c r="E66" s="2"/>
      <c r="F66" s="7">
        <f t="shared" si="44"/>
        <v>1.124134934931611E-3</v>
      </c>
      <c r="G66" s="2"/>
      <c r="H66" s="6">
        <v>25</v>
      </c>
      <c r="I66" s="2"/>
      <c r="J66" s="7">
        <f t="shared" si="45"/>
        <v>3.3333333333333332E-4</v>
      </c>
      <c r="K66" s="2"/>
      <c r="L66" s="6">
        <f t="shared" si="46"/>
        <v>7.5</v>
      </c>
      <c r="M66" s="2"/>
      <c r="N66" s="7">
        <f t="shared" si="47"/>
        <v>0.3</v>
      </c>
      <c r="O66" s="11"/>
      <c r="P66" s="6">
        <v>126</v>
      </c>
      <c r="Q66" s="2"/>
      <c r="R66" s="7">
        <f t="shared" si="48"/>
        <v>8.0106691941387578E-4</v>
      </c>
      <c r="S66" s="2"/>
      <c r="T66" s="6">
        <v>75</v>
      </c>
      <c r="U66" s="2"/>
      <c r="V66" s="7">
        <f t="shared" si="49"/>
        <v>6.1475409836065579E-4</v>
      </c>
      <c r="W66" s="2"/>
      <c r="X66" s="6">
        <f t="shared" si="50"/>
        <v>51</v>
      </c>
      <c r="Y66" s="2"/>
      <c r="Z66" s="7">
        <f t="shared" si="51"/>
        <v>0.68</v>
      </c>
    </row>
    <row r="67" spans="1:26" s="27" customFormat="1" outlineLevel="1" collapsed="1" x14ac:dyDescent="0.25">
      <c r="A67" s="26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SUM(OSRRefD22_11x_0)</f>
        <v>-78.529999999999916</v>
      </c>
      <c r="E67" s="1"/>
      <c r="F67" s="5">
        <f t="shared" si="44"/>
        <v>-2.7162558904670559E-3</v>
      </c>
      <c r="G67" s="1"/>
      <c r="H67" s="1">
        <f>SUM(OSRRefH22_11x_0)</f>
        <v>850</v>
      </c>
      <c r="I67" s="1"/>
      <c r="J67" s="5">
        <f t="shared" si="45"/>
        <v>1.1333333333333334E-2</v>
      </c>
      <c r="K67" s="1"/>
      <c r="L67" s="1">
        <f t="shared" si="46"/>
        <v>-928.53</v>
      </c>
      <c r="M67" s="1"/>
      <c r="N67" s="5">
        <f t="shared" si="47"/>
        <v>-1.0923882352941177</v>
      </c>
      <c r="O67" s="13"/>
      <c r="P67" s="1">
        <f>SUM(OSRRefP22_11x_0)</f>
        <v>5787.3600000000006</v>
      </c>
      <c r="Q67" s="1"/>
      <c r="R67" s="5">
        <f t="shared" si="48"/>
        <v>3.6794147989992768E-2</v>
      </c>
      <c r="S67" s="1"/>
      <c r="T67" s="1">
        <f>SUM(OSRRefT22_11x_0)</f>
        <v>2300</v>
      </c>
      <c r="U67" s="1"/>
      <c r="V67" s="5">
        <f t="shared" si="49"/>
        <v>1.8852459016393444E-2</v>
      </c>
      <c r="W67" s="1"/>
      <c r="X67" s="1">
        <f t="shared" si="50"/>
        <v>3487.3600000000006</v>
      </c>
      <c r="Y67" s="1"/>
      <c r="Z67" s="5">
        <f t="shared" si="51"/>
        <v>1.5162434782608698</v>
      </c>
    </row>
    <row r="68" spans="1:26" s="24" customFormat="1" hidden="1" outlineLevel="2" x14ac:dyDescent="0.25">
      <c r="A68" s="25"/>
      <c r="B68" s="11" t="str">
        <f>CONCATENATE("          ", "6237", " - ", "JANITORIAL SUPPLIES")</f>
        <v xml:space="preserve">          6237 - JANITORIAL SUPPLIES</v>
      </c>
      <c r="C68" s="11"/>
      <c r="D68" s="6"/>
      <c r="E68" s="2"/>
      <c r="F68" s="7">
        <f t="shared" si="44"/>
        <v>0</v>
      </c>
      <c r="G68" s="2"/>
      <c r="H68" s="6"/>
      <c r="I68" s="2"/>
      <c r="J68" s="7">
        <f t="shared" si="45"/>
        <v>0</v>
      </c>
      <c r="K68" s="2"/>
      <c r="L68" s="6">
        <f t="shared" si="46"/>
        <v>0</v>
      </c>
      <c r="M68" s="2"/>
      <c r="N68" s="7">
        <f t="shared" si="47"/>
        <v>0</v>
      </c>
      <c r="O68" s="11"/>
      <c r="P68" s="6">
        <v>78.81</v>
      </c>
      <c r="Q68" s="2"/>
      <c r="R68" s="7">
        <f t="shared" si="48"/>
        <v>5.0104828507148858E-4</v>
      </c>
      <c r="S68" s="2"/>
      <c r="T68" s="6"/>
      <c r="U68" s="2"/>
      <c r="V68" s="7">
        <f t="shared" si="49"/>
        <v>0</v>
      </c>
      <c r="W68" s="2"/>
      <c r="X68" s="6">
        <f t="shared" si="50"/>
        <v>78.81</v>
      </c>
      <c r="Y68" s="2"/>
      <c r="Z68" s="7">
        <f t="shared" si="51"/>
        <v>0</v>
      </c>
    </row>
    <row r="69" spans="1:26" s="24" customFormat="1" hidden="1" outlineLevel="2" x14ac:dyDescent="0.25">
      <c r="A69" s="25"/>
      <c r="B69" s="11" t="str">
        <f>CONCATENATE("          ", "6239", " - ", "KITCHEN SUPPLIES")</f>
        <v xml:space="preserve">          6239 - KITCHEN SUPPLIES</v>
      </c>
      <c r="C69" s="11"/>
      <c r="D69" s="6">
        <v>529.20000000000005</v>
      </c>
      <c r="E69" s="2"/>
      <c r="F69" s="7">
        <f t="shared" si="44"/>
        <v>1.8304375617409496E-2</v>
      </c>
      <c r="G69" s="2"/>
      <c r="H69" s="6">
        <v>100</v>
      </c>
      <c r="I69" s="2"/>
      <c r="J69" s="7">
        <f t="shared" si="45"/>
        <v>1.3333333333333333E-3</v>
      </c>
      <c r="K69" s="2"/>
      <c r="L69" s="6">
        <f t="shared" si="46"/>
        <v>429.20000000000005</v>
      </c>
      <c r="M69" s="2"/>
      <c r="N69" s="7">
        <f t="shared" si="47"/>
        <v>4.2920000000000007</v>
      </c>
      <c r="O69" s="11"/>
      <c r="P69" s="6">
        <v>4519.07</v>
      </c>
      <c r="Q69" s="2"/>
      <c r="R69" s="7">
        <f t="shared" si="48"/>
        <v>2.8730773678695743E-2</v>
      </c>
      <c r="S69" s="2"/>
      <c r="T69" s="6">
        <v>300</v>
      </c>
      <c r="U69" s="2"/>
      <c r="V69" s="7">
        <f t="shared" si="49"/>
        <v>2.4590163934426232E-3</v>
      </c>
      <c r="W69" s="2"/>
      <c r="X69" s="6">
        <f t="shared" si="50"/>
        <v>4219.07</v>
      </c>
      <c r="Y69" s="2"/>
      <c r="Z69" s="7">
        <f t="shared" si="51"/>
        <v>14.063566666666667</v>
      </c>
    </row>
    <row r="70" spans="1:26" s="24" customFormat="1" hidden="1" outlineLevel="2" x14ac:dyDescent="0.25">
      <c r="A70" s="25"/>
      <c r="B70" s="11" t="str">
        <f>CONCATENATE("          ", "6241", " - ", "OFFICE EXPENSE")</f>
        <v xml:space="preserve">          6241 - OFFICE EXPENSE</v>
      </c>
      <c r="C70" s="11"/>
      <c r="D70" s="6">
        <v>51.58</v>
      </c>
      <c r="E70" s="2"/>
      <c r="F70" s="7">
        <f t="shared" si="44"/>
        <v>1.7840886136545383E-3</v>
      </c>
      <c r="G70" s="2"/>
      <c r="H70" s="6">
        <v>250</v>
      </c>
      <c r="I70" s="2"/>
      <c r="J70" s="7">
        <f t="shared" si="45"/>
        <v>3.3333333333333335E-3</v>
      </c>
      <c r="K70" s="2"/>
      <c r="L70" s="6">
        <f t="shared" si="46"/>
        <v>-198.42000000000002</v>
      </c>
      <c r="M70" s="2"/>
      <c r="N70" s="7">
        <f t="shared" si="47"/>
        <v>-0.79368000000000005</v>
      </c>
      <c r="O70" s="11"/>
      <c r="P70" s="6">
        <v>135.93</v>
      </c>
      <c r="Q70" s="2"/>
      <c r="R70" s="7">
        <f t="shared" si="48"/>
        <v>8.6419862187244562E-4</v>
      </c>
      <c r="S70" s="2"/>
      <c r="T70" s="6">
        <v>500</v>
      </c>
      <c r="U70" s="2"/>
      <c r="V70" s="7">
        <f t="shared" si="49"/>
        <v>4.0983606557377051E-3</v>
      </c>
      <c r="W70" s="2"/>
      <c r="X70" s="6">
        <f t="shared" si="50"/>
        <v>-364.07</v>
      </c>
      <c r="Y70" s="2"/>
      <c r="Z70" s="7">
        <f t="shared" si="51"/>
        <v>-0.72814000000000001</v>
      </c>
    </row>
    <row r="71" spans="1:26" s="24" customFormat="1" hidden="1" outlineLevel="2" x14ac:dyDescent="0.25">
      <c r="A71" s="25"/>
      <c r="B71" s="11" t="str">
        <f>CONCATENATE("          ", "6243", " - ", "PAPER SUPPLIES")</f>
        <v xml:space="preserve">          6243 - PAPER SUPPLIES</v>
      </c>
      <c r="C71" s="11"/>
      <c r="D71" s="6">
        <v>-930</v>
      </c>
      <c r="E71" s="2"/>
      <c r="F71" s="7">
        <f t="shared" si="44"/>
        <v>-3.2167553522658404E-2</v>
      </c>
      <c r="G71" s="2"/>
      <c r="H71" s="6">
        <v>500</v>
      </c>
      <c r="I71" s="2"/>
      <c r="J71" s="7">
        <f t="shared" si="45"/>
        <v>6.6666666666666671E-3</v>
      </c>
      <c r="K71" s="2"/>
      <c r="L71" s="6">
        <f t="shared" si="46"/>
        <v>-1430</v>
      </c>
      <c r="M71" s="2"/>
      <c r="N71" s="7">
        <f t="shared" si="47"/>
        <v>-2.86</v>
      </c>
      <c r="O71" s="11"/>
      <c r="P71" s="6">
        <v>-642.03</v>
      </c>
      <c r="Q71" s="2"/>
      <c r="R71" s="7">
        <f t="shared" si="48"/>
        <v>-4.0818174148515131E-3</v>
      </c>
      <c r="S71" s="2"/>
      <c r="T71" s="6">
        <v>1500</v>
      </c>
      <c r="U71" s="2"/>
      <c r="V71" s="7">
        <f t="shared" si="49"/>
        <v>1.2295081967213115E-2</v>
      </c>
      <c r="W71" s="2"/>
      <c r="X71" s="6">
        <f t="shared" si="50"/>
        <v>-2142.0299999999997</v>
      </c>
      <c r="Y71" s="2"/>
      <c r="Z71" s="7">
        <f t="shared" si="51"/>
        <v>-1.4280199999999998</v>
      </c>
    </row>
    <row r="72" spans="1:26" s="24" customFormat="1" hidden="1" outlineLevel="2" x14ac:dyDescent="0.25">
      <c r="A72" s="25"/>
      <c r="B72" s="11" t="str">
        <f>CONCATENATE("          ", "6247", " - ", "STORE SUPPLIES")</f>
        <v xml:space="preserve">          6247 - STORE SUPPLIES</v>
      </c>
      <c r="C72" s="11"/>
      <c r="D72" s="6">
        <v>270.69</v>
      </c>
      <c r="E72" s="2"/>
      <c r="F72" s="7">
        <f t="shared" si="44"/>
        <v>9.3628334011273164E-3</v>
      </c>
      <c r="G72" s="2"/>
      <c r="H72" s="6"/>
      <c r="I72" s="2"/>
      <c r="J72" s="7">
        <f t="shared" si="45"/>
        <v>0</v>
      </c>
      <c r="K72" s="2"/>
      <c r="L72" s="6">
        <f t="shared" si="46"/>
        <v>270.69</v>
      </c>
      <c r="M72" s="2"/>
      <c r="N72" s="7">
        <f t="shared" si="47"/>
        <v>0</v>
      </c>
      <c r="O72" s="11"/>
      <c r="P72" s="6">
        <v>1695.58</v>
      </c>
      <c r="Q72" s="2"/>
      <c r="R72" s="7">
        <f t="shared" si="48"/>
        <v>1.07799448192046E-2</v>
      </c>
      <c r="S72" s="2"/>
      <c r="T72" s="6"/>
      <c r="U72" s="2"/>
      <c r="V72" s="7">
        <f t="shared" si="49"/>
        <v>0</v>
      </c>
      <c r="W72" s="2"/>
      <c r="X72" s="6">
        <f t="shared" si="50"/>
        <v>1695.58</v>
      </c>
      <c r="Y72" s="2"/>
      <c r="Z72" s="7">
        <f t="shared" si="51"/>
        <v>0</v>
      </c>
    </row>
    <row r="73" spans="1:26" s="27" customFormat="1" outlineLevel="1" collapsed="1" x14ac:dyDescent="0.25">
      <c r="A73" s="26"/>
      <c r="B73" s="13" t="str">
        <f>CONCATENATE("     ","Telephone/Data Lines                              ")</f>
        <v xml:space="preserve">     Telephone/Data Lines                              </v>
      </c>
      <c r="C73" s="13"/>
      <c r="D73" s="1">
        <f>SUM(OSRRefD22_12x_0)</f>
        <v>214.01</v>
      </c>
      <c r="E73" s="1"/>
      <c r="F73" s="5">
        <f t="shared" ref="F73:F75" si="52">IF(D$12=0,0,D73/D$12)</f>
        <v>7.4023420746065867E-3</v>
      </c>
      <c r="G73" s="1"/>
      <c r="H73" s="1">
        <f>SUM(OSRRefH22_12x_0)</f>
        <v>298</v>
      </c>
      <c r="I73" s="1"/>
      <c r="J73" s="5">
        <f t="shared" ref="J73:J75" si="53">IF(H$12=0,0,H73/H$12)</f>
        <v>3.9733333333333331E-3</v>
      </c>
      <c r="K73" s="1"/>
      <c r="L73" s="1">
        <f t="shared" ref="L73:L75" si="54">+D73-H73</f>
        <v>-83.990000000000009</v>
      </c>
      <c r="M73" s="1"/>
      <c r="N73" s="5">
        <f t="shared" ref="N73:N75" si="55">IF(H73=0,0,L73/H73)</f>
        <v>-0.28184563758389264</v>
      </c>
      <c r="O73" s="13"/>
      <c r="P73" s="1">
        <f>SUM(OSRRefP22_12x_0)</f>
        <v>1926.08</v>
      </c>
      <c r="Q73" s="1"/>
      <c r="R73" s="5">
        <f t="shared" ref="R73:R75" si="56">IF(P$12=0,0,P73/P$12)</f>
        <v>1.2245388667814903E-2</v>
      </c>
      <c r="S73" s="1"/>
      <c r="T73" s="1">
        <f>SUM(OSRRefT22_12x_0)</f>
        <v>2682</v>
      </c>
      <c r="U73" s="1"/>
      <c r="V73" s="5">
        <f t="shared" ref="V73:V75" si="57">IF(T$12=0,0,T73/T$12)</f>
        <v>2.198360655737705E-2</v>
      </c>
      <c r="W73" s="1"/>
      <c r="X73" s="1">
        <f t="shared" ref="X73:X75" si="58">+P73-T73</f>
        <v>-755.92000000000007</v>
      </c>
      <c r="Y73" s="1"/>
      <c r="Z73" s="5">
        <f t="shared" ref="Z73:Z75" si="59">IF(T73=0,0,X73/T73)</f>
        <v>-0.28184936614466821</v>
      </c>
    </row>
    <row r="74" spans="1:26" s="24" customFormat="1" hidden="1" outlineLevel="2" x14ac:dyDescent="0.25">
      <c r="A74" s="25"/>
      <c r="B74" s="11" t="str">
        <f>CONCATENATE("          ", "6303", " - ", "DATA PHONE LINES")</f>
        <v xml:space="preserve">          6303 - DATA PHONE LINES</v>
      </c>
      <c r="C74" s="11"/>
      <c r="D74" s="6"/>
      <c r="E74" s="2"/>
      <c r="F74" s="7">
        <f t="shared" si="52"/>
        <v>0</v>
      </c>
      <c r="G74" s="2"/>
      <c r="H74" s="6">
        <v>298</v>
      </c>
      <c r="I74" s="2"/>
      <c r="J74" s="7">
        <f t="shared" si="53"/>
        <v>3.9733333333333331E-3</v>
      </c>
      <c r="K74" s="2"/>
      <c r="L74" s="6">
        <f t="shared" si="54"/>
        <v>-298</v>
      </c>
      <c r="M74" s="2"/>
      <c r="N74" s="7">
        <f t="shared" si="55"/>
        <v>-1</v>
      </c>
      <c r="O74" s="11"/>
      <c r="P74" s="6"/>
      <c r="Q74" s="2"/>
      <c r="R74" s="7">
        <f t="shared" si="56"/>
        <v>0</v>
      </c>
      <c r="S74" s="2"/>
      <c r="T74" s="6">
        <v>2682</v>
      </c>
      <c r="U74" s="2"/>
      <c r="V74" s="7">
        <f t="shared" si="57"/>
        <v>2.198360655737705E-2</v>
      </c>
      <c r="W74" s="2"/>
      <c r="X74" s="6">
        <f t="shared" si="58"/>
        <v>-2682</v>
      </c>
      <c r="Y74" s="2"/>
      <c r="Z74" s="7">
        <f t="shared" si="59"/>
        <v>-1</v>
      </c>
    </row>
    <row r="75" spans="1:26" s="24" customFormat="1" hidden="1" outlineLevel="2" x14ac:dyDescent="0.25">
      <c r="A75" s="25"/>
      <c r="B75" s="11" t="str">
        <f>CONCATENATE("          ", "6309", " - ", "TELEPHONE")</f>
        <v xml:space="preserve">          6309 - TELEPHONE</v>
      </c>
      <c r="C75" s="11"/>
      <c r="D75" s="6">
        <v>214.01</v>
      </c>
      <c r="E75" s="2"/>
      <c r="F75" s="7">
        <f t="shared" si="52"/>
        <v>7.4023420746065867E-3</v>
      </c>
      <c r="G75" s="2"/>
      <c r="H75" s="6"/>
      <c r="I75" s="2"/>
      <c r="J75" s="7">
        <f t="shared" si="53"/>
        <v>0</v>
      </c>
      <c r="K75" s="2"/>
      <c r="L75" s="6">
        <f t="shared" si="54"/>
        <v>214.01</v>
      </c>
      <c r="M75" s="2"/>
      <c r="N75" s="7">
        <f t="shared" si="55"/>
        <v>0</v>
      </c>
      <c r="O75" s="11"/>
      <c r="P75" s="6">
        <v>1926.08</v>
      </c>
      <c r="Q75" s="2"/>
      <c r="R75" s="7">
        <f t="shared" si="56"/>
        <v>1.2245388667814903E-2</v>
      </c>
      <c r="S75" s="2"/>
      <c r="T75" s="6"/>
      <c r="U75" s="2"/>
      <c r="V75" s="7">
        <f t="shared" si="57"/>
        <v>0</v>
      </c>
      <c r="W75" s="2"/>
      <c r="X75" s="6">
        <f t="shared" si="58"/>
        <v>1926.08</v>
      </c>
      <c r="Y75" s="2"/>
      <c r="Z75" s="7">
        <f t="shared" si="59"/>
        <v>0</v>
      </c>
    </row>
    <row r="76" spans="1:26" s="56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collapsed="1" x14ac:dyDescent="0.25">
      <c r="A77" s="10"/>
      <c r="B77" s="29" t="s">
        <v>0</v>
      </c>
      <c r="C77" s="10"/>
      <c r="D77" s="4">
        <f>SUM(OSRRefD25x_0)</f>
        <v>2763.24</v>
      </c>
      <c r="E77" s="4"/>
      <c r="F77" s="12">
        <f t="shared" ref="F77:F78" si="60">IF(D$12=0,0,D77/D$12)</f>
        <v>9.5577065156936133E-2</v>
      </c>
      <c r="G77" s="4"/>
      <c r="H77" s="4">
        <f>SUM(OSRRefH25x_0)</f>
        <v>4500</v>
      </c>
      <c r="I77" s="4"/>
      <c r="J77" s="12">
        <f t="shared" ref="J77:J78" si="61">IF(H$12=0,0,H77/H$12)</f>
        <v>0.06</v>
      </c>
      <c r="K77" s="4"/>
      <c r="L77" s="4">
        <f t="shared" ref="L77:L78" si="62">+D77-H77</f>
        <v>-1736.7600000000002</v>
      </c>
      <c r="M77" s="4"/>
      <c r="N77" s="12">
        <f t="shared" ref="N77:N78" si="63">IF(H77=0,0,L77/H77)</f>
        <v>-0.38594666666666672</v>
      </c>
      <c r="O77" s="10"/>
      <c r="P77" s="4">
        <f>SUM(OSRRefP25x_0)</f>
        <v>8452.17</v>
      </c>
      <c r="Q77" s="4"/>
      <c r="R77" s="12">
        <f t="shared" ref="R77:R78" si="64">IF(P$12=0,0,P77/P$12)</f>
        <v>5.3736141144939513E-2</v>
      </c>
      <c r="S77" s="4"/>
      <c r="T77" s="4">
        <f>SUM(OSRRefT25x_0)</f>
        <v>9000</v>
      </c>
      <c r="U77" s="4"/>
      <c r="V77" s="12">
        <f t="shared" ref="V77:V78" si="65">IF(T$12=0,0,T77/T$12)</f>
        <v>7.3770491803278687E-2</v>
      </c>
      <c r="W77" s="4"/>
      <c r="X77" s="4">
        <f t="shared" ref="X77:X78" si="66">+P77-T77</f>
        <v>-547.82999999999993</v>
      </c>
      <c r="Y77" s="4"/>
      <c r="Z77" s="12">
        <f t="shared" ref="Z77:Z78" si="67">IF(T77=0,0,X77/T77)</f>
        <v>-6.0869999999999994E-2</v>
      </c>
    </row>
    <row r="78" spans="1:26" s="24" customFormat="1" hidden="1" outlineLevel="1" x14ac:dyDescent="0.25">
      <c r="A78" s="44"/>
      <c r="B78" s="11" t="str">
        <f>CONCATENATE("          ", "9150", " - ", "MISC. INCOME")</f>
        <v xml:space="preserve">          9150 - MISC. INCOME</v>
      </c>
      <c r="C78" s="11"/>
      <c r="D78" s="2">
        <f>--2763.24</f>
        <v>2763.24</v>
      </c>
      <c r="E78" s="2"/>
      <c r="F78" s="19">
        <f t="shared" si="60"/>
        <v>9.5577065156936133E-2</v>
      </c>
      <c r="G78" s="2"/>
      <c r="H78" s="2">
        <v>4500</v>
      </c>
      <c r="I78" s="2"/>
      <c r="J78" s="19">
        <f t="shared" si="61"/>
        <v>0.06</v>
      </c>
      <c r="K78" s="2"/>
      <c r="L78" s="2">
        <f t="shared" si="62"/>
        <v>-1736.7600000000002</v>
      </c>
      <c r="M78" s="2"/>
      <c r="N78" s="19">
        <f t="shared" si="63"/>
        <v>-0.38594666666666672</v>
      </c>
      <c r="O78" s="11"/>
      <c r="P78" s="2">
        <f>--8452.17</f>
        <v>8452.17</v>
      </c>
      <c r="Q78" s="2"/>
      <c r="R78" s="19">
        <f t="shared" si="64"/>
        <v>5.3736141144939513E-2</v>
      </c>
      <c r="S78" s="2"/>
      <c r="T78" s="2">
        <v>9000</v>
      </c>
      <c r="U78" s="2"/>
      <c r="V78" s="19">
        <f t="shared" si="65"/>
        <v>7.3770491803278687E-2</v>
      </c>
      <c r="W78" s="2"/>
      <c r="X78" s="2">
        <f t="shared" si="66"/>
        <v>-547.82999999999993</v>
      </c>
      <c r="Y78" s="2"/>
      <c r="Z78" s="19">
        <f t="shared" si="67"/>
        <v>-6.0869999999999994E-2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8" t="s">
        <v>3</v>
      </c>
      <c r="C80" s="28"/>
      <c r="D80" s="20">
        <f>+D23-D25+D77</f>
        <v>5445.0700000000052</v>
      </c>
      <c r="E80" s="14"/>
      <c r="F80" s="22">
        <f>IF(D$12=0,0,D80/D$12)</f>
        <v>0.18833825877378685</v>
      </c>
      <c r="G80" s="14"/>
      <c r="H80" s="20">
        <f>+H23-H25+H77</f>
        <v>36808.178500000002</v>
      </c>
      <c r="I80" s="14"/>
      <c r="J80" s="22">
        <f>IF(H$12=0,0,H80/H$12)</f>
        <v>0.49077571333333336</v>
      </c>
      <c r="K80" s="16"/>
      <c r="L80" s="20">
        <f>+D80-H80</f>
        <v>-31363.108499999995</v>
      </c>
      <c r="M80" s="16"/>
      <c r="N80" s="22">
        <f>IF(H80=0,0,L80/H80)</f>
        <v>-0.85206901775919153</v>
      </c>
      <c r="O80" s="29"/>
      <c r="P80" s="20">
        <f>+P23-P25+P77</f>
        <v>38332.290000000023</v>
      </c>
      <c r="Q80" s="14"/>
      <c r="R80" s="22">
        <f>IF(P$12=0,0,P80/P$12)</f>
        <v>0.2437042020982487</v>
      </c>
      <c r="S80" s="14"/>
      <c r="T80" s="20">
        <f>+T23-T25+T77</f>
        <v>28178.4758</v>
      </c>
      <c r="U80" s="14"/>
      <c r="V80" s="22">
        <f>IF(T$12=0,0,T80/T$12)</f>
        <v>0.2309711131147541</v>
      </c>
      <c r="W80" s="16"/>
      <c r="X80" s="20">
        <f>+P80-T80</f>
        <v>10153.814200000023</v>
      </c>
      <c r="Y80" s="16"/>
      <c r="Z80" s="22">
        <f>IF(T80=0,0,X80/T80)</f>
        <v>0.36033936938491268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2"/>
      <c r="B82" s="10" t="s">
        <v>14</v>
      </c>
      <c r="C82" s="10"/>
      <c r="D82" s="4">
        <v>3769.66</v>
      </c>
      <c r="E82" s="4"/>
      <c r="F82" s="12">
        <f>IF(D$12=0,0,D82/D$12)</f>
        <v>0.13038789227120912</v>
      </c>
      <c r="G82" s="4"/>
      <c r="H82" s="4">
        <v>8609</v>
      </c>
      <c r="I82" s="4"/>
      <c r="J82" s="12">
        <f>IF(H$12=0,0,H82/H$12)</f>
        <v>0.11478666666666666</v>
      </c>
      <c r="K82" s="4"/>
      <c r="L82" s="4">
        <f>+D82-H82</f>
        <v>-4839.34</v>
      </c>
      <c r="M82" s="4"/>
      <c r="N82" s="12">
        <f>IF(H82=0,0,L82/H82)</f>
        <v>-0.56212568242536887</v>
      </c>
      <c r="O82" s="10"/>
      <c r="P82" s="4">
        <v>16854.030000000002</v>
      </c>
      <c r="Q82" s="4"/>
      <c r="R82" s="12">
        <f>IF(P$12=0,0,P82/P$12)</f>
        <v>0.10715242771277021</v>
      </c>
      <c r="S82" s="4"/>
      <c r="T82" s="4">
        <v>14261</v>
      </c>
      <c r="U82" s="4"/>
      <c r="V82" s="12">
        <f>IF(T$12=0,0,T82/T$12)</f>
        <v>0.11689344262295082</v>
      </c>
      <c r="W82" s="4"/>
      <c r="X82" s="4">
        <f>+P82-T82</f>
        <v>2593.0300000000025</v>
      </c>
      <c r="Y82" s="4"/>
      <c r="Z82" s="12">
        <f>IF(T82=0,0,X82/T82)</f>
        <v>0.18182666012201126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8" t="s">
        <v>4</v>
      </c>
      <c r="C84" s="28"/>
      <c r="D84" s="31">
        <f>+D80-D82</f>
        <v>1675.4100000000053</v>
      </c>
      <c r="E84" s="14"/>
      <c r="F84" s="34">
        <f>IF(D$12=0,0,D84/D$12)</f>
        <v>5.7950366502577733E-2</v>
      </c>
      <c r="G84" s="14"/>
      <c r="H84" s="31">
        <f>+H80-H82</f>
        <v>28199.178500000002</v>
      </c>
      <c r="I84" s="14"/>
      <c r="J84" s="34">
        <f>IF(H$12=0,0,H84/H$12)</f>
        <v>0.37598904666666672</v>
      </c>
      <c r="K84" s="16"/>
      <c r="L84" s="31">
        <f>D84-H84</f>
        <v>-26523.768499999998</v>
      </c>
      <c r="M84" s="16"/>
      <c r="N84" s="34">
        <f>IF(H84=0,0,L84/H84)</f>
        <v>-0.9405865670874064</v>
      </c>
      <c r="O84" s="29"/>
      <c r="P84" s="31">
        <f>+P80-P82</f>
        <v>21478.26000000002</v>
      </c>
      <c r="Q84" s="14"/>
      <c r="R84" s="34">
        <f>IF(P$12=0,0,P84/P$12)</f>
        <v>0.13655177438547847</v>
      </c>
      <c r="S84" s="14"/>
      <c r="T84" s="31">
        <f>+T80-T82</f>
        <v>13917.4758</v>
      </c>
      <c r="U84" s="14"/>
      <c r="V84" s="34">
        <f>IF(T$12=0,0,T84/T$12)</f>
        <v>0.11407767049180328</v>
      </c>
      <c r="W84" s="16"/>
      <c r="X84" s="31">
        <f>P84-T84</f>
        <v>7560.7842000000201</v>
      </c>
      <c r="Y84" s="16"/>
      <c r="Z84" s="34">
        <f>IF(T84=0,0,X84/T84)</f>
        <v>0.5432582968816817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8" t="s">
        <v>5</v>
      </c>
      <c r="C87" s="28"/>
      <c r="D87" s="32">
        <f>SUM(D84:D86)</f>
        <v>1675.4100000000053</v>
      </c>
      <c r="E87" s="14"/>
      <c r="F87" s="35">
        <f>IF(D$12=0,0,D87/D$12)</f>
        <v>5.7950366502577733E-2</v>
      </c>
      <c r="G87" s="14"/>
      <c r="H87" s="32">
        <f>SUM(H84:H86)</f>
        <v>28199.178500000002</v>
      </c>
      <c r="I87" s="14"/>
      <c r="J87" s="35">
        <f>IF(H$12=0,0,H87/H$12)</f>
        <v>0.37598904666666672</v>
      </c>
      <c r="K87" s="16"/>
      <c r="L87" s="32">
        <f>+D87-H87</f>
        <v>-26523.768499999998</v>
      </c>
      <c r="M87" s="16"/>
      <c r="N87" s="35">
        <f>IF(H87=0,0,L87/H87)</f>
        <v>-0.9405865670874064</v>
      </c>
      <c r="O87" s="29"/>
      <c r="P87" s="32">
        <f>SUM(P84:P86)</f>
        <v>21478.26000000002</v>
      </c>
      <c r="Q87" s="14"/>
      <c r="R87" s="35">
        <f>IF(P$12=0,0,P87/P$12)</f>
        <v>0.13655177438547847</v>
      </c>
      <c r="S87" s="14"/>
      <c r="T87" s="32">
        <f>SUM(T84:T86)</f>
        <v>13917.4758</v>
      </c>
      <c r="U87" s="14"/>
      <c r="V87" s="35">
        <f>IF(T$12=0,0,T87/T$12)</f>
        <v>0.11407767049180328</v>
      </c>
      <c r="W87" s="16"/>
      <c r="X87" s="32">
        <f>+P87-T87</f>
        <v>7560.7842000000201</v>
      </c>
      <c r="Y87" s="16"/>
      <c r="Z87" s="35">
        <f>IF(T87=0,0,X87/T87)</f>
        <v>0.5432582968816817</v>
      </c>
    </row>
    <row r="88" spans="1:26" ht="15.75" thickTop="1" x14ac:dyDescent="0.25">
      <c r="A88" s="9"/>
      <c r="C88" s="9"/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57">
        <v>43934.46687491898</v>
      </c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62" t="s">
        <v>314</v>
      </c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60"/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","425", " - ", "Events Center")</f>
        <v>Department 425 - Events Center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14517.5</v>
      </c>
      <c r="E12" s="4"/>
      <c r="F12" s="12"/>
      <c r="G12" s="4"/>
      <c r="H12" s="4">
        <f>SUM(OSRRefH13x_0)</f>
        <v>80000</v>
      </c>
      <c r="I12" s="4"/>
      <c r="J12" s="12"/>
      <c r="K12" s="4"/>
      <c r="L12" s="4">
        <f t="shared" ref="L12:L18" si="0">+D12-H12</f>
        <v>-65482.5</v>
      </c>
      <c r="M12" s="4"/>
      <c r="N12" s="12">
        <f t="shared" ref="N12:N18" si="1">IF(H12=0,0,L12/H12)</f>
        <v>-0.81853125000000004</v>
      </c>
      <c r="O12" s="10"/>
      <c r="P12" s="4">
        <f>SUM(OSRRefP13x_0)</f>
        <v>392328.46</v>
      </c>
      <c r="Q12" s="4"/>
      <c r="R12" s="12"/>
      <c r="S12" s="4"/>
      <c r="T12" s="4">
        <f>SUM(OSRRefT13x_0)</f>
        <v>490000</v>
      </c>
      <c r="U12" s="4"/>
      <c r="V12" s="12"/>
      <c r="W12" s="4"/>
      <c r="X12" s="4">
        <f t="shared" ref="X12:X18" si="2">+P12-T12</f>
        <v>-97671.539999999979</v>
      </c>
      <c r="Y12" s="4"/>
      <c r="Z12" s="12">
        <f t="shared" ref="Z12:Z18" si="3">IF(T12=0,0,X12/T12)</f>
        <v>-0.19932967346938771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20000</v>
      </c>
      <c r="I13" s="2"/>
      <c r="J13" s="19"/>
      <c r="K13" s="2"/>
      <c r="L13" s="2">
        <f t="shared" si="0"/>
        <v>-20000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122500</v>
      </c>
      <c r="U13" s="2"/>
      <c r="V13" s="19"/>
      <c r="W13" s="2"/>
      <c r="X13" s="2">
        <f t="shared" si="2"/>
        <v>-122500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--12782.34</f>
        <v>12782.34</v>
      </c>
      <c r="E14" s="2"/>
      <c r="F14" s="19"/>
      <c r="G14" s="2"/>
      <c r="H14" s="2"/>
      <c r="I14" s="2"/>
      <c r="J14" s="19"/>
      <c r="K14" s="2"/>
      <c r="L14" s="2">
        <f t="shared" si="0"/>
        <v>12782.34</v>
      </c>
      <c r="M14" s="2"/>
      <c r="N14" s="19">
        <f t="shared" si="1"/>
        <v>0</v>
      </c>
      <c r="O14" s="11"/>
      <c r="P14" s="2">
        <f>--296449.41</f>
        <v>296449.40999999997</v>
      </c>
      <c r="Q14" s="2"/>
      <c r="R14" s="19"/>
      <c r="S14" s="2"/>
      <c r="T14" s="2"/>
      <c r="U14" s="2"/>
      <c r="V14" s="19"/>
      <c r="W14" s="2"/>
      <c r="X14" s="2">
        <f t="shared" si="2"/>
        <v>296449.40999999997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--1735.16</f>
        <v>1735.16</v>
      </c>
      <c r="E15" s="2"/>
      <c r="F15" s="19"/>
      <c r="G15" s="2"/>
      <c r="H15" s="2"/>
      <c r="I15" s="2"/>
      <c r="J15" s="19"/>
      <c r="K15" s="2"/>
      <c r="L15" s="2">
        <f t="shared" si="0"/>
        <v>1735.16</v>
      </c>
      <c r="M15" s="2"/>
      <c r="N15" s="19">
        <f t="shared" si="1"/>
        <v>0</v>
      </c>
      <c r="O15" s="11"/>
      <c r="P15" s="2">
        <f>--95481.76</f>
        <v>95481.76</v>
      </c>
      <c r="Q15" s="2"/>
      <c r="R15" s="19"/>
      <c r="S15" s="2"/>
      <c r="T15" s="2"/>
      <c r="U15" s="2"/>
      <c r="V15" s="19"/>
      <c r="W15" s="2"/>
      <c r="X15" s="2">
        <f t="shared" si="2"/>
        <v>95481.76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 t="shared" ref="D16:D18" si="4">0</f>
        <v>0</v>
      </c>
      <c r="E16" s="2"/>
      <c r="F16" s="19"/>
      <c r="G16" s="2"/>
      <c r="H16" s="2">
        <v>60000</v>
      </c>
      <c r="I16" s="2"/>
      <c r="J16" s="19"/>
      <c r="K16" s="2"/>
      <c r="L16" s="2">
        <f t="shared" si="0"/>
        <v>-60000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v>367500</v>
      </c>
      <c r="U16" s="2"/>
      <c r="V16" s="19"/>
      <c r="W16" s="2"/>
      <c r="X16" s="2">
        <f t="shared" si="2"/>
        <v>-367500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"4151", " - ", "NON-TAXABLE SALES-FOOD")</f>
        <v xml:space="preserve">          4151 - NON-TAXABLE SALES-FOOD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--0.08</f>
        <v>0.08</v>
      </c>
      <c r="Q17" s="2"/>
      <c r="R17" s="19"/>
      <c r="S17" s="2"/>
      <c r="T17" s="2"/>
      <c r="U17" s="2"/>
      <c r="V17" s="19"/>
      <c r="W17" s="2"/>
      <c r="X17" s="2">
        <f t="shared" si="2"/>
        <v>0.08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"4152", " - ", "NON-TAXABLE SALES-FOOD")</f>
        <v xml:space="preserve">          4152 - NON-TAXABLE SALES-FOOD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--397.21</f>
        <v>397.21</v>
      </c>
      <c r="Q18" s="2"/>
      <c r="R18" s="19"/>
      <c r="S18" s="2"/>
      <c r="T18" s="2"/>
      <c r="U18" s="2"/>
      <c r="V18" s="19"/>
      <c r="W18" s="2"/>
      <c r="X18" s="2">
        <f t="shared" si="2"/>
        <v>397.21</v>
      </c>
      <c r="Y18" s="2"/>
      <c r="Z18" s="19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9" t="s">
        <v>8</v>
      </c>
      <c r="C20" s="10"/>
      <c r="D20" s="4">
        <f>SUM(OSRRefD16x_0)</f>
        <v>3338.91</v>
      </c>
      <c r="E20" s="4"/>
      <c r="F20" s="12">
        <f t="shared" ref="F20:F23" si="5">IF(D$12=0,0,D20/D$12)</f>
        <v>0.22999207852591699</v>
      </c>
      <c r="G20" s="4"/>
      <c r="H20" s="4">
        <f>SUM(OSRRefH16x_0)</f>
        <v>18400</v>
      </c>
      <c r="I20" s="4"/>
      <c r="J20" s="12">
        <f t="shared" ref="J20:J23" si="6">IF(H$12=0,0,H20/H$12)</f>
        <v>0.23</v>
      </c>
      <c r="K20" s="4"/>
      <c r="L20" s="4">
        <f t="shared" ref="L20:L23" si="7">+D20-H20</f>
        <v>-15061.09</v>
      </c>
      <c r="M20" s="4"/>
      <c r="N20" s="12">
        <f t="shared" ref="N20:N23" si="8">IF(H20=0,0,L20/H20)</f>
        <v>-0.81853750000000003</v>
      </c>
      <c r="O20" s="10"/>
      <c r="P20" s="4">
        <f>SUM(OSRRefP16x_0)</f>
        <v>102308.69</v>
      </c>
      <c r="Q20" s="4"/>
      <c r="R20" s="12">
        <f t="shared" ref="R20:R23" si="9">IF(P$12=0,0,P20/P$12)</f>
        <v>0.26077305225320641</v>
      </c>
      <c r="S20" s="4"/>
      <c r="T20" s="4">
        <f>SUM(OSRRefT16x_0)</f>
        <v>112700</v>
      </c>
      <c r="U20" s="4"/>
      <c r="V20" s="12">
        <f t="shared" ref="V20:V23" si="10">IF(T$12=0,0,T20/T$12)</f>
        <v>0.23</v>
      </c>
      <c r="W20" s="4"/>
      <c r="X20" s="4">
        <f t="shared" ref="X20:X23" si="11">+P20-T20</f>
        <v>-10391.309999999998</v>
      </c>
      <c r="Y20" s="4"/>
      <c r="Z20" s="12">
        <f t="shared" ref="Z20:Z23" si="12">IF(T20=0,0,X20/T20)</f>
        <v>-9.2203283052351356E-2</v>
      </c>
    </row>
    <row r="21" spans="1:26" s="24" customFormat="1" hidden="1" outlineLevel="1" x14ac:dyDescent="0.25">
      <c r="A21" s="44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19">
        <f t="shared" si="5"/>
        <v>0</v>
      </c>
      <c r="G21" s="2"/>
      <c r="H21" s="2">
        <v>18400</v>
      </c>
      <c r="I21" s="2"/>
      <c r="J21" s="19">
        <f t="shared" si="6"/>
        <v>0.23</v>
      </c>
      <c r="K21" s="2"/>
      <c r="L21" s="2">
        <f t="shared" si="7"/>
        <v>-18400</v>
      </c>
      <c r="M21" s="2"/>
      <c r="N21" s="19">
        <f t="shared" si="8"/>
        <v>-1</v>
      </c>
      <c r="O21" s="11"/>
      <c r="P21" s="2"/>
      <c r="Q21" s="2"/>
      <c r="R21" s="19">
        <f t="shared" si="9"/>
        <v>0</v>
      </c>
      <c r="S21" s="2"/>
      <c r="T21" s="2">
        <v>112700</v>
      </c>
      <c r="U21" s="2"/>
      <c r="V21" s="19">
        <f t="shared" si="10"/>
        <v>0.23</v>
      </c>
      <c r="W21" s="2"/>
      <c r="X21" s="2">
        <f t="shared" si="11"/>
        <v>-112700</v>
      </c>
      <c r="Y21" s="2"/>
      <c r="Z21" s="19">
        <f t="shared" si="12"/>
        <v>-1</v>
      </c>
    </row>
    <row r="22" spans="1:26" s="24" customFormat="1" hidden="1" outlineLevel="1" x14ac:dyDescent="0.25">
      <c r="A22" s="44"/>
      <c r="B22" s="11" t="str">
        <f>CONCATENATE("          ", "5053", " - ", "PURCHASES @ COST-FOOD")</f>
        <v xml:space="preserve">          5053 - PURCHASES @ COST-FOOD</v>
      </c>
      <c r="C22" s="11"/>
      <c r="D22" s="2">
        <v>6816.91</v>
      </c>
      <c r="E22" s="2"/>
      <c r="F22" s="19">
        <f t="shared" si="5"/>
        <v>0.46956500774926813</v>
      </c>
      <c r="G22" s="2"/>
      <c r="H22" s="2"/>
      <c r="I22" s="2"/>
      <c r="J22" s="19">
        <f t="shared" si="6"/>
        <v>0</v>
      </c>
      <c r="K22" s="2"/>
      <c r="L22" s="2">
        <f t="shared" si="7"/>
        <v>6816.91</v>
      </c>
      <c r="M22" s="2"/>
      <c r="N22" s="19">
        <f t="shared" si="8"/>
        <v>0</v>
      </c>
      <c r="O22" s="11"/>
      <c r="P22" s="2">
        <v>116056.69</v>
      </c>
      <c r="Q22" s="2"/>
      <c r="R22" s="19">
        <f t="shared" si="9"/>
        <v>0.29581511879102523</v>
      </c>
      <c r="S22" s="2"/>
      <c r="T22" s="2"/>
      <c r="U22" s="2"/>
      <c r="V22" s="19">
        <f t="shared" si="10"/>
        <v>0</v>
      </c>
      <c r="W22" s="2"/>
      <c r="X22" s="2">
        <f t="shared" si="11"/>
        <v>116056.69</v>
      </c>
      <c r="Y22" s="2"/>
      <c r="Z22" s="19">
        <f t="shared" si="12"/>
        <v>0</v>
      </c>
    </row>
    <row r="23" spans="1:26" s="24" customFormat="1" hidden="1" outlineLevel="1" x14ac:dyDescent="0.25">
      <c r="A23" s="44"/>
      <c r="B23" s="11" t="str">
        <f>CONCATENATE("          ", "5059", " - ", "PURCHASES @ COST-FOOD")</f>
        <v xml:space="preserve">          5059 - PURCHASES @ COST-FOOD</v>
      </c>
      <c r="C23" s="11"/>
      <c r="D23" s="2">
        <v>-3478</v>
      </c>
      <c r="E23" s="2"/>
      <c r="F23" s="19">
        <f t="shared" si="5"/>
        <v>-0.23957292922335113</v>
      </c>
      <c r="G23" s="2"/>
      <c r="H23" s="2"/>
      <c r="I23" s="2"/>
      <c r="J23" s="19">
        <f t="shared" si="6"/>
        <v>0</v>
      </c>
      <c r="K23" s="2"/>
      <c r="L23" s="2">
        <f t="shared" si="7"/>
        <v>-3478</v>
      </c>
      <c r="M23" s="2"/>
      <c r="N23" s="19">
        <f t="shared" si="8"/>
        <v>0</v>
      </c>
      <c r="O23" s="11"/>
      <c r="P23" s="2">
        <v>-13748</v>
      </c>
      <c r="Q23" s="2"/>
      <c r="R23" s="19">
        <f t="shared" si="9"/>
        <v>-3.5042066537818842E-2</v>
      </c>
      <c r="S23" s="2"/>
      <c r="T23" s="2"/>
      <c r="U23" s="2"/>
      <c r="V23" s="19">
        <f t="shared" si="10"/>
        <v>0</v>
      </c>
      <c r="W23" s="2"/>
      <c r="X23" s="2">
        <f t="shared" si="11"/>
        <v>-13748</v>
      </c>
      <c r="Y23" s="2"/>
      <c r="Z23" s="19">
        <f t="shared" si="12"/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8" t="s">
        <v>6</v>
      </c>
      <c r="C25" s="28"/>
      <c r="D25" s="20">
        <f>D12-D20</f>
        <v>11178.59</v>
      </c>
      <c r="E25" s="14"/>
      <c r="F25" s="22">
        <f>IF(D$12=0,0,D25/D$12)</f>
        <v>0.77000792147408303</v>
      </c>
      <c r="G25" s="14"/>
      <c r="H25" s="20">
        <f>H12-H20</f>
        <v>61600</v>
      </c>
      <c r="I25" s="14"/>
      <c r="J25" s="22">
        <f>IF(H$12=0,0,H25/H$12)</f>
        <v>0.77</v>
      </c>
      <c r="K25" s="16"/>
      <c r="L25" s="20">
        <f>+D25-H25</f>
        <v>-50421.41</v>
      </c>
      <c r="M25" s="16"/>
      <c r="N25" s="22">
        <f>IF(H25=0,0,L25/H25)</f>
        <v>-0.81852938311688317</v>
      </c>
      <c r="O25" s="29"/>
      <c r="P25" s="20">
        <f>P12-P20</f>
        <v>290019.77</v>
      </c>
      <c r="Q25" s="14"/>
      <c r="R25" s="22">
        <f>IF(P$12=0,0,P25/P$12)</f>
        <v>0.73922694774679365</v>
      </c>
      <c r="S25" s="14"/>
      <c r="T25" s="20">
        <f>T12-T20</f>
        <v>377300</v>
      </c>
      <c r="U25" s="14"/>
      <c r="V25" s="22">
        <f>IF(T$12=0,0,T25/T$12)</f>
        <v>0.77</v>
      </c>
      <c r="W25" s="16"/>
      <c r="X25" s="20">
        <f>+P25-T25</f>
        <v>-87280.229999999981</v>
      </c>
      <c r="Y25" s="16"/>
      <c r="Z25" s="22">
        <f>IF(T25=0,0,X25/T25)</f>
        <v>-0.23132846541213883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9" t="s">
        <v>9</v>
      </c>
      <c r="C27" s="10"/>
      <c r="D27" s="21">
        <f>SUM(OSRRefD22x_0)</f>
        <v>39804.939999999995</v>
      </c>
      <c r="E27" s="21"/>
      <c r="F27" s="30">
        <f t="shared" ref="F27:F38" si="13">IF(D$12=0,0,D27/D$12)</f>
        <v>2.7418591355260888</v>
      </c>
      <c r="G27" s="21"/>
      <c r="H27" s="21">
        <f>SUM(OSRRefH22x_0)</f>
        <v>50481.047924999999</v>
      </c>
      <c r="I27" s="21"/>
      <c r="J27" s="30">
        <f t="shared" ref="J27:J38" si="14">IF(H$12=0,0,H27/H$12)</f>
        <v>0.63101309906250003</v>
      </c>
      <c r="K27" s="4"/>
      <c r="L27" s="21">
        <f t="shared" ref="L27:L38" si="15">+D27-H27</f>
        <v>-10676.107925000004</v>
      </c>
      <c r="M27" s="4"/>
      <c r="N27" s="30">
        <f t="shared" ref="N27:N38" si="16">IF(H27=0,0,L27/H27)</f>
        <v>-0.21148744655343849</v>
      </c>
      <c r="O27" s="10"/>
      <c r="P27" s="21">
        <f>SUM(OSRRefP22x_0)</f>
        <v>317838.35999999993</v>
      </c>
      <c r="Q27" s="21"/>
      <c r="R27" s="30">
        <f t="shared" ref="R27:R38" si="17">IF(P$12=0,0,P27/P$12)</f>
        <v>0.81013332553034745</v>
      </c>
      <c r="S27" s="21"/>
      <c r="T27" s="21">
        <f>SUM(OSRRefT22x_0)</f>
        <v>270938.43484999996</v>
      </c>
      <c r="U27" s="21"/>
      <c r="V27" s="30">
        <f t="shared" ref="V27:V38" si="18">IF(T$12=0,0,T27/T$12)</f>
        <v>0.55293558132653053</v>
      </c>
      <c r="W27" s="4"/>
      <c r="X27" s="21">
        <f t="shared" ref="X27:X38" si="19">+P27-T27</f>
        <v>46899.925149999966</v>
      </c>
      <c r="Y27" s="4"/>
      <c r="Z27" s="30">
        <f t="shared" ref="Z27:Z38" si="20">IF(T27=0,0,X27/T27)</f>
        <v>0.17310177928784906</v>
      </c>
    </row>
    <row r="28" spans="1:26" s="27" customFormat="1" outlineLevel="1" collapsed="1" x14ac:dyDescent="0.25">
      <c r="A28" s="26"/>
      <c r="B28" s="13" t="str">
        <f>CONCATENATE("     ","*Benefits                                         ")</f>
        <v xml:space="preserve">     *Benefits                                         </v>
      </c>
      <c r="C28" s="13"/>
      <c r="D28" s="1">
        <f>SUM(OSRRefD22_0x_0)</f>
        <v>6637.6299999999992</v>
      </c>
      <c r="E28" s="1"/>
      <c r="F28" s="5">
        <f t="shared" si="13"/>
        <v>0.45721577406578262</v>
      </c>
      <c r="G28" s="1"/>
      <c r="H28" s="1">
        <f>SUM(OSRRefH22_0x_0)</f>
        <v>3158.7017711538469</v>
      </c>
      <c r="I28" s="1"/>
      <c r="J28" s="5">
        <f t="shared" si="14"/>
        <v>3.9483772139423085E-2</v>
      </c>
      <c r="K28" s="1"/>
      <c r="L28" s="1">
        <f t="shared" si="15"/>
        <v>3478.9282288461523</v>
      </c>
      <c r="M28" s="1"/>
      <c r="N28" s="5">
        <f t="shared" si="16"/>
        <v>1.1013791363960674</v>
      </c>
      <c r="O28" s="13"/>
      <c r="P28" s="1">
        <f>SUM(OSRRefP22_0x_0)</f>
        <v>31991.24</v>
      </c>
      <c r="Q28" s="1"/>
      <c r="R28" s="5">
        <f t="shared" si="17"/>
        <v>8.154198143055949E-2</v>
      </c>
      <c r="S28" s="1"/>
      <c r="T28" s="1">
        <f>SUM(OSRRefT22_0x_0)</f>
        <v>27525.434850000009</v>
      </c>
      <c r="U28" s="1"/>
      <c r="V28" s="5">
        <f t="shared" si="18"/>
        <v>5.6174356836734711E-2</v>
      </c>
      <c r="W28" s="1"/>
      <c r="X28" s="1">
        <f t="shared" si="19"/>
        <v>4465.8051499999929</v>
      </c>
      <c r="Y28" s="1"/>
      <c r="Z28" s="5">
        <f t="shared" si="20"/>
        <v>0.16224285553839277</v>
      </c>
    </row>
    <row r="29" spans="1:26" s="24" customFormat="1" hidden="1" outlineLevel="2" x14ac:dyDescent="0.25">
      <c r="A29" s="25"/>
      <c r="B29" s="11" t="str">
        <f>CONCATENATE("          ", "6111", " - ", "F.I.C.A.")</f>
        <v xml:space="preserve">          6111 - F.I.C.A.</v>
      </c>
      <c r="C29" s="11"/>
      <c r="D29" s="6">
        <v>1370.24</v>
      </c>
      <c r="E29" s="2"/>
      <c r="F29" s="7">
        <f t="shared" si="13"/>
        <v>9.4385396934733939E-2</v>
      </c>
      <c r="G29" s="2"/>
      <c r="H29" s="6">
        <v>649.57780961538504</v>
      </c>
      <c r="I29" s="2"/>
      <c r="J29" s="7">
        <f t="shared" si="14"/>
        <v>8.1197226201923135E-3</v>
      </c>
      <c r="K29" s="2"/>
      <c r="L29" s="6">
        <f t="shared" si="15"/>
        <v>720.66219038461497</v>
      </c>
      <c r="M29" s="2"/>
      <c r="N29" s="7">
        <f t="shared" si="16"/>
        <v>1.1094316642548474</v>
      </c>
      <c r="O29" s="11"/>
      <c r="P29" s="6">
        <v>7458.02</v>
      </c>
      <c r="Q29" s="2"/>
      <c r="R29" s="7">
        <f t="shared" si="17"/>
        <v>1.9009632897903965E-2</v>
      </c>
      <c r="S29" s="2"/>
      <c r="T29" s="6">
        <v>5364.3703500000038</v>
      </c>
      <c r="U29" s="2"/>
      <c r="V29" s="7">
        <f t="shared" si="18"/>
        <v>1.0947694591836742E-2</v>
      </c>
      <c r="W29" s="2"/>
      <c r="X29" s="6">
        <f t="shared" si="19"/>
        <v>2093.6496499999967</v>
      </c>
      <c r="Y29" s="2"/>
      <c r="Z29" s="7">
        <f t="shared" si="20"/>
        <v>0.39028805123419474</v>
      </c>
    </row>
    <row r="30" spans="1:26" s="24" customFormat="1" hidden="1" outlineLevel="2" x14ac:dyDescent="0.25">
      <c r="A30" s="25"/>
      <c r="B30" s="11" t="str">
        <f>CONCATENATE("          ", "6112", " - ", "COMPENSATION INSURANCE")</f>
        <v xml:space="preserve">          6112 - COMPENSATION INSURANCE</v>
      </c>
      <c r="C30" s="11"/>
      <c r="D30" s="6">
        <v>1662.67</v>
      </c>
      <c r="E30" s="2"/>
      <c r="F30" s="7">
        <f t="shared" si="13"/>
        <v>0.1145286722920613</v>
      </c>
      <c r="G30" s="2"/>
      <c r="H30" s="6">
        <v>408.77292307692301</v>
      </c>
      <c r="I30" s="2"/>
      <c r="J30" s="7">
        <f t="shared" si="14"/>
        <v>5.1096615384615372E-3</v>
      </c>
      <c r="K30" s="2"/>
      <c r="L30" s="6">
        <f t="shared" si="15"/>
        <v>1253.8970769230771</v>
      </c>
      <c r="M30" s="2"/>
      <c r="N30" s="7">
        <f t="shared" si="16"/>
        <v>3.0674660823537923</v>
      </c>
      <c r="O30" s="11"/>
      <c r="P30" s="6">
        <v>6144.34</v>
      </c>
      <c r="Q30" s="2"/>
      <c r="R30" s="7">
        <f t="shared" si="17"/>
        <v>1.5661214075573308E-2</v>
      </c>
      <c r="S30" s="2"/>
      <c r="T30" s="6">
        <v>3254.835</v>
      </c>
      <c r="U30" s="2"/>
      <c r="V30" s="7">
        <f t="shared" si="18"/>
        <v>6.6425204081632652E-3</v>
      </c>
      <c r="W30" s="2"/>
      <c r="X30" s="6">
        <f t="shared" si="19"/>
        <v>2889.5050000000001</v>
      </c>
      <c r="Y30" s="2"/>
      <c r="Z30" s="7">
        <f t="shared" si="20"/>
        <v>0.88775775116096522</v>
      </c>
    </row>
    <row r="31" spans="1:26" s="24" customFormat="1" hidden="1" outlineLevel="2" x14ac:dyDescent="0.25">
      <c r="A31" s="25"/>
      <c r="B31" s="11" t="str">
        <f>CONCATENATE("          ", "6113", " - ", "GROUP INSURANCE")</f>
        <v xml:space="preserve">          6113 - GROUP INSURANCE</v>
      </c>
      <c r="C31" s="11"/>
      <c r="D31" s="6">
        <v>2020.11</v>
      </c>
      <c r="E31" s="2"/>
      <c r="F31" s="7">
        <f t="shared" si="13"/>
        <v>0.13914999138970208</v>
      </c>
      <c r="G31" s="2"/>
      <c r="H31" s="6">
        <v>663</v>
      </c>
      <c r="I31" s="2"/>
      <c r="J31" s="7">
        <f t="shared" si="14"/>
        <v>8.2874999999999997E-3</v>
      </c>
      <c r="K31" s="2"/>
      <c r="L31" s="6">
        <f t="shared" si="15"/>
        <v>1357.11</v>
      </c>
      <c r="M31" s="2"/>
      <c r="N31" s="7">
        <f t="shared" si="16"/>
        <v>2.0469230769230768</v>
      </c>
      <c r="O31" s="11"/>
      <c r="P31" s="6">
        <v>7675.53</v>
      </c>
      <c r="Q31" s="2"/>
      <c r="R31" s="7">
        <f t="shared" si="17"/>
        <v>1.9564040803973282E-2</v>
      </c>
      <c r="S31" s="2"/>
      <c r="T31" s="6">
        <v>5967</v>
      </c>
      <c r="U31" s="2"/>
      <c r="V31" s="7">
        <f t="shared" si="18"/>
        <v>1.2177551020408163E-2</v>
      </c>
      <c r="W31" s="2"/>
      <c r="X31" s="6">
        <f t="shared" si="19"/>
        <v>1708.5299999999997</v>
      </c>
      <c r="Y31" s="2"/>
      <c r="Z31" s="7">
        <f t="shared" si="20"/>
        <v>0.28632981397687274</v>
      </c>
    </row>
    <row r="32" spans="1:26" s="24" customFormat="1" hidden="1" outlineLevel="2" x14ac:dyDescent="0.25">
      <c r="A32" s="25"/>
      <c r="B32" s="11" t="str">
        <f>CONCATENATE("          ", "6114", " - ", "STATE UNEMPLOYMENT INSURANCE")</f>
        <v xml:space="preserve">          6114 - STATE UNEMPLOYMENT INSURANCE</v>
      </c>
      <c r="C32" s="11"/>
      <c r="D32" s="6">
        <v>111.42</v>
      </c>
      <c r="E32" s="2"/>
      <c r="F32" s="7">
        <f t="shared" si="13"/>
        <v>7.6748751506802134E-3</v>
      </c>
      <c r="G32" s="2"/>
      <c r="H32" s="6">
        <v>33.534500000000001</v>
      </c>
      <c r="I32" s="2"/>
      <c r="J32" s="7">
        <f t="shared" si="14"/>
        <v>4.1918125E-4</v>
      </c>
      <c r="K32" s="2"/>
      <c r="L32" s="6">
        <f t="shared" si="15"/>
        <v>77.885500000000008</v>
      </c>
      <c r="M32" s="2"/>
      <c r="N32" s="7">
        <f t="shared" si="16"/>
        <v>2.3225484202835887</v>
      </c>
      <c r="O32" s="11"/>
      <c r="P32" s="6">
        <v>485.19</v>
      </c>
      <c r="Q32" s="2"/>
      <c r="R32" s="7">
        <f t="shared" si="17"/>
        <v>1.2366933563779695E-3</v>
      </c>
      <c r="S32" s="2"/>
      <c r="T32" s="6">
        <v>259.17450000000002</v>
      </c>
      <c r="U32" s="2"/>
      <c r="V32" s="7">
        <f t="shared" si="18"/>
        <v>5.2892755102040823E-4</v>
      </c>
      <c r="W32" s="2"/>
      <c r="X32" s="6">
        <f t="shared" si="19"/>
        <v>226.01549999999997</v>
      </c>
      <c r="Y32" s="2"/>
      <c r="Z32" s="7">
        <f t="shared" si="20"/>
        <v>0.872059172488034</v>
      </c>
    </row>
    <row r="33" spans="1:26" s="24" customFormat="1" hidden="1" outlineLevel="2" x14ac:dyDescent="0.25">
      <c r="A33" s="25"/>
      <c r="B33" s="11" t="str">
        <f>CONCATENATE("          ", "6115", " - ", "P.E.R.S.")</f>
        <v xml:space="preserve">          6115 - P.E.R.S.</v>
      </c>
      <c r="C33" s="11"/>
      <c r="D33" s="6">
        <v>320.99</v>
      </c>
      <c r="E33" s="2"/>
      <c r="F33" s="7">
        <f t="shared" si="13"/>
        <v>2.2110556225245395E-2</v>
      </c>
      <c r="G33" s="2"/>
      <c r="H33" s="6">
        <v>395.20307692307699</v>
      </c>
      <c r="I33" s="2"/>
      <c r="J33" s="7">
        <f t="shared" si="14"/>
        <v>4.9400384615384627E-3</v>
      </c>
      <c r="K33" s="2"/>
      <c r="L33" s="6">
        <f t="shared" si="15"/>
        <v>-74.213076923076983</v>
      </c>
      <c r="M33" s="2"/>
      <c r="N33" s="7">
        <f t="shared" si="16"/>
        <v>-0.18778466377558581</v>
      </c>
      <c r="O33" s="11"/>
      <c r="P33" s="6">
        <v>3049.4</v>
      </c>
      <c r="Q33" s="2"/>
      <c r="R33" s="7">
        <f t="shared" si="17"/>
        <v>7.7725689336939768E-3</v>
      </c>
      <c r="S33" s="2"/>
      <c r="T33" s="6">
        <v>3853.23</v>
      </c>
      <c r="U33" s="2"/>
      <c r="V33" s="7">
        <f t="shared" si="18"/>
        <v>7.8637346938775516E-3</v>
      </c>
      <c r="W33" s="2"/>
      <c r="X33" s="6">
        <f t="shared" si="19"/>
        <v>-803.82999999999993</v>
      </c>
      <c r="Y33" s="2"/>
      <c r="Z33" s="7">
        <f t="shared" si="20"/>
        <v>-0.20861199565040237</v>
      </c>
    </row>
    <row r="34" spans="1:26" s="24" customFormat="1" hidden="1" outlineLevel="2" x14ac:dyDescent="0.25">
      <c r="A34" s="25"/>
      <c r="B34" s="11" t="str">
        <f>CONCATENATE("          ", "6116", " - ", "EDUCATIONAL BENEFITS")</f>
        <v xml:space="preserve">          6116 - EDUCATIONAL BENEFITS</v>
      </c>
      <c r="C34" s="11"/>
      <c r="D34" s="6"/>
      <c r="E34" s="2"/>
      <c r="F34" s="7">
        <f t="shared" si="13"/>
        <v>0</v>
      </c>
      <c r="G34" s="2"/>
      <c r="H34" s="6">
        <v>0</v>
      </c>
      <c r="I34" s="2"/>
      <c r="J34" s="7">
        <f t="shared" si="14"/>
        <v>0</v>
      </c>
      <c r="K34" s="2"/>
      <c r="L34" s="6">
        <f t="shared" si="15"/>
        <v>0</v>
      </c>
      <c r="M34" s="2"/>
      <c r="N34" s="7">
        <f t="shared" si="16"/>
        <v>0</v>
      </c>
      <c r="O34" s="11"/>
      <c r="P34" s="6"/>
      <c r="Q34" s="2"/>
      <c r="R34" s="7">
        <f t="shared" si="17"/>
        <v>0</v>
      </c>
      <c r="S34" s="2"/>
      <c r="T34" s="6">
        <v>0</v>
      </c>
      <c r="U34" s="2"/>
      <c r="V34" s="7">
        <f t="shared" si="18"/>
        <v>0</v>
      </c>
      <c r="W34" s="2"/>
      <c r="X34" s="6">
        <f t="shared" si="19"/>
        <v>0</v>
      </c>
      <c r="Y34" s="2"/>
      <c r="Z34" s="7">
        <f t="shared" si="20"/>
        <v>0</v>
      </c>
    </row>
    <row r="35" spans="1:26" s="24" customFormat="1" hidden="1" outlineLevel="2" x14ac:dyDescent="0.25">
      <c r="A35" s="25"/>
      <c r="B35" s="11" t="str">
        <f>CONCATENATE("          ", "6117", " - ", "RETIREMENT STAFF HOURLY")</f>
        <v xml:space="preserve">          6117 - RETIREMENT STAFF HOURLY</v>
      </c>
      <c r="C35" s="11"/>
      <c r="D35" s="6">
        <v>105.73</v>
      </c>
      <c r="E35" s="2"/>
      <c r="F35" s="7">
        <f t="shared" si="13"/>
        <v>7.2829343895298784E-3</v>
      </c>
      <c r="G35" s="2"/>
      <c r="H35" s="6"/>
      <c r="I35" s="2"/>
      <c r="J35" s="7">
        <f t="shared" si="14"/>
        <v>0</v>
      </c>
      <c r="K35" s="2"/>
      <c r="L35" s="6">
        <f t="shared" si="15"/>
        <v>105.73</v>
      </c>
      <c r="M35" s="2"/>
      <c r="N35" s="7">
        <f t="shared" si="16"/>
        <v>0</v>
      </c>
      <c r="O35" s="11"/>
      <c r="P35" s="6">
        <v>342.58</v>
      </c>
      <c r="Q35" s="2"/>
      <c r="R35" s="7">
        <f t="shared" si="17"/>
        <v>8.731969126073596E-4</v>
      </c>
      <c r="S35" s="2"/>
      <c r="T35" s="6"/>
      <c r="U35" s="2"/>
      <c r="V35" s="7">
        <f t="shared" si="18"/>
        <v>0</v>
      </c>
      <c r="W35" s="2"/>
      <c r="X35" s="6">
        <f t="shared" si="19"/>
        <v>342.58</v>
      </c>
      <c r="Y35" s="2"/>
      <c r="Z35" s="7">
        <f t="shared" si="20"/>
        <v>0</v>
      </c>
    </row>
    <row r="36" spans="1:26" s="24" customFormat="1" hidden="1" outlineLevel="2" x14ac:dyDescent="0.25">
      <c r="A36" s="25"/>
      <c r="B36" s="11" t="str">
        <f>CONCATENATE("          ", "6118", " - ", "VACATION")</f>
        <v xml:space="preserve">          6118 - VACATION</v>
      </c>
      <c r="C36" s="11"/>
      <c r="D36" s="6">
        <v>340.16</v>
      </c>
      <c r="E36" s="2"/>
      <c r="F36" s="7">
        <f t="shared" si="13"/>
        <v>2.3431031513690376E-2</v>
      </c>
      <c r="G36" s="2"/>
      <c r="H36" s="6">
        <v>229.769230769231</v>
      </c>
      <c r="I36" s="2"/>
      <c r="J36" s="7">
        <f t="shared" si="14"/>
        <v>2.8721153846153875E-3</v>
      </c>
      <c r="K36" s="2"/>
      <c r="L36" s="6">
        <f t="shared" si="15"/>
        <v>110.39076923076902</v>
      </c>
      <c r="M36" s="2"/>
      <c r="N36" s="7">
        <f t="shared" si="16"/>
        <v>0.48044191496484628</v>
      </c>
      <c r="O36" s="11"/>
      <c r="P36" s="6">
        <v>2196.7600000000002</v>
      </c>
      <c r="Q36" s="2"/>
      <c r="R36" s="7">
        <f t="shared" si="17"/>
        <v>5.5992879027945107E-3</v>
      </c>
      <c r="S36" s="2"/>
      <c r="T36" s="6">
        <v>2240.2500000000027</v>
      </c>
      <c r="U36" s="2"/>
      <c r="V36" s="7">
        <f t="shared" si="18"/>
        <v>4.5719387755102092E-3</v>
      </c>
      <c r="W36" s="2"/>
      <c r="X36" s="6">
        <f t="shared" si="19"/>
        <v>-43.49000000000251</v>
      </c>
      <c r="Y36" s="2"/>
      <c r="Z36" s="7">
        <f t="shared" si="20"/>
        <v>-1.9413011940632722E-2</v>
      </c>
    </row>
    <row r="37" spans="1:26" s="24" customFormat="1" hidden="1" outlineLevel="2" x14ac:dyDescent="0.25">
      <c r="A37" s="25"/>
      <c r="B37" s="11" t="str">
        <f>CONCATENATE("          ", "6119", " - ", "SICK LEAVE")</f>
        <v xml:space="preserve">          6119 - SICK LEAVE</v>
      </c>
      <c r="C37" s="11"/>
      <c r="D37" s="6">
        <v>407.54</v>
      </c>
      <c r="E37" s="2"/>
      <c r="F37" s="7">
        <f t="shared" si="13"/>
        <v>2.8072326502496987E-2</v>
      </c>
      <c r="G37" s="2"/>
      <c r="H37" s="6">
        <v>478.84423076923093</v>
      </c>
      <c r="I37" s="2"/>
      <c r="J37" s="7">
        <f t="shared" si="14"/>
        <v>5.9855528846153869E-3</v>
      </c>
      <c r="K37" s="2"/>
      <c r="L37" s="6">
        <f t="shared" si="15"/>
        <v>-71.304230769230912</v>
      </c>
      <c r="M37" s="2"/>
      <c r="N37" s="7">
        <f t="shared" si="16"/>
        <v>-0.14890903176318002</v>
      </c>
      <c r="O37" s="11"/>
      <c r="P37" s="6">
        <v>2694.2</v>
      </c>
      <c r="Q37" s="2"/>
      <c r="R37" s="7">
        <f t="shared" si="17"/>
        <v>6.8672050964643239E-3</v>
      </c>
      <c r="S37" s="2"/>
      <c r="T37" s="6">
        <v>3886.5750000000016</v>
      </c>
      <c r="U37" s="2"/>
      <c r="V37" s="7">
        <f t="shared" si="18"/>
        <v>7.9317857142857176E-3</v>
      </c>
      <c r="W37" s="2"/>
      <c r="X37" s="6">
        <f t="shared" si="19"/>
        <v>-1192.3750000000018</v>
      </c>
      <c r="Y37" s="2"/>
      <c r="Z37" s="7">
        <f t="shared" si="20"/>
        <v>-0.3067932562731972</v>
      </c>
    </row>
    <row r="38" spans="1:26" s="24" customFormat="1" hidden="1" outlineLevel="2" x14ac:dyDescent="0.25">
      <c r="A38" s="25"/>
      <c r="B38" s="11" t="str">
        <f>CONCATENATE("          ", "6156", " - ", "EMPLOYEE MEALS")</f>
        <v xml:space="preserve">          6156 - EMPLOYEE MEALS</v>
      </c>
      <c r="C38" s="11"/>
      <c r="D38" s="6">
        <v>298.77</v>
      </c>
      <c r="E38" s="2"/>
      <c r="F38" s="7">
        <f t="shared" si="13"/>
        <v>2.05799896676425E-2</v>
      </c>
      <c r="G38" s="2"/>
      <c r="H38" s="6">
        <v>300</v>
      </c>
      <c r="I38" s="2"/>
      <c r="J38" s="7">
        <f t="shared" si="14"/>
        <v>3.7499999999999999E-3</v>
      </c>
      <c r="K38" s="2"/>
      <c r="L38" s="6">
        <f t="shared" si="15"/>
        <v>-1.2300000000000182</v>
      </c>
      <c r="M38" s="2"/>
      <c r="N38" s="7">
        <f t="shared" si="16"/>
        <v>-4.1000000000000611E-3</v>
      </c>
      <c r="O38" s="11"/>
      <c r="P38" s="6">
        <v>1945.22</v>
      </c>
      <c r="Q38" s="2"/>
      <c r="R38" s="7">
        <f t="shared" si="17"/>
        <v>4.9581414511707866E-3</v>
      </c>
      <c r="S38" s="2"/>
      <c r="T38" s="6">
        <v>2700</v>
      </c>
      <c r="U38" s="2"/>
      <c r="V38" s="7">
        <f t="shared" si="18"/>
        <v>5.5102040816326532E-3</v>
      </c>
      <c r="W38" s="2"/>
      <c r="X38" s="6">
        <f t="shared" si="19"/>
        <v>-754.78</v>
      </c>
      <c r="Y38" s="2"/>
      <c r="Z38" s="7">
        <f t="shared" si="20"/>
        <v>-0.27954814814814816</v>
      </c>
    </row>
    <row r="39" spans="1:26" s="27" customFormat="1" outlineLevel="1" collapsed="1" x14ac:dyDescent="0.25">
      <c r="A39" s="26"/>
      <c r="B39" s="13" t="str">
        <f>CONCATENATE("     ","*Payroll                                          ")</f>
        <v xml:space="preserve">     *Payroll                                          </v>
      </c>
      <c r="C39" s="13"/>
      <c r="D39" s="1">
        <f>SUM(OSRRefD22_1x_0)</f>
        <v>26667.010000000002</v>
      </c>
      <c r="E39" s="1"/>
      <c r="F39" s="5">
        <f t="shared" ref="F39:F49" si="21">IF(D$12=0,0,D39/D$12)</f>
        <v>1.8368872050972964</v>
      </c>
      <c r="G39" s="1"/>
      <c r="H39" s="1">
        <f>SUM(OSRRefH22_1x_0)</f>
        <v>12438.346153846149</v>
      </c>
      <c r="I39" s="1"/>
      <c r="J39" s="5">
        <f t="shared" ref="J39:J49" si="22">IF(H$12=0,0,H39/H$12)</f>
        <v>0.15547932692307687</v>
      </c>
      <c r="K39" s="1"/>
      <c r="L39" s="1">
        <f t="shared" ref="L39:L49" si="23">+D39-H39</f>
        <v>14228.663846153853</v>
      </c>
      <c r="M39" s="1"/>
      <c r="N39" s="5">
        <f t="shared" ref="N39:N49" si="24">IF(H39=0,0,L39/H39)</f>
        <v>1.1439353488127606</v>
      </c>
      <c r="O39" s="13"/>
      <c r="P39" s="1">
        <f>SUM(OSRRefP22_1x_0)</f>
        <v>146154.82999999999</v>
      </c>
      <c r="Q39" s="1"/>
      <c r="R39" s="5">
        <f t="shared" ref="R39:R49" si="25">IF(P$12=0,0,P39/P$12)</f>
        <v>0.37253180663977314</v>
      </c>
      <c r="S39" s="1"/>
      <c r="T39" s="1">
        <f>SUM(OSRRefT22_1x_0)</f>
        <v>95201.999999999971</v>
      </c>
      <c r="U39" s="1"/>
      <c r="V39" s="5">
        <f t="shared" ref="V39:V49" si="26">IF(T$12=0,0,T39/T$12)</f>
        <v>0.19428979591836729</v>
      </c>
      <c r="W39" s="1"/>
      <c r="X39" s="1">
        <f t="shared" ref="X39:X49" si="27">+P39-T39</f>
        <v>50952.830000000016</v>
      </c>
      <c r="Y39" s="1"/>
      <c r="Z39" s="5">
        <f t="shared" ref="Z39:Z49" si="28">IF(T39=0,0,X39/T39)</f>
        <v>0.53520755866473424</v>
      </c>
    </row>
    <row r="40" spans="1:26" s="24" customFormat="1" hidden="1" outlineLevel="2" x14ac:dyDescent="0.25">
      <c r="A40" s="25"/>
      <c r="B40" s="11" t="str">
        <f>CONCATENATE("          ", "6001", " - ", "ADMINISTRATIVE SALARIES")</f>
        <v xml:space="preserve">          6001 - ADMINISTRATIVE SALARIES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/>
      <c r="Q40" s="2"/>
      <c r="R40" s="7">
        <f t="shared" si="25"/>
        <v>0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0</v>
      </c>
      <c r="Y40" s="2"/>
      <c r="Z40" s="7">
        <f t="shared" si="28"/>
        <v>0</v>
      </c>
    </row>
    <row r="41" spans="1:26" s="24" customFormat="1" hidden="1" outlineLevel="2" x14ac:dyDescent="0.25">
      <c r="A41" s="25"/>
      <c r="B41" s="11" t="str">
        <f>CONCATENATE("          ", "6002", " - ", "STAFF SALARIES")</f>
        <v xml:space="preserve">          6002 - STAFF SALARIES</v>
      </c>
      <c r="C41" s="11"/>
      <c r="D41" s="6">
        <v>4595.38</v>
      </c>
      <c r="E41" s="2"/>
      <c r="F41" s="7">
        <f t="shared" si="21"/>
        <v>0.31654072670914413</v>
      </c>
      <c r="G41" s="2"/>
      <c r="H41" s="6">
        <v>4135.8461538461497</v>
      </c>
      <c r="I41" s="2"/>
      <c r="J41" s="7">
        <f t="shared" si="22"/>
        <v>5.1698076923076874E-2</v>
      </c>
      <c r="K41" s="2"/>
      <c r="L41" s="6">
        <f t="shared" si="23"/>
        <v>459.53384615385039</v>
      </c>
      <c r="M41" s="2"/>
      <c r="N41" s="7">
        <f t="shared" si="24"/>
        <v>0.11110999516423131</v>
      </c>
      <c r="O41" s="11"/>
      <c r="P41" s="6">
        <v>43886.03</v>
      </c>
      <c r="Q41" s="2"/>
      <c r="R41" s="7">
        <f t="shared" si="25"/>
        <v>0.11186042939632775</v>
      </c>
      <c r="S41" s="2"/>
      <c r="T41" s="6">
        <v>40324.499999999971</v>
      </c>
      <c r="U41" s="2"/>
      <c r="V41" s="7">
        <f t="shared" si="26"/>
        <v>8.2294897959183613E-2</v>
      </c>
      <c r="W41" s="2"/>
      <c r="X41" s="6">
        <f t="shared" si="27"/>
        <v>3561.5300000000279</v>
      </c>
      <c r="Y41" s="2"/>
      <c r="Z41" s="7">
        <f t="shared" si="28"/>
        <v>8.8321739885182216E-2</v>
      </c>
    </row>
    <row r="42" spans="1:26" s="24" customFormat="1" hidden="1" outlineLevel="2" x14ac:dyDescent="0.25">
      <c r="A42" s="25"/>
      <c r="B42" s="11" t="str">
        <f>CONCATENATE("          ", "6003", " - ", "STAFF HOURLY-9 MONTH")</f>
        <v xml:space="preserve">          6003 - STAFF HOURLY-9 MONTH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/>
      <c r="Q42" s="2"/>
      <c r="R42" s="7">
        <f t="shared" si="25"/>
        <v>0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0</v>
      </c>
      <c r="Y42" s="2"/>
      <c r="Z42" s="7">
        <f t="shared" si="28"/>
        <v>0</v>
      </c>
    </row>
    <row r="43" spans="1:26" s="24" customFormat="1" hidden="1" outlineLevel="2" x14ac:dyDescent="0.25">
      <c r="A43" s="25"/>
      <c r="B43" s="11" t="str">
        <f>CONCATENATE("          ", "6004", " - ", "STAFF HOURLY")</f>
        <v xml:space="preserve">          6004 - STAFF HOURLY</v>
      </c>
      <c r="C43" s="11"/>
      <c r="D43" s="6">
        <v>6214.38</v>
      </c>
      <c r="E43" s="2"/>
      <c r="F43" s="7">
        <f t="shared" si="21"/>
        <v>0.4280613053211641</v>
      </c>
      <c r="G43" s="2"/>
      <c r="H43" s="6">
        <v>2362.5</v>
      </c>
      <c r="I43" s="2"/>
      <c r="J43" s="7">
        <f t="shared" si="22"/>
        <v>2.9531249999999998E-2</v>
      </c>
      <c r="K43" s="2"/>
      <c r="L43" s="6">
        <f t="shared" si="23"/>
        <v>3851.88</v>
      </c>
      <c r="M43" s="2"/>
      <c r="N43" s="7">
        <f t="shared" si="24"/>
        <v>1.6304253968253968</v>
      </c>
      <c r="O43" s="11"/>
      <c r="P43" s="6">
        <v>12371.01</v>
      </c>
      <c r="Q43" s="2"/>
      <c r="R43" s="7">
        <f t="shared" si="25"/>
        <v>3.1532277826594582E-2</v>
      </c>
      <c r="S43" s="2"/>
      <c r="T43" s="6">
        <v>14137.5</v>
      </c>
      <c r="U43" s="2"/>
      <c r="V43" s="7">
        <f t="shared" si="26"/>
        <v>2.885204081632653E-2</v>
      </c>
      <c r="W43" s="2"/>
      <c r="X43" s="6">
        <f t="shared" si="27"/>
        <v>-1766.4899999999998</v>
      </c>
      <c r="Y43" s="2"/>
      <c r="Z43" s="7">
        <f t="shared" si="28"/>
        <v>-0.12495066312997347</v>
      </c>
    </row>
    <row r="44" spans="1:26" s="24" customFormat="1" hidden="1" outlineLevel="2" x14ac:dyDescent="0.25">
      <c r="A44" s="25"/>
      <c r="B44" s="11" t="str">
        <f>CONCATENATE("          ", "6005", " - ", "TEMPORARY WAGES-HOURLY")</f>
        <v xml:space="preserve">          6005 - TEMPORARY WAGES-HOURLY</v>
      </c>
      <c r="C44" s="11"/>
      <c r="D44" s="6">
        <v>6473.3</v>
      </c>
      <c r="E44" s="2"/>
      <c r="F44" s="7">
        <f t="shared" si="21"/>
        <v>0.44589633201308765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6473.3</v>
      </c>
      <c r="M44" s="2"/>
      <c r="N44" s="7">
        <f t="shared" si="24"/>
        <v>0</v>
      </c>
      <c r="O44" s="11"/>
      <c r="P44" s="6">
        <v>32469.929999999997</v>
      </c>
      <c r="Q44" s="2"/>
      <c r="R44" s="7">
        <f t="shared" si="25"/>
        <v>8.2762107036537691E-2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32469.929999999997</v>
      </c>
      <c r="Y44" s="2"/>
      <c r="Z44" s="7">
        <f t="shared" si="28"/>
        <v>0</v>
      </c>
    </row>
    <row r="45" spans="1:26" s="24" customFormat="1" hidden="1" outlineLevel="2" x14ac:dyDescent="0.25">
      <c r="A45" s="25"/>
      <c r="B45" s="11" t="str">
        <f>CONCATENATE("          ", "6006", " - ", "TEMPORARY PART TIME")</f>
        <v xml:space="preserve">          6006 - TEMPORARY PART TIME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>
        <v>303.38</v>
      </c>
      <c r="Q45" s="2"/>
      <c r="R45" s="7">
        <f t="shared" si="25"/>
        <v>7.7328063327345656E-4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303.38</v>
      </c>
      <c r="Y45" s="2"/>
      <c r="Z45" s="7">
        <f t="shared" si="28"/>
        <v>0</v>
      </c>
    </row>
    <row r="46" spans="1:26" s="24" customFormat="1" hidden="1" outlineLevel="2" x14ac:dyDescent="0.25">
      <c r="A46" s="25"/>
      <c r="B46" s="11" t="str">
        <f>CONCATENATE("          ", "6007", " - ", "STUDENT HOURLY")</f>
        <v xml:space="preserve">          6007 - STUDENT HOURLY</v>
      </c>
      <c r="C46" s="11"/>
      <c r="D46" s="6">
        <v>7675.1</v>
      </c>
      <c r="E46" s="2"/>
      <c r="F46" s="7">
        <f t="shared" si="21"/>
        <v>0.52867918029963834</v>
      </c>
      <c r="G46" s="2"/>
      <c r="H46" s="6">
        <v>1530</v>
      </c>
      <c r="I46" s="2"/>
      <c r="J46" s="7">
        <f t="shared" si="22"/>
        <v>1.9125E-2</v>
      </c>
      <c r="K46" s="2"/>
      <c r="L46" s="6">
        <f t="shared" si="23"/>
        <v>6145.1</v>
      </c>
      <c r="M46" s="2"/>
      <c r="N46" s="7">
        <f t="shared" si="24"/>
        <v>4.0164052287581704</v>
      </c>
      <c r="O46" s="11"/>
      <c r="P46" s="6">
        <v>49964.74</v>
      </c>
      <c r="Q46" s="2"/>
      <c r="R46" s="7">
        <f t="shared" si="25"/>
        <v>0.12735436017055707</v>
      </c>
      <c r="S46" s="2"/>
      <c r="T46" s="6">
        <v>11152.5</v>
      </c>
      <c r="U46" s="2"/>
      <c r="V46" s="7">
        <f t="shared" si="26"/>
        <v>2.2760204081632655E-2</v>
      </c>
      <c r="W46" s="2"/>
      <c r="X46" s="6">
        <f t="shared" si="27"/>
        <v>38812.239999999998</v>
      </c>
      <c r="Y46" s="2"/>
      <c r="Z46" s="7">
        <f t="shared" si="28"/>
        <v>3.4801380856310242</v>
      </c>
    </row>
    <row r="47" spans="1:26" s="24" customFormat="1" hidden="1" outlineLevel="2" x14ac:dyDescent="0.25">
      <c r="A47" s="25"/>
      <c r="B47" s="11" t="str">
        <f>CONCATENATE("          ", "6008", " - ", "STUDENT HOURLY-FICA EXEMPT")</f>
        <v xml:space="preserve">          6008 - STUDENT HOURLY-FICA EXEMPT</v>
      </c>
      <c r="C47" s="11"/>
      <c r="D47" s="6">
        <v>1708.85</v>
      </c>
      <c r="E47" s="2"/>
      <c r="F47" s="7">
        <f t="shared" si="21"/>
        <v>0.11770966075426209</v>
      </c>
      <c r="G47" s="2"/>
      <c r="H47" s="6">
        <v>4410</v>
      </c>
      <c r="I47" s="2"/>
      <c r="J47" s="7">
        <f t="shared" si="22"/>
        <v>5.5125E-2</v>
      </c>
      <c r="K47" s="2"/>
      <c r="L47" s="6">
        <f t="shared" si="23"/>
        <v>-2701.15</v>
      </c>
      <c r="M47" s="2"/>
      <c r="N47" s="7">
        <f t="shared" si="24"/>
        <v>-0.61250566893424041</v>
      </c>
      <c r="O47" s="11"/>
      <c r="P47" s="6">
        <v>7159.74</v>
      </c>
      <c r="Q47" s="2"/>
      <c r="R47" s="7">
        <f t="shared" si="25"/>
        <v>1.8249351576482623E-2</v>
      </c>
      <c r="S47" s="2"/>
      <c r="T47" s="6">
        <v>29587.500000000004</v>
      </c>
      <c r="U47" s="2"/>
      <c r="V47" s="7">
        <f t="shared" si="26"/>
        <v>6.0382653061224499E-2</v>
      </c>
      <c r="W47" s="2"/>
      <c r="X47" s="6">
        <f t="shared" si="27"/>
        <v>-22427.760000000002</v>
      </c>
      <c r="Y47" s="2"/>
      <c r="Z47" s="7">
        <f t="shared" si="28"/>
        <v>-0.75801470215462607</v>
      </c>
    </row>
    <row r="48" spans="1:26" s="24" customFormat="1" hidden="1" outlineLevel="2" x14ac:dyDescent="0.25">
      <c r="A48" s="25"/>
      <c r="B48" s="11" t="str">
        <f>CONCATENATE("          ", "6009", " - ", "TEMPORARY-SEASONAL")</f>
        <v xml:space="preserve">          6009 - TEMPORARY-SEASONAL</v>
      </c>
      <c r="C48" s="11"/>
      <c r="D48" s="6"/>
      <c r="E48" s="2"/>
      <c r="F48" s="7">
        <f t="shared" si="21"/>
        <v>0</v>
      </c>
      <c r="G48" s="2"/>
      <c r="H48" s="6">
        <v>0</v>
      </c>
      <c r="I48" s="2"/>
      <c r="J48" s="7">
        <f t="shared" si="22"/>
        <v>0</v>
      </c>
      <c r="K48" s="2"/>
      <c r="L48" s="6">
        <f t="shared" si="23"/>
        <v>0</v>
      </c>
      <c r="M48" s="2"/>
      <c r="N48" s="7">
        <f t="shared" si="24"/>
        <v>0</v>
      </c>
      <c r="O48" s="11"/>
      <c r="P48" s="6"/>
      <c r="Q48" s="2"/>
      <c r="R48" s="7">
        <f t="shared" si="25"/>
        <v>0</v>
      </c>
      <c r="S48" s="2"/>
      <c r="T48" s="6">
        <v>0</v>
      </c>
      <c r="U48" s="2"/>
      <c r="V48" s="7">
        <f t="shared" si="26"/>
        <v>0</v>
      </c>
      <c r="W48" s="2"/>
      <c r="X48" s="6">
        <f t="shared" si="27"/>
        <v>0</v>
      </c>
      <c r="Y48" s="2"/>
      <c r="Z48" s="7">
        <f t="shared" si="28"/>
        <v>0</v>
      </c>
    </row>
    <row r="49" spans="1:26" s="24" customFormat="1" hidden="1" outlineLevel="2" x14ac:dyDescent="0.25">
      <c r="A49" s="25"/>
      <c r="B49" s="11" t="str">
        <f>CONCATENATE("          ", "6010", " - ", "GRATUITY")</f>
        <v xml:space="preserve">          6010 - GRATUITY</v>
      </c>
      <c r="C49" s="11"/>
      <c r="D49" s="6"/>
      <c r="E49" s="2"/>
      <c r="F49" s="7">
        <f t="shared" si="21"/>
        <v>0</v>
      </c>
      <c r="G49" s="2"/>
      <c r="H49" s="6">
        <v>0</v>
      </c>
      <c r="I49" s="2"/>
      <c r="J49" s="7">
        <f t="shared" si="22"/>
        <v>0</v>
      </c>
      <c r="K49" s="2"/>
      <c r="L49" s="6">
        <f t="shared" si="23"/>
        <v>0</v>
      </c>
      <c r="M49" s="2"/>
      <c r="N49" s="7">
        <f t="shared" si="24"/>
        <v>0</v>
      </c>
      <c r="O49" s="11"/>
      <c r="P49" s="6"/>
      <c r="Q49" s="2"/>
      <c r="R49" s="7">
        <f t="shared" si="25"/>
        <v>0</v>
      </c>
      <c r="S49" s="2"/>
      <c r="T49" s="6">
        <v>0</v>
      </c>
      <c r="U49" s="2"/>
      <c r="V49" s="7">
        <f t="shared" si="26"/>
        <v>0</v>
      </c>
      <c r="W49" s="2"/>
      <c r="X49" s="6">
        <f t="shared" si="27"/>
        <v>0</v>
      </c>
      <c r="Y49" s="2"/>
      <c r="Z49" s="7">
        <f t="shared" si="28"/>
        <v>0</v>
      </c>
    </row>
    <row r="50" spans="1:26" s="27" customFormat="1" outlineLevel="1" collapsed="1" x14ac:dyDescent="0.25">
      <c r="A50" s="26"/>
      <c r="B50" s="13" t="str">
        <f>CONCATENATE("     ","Advertising/Promo                                 ")</f>
        <v xml:space="preserve">     Advertising/Promo                                 </v>
      </c>
      <c r="C50" s="13"/>
      <c r="D50" s="1">
        <f>SUM(OSRRefD22_2x_0)</f>
        <v>0</v>
      </c>
      <c r="E50" s="1"/>
      <c r="F50" s="5">
        <f t="shared" ref="F50:F58" si="29">IF(D$12=0,0,D50/D$12)</f>
        <v>0</v>
      </c>
      <c r="G50" s="1"/>
      <c r="H50" s="1">
        <f>SUM(OSRRefH22_2x_0)</f>
        <v>200</v>
      </c>
      <c r="I50" s="1"/>
      <c r="J50" s="5">
        <f t="shared" ref="J50:J58" si="30">IF(H$12=0,0,H50/H$12)</f>
        <v>2.5000000000000001E-3</v>
      </c>
      <c r="K50" s="1"/>
      <c r="L50" s="1">
        <f t="shared" ref="L50:L58" si="31">+D50-H50</f>
        <v>-200</v>
      </c>
      <c r="M50" s="1"/>
      <c r="N50" s="5">
        <f t="shared" ref="N50:N58" si="32">IF(H50=0,0,L50/H50)</f>
        <v>-1</v>
      </c>
      <c r="O50" s="13"/>
      <c r="P50" s="1">
        <f>SUM(OSRRefP22_2x_0)</f>
        <v>1868.45</v>
      </c>
      <c r="Q50" s="1"/>
      <c r="R50" s="5">
        <f t="shared" ref="R50:R58" si="33">IF(P$12=0,0,P50/P$12)</f>
        <v>4.7624635745263039E-3</v>
      </c>
      <c r="S50" s="1"/>
      <c r="T50" s="1">
        <f>SUM(OSRRefT22_2x_0)</f>
        <v>1875</v>
      </c>
      <c r="U50" s="1"/>
      <c r="V50" s="5">
        <f t="shared" ref="V50:V58" si="34">IF(T$12=0,0,T50/T$12)</f>
        <v>3.8265306122448979E-3</v>
      </c>
      <c r="W50" s="1"/>
      <c r="X50" s="1">
        <f t="shared" ref="X50:X58" si="35">+P50-T50</f>
        <v>-6.5499999999999545</v>
      </c>
      <c r="Y50" s="1"/>
      <c r="Z50" s="5">
        <f t="shared" ref="Z50:Z58" si="36">IF(T50=0,0,X50/T50)</f>
        <v>-3.4933333333333092E-3</v>
      </c>
    </row>
    <row r="51" spans="1:26" s="24" customFormat="1" hidden="1" outlineLevel="2" x14ac:dyDescent="0.25">
      <c r="A51" s="25"/>
      <c r="B51" s="11" t="str">
        <f>CONCATENATE("          ", "6362", " - ", "ADVERTISING EXPENSE")</f>
        <v xml:space="preserve">          6362 - ADVERTISING EXPENSE</v>
      </c>
      <c r="C51" s="11"/>
      <c r="D51" s="6"/>
      <c r="E51" s="2"/>
      <c r="F51" s="7">
        <f t="shared" si="29"/>
        <v>0</v>
      </c>
      <c r="G51" s="2"/>
      <c r="H51" s="6">
        <v>200</v>
      </c>
      <c r="I51" s="2"/>
      <c r="J51" s="7">
        <f t="shared" si="30"/>
        <v>2.5000000000000001E-3</v>
      </c>
      <c r="K51" s="2"/>
      <c r="L51" s="6">
        <f t="shared" si="31"/>
        <v>-200</v>
      </c>
      <c r="M51" s="2"/>
      <c r="N51" s="7">
        <f t="shared" si="32"/>
        <v>-1</v>
      </c>
      <c r="O51" s="11"/>
      <c r="P51" s="6">
        <v>1868.45</v>
      </c>
      <c r="Q51" s="2"/>
      <c r="R51" s="7">
        <f t="shared" si="33"/>
        <v>4.7624635745263039E-3</v>
      </c>
      <c r="S51" s="2"/>
      <c r="T51" s="6">
        <v>1875</v>
      </c>
      <c r="U51" s="2"/>
      <c r="V51" s="7">
        <f t="shared" si="34"/>
        <v>3.8265306122448979E-3</v>
      </c>
      <c r="W51" s="2"/>
      <c r="X51" s="6">
        <f t="shared" si="35"/>
        <v>-6.5499999999999545</v>
      </c>
      <c r="Y51" s="2"/>
      <c r="Z51" s="7">
        <f t="shared" si="36"/>
        <v>-3.4933333333333092E-3</v>
      </c>
    </row>
    <row r="52" spans="1:26" s="27" customFormat="1" outlineLevel="1" collapsed="1" x14ac:dyDescent="0.25">
      <c r="A52" s="26"/>
      <c r="B52" s="13" t="str">
        <f>CONCATENATE("     ","Bad Debts/Over/Short                              ")</f>
        <v xml:space="preserve">     Bad Debts/Over/Short                              </v>
      </c>
      <c r="C52" s="13"/>
      <c r="D52" s="1">
        <f>SUM(OSRRefD22_3x_0)</f>
        <v>-0.55000000000000004</v>
      </c>
      <c r="E52" s="1"/>
      <c r="F52" s="5">
        <f t="shared" si="29"/>
        <v>-3.7885310831754779E-5</v>
      </c>
      <c r="G52" s="1"/>
      <c r="H52" s="1">
        <f>SUM(OSRRefH22_3x_0)</f>
        <v>50</v>
      </c>
      <c r="I52" s="1"/>
      <c r="J52" s="5">
        <f t="shared" si="30"/>
        <v>6.2500000000000001E-4</v>
      </c>
      <c r="K52" s="1"/>
      <c r="L52" s="1">
        <f t="shared" si="31"/>
        <v>-50.55</v>
      </c>
      <c r="M52" s="1"/>
      <c r="N52" s="5">
        <f t="shared" si="32"/>
        <v>-1.0109999999999999</v>
      </c>
      <c r="O52" s="13"/>
      <c r="P52" s="1">
        <f>SUM(OSRRefP22_3x_0)</f>
        <v>-144.01</v>
      </c>
      <c r="Q52" s="1"/>
      <c r="R52" s="5">
        <f t="shared" si="33"/>
        <v>-3.6706488231824934E-4</v>
      </c>
      <c r="S52" s="1"/>
      <c r="T52" s="1">
        <f>SUM(OSRRefT22_3x_0)</f>
        <v>450</v>
      </c>
      <c r="U52" s="1"/>
      <c r="V52" s="5">
        <f t="shared" si="34"/>
        <v>9.1836734693877546E-4</v>
      </c>
      <c r="W52" s="1"/>
      <c r="X52" s="1">
        <f t="shared" si="35"/>
        <v>-594.01</v>
      </c>
      <c r="Y52" s="1"/>
      <c r="Z52" s="5">
        <f t="shared" si="36"/>
        <v>-1.3200222222222222</v>
      </c>
    </row>
    <row r="53" spans="1:26" s="24" customFormat="1" hidden="1" outlineLevel="2" x14ac:dyDescent="0.25">
      <c r="A53" s="25"/>
      <c r="B53" s="11" t="str">
        <f>CONCATENATE("          ", "6272", " - ", "CASH (OVER/SHORT)")</f>
        <v xml:space="preserve">          6272 - CASH (OVER/SHORT)</v>
      </c>
      <c r="C53" s="11"/>
      <c r="D53" s="6">
        <v>-0.55000000000000004</v>
      </c>
      <c r="E53" s="2"/>
      <c r="F53" s="7">
        <f t="shared" si="29"/>
        <v>-3.7885310831754779E-5</v>
      </c>
      <c r="G53" s="2"/>
      <c r="H53" s="6">
        <v>50</v>
      </c>
      <c r="I53" s="2"/>
      <c r="J53" s="7">
        <f t="shared" si="30"/>
        <v>6.2500000000000001E-4</v>
      </c>
      <c r="K53" s="2"/>
      <c r="L53" s="6">
        <f t="shared" si="31"/>
        <v>-50.55</v>
      </c>
      <c r="M53" s="2"/>
      <c r="N53" s="7">
        <f t="shared" si="32"/>
        <v>-1.0109999999999999</v>
      </c>
      <c r="O53" s="11"/>
      <c r="P53" s="6">
        <v>-144.01</v>
      </c>
      <c r="Q53" s="2"/>
      <c r="R53" s="7">
        <f t="shared" si="33"/>
        <v>-3.6706488231824934E-4</v>
      </c>
      <c r="S53" s="2"/>
      <c r="T53" s="6">
        <v>450</v>
      </c>
      <c r="U53" s="2"/>
      <c r="V53" s="7">
        <f t="shared" si="34"/>
        <v>9.1836734693877546E-4</v>
      </c>
      <c r="W53" s="2"/>
      <c r="X53" s="6">
        <f t="shared" si="35"/>
        <v>-594.01</v>
      </c>
      <c r="Y53" s="2"/>
      <c r="Z53" s="7">
        <f t="shared" si="36"/>
        <v>-1.3200222222222222</v>
      </c>
    </row>
    <row r="54" spans="1:26" s="27" customFormat="1" outlineLevel="1" collapsed="1" x14ac:dyDescent="0.25">
      <c r="A54" s="26"/>
      <c r="B54" s="13" t="str">
        <f>CONCATENATE("     ","Bank/card Fees                                    ")</f>
        <v xml:space="preserve">     Bank/card Fees                                    </v>
      </c>
      <c r="C54" s="13"/>
      <c r="D54" s="1">
        <f>SUM(OSRRefD22_4x_0)</f>
        <v>350.93</v>
      </c>
      <c r="E54" s="1"/>
      <c r="F54" s="5">
        <f t="shared" si="29"/>
        <v>2.4172894782159463E-2</v>
      </c>
      <c r="G54" s="1"/>
      <c r="H54" s="1">
        <f>SUM(OSRRefH22_4x_0)</f>
        <v>800</v>
      </c>
      <c r="I54" s="1"/>
      <c r="J54" s="5">
        <f t="shared" si="30"/>
        <v>0.01</v>
      </c>
      <c r="K54" s="1"/>
      <c r="L54" s="1">
        <f t="shared" si="31"/>
        <v>-449.07</v>
      </c>
      <c r="M54" s="1"/>
      <c r="N54" s="5">
        <f t="shared" si="32"/>
        <v>-0.56133750000000004</v>
      </c>
      <c r="O54" s="13"/>
      <c r="P54" s="1">
        <f>SUM(OSRRefP22_4x_0)</f>
        <v>7654.91</v>
      </c>
      <c r="Q54" s="1"/>
      <c r="R54" s="5">
        <f t="shared" si="33"/>
        <v>1.9511482801935907E-2</v>
      </c>
      <c r="S54" s="1"/>
      <c r="T54" s="1">
        <f>SUM(OSRRefT22_4x_0)</f>
        <v>4700</v>
      </c>
      <c r="U54" s="1"/>
      <c r="V54" s="5">
        <f t="shared" si="34"/>
        <v>9.5918367346938781E-3</v>
      </c>
      <c r="W54" s="1"/>
      <c r="X54" s="1">
        <f t="shared" si="35"/>
        <v>2954.91</v>
      </c>
      <c r="Y54" s="1"/>
      <c r="Z54" s="5">
        <f t="shared" si="36"/>
        <v>0.62870425531914886</v>
      </c>
    </row>
    <row r="55" spans="1:26" s="24" customFormat="1" hidden="1" outlineLevel="2" x14ac:dyDescent="0.25">
      <c r="A55" s="25"/>
      <c r="B55" s="11" t="str">
        <f>CONCATENATE("          ", "6381", " - ", "BANK/CREDIT CARD FEES")</f>
        <v xml:space="preserve">          6381 - BANK/CREDIT CARD FEES</v>
      </c>
      <c r="C55" s="11"/>
      <c r="D55" s="6">
        <v>350.93</v>
      </c>
      <c r="E55" s="2"/>
      <c r="F55" s="7">
        <f t="shared" si="29"/>
        <v>2.4172894782159463E-2</v>
      </c>
      <c r="G55" s="2"/>
      <c r="H55" s="6">
        <v>800</v>
      </c>
      <c r="I55" s="2"/>
      <c r="J55" s="7">
        <f t="shared" si="30"/>
        <v>0.01</v>
      </c>
      <c r="K55" s="2"/>
      <c r="L55" s="6">
        <f t="shared" si="31"/>
        <v>-449.07</v>
      </c>
      <c r="M55" s="2"/>
      <c r="N55" s="7">
        <f t="shared" si="32"/>
        <v>-0.56133750000000004</v>
      </c>
      <c r="O55" s="11"/>
      <c r="P55" s="6">
        <v>7654.91</v>
      </c>
      <c r="Q55" s="2"/>
      <c r="R55" s="7">
        <f t="shared" si="33"/>
        <v>1.9511482801935907E-2</v>
      </c>
      <c r="S55" s="2"/>
      <c r="T55" s="6">
        <v>4700</v>
      </c>
      <c r="U55" s="2"/>
      <c r="V55" s="7">
        <f t="shared" si="34"/>
        <v>9.5918367346938781E-3</v>
      </c>
      <c r="W55" s="2"/>
      <c r="X55" s="6">
        <f t="shared" si="35"/>
        <v>2954.91</v>
      </c>
      <c r="Y55" s="2"/>
      <c r="Z55" s="7">
        <f t="shared" si="36"/>
        <v>0.62870425531914886</v>
      </c>
    </row>
    <row r="56" spans="1:26" s="27" customFormat="1" outlineLevel="1" collapsed="1" x14ac:dyDescent="0.25">
      <c r="A56" s="26"/>
      <c r="B56" s="13" t="str">
        <f>CONCATENATE("     ","Depreciation                                      ")</f>
        <v xml:space="preserve">     Depreciation                                      </v>
      </c>
      <c r="C56" s="13"/>
      <c r="D56" s="1">
        <f>SUM(OSRRefD22_5x_0)</f>
        <v>1000.91</v>
      </c>
      <c r="E56" s="1"/>
      <c r="F56" s="5">
        <f t="shared" si="29"/>
        <v>6.894506629929395E-2</v>
      </c>
      <c r="G56" s="1"/>
      <c r="H56" s="1">
        <f>SUM(OSRRefH22_5x_0)</f>
        <v>436</v>
      </c>
      <c r="I56" s="1"/>
      <c r="J56" s="5">
        <f t="shared" si="30"/>
        <v>5.45E-3</v>
      </c>
      <c r="K56" s="1"/>
      <c r="L56" s="1">
        <f t="shared" si="31"/>
        <v>564.91</v>
      </c>
      <c r="M56" s="1"/>
      <c r="N56" s="5">
        <f t="shared" si="32"/>
        <v>1.2956651376146788</v>
      </c>
      <c r="O56" s="13"/>
      <c r="P56" s="1">
        <f>SUM(OSRRefP22_5x_0)</f>
        <v>3043.71</v>
      </c>
      <c r="Q56" s="1"/>
      <c r="R56" s="5">
        <f t="shared" si="33"/>
        <v>7.7580657798824995E-3</v>
      </c>
      <c r="S56" s="1"/>
      <c r="T56" s="1">
        <f>SUM(OSRRefT22_5x_0)</f>
        <v>3423</v>
      </c>
      <c r="U56" s="1"/>
      <c r="V56" s="5">
        <f t="shared" si="34"/>
        <v>6.9857142857142861E-3</v>
      </c>
      <c r="W56" s="1"/>
      <c r="X56" s="1">
        <f t="shared" si="35"/>
        <v>-379.28999999999996</v>
      </c>
      <c r="Y56" s="1"/>
      <c r="Z56" s="5">
        <f t="shared" si="36"/>
        <v>-0.110806310254163</v>
      </c>
    </row>
    <row r="57" spans="1:26" s="24" customFormat="1" hidden="1" outlineLevel="2" x14ac:dyDescent="0.25">
      <c r="A57" s="25"/>
      <c r="B57" s="11" t="str">
        <f>CONCATENATE("          ", "6322", " - ", "EQUIPMENT DEPRECIATION EXPENSE")</f>
        <v xml:space="preserve">          6322 - EQUIPMENT DEPRECIATION EXPENSE</v>
      </c>
      <c r="C57" s="11"/>
      <c r="D57" s="6">
        <v>1000.91</v>
      </c>
      <c r="E57" s="2"/>
      <c r="F57" s="7">
        <f t="shared" si="29"/>
        <v>6.894506629929395E-2</v>
      </c>
      <c r="G57" s="2"/>
      <c r="H57" s="6">
        <v>269</v>
      </c>
      <c r="I57" s="2"/>
      <c r="J57" s="7">
        <f t="shared" si="30"/>
        <v>3.3625E-3</v>
      </c>
      <c r="K57" s="2"/>
      <c r="L57" s="6">
        <f t="shared" si="31"/>
        <v>731.91</v>
      </c>
      <c r="M57" s="2"/>
      <c r="N57" s="7">
        <f t="shared" si="32"/>
        <v>2.7208550185873603</v>
      </c>
      <c r="O57" s="11"/>
      <c r="P57" s="6">
        <v>3043.71</v>
      </c>
      <c r="Q57" s="2"/>
      <c r="R57" s="7">
        <f t="shared" si="33"/>
        <v>7.7580657798824995E-3</v>
      </c>
      <c r="S57" s="2"/>
      <c r="T57" s="6">
        <v>2421</v>
      </c>
      <c r="U57" s="2"/>
      <c r="V57" s="7">
        <f t="shared" si="34"/>
        <v>4.9408163265306122E-3</v>
      </c>
      <c r="W57" s="2"/>
      <c r="X57" s="6">
        <f t="shared" si="35"/>
        <v>622.71</v>
      </c>
      <c r="Y57" s="2"/>
      <c r="Z57" s="7">
        <f t="shared" si="36"/>
        <v>0.2572118959107807</v>
      </c>
    </row>
    <row r="58" spans="1:26" s="24" customFormat="1" hidden="1" outlineLevel="2" x14ac:dyDescent="0.25">
      <c r="A58" s="25"/>
      <c r="B58" s="11" t="str">
        <f>CONCATENATE("          ", "6324", " - ", "FURNITURE + FIXT DEPRECIATION")</f>
        <v xml:space="preserve">          6324 - FURNITURE + FIXT DEPRECIATION</v>
      </c>
      <c r="C58" s="11"/>
      <c r="D58" s="6"/>
      <c r="E58" s="2"/>
      <c r="F58" s="7">
        <f t="shared" si="29"/>
        <v>0</v>
      </c>
      <c r="G58" s="2"/>
      <c r="H58" s="6">
        <v>167</v>
      </c>
      <c r="I58" s="2"/>
      <c r="J58" s="7">
        <f t="shared" si="30"/>
        <v>2.0874999999999999E-3</v>
      </c>
      <c r="K58" s="2"/>
      <c r="L58" s="6">
        <f t="shared" si="31"/>
        <v>-167</v>
      </c>
      <c r="M58" s="2"/>
      <c r="N58" s="7">
        <f t="shared" si="32"/>
        <v>-1</v>
      </c>
      <c r="O58" s="11"/>
      <c r="P58" s="6"/>
      <c r="Q58" s="2"/>
      <c r="R58" s="7">
        <f t="shared" si="33"/>
        <v>0</v>
      </c>
      <c r="S58" s="2"/>
      <c r="T58" s="6">
        <v>1002</v>
      </c>
      <c r="U58" s="2"/>
      <c r="V58" s="7">
        <f t="shared" si="34"/>
        <v>2.0448979591836734E-3</v>
      </c>
      <c r="W58" s="2"/>
      <c r="X58" s="6">
        <f t="shared" si="35"/>
        <v>-1002</v>
      </c>
      <c r="Y58" s="2"/>
      <c r="Z58" s="7">
        <f t="shared" si="36"/>
        <v>-1</v>
      </c>
    </row>
    <row r="59" spans="1:26" s="27" customFormat="1" outlineLevel="1" collapsed="1" x14ac:dyDescent="0.25">
      <c r="A59" s="26"/>
      <c r="B59" s="13" t="str">
        <f>CONCATENATE("     ","Employees' Appreciation                           ")</f>
        <v xml:space="preserve">     Employees' Appreciation                           </v>
      </c>
      <c r="C59" s="13"/>
      <c r="D59" s="1">
        <f>SUM(OSRRefD22_6x_0)</f>
        <v>0</v>
      </c>
      <c r="E59" s="1"/>
      <c r="F59" s="5">
        <f t="shared" ref="F59:F68" si="37">IF(D$12=0,0,D59/D$12)</f>
        <v>0</v>
      </c>
      <c r="G59" s="1"/>
      <c r="H59" s="1">
        <f>SUM(OSRRefH22_6x_0)</f>
        <v>0</v>
      </c>
      <c r="I59" s="1"/>
      <c r="J59" s="5">
        <f t="shared" ref="J59:J68" si="38">IF(H$12=0,0,H59/H$12)</f>
        <v>0</v>
      </c>
      <c r="K59" s="1"/>
      <c r="L59" s="1">
        <f t="shared" ref="L59:L68" si="39">+D59-H59</f>
        <v>0</v>
      </c>
      <c r="M59" s="1"/>
      <c r="N59" s="5">
        <f t="shared" ref="N59:N68" si="40">IF(H59=0,0,L59/H59)</f>
        <v>0</v>
      </c>
      <c r="O59" s="13"/>
      <c r="P59" s="1">
        <f>SUM(OSRRefP22_6x_0)</f>
        <v>118.6</v>
      </c>
      <c r="Q59" s="1"/>
      <c r="R59" s="5">
        <f t="shared" ref="R59:R68" si="41">IF(P$12=0,0,P59/P$12)</f>
        <v>3.022977226785943E-4</v>
      </c>
      <c r="S59" s="1"/>
      <c r="T59" s="1">
        <f>SUM(OSRRefT22_6x_0)</f>
        <v>250</v>
      </c>
      <c r="U59" s="1"/>
      <c r="V59" s="5">
        <f t="shared" ref="V59:V68" si="42">IF(T$12=0,0,T59/T$12)</f>
        <v>5.1020408163265311E-4</v>
      </c>
      <c r="W59" s="1"/>
      <c r="X59" s="1">
        <f t="shared" ref="X59:X68" si="43">+P59-T59</f>
        <v>-131.4</v>
      </c>
      <c r="Y59" s="1"/>
      <c r="Z59" s="5">
        <f t="shared" ref="Z59:Z68" si="44">IF(T59=0,0,X59/T59)</f>
        <v>-0.52560000000000007</v>
      </c>
    </row>
    <row r="60" spans="1:26" s="24" customFormat="1" hidden="1" outlineLevel="2" x14ac:dyDescent="0.25">
      <c r="A60" s="25"/>
      <c r="B60" s="11" t="str">
        <f>CONCATENATE("          ", "6277", " - ", "EMPLOYEE APPRECIATION")</f>
        <v xml:space="preserve">          6277 - EMPLOYEE APPRECIATION</v>
      </c>
      <c r="C60" s="11"/>
      <c r="D60" s="6"/>
      <c r="E60" s="2"/>
      <c r="F60" s="7">
        <f t="shared" si="37"/>
        <v>0</v>
      </c>
      <c r="G60" s="2"/>
      <c r="H60" s="6"/>
      <c r="I60" s="2"/>
      <c r="J60" s="7">
        <f t="shared" si="38"/>
        <v>0</v>
      </c>
      <c r="K60" s="2"/>
      <c r="L60" s="6">
        <f t="shared" si="39"/>
        <v>0</v>
      </c>
      <c r="M60" s="2"/>
      <c r="N60" s="7">
        <f t="shared" si="40"/>
        <v>0</v>
      </c>
      <c r="O60" s="11"/>
      <c r="P60" s="6">
        <v>118.6</v>
      </c>
      <c r="Q60" s="2"/>
      <c r="R60" s="7">
        <f t="shared" si="41"/>
        <v>3.022977226785943E-4</v>
      </c>
      <c r="S60" s="2"/>
      <c r="T60" s="6">
        <v>250</v>
      </c>
      <c r="U60" s="2"/>
      <c r="V60" s="7">
        <f t="shared" si="42"/>
        <v>5.1020408163265311E-4</v>
      </c>
      <c r="W60" s="2"/>
      <c r="X60" s="6">
        <f t="shared" si="43"/>
        <v>-131.4</v>
      </c>
      <c r="Y60" s="2"/>
      <c r="Z60" s="7">
        <f t="shared" si="44"/>
        <v>-0.52560000000000007</v>
      </c>
    </row>
    <row r="61" spans="1:26" s="27" customFormat="1" outlineLevel="1" collapsed="1" x14ac:dyDescent="0.25">
      <c r="A61" s="26"/>
      <c r="B61" s="13" t="str">
        <f>CONCATENATE("     ","Equipment Rental                                  ")</f>
        <v xml:space="preserve">     Equipment Rental                                  </v>
      </c>
      <c r="C61" s="13"/>
      <c r="D61" s="1">
        <f>SUM(OSRRefD22_7x_0)</f>
        <v>0</v>
      </c>
      <c r="E61" s="1"/>
      <c r="F61" s="5">
        <f t="shared" si="37"/>
        <v>0</v>
      </c>
      <c r="G61" s="1"/>
      <c r="H61" s="1">
        <f>SUM(OSRRefH22_7x_0)</f>
        <v>100</v>
      </c>
      <c r="I61" s="1"/>
      <c r="J61" s="5">
        <f t="shared" si="38"/>
        <v>1.25E-3</v>
      </c>
      <c r="K61" s="1"/>
      <c r="L61" s="1">
        <f t="shared" si="39"/>
        <v>-100</v>
      </c>
      <c r="M61" s="1"/>
      <c r="N61" s="5">
        <f t="shared" si="40"/>
        <v>-1</v>
      </c>
      <c r="O61" s="13"/>
      <c r="P61" s="1">
        <f>SUM(OSRRefP22_7x_0)</f>
        <v>350</v>
      </c>
      <c r="Q61" s="1"/>
      <c r="R61" s="5">
        <f t="shared" si="41"/>
        <v>8.9210963690984841E-4</v>
      </c>
      <c r="S61" s="1"/>
      <c r="T61" s="1">
        <f>SUM(OSRRefT22_7x_0)</f>
        <v>300</v>
      </c>
      <c r="U61" s="1"/>
      <c r="V61" s="5">
        <f t="shared" si="42"/>
        <v>6.1224489795918364E-4</v>
      </c>
      <c r="W61" s="1"/>
      <c r="X61" s="1">
        <f t="shared" si="43"/>
        <v>50</v>
      </c>
      <c r="Y61" s="1"/>
      <c r="Z61" s="5">
        <f t="shared" si="44"/>
        <v>0.16666666666666666</v>
      </c>
    </row>
    <row r="62" spans="1:26" s="24" customFormat="1" hidden="1" outlineLevel="2" x14ac:dyDescent="0.25">
      <c r="A62" s="25"/>
      <c r="B62" s="11" t="str">
        <f>CONCATENATE("          ", "6351", " - ", "EQUIPMENT RENTAL")</f>
        <v xml:space="preserve">          6351 - EQUIPMENT RENTAL</v>
      </c>
      <c r="C62" s="11"/>
      <c r="D62" s="6"/>
      <c r="E62" s="2"/>
      <c r="F62" s="7">
        <f t="shared" si="37"/>
        <v>0</v>
      </c>
      <c r="G62" s="2"/>
      <c r="H62" s="6">
        <v>100</v>
      </c>
      <c r="I62" s="2"/>
      <c r="J62" s="7">
        <f t="shared" si="38"/>
        <v>1.25E-3</v>
      </c>
      <c r="K62" s="2"/>
      <c r="L62" s="6">
        <f t="shared" si="39"/>
        <v>-100</v>
      </c>
      <c r="M62" s="2"/>
      <c r="N62" s="7">
        <f t="shared" si="40"/>
        <v>-1</v>
      </c>
      <c r="O62" s="11"/>
      <c r="P62" s="6">
        <v>350</v>
      </c>
      <c r="Q62" s="2"/>
      <c r="R62" s="7">
        <f t="shared" si="41"/>
        <v>8.9210963690984841E-4</v>
      </c>
      <c r="S62" s="2"/>
      <c r="T62" s="6">
        <v>300</v>
      </c>
      <c r="U62" s="2"/>
      <c r="V62" s="7">
        <f t="shared" si="42"/>
        <v>6.1224489795918364E-4</v>
      </c>
      <c r="W62" s="2"/>
      <c r="X62" s="6">
        <f t="shared" si="43"/>
        <v>50</v>
      </c>
      <c r="Y62" s="2"/>
      <c r="Z62" s="7">
        <f t="shared" si="44"/>
        <v>0.16666666666666666</v>
      </c>
    </row>
    <row r="63" spans="1:26" s="27" customFormat="1" outlineLevel="1" collapsed="1" x14ac:dyDescent="0.25">
      <c r="A63" s="26"/>
      <c r="B63" s="13" t="str">
        <f>CONCATENATE("     ","General                                           ")</f>
        <v xml:space="preserve">     General                                           </v>
      </c>
      <c r="C63" s="13"/>
      <c r="D63" s="1">
        <f>SUM(OSRRefD22_8x_0)</f>
        <v>248.2</v>
      </c>
      <c r="E63" s="1"/>
      <c r="F63" s="5">
        <f t="shared" si="37"/>
        <v>1.7096607542620972E-2</v>
      </c>
      <c r="G63" s="1"/>
      <c r="H63" s="1">
        <f>SUM(OSRRefH22_8x_0)</f>
        <v>0</v>
      </c>
      <c r="I63" s="1"/>
      <c r="J63" s="5">
        <f t="shared" si="38"/>
        <v>0</v>
      </c>
      <c r="K63" s="1"/>
      <c r="L63" s="1">
        <f t="shared" si="39"/>
        <v>248.2</v>
      </c>
      <c r="M63" s="1"/>
      <c r="N63" s="5">
        <f t="shared" si="40"/>
        <v>0</v>
      </c>
      <c r="O63" s="13"/>
      <c r="P63" s="1">
        <f>SUM(OSRRefP22_8x_0)</f>
        <v>15629.04</v>
      </c>
      <c r="Q63" s="1"/>
      <c r="R63" s="5">
        <f t="shared" si="41"/>
        <v>3.9836620570427139E-2</v>
      </c>
      <c r="S63" s="1"/>
      <c r="T63" s="1">
        <f>SUM(OSRRefT22_8x_0)</f>
        <v>2050</v>
      </c>
      <c r="U63" s="1"/>
      <c r="V63" s="5">
        <f t="shared" si="42"/>
        <v>4.183673469387755E-3</v>
      </c>
      <c r="W63" s="1"/>
      <c r="X63" s="1">
        <f t="shared" si="43"/>
        <v>13579.04</v>
      </c>
      <c r="Y63" s="1"/>
      <c r="Z63" s="5">
        <f t="shared" si="44"/>
        <v>6.6239219512195122</v>
      </c>
    </row>
    <row r="64" spans="1:26" s="24" customFormat="1" hidden="1" outlineLevel="2" x14ac:dyDescent="0.25">
      <c r="A64" s="25"/>
      <c r="B64" s="11" t="str">
        <f>CONCATENATE("          ", "6279", " - ", "GENERAL EXPENSE")</f>
        <v xml:space="preserve">          6279 - GENERAL EXPENSE</v>
      </c>
      <c r="C64" s="11"/>
      <c r="D64" s="6">
        <v>248.2</v>
      </c>
      <c r="E64" s="2"/>
      <c r="F64" s="7">
        <f t="shared" si="37"/>
        <v>1.7096607542620972E-2</v>
      </c>
      <c r="G64" s="2"/>
      <c r="H64" s="6"/>
      <c r="I64" s="2"/>
      <c r="J64" s="7">
        <f t="shared" si="38"/>
        <v>0</v>
      </c>
      <c r="K64" s="2"/>
      <c r="L64" s="6">
        <f t="shared" si="39"/>
        <v>248.2</v>
      </c>
      <c r="M64" s="2"/>
      <c r="N64" s="7">
        <f t="shared" si="40"/>
        <v>0</v>
      </c>
      <c r="O64" s="11"/>
      <c r="P64" s="6">
        <v>15629.04</v>
      </c>
      <c r="Q64" s="2"/>
      <c r="R64" s="7">
        <f t="shared" si="41"/>
        <v>3.9836620570427139E-2</v>
      </c>
      <c r="S64" s="2"/>
      <c r="T64" s="6">
        <v>2050</v>
      </c>
      <c r="U64" s="2"/>
      <c r="V64" s="7">
        <f t="shared" si="42"/>
        <v>4.183673469387755E-3</v>
      </c>
      <c r="W64" s="2"/>
      <c r="X64" s="6">
        <f t="shared" si="43"/>
        <v>13579.04</v>
      </c>
      <c r="Y64" s="2"/>
      <c r="Z64" s="7">
        <f t="shared" si="44"/>
        <v>6.6239219512195122</v>
      </c>
    </row>
    <row r="65" spans="1:26" s="27" customFormat="1" outlineLevel="1" collapsed="1" x14ac:dyDescent="0.25">
      <c r="A65" s="26"/>
      <c r="B65" s="13" t="str">
        <f>CONCATENATE("     ","Repair and Maintenance                            ")</f>
        <v xml:space="preserve">     Repair and Maintenance                            </v>
      </c>
      <c r="C65" s="13"/>
      <c r="D65" s="1">
        <f>SUM(OSRRefD22_9x_0)</f>
        <v>0</v>
      </c>
      <c r="E65" s="1"/>
      <c r="F65" s="5">
        <f t="shared" si="37"/>
        <v>0</v>
      </c>
      <c r="G65" s="1"/>
      <c r="H65" s="1">
        <f>SUM(OSRRefH22_9x_0)</f>
        <v>150</v>
      </c>
      <c r="I65" s="1"/>
      <c r="J65" s="5">
        <f t="shared" si="38"/>
        <v>1.8749999999999999E-3</v>
      </c>
      <c r="K65" s="1"/>
      <c r="L65" s="1">
        <f t="shared" si="39"/>
        <v>-150</v>
      </c>
      <c r="M65" s="1"/>
      <c r="N65" s="5">
        <f t="shared" si="40"/>
        <v>-1</v>
      </c>
      <c r="O65" s="13"/>
      <c r="P65" s="1">
        <f>SUM(OSRRefP22_9x_0)</f>
        <v>5381.05</v>
      </c>
      <c r="Q65" s="1"/>
      <c r="R65" s="5">
        <f t="shared" si="41"/>
        <v>1.3715675890553542E-2</v>
      </c>
      <c r="S65" s="1"/>
      <c r="T65" s="1">
        <f>SUM(OSRRefT22_9x_0)</f>
        <v>5625</v>
      </c>
      <c r="U65" s="1"/>
      <c r="V65" s="5">
        <f t="shared" si="42"/>
        <v>1.1479591836734694E-2</v>
      </c>
      <c r="W65" s="1"/>
      <c r="X65" s="1">
        <f t="shared" si="43"/>
        <v>-243.94999999999982</v>
      </c>
      <c r="Y65" s="1"/>
      <c r="Z65" s="5">
        <f t="shared" si="44"/>
        <v>-4.336888888888886E-2</v>
      </c>
    </row>
    <row r="66" spans="1:26" s="24" customFormat="1" hidden="1" outlineLevel="2" x14ac:dyDescent="0.25">
      <c r="A66" s="25"/>
      <c r="B66" s="11" t="str">
        <f>CONCATENATE("          ", "6371", " - ", "COMPUTER SOFTWARE MAINTENANCE")</f>
        <v xml:space="preserve">          6371 - COMPUTER SOFTWARE MAINTENANCE</v>
      </c>
      <c r="C66" s="11"/>
      <c r="D66" s="6"/>
      <c r="E66" s="2"/>
      <c r="F66" s="7">
        <f t="shared" si="37"/>
        <v>0</v>
      </c>
      <c r="G66" s="2"/>
      <c r="H66" s="6"/>
      <c r="I66" s="2"/>
      <c r="J66" s="7">
        <f t="shared" si="38"/>
        <v>0</v>
      </c>
      <c r="K66" s="2"/>
      <c r="L66" s="6">
        <f t="shared" si="39"/>
        <v>0</v>
      </c>
      <c r="M66" s="2"/>
      <c r="N66" s="7">
        <f t="shared" si="40"/>
        <v>0</v>
      </c>
      <c r="O66" s="11"/>
      <c r="P66" s="6">
        <v>2623.84</v>
      </c>
      <c r="Q66" s="2"/>
      <c r="R66" s="7">
        <f t="shared" si="41"/>
        <v>6.6878655705986763E-3</v>
      </c>
      <c r="S66" s="2"/>
      <c r="T66" s="6">
        <v>450</v>
      </c>
      <c r="U66" s="2"/>
      <c r="V66" s="7">
        <f t="shared" si="42"/>
        <v>9.1836734693877546E-4</v>
      </c>
      <c r="W66" s="2"/>
      <c r="X66" s="6">
        <f t="shared" si="43"/>
        <v>2173.84</v>
      </c>
      <c r="Y66" s="2"/>
      <c r="Z66" s="7">
        <f t="shared" si="44"/>
        <v>4.8307555555555561</v>
      </c>
    </row>
    <row r="67" spans="1:26" s="24" customFormat="1" hidden="1" outlineLevel="2" x14ac:dyDescent="0.25">
      <c r="A67" s="25"/>
      <c r="B67" s="11" t="str">
        <f>CONCATENATE("          ", "6373", " - ", "MAINTENANCE CONTRACTS")</f>
        <v xml:space="preserve">          6373 - MAINTENANCE CONTRACTS</v>
      </c>
      <c r="C67" s="11"/>
      <c r="D67" s="6"/>
      <c r="E67" s="2"/>
      <c r="F67" s="7">
        <f t="shared" si="37"/>
        <v>0</v>
      </c>
      <c r="G67" s="2"/>
      <c r="H67" s="6"/>
      <c r="I67" s="2"/>
      <c r="J67" s="7">
        <f t="shared" si="38"/>
        <v>0</v>
      </c>
      <c r="K67" s="2"/>
      <c r="L67" s="6">
        <f t="shared" si="39"/>
        <v>0</v>
      </c>
      <c r="M67" s="2"/>
      <c r="N67" s="7">
        <f t="shared" si="40"/>
        <v>0</v>
      </c>
      <c r="O67" s="11"/>
      <c r="P67" s="6">
        <v>573</v>
      </c>
      <c r="Q67" s="2"/>
      <c r="R67" s="7">
        <f t="shared" si="41"/>
        <v>1.4605109198552661E-3</v>
      </c>
      <c r="S67" s="2"/>
      <c r="T67" s="6">
        <v>375</v>
      </c>
      <c r="U67" s="2"/>
      <c r="V67" s="7">
        <f t="shared" si="42"/>
        <v>7.6530612244897955E-4</v>
      </c>
      <c r="W67" s="2"/>
      <c r="X67" s="6">
        <f t="shared" si="43"/>
        <v>198</v>
      </c>
      <c r="Y67" s="2"/>
      <c r="Z67" s="7">
        <f t="shared" si="44"/>
        <v>0.52800000000000002</v>
      </c>
    </row>
    <row r="68" spans="1:26" s="24" customFormat="1" hidden="1" outlineLevel="2" x14ac:dyDescent="0.25">
      <c r="A68" s="25"/>
      <c r="B68" s="11" t="str">
        <f>CONCATENATE("          ", "6375", " - ", "OUTSIDE REPAIRS &amp; MAINTENANCE")</f>
        <v xml:space="preserve">          6375 - OUTSIDE REPAIRS &amp; MAINTENANCE</v>
      </c>
      <c r="C68" s="11"/>
      <c r="D68" s="6"/>
      <c r="E68" s="2"/>
      <c r="F68" s="7">
        <f t="shared" si="37"/>
        <v>0</v>
      </c>
      <c r="G68" s="2"/>
      <c r="H68" s="6">
        <v>150</v>
      </c>
      <c r="I68" s="2"/>
      <c r="J68" s="7">
        <f t="shared" si="38"/>
        <v>1.8749999999999999E-3</v>
      </c>
      <c r="K68" s="2"/>
      <c r="L68" s="6">
        <f t="shared" si="39"/>
        <v>-150</v>
      </c>
      <c r="M68" s="2"/>
      <c r="N68" s="7">
        <f t="shared" si="40"/>
        <v>-1</v>
      </c>
      <c r="O68" s="11"/>
      <c r="P68" s="6">
        <v>2184.21</v>
      </c>
      <c r="Q68" s="2"/>
      <c r="R68" s="7">
        <f t="shared" si="41"/>
        <v>5.5672994000995997E-3</v>
      </c>
      <c r="S68" s="2"/>
      <c r="T68" s="6">
        <v>4800</v>
      </c>
      <c r="U68" s="2"/>
      <c r="V68" s="7">
        <f t="shared" si="42"/>
        <v>9.7959183673469383E-3</v>
      </c>
      <c r="W68" s="2"/>
      <c r="X68" s="6">
        <f t="shared" si="43"/>
        <v>-2615.79</v>
      </c>
      <c r="Y68" s="2"/>
      <c r="Z68" s="7">
        <f t="shared" si="44"/>
        <v>-0.54495625000000003</v>
      </c>
    </row>
    <row r="69" spans="1:26" s="27" customFormat="1" outlineLevel="1" collapsed="1" x14ac:dyDescent="0.25">
      <c r="A69" s="26"/>
      <c r="B69" s="13" t="str">
        <f>CONCATENATE("     ","Royalty &amp; Commissions                             ")</f>
        <v xml:space="preserve">     Royalty &amp; Commissions                             </v>
      </c>
      <c r="C69" s="13"/>
      <c r="D69" s="1">
        <f>SUM(OSRRefD22_10x_0)</f>
        <v>2990.26</v>
      </c>
      <c r="E69" s="1"/>
      <c r="F69" s="5">
        <f t="shared" ref="F69:F71" si="45">IF(D$12=0,0,D69/D$12)</f>
        <v>0.20597623557775099</v>
      </c>
      <c r="G69" s="1"/>
      <c r="H69" s="1">
        <f>SUM(OSRRefH22_10x_0)</f>
        <v>32000</v>
      </c>
      <c r="I69" s="1"/>
      <c r="J69" s="5">
        <f t="shared" ref="J69:J71" si="46">IF(H$12=0,0,H69/H$12)</f>
        <v>0.4</v>
      </c>
      <c r="K69" s="1"/>
      <c r="L69" s="1">
        <f t="shared" ref="L69:L71" si="47">+D69-H69</f>
        <v>-29009.739999999998</v>
      </c>
      <c r="M69" s="1"/>
      <c r="N69" s="5">
        <f t="shared" ref="N69:N71" si="48">IF(H69=0,0,L69/H69)</f>
        <v>-0.90655437499999991</v>
      </c>
      <c r="O69" s="13"/>
      <c r="P69" s="1">
        <f>SUM(OSRRefP22_10x_0)</f>
        <v>83387.12</v>
      </c>
      <c r="Q69" s="1"/>
      <c r="R69" s="5">
        <f t="shared" ref="R69:R71" si="49">IF(P$12=0,0,P69/P$12)</f>
        <v>0.21254415241759414</v>
      </c>
      <c r="S69" s="1"/>
      <c r="T69" s="1">
        <f>SUM(OSRRefT22_10x_0)</f>
        <v>119000</v>
      </c>
      <c r="U69" s="1"/>
      <c r="V69" s="5">
        <f t="shared" ref="V69:V71" si="50">IF(T$12=0,0,T69/T$12)</f>
        <v>0.24285714285714285</v>
      </c>
      <c r="W69" s="1"/>
      <c r="X69" s="1">
        <f t="shared" ref="X69:X71" si="51">+P69-T69</f>
        <v>-35612.880000000005</v>
      </c>
      <c r="Y69" s="1"/>
      <c r="Z69" s="5">
        <f t="shared" ref="Z69:Z71" si="52">IF(T69=0,0,X69/T69)</f>
        <v>-0.2992678991596639</v>
      </c>
    </row>
    <row r="70" spans="1:26" s="24" customFormat="1" hidden="1" outlineLevel="2" x14ac:dyDescent="0.25">
      <c r="A70" s="25"/>
      <c r="B70" s="11" t="str">
        <f>CONCATENATE("          ", "6253", " - ", "ROYALTY DUE ATHLETICS-LRG")</f>
        <v xml:space="preserve">          6253 - ROYALTY DUE ATHLETICS-LRG</v>
      </c>
      <c r="C70" s="11"/>
      <c r="D70" s="6"/>
      <c r="E70" s="2"/>
      <c r="F70" s="7">
        <f t="shared" si="45"/>
        <v>0</v>
      </c>
      <c r="G70" s="2"/>
      <c r="H70" s="6">
        <v>32000</v>
      </c>
      <c r="I70" s="2"/>
      <c r="J70" s="7">
        <f t="shared" si="46"/>
        <v>0.4</v>
      </c>
      <c r="K70" s="2"/>
      <c r="L70" s="6">
        <f t="shared" si="47"/>
        <v>-32000</v>
      </c>
      <c r="M70" s="2"/>
      <c r="N70" s="7">
        <f t="shared" si="48"/>
        <v>-1</v>
      </c>
      <c r="O70" s="11"/>
      <c r="P70" s="6"/>
      <c r="Q70" s="2"/>
      <c r="R70" s="7">
        <f t="shared" si="49"/>
        <v>0</v>
      </c>
      <c r="S70" s="2"/>
      <c r="T70" s="6">
        <v>119000</v>
      </c>
      <c r="U70" s="2"/>
      <c r="V70" s="7">
        <f t="shared" si="50"/>
        <v>0.24285714285714285</v>
      </c>
      <c r="W70" s="2"/>
      <c r="X70" s="6">
        <f t="shared" si="51"/>
        <v>-119000</v>
      </c>
      <c r="Y70" s="2"/>
      <c r="Z70" s="7">
        <f t="shared" si="52"/>
        <v>-1</v>
      </c>
    </row>
    <row r="71" spans="1:26" s="24" customFormat="1" hidden="1" outlineLevel="2" x14ac:dyDescent="0.25">
      <c r="A71" s="25"/>
      <c r="B71" s="11" t="str">
        <f>CONCATENATE("          ", "6254", " - ", "ROYALTY &amp; COMMISSIONS")</f>
        <v xml:space="preserve">          6254 - ROYALTY &amp; COMMISSIONS</v>
      </c>
      <c r="C71" s="11"/>
      <c r="D71" s="6">
        <v>2990.26</v>
      </c>
      <c r="E71" s="2"/>
      <c r="F71" s="7">
        <f t="shared" si="45"/>
        <v>0.20597623557775099</v>
      </c>
      <c r="G71" s="2"/>
      <c r="H71" s="6"/>
      <c r="I71" s="2"/>
      <c r="J71" s="7">
        <f t="shared" si="46"/>
        <v>0</v>
      </c>
      <c r="K71" s="2"/>
      <c r="L71" s="6">
        <f t="shared" si="47"/>
        <v>2990.26</v>
      </c>
      <c r="M71" s="2"/>
      <c r="N71" s="7">
        <f t="shared" si="48"/>
        <v>0</v>
      </c>
      <c r="O71" s="11"/>
      <c r="P71" s="6">
        <v>83387.12</v>
      </c>
      <c r="Q71" s="2"/>
      <c r="R71" s="7">
        <f t="shared" si="49"/>
        <v>0.21254415241759414</v>
      </c>
      <c r="S71" s="2"/>
      <c r="T71" s="6"/>
      <c r="U71" s="2"/>
      <c r="V71" s="7">
        <f t="shared" si="50"/>
        <v>0</v>
      </c>
      <c r="W71" s="2"/>
      <c r="X71" s="6">
        <f t="shared" si="51"/>
        <v>83387.12</v>
      </c>
      <c r="Y71" s="2"/>
      <c r="Z71" s="7">
        <f t="shared" si="52"/>
        <v>0</v>
      </c>
    </row>
    <row r="72" spans="1:26" s="27" customFormat="1" outlineLevel="1" collapsed="1" x14ac:dyDescent="0.25">
      <c r="A72" s="26"/>
      <c r="B72" s="13" t="str">
        <f>CONCATENATE("     ","Services                                          ")</f>
        <v xml:space="preserve">     Services                                          </v>
      </c>
      <c r="C72" s="13"/>
      <c r="D72" s="1">
        <f>SUM(OSRRefD22_11x_0)</f>
        <v>807.91000000000008</v>
      </c>
      <c r="E72" s="1"/>
      <c r="F72" s="5">
        <f t="shared" ref="F72:F75" si="53">IF(D$12=0,0,D72/D$12)</f>
        <v>5.5650766316514555E-2</v>
      </c>
      <c r="G72" s="1"/>
      <c r="H72" s="1">
        <f>SUM(OSRRefH22_11x_0)</f>
        <v>255</v>
      </c>
      <c r="I72" s="1"/>
      <c r="J72" s="5">
        <f t="shared" ref="J72:J75" si="54">IF(H$12=0,0,H72/H$12)</f>
        <v>3.1874999999999998E-3</v>
      </c>
      <c r="K72" s="1"/>
      <c r="L72" s="1">
        <f t="shared" ref="L72:L75" si="55">+D72-H72</f>
        <v>552.91000000000008</v>
      </c>
      <c r="M72" s="1"/>
      <c r="N72" s="5">
        <f t="shared" ref="N72:N75" si="56">IF(H72=0,0,L72/H72)</f>
        <v>2.168274509803922</v>
      </c>
      <c r="O72" s="13"/>
      <c r="P72" s="1">
        <f>SUM(OSRRefP22_11x_0)</f>
        <v>3287.06</v>
      </c>
      <c r="Q72" s="1"/>
      <c r="R72" s="5">
        <f t="shared" ref="R72:R75" si="57">IF(P$12=0,0,P72/P$12)</f>
        <v>8.378336866002532E-3</v>
      </c>
      <c r="S72" s="1"/>
      <c r="T72" s="1">
        <f>SUM(OSRRefT22_11x_0)</f>
        <v>2030</v>
      </c>
      <c r="U72" s="1"/>
      <c r="V72" s="5">
        <f t="shared" ref="V72:V75" si="58">IF(T$12=0,0,T72/T$12)</f>
        <v>4.1428571428571426E-3</v>
      </c>
      <c r="W72" s="1"/>
      <c r="X72" s="1">
        <f t="shared" ref="X72:X75" si="59">+P72-T72</f>
        <v>1257.06</v>
      </c>
      <c r="Y72" s="1"/>
      <c r="Z72" s="5">
        <f t="shared" ref="Z72:Z75" si="60">IF(T72=0,0,X72/T72)</f>
        <v>0.61924137931034484</v>
      </c>
    </row>
    <row r="73" spans="1:26" s="24" customFormat="1" hidden="1" outlineLevel="2" x14ac:dyDescent="0.25">
      <c r="A73" s="25"/>
      <c r="B73" s="11" t="str">
        <f>CONCATENATE("          ", "6282", " - ", "JANITORIAL/EXTERMINATOR EXPENS")</f>
        <v xml:space="preserve">          6282 - JANITORIAL/EXTERMINATOR EXPENS</v>
      </c>
      <c r="C73" s="11"/>
      <c r="D73" s="6">
        <v>225.81</v>
      </c>
      <c r="E73" s="2"/>
      <c r="F73" s="7">
        <f t="shared" si="53"/>
        <v>1.5554330979851903E-2</v>
      </c>
      <c r="G73" s="2"/>
      <c r="H73" s="6">
        <v>205</v>
      </c>
      <c r="I73" s="2"/>
      <c r="J73" s="7">
        <f t="shared" si="54"/>
        <v>2.5625000000000001E-3</v>
      </c>
      <c r="K73" s="2"/>
      <c r="L73" s="6">
        <f t="shared" si="55"/>
        <v>20.810000000000002</v>
      </c>
      <c r="M73" s="2"/>
      <c r="N73" s="7">
        <f t="shared" si="56"/>
        <v>0.10151219512195123</v>
      </c>
      <c r="O73" s="11"/>
      <c r="P73" s="6">
        <v>2258.1</v>
      </c>
      <c r="Q73" s="2"/>
      <c r="R73" s="7">
        <f t="shared" si="57"/>
        <v>5.7556364888746532E-3</v>
      </c>
      <c r="S73" s="2"/>
      <c r="T73" s="6">
        <v>1630</v>
      </c>
      <c r="U73" s="2"/>
      <c r="V73" s="7">
        <f t="shared" si="58"/>
        <v>3.3265306122448979E-3</v>
      </c>
      <c r="W73" s="2"/>
      <c r="X73" s="6">
        <f t="shared" si="59"/>
        <v>628.09999999999991</v>
      </c>
      <c r="Y73" s="2"/>
      <c r="Z73" s="7">
        <f t="shared" si="60"/>
        <v>0.3853374233128834</v>
      </c>
    </row>
    <row r="74" spans="1:26" s="24" customFormat="1" hidden="1" outlineLevel="2" x14ac:dyDescent="0.25">
      <c r="A74" s="25"/>
      <c r="B74" s="11" t="str">
        <f>CONCATENATE("          ", "6285", " - ", "JANITORIAL SERVICES")</f>
        <v xml:space="preserve">          6285 - JANITORIAL SERVICES</v>
      </c>
      <c r="C74" s="11"/>
      <c r="D74" s="6">
        <v>549.6</v>
      </c>
      <c r="E74" s="2"/>
      <c r="F74" s="7">
        <f t="shared" si="53"/>
        <v>3.7857757878422597E-2</v>
      </c>
      <c r="G74" s="2"/>
      <c r="H74" s="6"/>
      <c r="I74" s="2"/>
      <c r="J74" s="7">
        <f t="shared" si="54"/>
        <v>0</v>
      </c>
      <c r="K74" s="2"/>
      <c r="L74" s="6">
        <f t="shared" si="55"/>
        <v>549.6</v>
      </c>
      <c r="M74" s="2"/>
      <c r="N74" s="7">
        <f t="shared" si="56"/>
        <v>0</v>
      </c>
      <c r="O74" s="11"/>
      <c r="P74" s="6">
        <v>549.6</v>
      </c>
      <c r="Q74" s="2"/>
      <c r="R74" s="7">
        <f t="shared" si="57"/>
        <v>1.4008670184161506E-3</v>
      </c>
      <c r="S74" s="2"/>
      <c r="T74" s="6"/>
      <c r="U74" s="2"/>
      <c r="V74" s="7">
        <f t="shared" si="58"/>
        <v>0</v>
      </c>
      <c r="W74" s="2"/>
      <c r="X74" s="6">
        <f t="shared" si="59"/>
        <v>549.6</v>
      </c>
      <c r="Y74" s="2"/>
      <c r="Z74" s="7">
        <f t="shared" si="60"/>
        <v>0</v>
      </c>
    </row>
    <row r="75" spans="1:26" s="24" customFormat="1" hidden="1" outlineLevel="2" x14ac:dyDescent="0.25">
      <c r="A75" s="25"/>
      <c r="B75" s="11" t="str">
        <f>CONCATENATE("          ", "6286", " - ", "LAUNDRY EXPENSE")</f>
        <v xml:space="preserve">          6286 - LAUNDRY EXPENSE</v>
      </c>
      <c r="C75" s="11"/>
      <c r="D75" s="6">
        <v>32.5</v>
      </c>
      <c r="E75" s="2"/>
      <c r="F75" s="7">
        <f t="shared" si="53"/>
        <v>2.238677458240055E-3</v>
      </c>
      <c r="G75" s="2"/>
      <c r="H75" s="6">
        <v>50</v>
      </c>
      <c r="I75" s="2"/>
      <c r="J75" s="7">
        <f t="shared" si="54"/>
        <v>6.2500000000000001E-4</v>
      </c>
      <c r="K75" s="2"/>
      <c r="L75" s="6">
        <f t="shared" si="55"/>
        <v>-17.5</v>
      </c>
      <c r="M75" s="2"/>
      <c r="N75" s="7">
        <f t="shared" si="56"/>
        <v>-0.35</v>
      </c>
      <c r="O75" s="11"/>
      <c r="P75" s="6">
        <v>479.36</v>
      </c>
      <c r="Q75" s="2"/>
      <c r="R75" s="7">
        <f t="shared" si="57"/>
        <v>1.2218333587117284E-3</v>
      </c>
      <c r="S75" s="2"/>
      <c r="T75" s="6">
        <v>400</v>
      </c>
      <c r="U75" s="2"/>
      <c r="V75" s="7">
        <f t="shared" si="58"/>
        <v>8.1632653061224493E-4</v>
      </c>
      <c r="W75" s="2"/>
      <c r="X75" s="6">
        <f t="shared" si="59"/>
        <v>79.360000000000014</v>
      </c>
      <c r="Y75" s="2"/>
      <c r="Z75" s="7">
        <f t="shared" si="60"/>
        <v>0.19840000000000002</v>
      </c>
    </row>
    <row r="76" spans="1:26" s="27" customFormat="1" outlineLevel="1" collapsed="1" x14ac:dyDescent="0.25">
      <c r="A76" s="26"/>
      <c r="B76" s="13" t="str">
        <f>CONCATENATE("     ","Subscriptions &amp; Dues                              ")</f>
        <v xml:space="preserve">     Subscriptions &amp; Dues                              </v>
      </c>
      <c r="C76" s="13"/>
      <c r="D76" s="1">
        <f>SUM(OSRRefD22_12x_0)</f>
        <v>0</v>
      </c>
      <c r="E76" s="1"/>
      <c r="F76" s="5">
        <f t="shared" ref="F76:F85" si="61">IF(D$12=0,0,D76/D$12)</f>
        <v>0</v>
      </c>
      <c r="G76" s="1"/>
      <c r="H76" s="1">
        <f>SUM(OSRRefH22_12x_0)</f>
        <v>0</v>
      </c>
      <c r="I76" s="1"/>
      <c r="J76" s="5">
        <f t="shared" ref="J76:J85" si="62">IF(H$12=0,0,H76/H$12)</f>
        <v>0</v>
      </c>
      <c r="K76" s="1"/>
      <c r="L76" s="1">
        <f t="shared" ref="L76:L85" si="63">+D76-H76</f>
        <v>0</v>
      </c>
      <c r="M76" s="1"/>
      <c r="N76" s="5">
        <f t="shared" ref="N76:N85" si="64">IF(H76=0,0,L76/H76)</f>
        <v>0</v>
      </c>
      <c r="O76" s="13"/>
      <c r="P76" s="1">
        <f>SUM(OSRRefP22_12x_0)</f>
        <v>0</v>
      </c>
      <c r="Q76" s="1"/>
      <c r="R76" s="5">
        <f t="shared" ref="R76:R85" si="65">IF(P$12=0,0,P76/P$12)</f>
        <v>0</v>
      </c>
      <c r="S76" s="1"/>
      <c r="T76" s="1">
        <f>SUM(OSRRefT22_12x_0)</f>
        <v>300</v>
      </c>
      <c r="U76" s="1"/>
      <c r="V76" s="5">
        <f t="shared" ref="V76:V85" si="66">IF(T$12=0,0,T76/T$12)</f>
        <v>6.1224489795918364E-4</v>
      </c>
      <c r="W76" s="1"/>
      <c r="X76" s="1">
        <f t="shared" ref="X76:X85" si="67">+P76-T76</f>
        <v>-300</v>
      </c>
      <c r="Y76" s="1"/>
      <c r="Z76" s="5">
        <f t="shared" ref="Z76:Z85" si="68">IF(T76=0,0,X76/T76)</f>
        <v>-1</v>
      </c>
    </row>
    <row r="77" spans="1:26" s="24" customFormat="1" hidden="1" outlineLevel="2" x14ac:dyDescent="0.25">
      <c r="A77" s="25"/>
      <c r="B77" s="11" t="str">
        <f>CONCATENATE("          ", "6258", " - ", "MEMBERSHIP DUES")</f>
        <v xml:space="preserve">          6258 - MEMBERSHIP DUES</v>
      </c>
      <c r="C77" s="11"/>
      <c r="D77" s="6"/>
      <c r="E77" s="2"/>
      <c r="F77" s="7">
        <f t="shared" si="61"/>
        <v>0</v>
      </c>
      <c r="G77" s="2"/>
      <c r="H77" s="6"/>
      <c r="I77" s="2"/>
      <c r="J77" s="7">
        <f t="shared" si="62"/>
        <v>0</v>
      </c>
      <c r="K77" s="2"/>
      <c r="L77" s="6">
        <f t="shared" si="63"/>
        <v>0</v>
      </c>
      <c r="M77" s="2"/>
      <c r="N77" s="7">
        <f t="shared" si="64"/>
        <v>0</v>
      </c>
      <c r="O77" s="11"/>
      <c r="P77" s="6"/>
      <c r="Q77" s="2"/>
      <c r="R77" s="7">
        <f t="shared" si="65"/>
        <v>0</v>
      </c>
      <c r="S77" s="2"/>
      <c r="T77" s="6">
        <v>300</v>
      </c>
      <c r="U77" s="2"/>
      <c r="V77" s="7">
        <f t="shared" si="66"/>
        <v>6.1224489795918364E-4</v>
      </c>
      <c r="W77" s="2"/>
      <c r="X77" s="6">
        <f t="shared" si="67"/>
        <v>-300</v>
      </c>
      <c r="Y77" s="2"/>
      <c r="Z77" s="7">
        <f t="shared" si="68"/>
        <v>-1</v>
      </c>
    </row>
    <row r="78" spans="1:26" s="27" customFormat="1" outlineLevel="1" collapsed="1" x14ac:dyDescent="0.25">
      <c r="A78" s="26"/>
      <c r="B78" s="13" t="str">
        <f>CONCATENATE("     ","Supplies                                          ")</f>
        <v xml:space="preserve">     Supplies                                          </v>
      </c>
      <c r="C78" s="13"/>
      <c r="D78" s="1">
        <f>SUM(OSRRefD22_13x_0)</f>
        <v>598.16000000000008</v>
      </c>
      <c r="E78" s="1"/>
      <c r="F78" s="5">
        <f t="shared" si="61"/>
        <v>4.1202686412949892E-2</v>
      </c>
      <c r="G78" s="1"/>
      <c r="H78" s="1">
        <f>SUM(OSRRefH22_13x_0)</f>
        <v>550</v>
      </c>
      <c r="I78" s="1"/>
      <c r="J78" s="5">
        <f t="shared" si="62"/>
        <v>6.875E-3</v>
      </c>
      <c r="K78" s="1"/>
      <c r="L78" s="1">
        <f t="shared" si="63"/>
        <v>48.160000000000082</v>
      </c>
      <c r="M78" s="1"/>
      <c r="N78" s="5">
        <f t="shared" si="64"/>
        <v>8.756363636363651E-2</v>
      </c>
      <c r="O78" s="13"/>
      <c r="P78" s="1">
        <f>SUM(OSRRefP22_13x_0)</f>
        <v>15886.019999999999</v>
      </c>
      <c r="Q78" s="1"/>
      <c r="R78" s="5">
        <f t="shared" si="65"/>
        <v>4.0491632954693109E-2</v>
      </c>
      <c r="S78" s="1"/>
      <c r="T78" s="1">
        <f>SUM(OSRRefT22_13x_0)</f>
        <v>5050</v>
      </c>
      <c r="U78" s="1"/>
      <c r="V78" s="5">
        <f t="shared" si="66"/>
        <v>1.0306122448979592E-2</v>
      </c>
      <c r="W78" s="1"/>
      <c r="X78" s="1">
        <f t="shared" si="67"/>
        <v>10836.019999999999</v>
      </c>
      <c r="Y78" s="1"/>
      <c r="Z78" s="5">
        <f t="shared" si="68"/>
        <v>2.145746534653465</v>
      </c>
    </row>
    <row r="79" spans="1:26" s="24" customFormat="1" hidden="1" outlineLevel="2" x14ac:dyDescent="0.25">
      <c r="A79" s="25"/>
      <c r="B79" s="11" t="str">
        <f>CONCATENATE("          ", "6234", " - ", "EXPENDABLE SUPPLIES &amp; EQUIPMEN")</f>
        <v xml:space="preserve">          6234 - EXPENDABLE SUPPLIES &amp; EQUIPMEN</v>
      </c>
      <c r="C79" s="11"/>
      <c r="D79" s="6"/>
      <c r="E79" s="2"/>
      <c r="F79" s="7">
        <f t="shared" si="61"/>
        <v>0</v>
      </c>
      <c r="G79" s="2"/>
      <c r="H79" s="6"/>
      <c r="I79" s="2"/>
      <c r="J79" s="7">
        <f t="shared" si="62"/>
        <v>0</v>
      </c>
      <c r="K79" s="2"/>
      <c r="L79" s="6">
        <f t="shared" si="63"/>
        <v>0</v>
      </c>
      <c r="M79" s="2"/>
      <c r="N79" s="7">
        <f t="shared" si="64"/>
        <v>0</v>
      </c>
      <c r="O79" s="11"/>
      <c r="P79" s="6">
        <v>3756.46</v>
      </c>
      <c r="Q79" s="2"/>
      <c r="R79" s="7">
        <f t="shared" si="65"/>
        <v>9.574783333332483E-3</v>
      </c>
      <c r="S79" s="2"/>
      <c r="T79" s="6"/>
      <c r="U79" s="2"/>
      <c r="V79" s="7">
        <f t="shared" si="66"/>
        <v>0</v>
      </c>
      <c r="W79" s="2"/>
      <c r="X79" s="6">
        <f t="shared" si="67"/>
        <v>3756.46</v>
      </c>
      <c r="Y79" s="2"/>
      <c r="Z79" s="7">
        <f t="shared" si="68"/>
        <v>0</v>
      </c>
    </row>
    <row r="80" spans="1:26" s="24" customFormat="1" hidden="1" outlineLevel="2" x14ac:dyDescent="0.25">
      <c r="A80" s="25"/>
      <c r="B80" s="11" t="str">
        <f>CONCATENATE("          ", "6237", " - ", "JANITORIAL SUPPLIES")</f>
        <v xml:space="preserve">          6237 - JANITORIAL SUPPLIES</v>
      </c>
      <c r="C80" s="11"/>
      <c r="D80" s="6">
        <v>267.72000000000003</v>
      </c>
      <c r="E80" s="2"/>
      <c r="F80" s="7">
        <f t="shared" si="61"/>
        <v>1.8441191665231619E-2</v>
      </c>
      <c r="G80" s="2"/>
      <c r="H80" s="6">
        <v>300</v>
      </c>
      <c r="I80" s="2"/>
      <c r="J80" s="7">
        <f t="shared" si="62"/>
        <v>3.7499999999999999E-3</v>
      </c>
      <c r="K80" s="2"/>
      <c r="L80" s="6">
        <f t="shared" si="63"/>
        <v>-32.279999999999973</v>
      </c>
      <c r="M80" s="2"/>
      <c r="N80" s="7">
        <f t="shared" si="64"/>
        <v>-0.1075999999999999</v>
      </c>
      <c r="O80" s="11"/>
      <c r="P80" s="6">
        <v>1507.19</v>
      </c>
      <c r="Q80" s="2"/>
      <c r="R80" s="7">
        <f t="shared" si="65"/>
        <v>3.8416534961547271E-3</v>
      </c>
      <c r="S80" s="2"/>
      <c r="T80" s="6">
        <v>900</v>
      </c>
      <c r="U80" s="2"/>
      <c r="V80" s="7">
        <f t="shared" si="66"/>
        <v>1.8367346938775509E-3</v>
      </c>
      <c r="W80" s="2"/>
      <c r="X80" s="6">
        <f t="shared" si="67"/>
        <v>607.19000000000005</v>
      </c>
      <c r="Y80" s="2"/>
      <c r="Z80" s="7">
        <f t="shared" si="68"/>
        <v>0.67465555555555556</v>
      </c>
    </row>
    <row r="81" spans="1:26" s="24" customFormat="1" hidden="1" outlineLevel="2" x14ac:dyDescent="0.25">
      <c r="A81" s="25"/>
      <c r="B81" s="11" t="str">
        <f>CONCATENATE("          ", "6239", " - ", "KITCHEN SUPPLIES")</f>
        <v xml:space="preserve">          6239 - KITCHEN SUPPLIES</v>
      </c>
      <c r="C81" s="11"/>
      <c r="D81" s="6"/>
      <c r="E81" s="2"/>
      <c r="F81" s="7">
        <f t="shared" si="61"/>
        <v>0</v>
      </c>
      <c r="G81" s="2"/>
      <c r="H81" s="6"/>
      <c r="I81" s="2"/>
      <c r="J81" s="7">
        <f t="shared" si="62"/>
        <v>0</v>
      </c>
      <c r="K81" s="2"/>
      <c r="L81" s="6">
        <f t="shared" si="63"/>
        <v>0</v>
      </c>
      <c r="M81" s="2"/>
      <c r="N81" s="7">
        <f t="shared" si="64"/>
        <v>0</v>
      </c>
      <c r="O81" s="11"/>
      <c r="P81" s="6">
        <v>7033.31</v>
      </c>
      <c r="Q81" s="2"/>
      <c r="R81" s="7">
        <f t="shared" si="65"/>
        <v>1.7927096086784017E-2</v>
      </c>
      <c r="S81" s="2"/>
      <c r="T81" s="6">
        <v>400</v>
      </c>
      <c r="U81" s="2"/>
      <c r="V81" s="7">
        <f t="shared" si="66"/>
        <v>8.1632653061224493E-4</v>
      </c>
      <c r="W81" s="2"/>
      <c r="X81" s="6">
        <f t="shared" si="67"/>
        <v>6633.31</v>
      </c>
      <c r="Y81" s="2"/>
      <c r="Z81" s="7">
        <f t="shared" si="68"/>
        <v>16.583275</v>
      </c>
    </row>
    <row r="82" spans="1:26" s="24" customFormat="1" hidden="1" outlineLevel="2" x14ac:dyDescent="0.25">
      <c r="A82" s="25"/>
      <c r="B82" s="11" t="str">
        <f>CONCATENATE("          ", "6241", " - ", "OFFICE EXPENSE")</f>
        <v xml:space="preserve">          6241 - OFFICE EXPENSE</v>
      </c>
      <c r="C82" s="11"/>
      <c r="D82" s="6"/>
      <c r="E82" s="2"/>
      <c r="F82" s="7">
        <f t="shared" si="61"/>
        <v>0</v>
      </c>
      <c r="G82" s="2"/>
      <c r="H82" s="6"/>
      <c r="I82" s="2"/>
      <c r="J82" s="7">
        <f t="shared" si="62"/>
        <v>0</v>
      </c>
      <c r="K82" s="2"/>
      <c r="L82" s="6">
        <f t="shared" si="63"/>
        <v>0</v>
      </c>
      <c r="M82" s="2"/>
      <c r="N82" s="7">
        <f t="shared" si="64"/>
        <v>0</v>
      </c>
      <c r="O82" s="11"/>
      <c r="P82" s="6">
        <v>599.88</v>
      </c>
      <c r="Q82" s="2"/>
      <c r="R82" s="7">
        <f t="shared" si="65"/>
        <v>1.5290249399699425E-3</v>
      </c>
      <c r="S82" s="2"/>
      <c r="T82" s="6">
        <v>300</v>
      </c>
      <c r="U82" s="2"/>
      <c r="V82" s="7">
        <f t="shared" si="66"/>
        <v>6.1224489795918364E-4</v>
      </c>
      <c r="W82" s="2"/>
      <c r="X82" s="6">
        <f t="shared" si="67"/>
        <v>299.88</v>
      </c>
      <c r="Y82" s="2"/>
      <c r="Z82" s="7">
        <f t="shared" si="68"/>
        <v>0.99959999999999993</v>
      </c>
    </row>
    <row r="83" spans="1:26" s="24" customFormat="1" hidden="1" outlineLevel="2" x14ac:dyDescent="0.25">
      <c r="A83" s="25"/>
      <c r="B83" s="11" t="str">
        <f>CONCATENATE("          ", "6243", " - ", "PAPER SUPPLIES")</f>
        <v xml:space="preserve">          6243 - PAPER SUPPLIES</v>
      </c>
      <c r="C83" s="11"/>
      <c r="D83" s="6">
        <v>213.31</v>
      </c>
      <c r="E83" s="2"/>
      <c r="F83" s="7">
        <f t="shared" si="61"/>
        <v>1.4693301188221113E-2</v>
      </c>
      <c r="G83" s="2"/>
      <c r="H83" s="6">
        <v>250</v>
      </c>
      <c r="I83" s="2"/>
      <c r="J83" s="7">
        <f t="shared" si="62"/>
        <v>3.1250000000000002E-3</v>
      </c>
      <c r="K83" s="2"/>
      <c r="L83" s="6">
        <f t="shared" si="63"/>
        <v>-36.69</v>
      </c>
      <c r="M83" s="2"/>
      <c r="N83" s="7">
        <f t="shared" si="64"/>
        <v>-0.14676</v>
      </c>
      <c r="O83" s="11"/>
      <c r="P83" s="6">
        <v>2632.41</v>
      </c>
      <c r="Q83" s="2"/>
      <c r="R83" s="7">
        <f t="shared" si="65"/>
        <v>6.7097095122795828E-3</v>
      </c>
      <c r="S83" s="2"/>
      <c r="T83" s="6">
        <v>2250</v>
      </c>
      <c r="U83" s="2"/>
      <c r="V83" s="7">
        <f t="shared" si="66"/>
        <v>4.591836734693878E-3</v>
      </c>
      <c r="W83" s="2"/>
      <c r="X83" s="6">
        <f t="shared" si="67"/>
        <v>382.40999999999985</v>
      </c>
      <c r="Y83" s="2"/>
      <c r="Z83" s="7">
        <f t="shared" si="68"/>
        <v>0.16995999999999994</v>
      </c>
    </row>
    <row r="84" spans="1:26" s="24" customFormat="1" hidden="1" outlineLevel="2" x14ac:dyDescent="0.25">
      <c r="A84" s="25"/>
      <c r="B84" s="11" t="str">
        <f>CONCATENATE("          ", "6247", " - ", "STORE SUPPLIES")</f>
        <v xml:space="preserve">          6247 - STORE SUPPLIES</v>
      </c>
      <c r="C84" s="11"/>
      <c r="D84" s="6">
        <v>117.13</v>
      </c>
      <c r="E84" s="2"/>
      <c r="F84" s="7">
        <f t="shared" si="61"/>
        <v>8.0681935594971582E-3</v>
      </c>
      <c r="G84" s="2"/>
      <c r="H84" s="6"/>
      <c r="I84" s="2"/>
      <c r="J84" s="7">
        <f t="shared" si="62"/>
        <v>0</v>
      </c>
      <c r="K84" s="2"/>
      <c r="L84" s="6">
        <f t="shared" si="63"/>
        <v>117.13</v>
      </c>
      <c r="M84" s="2"/>
      <c r="N84" s="7">
        <f t="shared" si="64"/>
        <v>0</v>
      </c>
      <c r="O84" s="11"/>
      <c r="P84" s="6">
        <v>-97.67</v>
      </c>
      <c r="Q84" s="2"/>
      <c r="R84" s="7">
        <f t="shared" si="65"/>
        <v>-2.4894956639138539E-4</v>
      </c>
      <c r="S84" s="2"/>
      <c r="T84" s="6"/>
      <c r="U84" s="2"/>
      <c r="V84" s="7">
        <f t="shared" si="66"/>
        <v>0</v>
      </c>
      <c r="W84" s="2"/>
      <c r="X84" s="6">
        <f t="shared" si="67"/>
        <v>-97.67</v>
      </c>
      <c r="Y84" s="2"/>
      <c r="Z84" s="7">
        <f t="shared" si="68"/>
        <v>0</v>
      </c>
    </row>
    <row r="85" spans="1:26" s="24" customFormat="1" hidden="1" outlineLevel="2" x14ac:dyDescent="0.25">
      <c r="A85" s="25"/>
      <c r="B85" s="11" t="str">
        <f>CONCATENATE("          ", "6248", " - ", "UNIFORMS")</f>
        <v xml:space="preserve">          6248 - UNIFORMS</v>
      </c>
      <c r="C85" s="11"/>
      <c r="D85" s="6"/>
      <c r="E85" s="2"/>
      <c r="F85" s="7">
        <f t="shared" si="61"/>
        <v>0</v>
      </c>
      <c r="G85" s="2"/>
      <c r="H85" s="6"/>
      <c r="I85" s="2"/>
      <c r="J85" s="7">
        <f t="shared" si="62"/>
        <v>0</v>
      </c>
      <c r="K85" s="2"/>
      <c r="L85" s="6">
        <f t="shared" si="63"/>
        <v>0</v>
      </c>
      <c r="M85" s="2"/>
      <c r="N85" s="7">
        <f t="shared" si="64"/>
        <v>0</v>
      </c>
      <c r="O85" s="11"/>
      <c r="P85" s="6">
        <v>454.44</v>
      </c>
      <c r="Q85" s="2"/>
      <c r="R85" s="7">
        <f t="shared" si="65"/>
        <v>1.158315152563747E-3</v>
      </c>
      <c r="S85" s="2"/>
      <c r="T85" s="6">
        <v>1200</v>
      </c>
      <c r="U85" s="2"/>
      <c r="V85" s="7">
        <f t="shared" si="66"/>
        <v>2.4489795918367346E-3</v>
      </c>
      <c r="W85" s="2"/>
      <c r="X85" s="6">
        <f t="shared" si="67"/>
        <v>-745.56</v>
      </c>
      <c r="Y85" s="2"/>
      <c r="Z85" s="7">
        <f t="shared" si="68"/>
        <v>-0.62129999999999996</v>
      </c>
    </row>
    <row r="86" spans="1:26" s="27" customFormat="1" outlineLevel="1" collapsed="1" x14ac:dyDescent="0.25">
      <c r="A86" s="26"/>
      <c r="B86" s="13" t="str">
        <f>CONCATENATE("     ","Telephone/Data Lines                              ")</f>
        <v xml:space="preserve">     Telephone/Data Lines                              </v>
      </c>
      <c r="C86" s="13"/>
      <c r="D86" s="1">
        <f>SUM(OSRRefD22_14x_0)</f>
        <v>404.48</v>
      </c>
      <c r="E86" s="1"/>
      <c r="F86" s="5">
        <f t="shared" ref="F86:F88" si="69">IF(D$12=0,0,D86/D$12)</f>
        <v>2.786154640950577E-2</v>
      </c>
      <c r="G86" s="1"/>
      <c r="H86" s="1">
        <f>SUM(OSRRefH22_14x_0)</f>
        <v>343</v>
      </c>
      <c r="I86" s="1"/>
      <c r="J86" s="5">
        <f t="shared" ref="J86:J88" si="70">IF(H$12=0,0,H86/H$12)</f>
        <v>4.2874999999999996E-3</v>
      </c>
      <c r="K86" s="1"/>
      <c r="L86" s="1">
        <f t="shared" ref="L86:L88" si="71">+D86-H86</f>
        <v>61.480000000000018</v>
      </c>
      <c r="M86" s="1"/>
      <c r="N86" s="5">
        <f t="shared" ref="N86:N88" si="72">IF(H86=0,0,L86/H86)</f>
        <v>0.17924198250728868</v>
      </c>
      <c r="O86" s="13"/>
      <c r="P86" s="1">
        <f>SUM(OSRRefP22_14x_0)</f>
        <v>2892.38</v>
      </c>
      <c r="Q86" s="1"/>
      <c r="R86" s="5">
        <f t="shared" ref="R86:R88" si="73">IF(P$12=0,0,P86/P$12)</f>
        <v>7.3723430617294496E-3</v>
      </c>
      <c r="S86" s="1"/>
      <c r="T86" s="1">
        <f>SUM(OSRRefT22_14x_0)</f>
        <v>2158</v>
      </c>
      <c r="U86" s="1"/>
      <c r="V86" s="5">
        <f t="shared" ref="V86:V88" si="74">IF(T$12=0,0,T86/T$12)</f>
        <v>4.4040816326530608E-3</v>
      </c>
      <c r="W86" s="1"/>
      <c r="X86" s="1">
        <f t="shared" ref="X86:X88" si="75">+P86-T86</f>
        <v>734.38000000000011</v>
      </c>
      <c r="Y86" s="1"/>
      <c r="Z86" s="5">
        <f t="shared" ref="Z86:Z88" si="76">IF(T86=0,0,X86/T86)</f>
        <v>0.34030583873957371</v>
      </c>
    </row>
    <row r="87" spans="1:26" s="24" customFormat="1" hidden="1" outlineLevel="2" x14ac:dyDescent="0.25">
      <c r="A87" s="25"/>
      <c r="B87" s="11" t="str">
        <f>CONCATENATE("          ", "6303", " - ", "DATA PHONE LINES")</f>
        <v xml:space="preserve">          6303 - DATA PHONE LINES</v>
      </c>
      <c r="C87" s="11"/>
      <c r="D87" s="6"/>
      <c r="E87" s="2"/>
      <c r="F87" s="7">
        <f t="shared" si="69"/>
        <v>0</v>
      </c>
      <c r="G87" s="2"/>
      <c r="H87" s="6">
        <v>298</v>
      </c>
      <c r="I87" s="2"/>
      <c r="J87" s="7">
        <f t="shared" si="70"/>
        <v>3.725E-3</v>
      </c>
      <c r="K87" s="2"/>
      <c r="L87" s="6">
        <f t="shared" si="71"/>
        <v>-298</v>
      </c>
      <c r="M87" s="2"/>
      <c r="N87" s="7">
        <f t="shared" si="72"/>
        <v>-1</v>
      </c>
      <c r="O87" s="11"/>
      <c r="P87" s="6"/>
      <c r="Q87" s="2"/>
      <c r="R87" s="7">
        <f t="shared" si="73"/>
        <v>0</v>
      </c>
      <c r="S87" s="2"/>
      <c r="T87" s="6">
        <v>1888</v>
      </c>
      <c r="U87" s="2"/>
      <c r="V87" s="7">
        <f t="shared" si="74"/>
        <v>3.8530612244897957E-3</v>
      </c>
      <c r="W87" s="2"/>
      <c r="X87" s="6">
        <f t="shared" si="75"/>
        <v>-1888</v>
      </c>
      <c r="Y87" s="2"/>
      <c r="Z87" s="7">
        <f t="shared" si="76"/>
        <v>-1</v>
      </c>
    </row>
    <row r="88" spans="1:26" s="24" customFormat="1" hidden="1" outlineLevel="2" x14ac:dyDescent="0.25">
      <c r="A88" s="25"/>
      <c r="B88" s="11" t="str">
        <f>CONCATENATE("          ", "6309", " - ", "TELEPHONE")</f>
        <v xml:space="preserve">          6309 - TELEPHONE</v>
      </c>
      <c r="C88" s="11"/>
      <c r="D88" s="6">
        <v>404.48</v>
      </c>
      <c r="E88" s="2"/>
      <c r="F88" s="7">
        <f t="shared" si="69"/>
        <v>2.786154640950577E-2</v>
      </c>
      <c r="G88" s="2"/>
      <c r="H88" s="6">
        <v>45</v>
      </c>
      <c r="I88" s="2"/>
      <c r="J88" s="7">
        <f t="shared" si="70"/>
        <v>5.6249999999999996E-4</v>
      </c>
      <c r="K88" s="2"/>
      <c r="L88" s="6">
        <f t="shared" si="71"/>
        <v>359.48</v>
      </c>
      <c r="M88" s="2"/>
      <c r="N88" s="7">
        <f t="shared" si="72"/>
        <v>7.9884444444444451</v>
      </c>
      <c r="O88" s="11"/>
      <c r="P88" s="6">
        <v>2892.38</v>
      </c>
      <c r="Q88" s="2"/>
      <c r="R88" s="7">
        <f t="shared" si="73"/>
        <v>7.3723430617294496E-3</v>
      </c>
      <c r="S88" s="2"/>
      <c r="T88" s="6">
        <v>270</v>
      </c>
      <c r="U88" s="2"/>
      <c r="V88" s="7">
        <f t="shared" si="74"/>
        <v>5.5102040816326528E-4</v>
      </c>
      <c r="W88" s="2"/>
      <c r="X88" s="6">
        <f t="shared" si="75"/>
        <v>2622.38</v>
      </c>
      <c r="Y88" s="2"/>
      <c r="Z88" s="7">
        <f t="shared" si="76"/>
        <v>9.7125185185185181</v>
      </c>
    </row>
    <row r="89" spans="1:26" s="27" customFormat="1" outlineLevel="1" collapsed="1" x14ac:dyDescent="0.25">
      <c r="A89" s="26"/>
      <c r="B89" s="13" t="str">
        <f>CONCATENATE("     ","Training                                          ")</f>
        <v xml:space="preserve">     Training                                          </v>
      </c>
      <c r="C89" s="13"/>
      <c r="D89" s="1">
        <f>SUM(OSRRefD22_15x_0)</f>
        <v>100</v>
      </c>
      <c r="E89" s="1"/>
      <c r="F89" s="5">
        <f t="shared" ref="F89:F92" si="77">IF(D$12=0,0,D89/D$12)</f>
        <v>6.8882383330463237E-3</v>
      </c>
      <c r="G89" s="1"/>
      <c r="H89" s="1">
        <f>SUM(OSRRefH22_15x_0)</f>
        <v>0</v>
      </c>
      <c r="I89" s="1"/>
      <c r="J89" s="5">
        <f t="shared" ref="J89:J92" si="78">IF(H$12=0,0,H89/H$12)</f>
        <v>0</v>
      </c>
      <c r="K89" s="1"/>
      <c r="L89" s="1">
        <f t="shared" ref="L89:L92" si="79">+D89-H89</f>
        <v>100</v>
      </c>
      <c r="M89" s="1"/>
      <c r="N89" s="5">
        <f t="shared" ref="N89:N92" si="80">IF(H89=0,0,L89/H89)</f>
        <v>0</v>
      </c>
      <c r="O89" s="13"/>
      <c r="P89" s="1">
        <f>SUM(OSRRefP22_15x_0)</f>
        <v>337.96</v>
      </c>
      <c r="Q89" s="1"/>
      <c r="R89" s="5">
        <f t="shared" ref="R89:R92" si="81">IF(P$12=0,0,P89/P$12)</f>
        <v>8.6142106540014962E-4</v>
      </c>
      <c r="S89" s="1"/>
      <c r="T89" s="1">
        <f>SUM(OSRRefT22_15x_0)</f>
        <v>500</v>
      </c>
      <c r="U89" s="1"/>
      <c r="V89" s="5">
        <f t="shared" ref="V89:V92" si="82">IF(T$12=0,0,T89/T$12)</f>
        <v>1.0204081632653062E-3</v>
      </c>
      <c r="W89" s="1"/>
      <c r="X89" s="1">
        <f t="shared" ref="X89:X92" si="83">+P89-T89</f>
        <v>-162.04000000000002</v>
      </c>
      <c r="Y89" s="1"/>
      <c r="Z89" s="5">
        <f t="shared" ref="Z89:Z92" si="84">IF(T89=0,0,X89/T89)</f>
        <v>-0.32408000000000003</v>
      </c>
    </row>
    <row r="90" spans="1:26" s="24" customFormat="1" hidden="1" outlineLevel="2" x14ac:dyDescent="0.25">
      <c r="A90" s="25"/>
      <c r="B90" s="11" t="str">
        <f>CONCATENATE("          ", "6376", " - ", "TRAINING")</f>
        <v xml:space="preserve">          6376 - TRAINING</v>
      </c>
      <c r="C90" s="11"/>
      <c r="D90" s="6">
        <v>100</v>
      </c>
      <c r="E90" s="2"/>
      <c r="F90" s="7">
        <f t="shared" si="77"/>
        <v>6.8882383330463237E-3</v>
      </c>
      <c r="G90" s="2"/>
      <c r="H90" s="6"/>
      <c r="I90" s="2"/>
      <c r="J90" s="7">
        <f t="shared" si="78"/>
        <v>0</v>
      </c>
      <c r="K90" s="2"/>
      <c r="L90" s="6">
        <f t="shared" si="79"/>
        <v>100</v>
      </c>
      <c r="M90" s="2"/>
      <c r="N90" s="7">
        <f t="shared" si="80"/>
        <v>0</v>
      </c>
      <c r="O90" s="11"/>
      <c r="P90" s="6">
        <v>337.96</v>
      </c>
      <c r="Q90" s="2"/>
      <c r="R90" s="7">
        <f t="shared" si="81"/>
        <v>8.6142106540014962E-4</v>
      </c>
      <c r="S90" s="2"/>
      <c r="T90" s="6">
        <v>500</v>
      </c>
      <c r="U90" s="2"/>
      <c r="V90" s="7">
        <f t="shared" si="82"/>
        <v>1.0204081632653062E-3</v>
      </c>
      <c r="W90" s="2"/>
      <c r="X90" s="6">
        <f t="shared" si="83"/>
        <v>-162.04000000000002</v>
      </c>
      <c r="Y90" s="2"/>
      <c r="Z90" s="7">
        <f t="shared" si="84"/>
        <v>-0.32408000000000003</v>
      </c>
    </row>
    <row r="91" spans="1:26" s="27" customFormat="1" outlineLevel="1" collapsed="1" x14ac:dyDescent="0.25">
      <c r="A91" s="26"/>
      <c r="B91" s="13" t="str">
        <f>CONCATENATE("     ","Travel                                            ")</f>
        <v xml:space="preserve">     Travel                                            </v>
      </c>
      <c r="C91" s="13"/>
      <c r="D91" s="1">
        <f>SUM(OSRRefD22_16x_0)</f>
        <v>0</v>
      </c>
      <c r="E91" s="1"/>
      <c r="F91" s="5">
        <f t="shared" si="77"/>
        <v>0</v>
      </c>
      <c r="G91" s="1"/>
      <c r="H91" s="1">
        <f>SUM(OSRRefH22_16x_0)</f>
        <v>0</v>
      </c>
      <c r="I91" s="1"/>
      <c r="J91" s="5">
        <f t="shared" si="78"/>
        <v>0</v>
      </c>
      <c r="K91" s="1"/>
      <c r="L91" s="1">
        <f t="shared" si="79"/>
        <v>0</v>
      </c>
      <c r="M91" s="1"/>
      <c r="N91" s="5">
        <f t="shared" si="80"/>
        <v>0</v>
      </c>
      <c r="O91" s="13"/>
      <c r="P91" s="1">
        <f>SUM(OSRRefP22_16x_0)</f>
        <v>0</v>
      </c>
      <c r="Q91" s="1"/>
      <c r="R91" s="5">
        <f t="shared" si="81"/>
        <v>0</v>
      </c>
      <c r="S91" s="1"/>
      <c r="T91" s="1">
        <f>SUM(OSRRefT22_16x_0)</f>
        <v>500</v>
      </c>
      <c r="U91" s="1"/>
      <c r="V91" s="5">
        <f t="shared" si="82"/>
        <v>1.0204081632653062E-3</v>
      </c>
      <c r="W91" s="1"/>
      <c r="X91" s="1">
        <f t="shared" si="83"/>
        <v>-500</v>
      </c>
      <c r="Y91" s="1"/>
      <c r="Z91" s="5">
        <f t="shared" si="84"/>
        <v>-1</v>
      </c>
    </row>
    <row r="92" spans="1:26" s="24" customFormat="1" hidden="1" outlineLevel="2" x14ac:dyDescent="0.25">
      <c r="A92" s="25"/>
      <c r="B92" s="11" t="str">
        <f>CONCATENATE("          ", "6292", " - ", "TRAVEL/CONFERENCE")</f>
        <v xml:space="preserve">          6292 - TRAVEL/CONFERENCE</v>
      </c>
      <c r="C92" s="11"/>
      <c r="D92" s="6"/>
      <c r="E92" s="2"/>
      <c r="F92" s="7">
        <f t="shared" si="77"/>
        <v>0</v>
      </c>
      <c r="G92" s="2"/>
      <c r="H92" s="6"/>
      <c r="I92" s="2"/>
      <c r="J92" s="7">
        <f t="shared" si="78"/>
        <v>0</v>
      </c>
      <c r="K92" s="2"/>
      <c r="L92" s="6">
        <f t="shared" si="79"/>
        <v>0</v>
      </c>
      <c r="M92" s="2"/>
      <c r="N92" s="7">
        <f t="shared" si="80"/>
        <v>0</v>
      </c>
      <c r="O92" s="11"/>
      <c r="P92" s="6"/>
      <c r="Q92" s="2"/>
      <c r="R92" s="7">
        <f t="shared" si="81"/>
        <v>0</v>
      </c>
      <c r="S92" s="2"/>
      <c r="T92" s="6">
        <v>500</v>
      </c>
      <c r="U92" s="2"/>
      <c r="V92" s="7">
        <f t="shared" si="82"/>
        <v>1.0204081632653062E-3</v>
      </c>
      <c r="W92" s="2"/>
      <c r="X92" s="6">
        <f t="shared" si="83"/>
        <v>-500</v>
      </c>
      <c r="Y92" s="2"/>
      <c r="Z92" s="7">
        <f t="shared" si="84"/>
        <v>-1</v>
      </c>
    </row>
    <row r="93" spans="1:26" s="56" customFormat="1" x14ac:dyDescent="0.25">
      <c r="A93" s="36"/>
      <c r="B93" s="36"/>
      <c r="C93" s="36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6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collapsed="1" x14ac:dyDescent="0.25">
      <c r="A94" s="10"/>
      <c r="B94" s="29" t="s">
        <v>0</v>
      </c>
      <c r="C94" s="10"/>
      <c r="D94" s="4">
        <f>SUM(OSRRefD25x_0)</f>
        <v>0</v>
      </c>
      <c r="E94" s="4"/>
      <c r="F94" s="12">
        <f t="shared" ref="F94:F95" si="85">IF(D$12=0,0,D94/D$12)</f>
        <v>0</v>
      </c>
      <c r="G94" s="4"/>
      <c r="H94" s="4">
        <f>SUM(OSRRefH25x_0)</f>
        <v>2050</v>
      </c>
      <c r="I94" s="4"/>
      <c r="J94" s="12">
        <f t="shared" ref="J94:J95" si="86">IF(H$12=0,0,H94/H$12)</f>
        <v>2.5624999999999998E-2</v>
      </c>
      <c r="K94" s="4"/>
      <c r="L94" s="4">
        <f t="shared" ref="L94:L95" si="87">+D94-H94</f>
        <v>-2050</v>
      </c>
      <c r="M94" s="4"/>
      <c r="N94" s="12">
        <f t="shared" ref="N94:N95" si="88">IF(H94=0,0,L94/H94)</f>
        <v>-1</v>
      </c>
      <c r="O94" s="10"/>
      <c r="P94" s="4">
        <f>SUM(OSRRefP25x_0)</f>
        <v>39607.82</v>
      </c>
      <c r="Q94" s="4"/>
      <c r="R94" s="12">
        <f t="shared" ref="R94:R95" si="89">IF(P$12=0,0,P94/P$12)</f>
        <v>0.10095576548283038</v>
      </c>
      <c r="S94" s="4"/>
      <c r="T94" s="4">
        <f>SUM(OSRRefT25x_0)</f>
        <v>6150</v>
      </c>
      <c r="U94" s="4"/>
      <c r="V94" s="12">
        <f t="shared" ref="V94:V95" si="90">IF(T$12=0,0,T94/T$12)</f>
        <v>1.2551020408163265E-2</v>
      </c>
      <c r="W94" s="4"/>
      <c r="X94" s="4">
        <f t="shared" ref="X94:X95" si="91">+P94-T94</f>
        <v>33457.82</v>
      </c>
      <c r="Y94" s="4"/>
      <c r="Z94" s="12">
        <f t="shared" ref="Z94:Z95" si="92">IF(T94=0,0,X94/T94)</f>
        <v>5.4402959349593498</v>
      </c>
    </row>
    <row r="95" spans="1:26" s="24" customFormat="1" hidden="1" outlineLevel="1" x14ac:dyDescent="0.25">
      <c r="A95" s="44"/>
      <c r="B95" s="11" t="str">
        <f>CONCATENATE("          ", "9150", " - ", "MISC. INCOME")</f>
        <v xml:space="preserve">          9150 - MISC. INCOME</v>
      </c>
      <c r="C95" s="11"/>
      <c r="D95" s="2">
        <f>0</f>
        <v>0</v>
      </c>
      <c r="E95" s="2"/>
      <c r="F95" s="19">
        <f t="shared" si="85"/>
        <v>0</v>
      </c>
      <c r="G95" s="2"/>
      <c r="H95" s="2">
        <v>2050</v>
      </c>
      <c r="I95" s="2"/>
      <c r="J95" s="19">
        <f t="shared" si="86"/>
        <v>2.5624999999999998E-2</v>
      </c>
      <c r="K95" s="2"/>
      <c r="L95" s="2">
        <f t="shared" si="87"/>
        <v>-2050</v>
      </c>
      <c r="M95" s="2"/>
      <c r="N95" s="19">
        <f t="shared" si="88"/>
        <v>-1</v>
      </c>
      <c r="O95" s="11"/>
      <c r="P95" s="2">
        <f>--39607.82</f>
        <v>39607.82</v>
      </c>
      <c r="Q95" s="2"/>
      <c r="R95" s="19">
        <f t="shared" si="89"/>
        <v>0.10095576548283038</v>
      </c>
      <c r="S95" s="2"/>
      <c r="T95" s="2">
        <v>6150</v>
      </c>
      <c r="U95" s="2"/>
      <c r="V95" s="19">
        <f t="shared" si="90"/>
        <v>1.2551020408163265E-2</v>
      </c>
      <c r="W95" s="2"/>
      <c r="X95" s="2">
        <f t="shared" si="91"/>
        <v>33457.82</v>
      </c>
      <c r="Y95" s="2"/>
      <c r="Z95" s="19">
        <f t="shared" si="92"/>
        <v>5.4402959349593498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10"/>
      <c r="B97" s="28" t="s">
        <v>3</v>
      </c>
      <c r="C97" s="28"/>
      <c r="D97" s="20">
        <f>+D25-D27+D94</f>
        <v>-28626.349999999995</v>
      </c>
      <c r="E97" s="14"/>
      <c r="F97" s="22">
        <f>IF(D$12=0,0,D97/D$12)</f>
        <v>-1.9718512140520059</v>
      </c>
      <c r="G97" s="14"/>
      <c r="H97" s="20">
        <f>+H25-H27+H94</f>
        <v>13168.952075000001</v>
      </c>
      <c r="I97" s="14"/>
      <c r="J97" s="22">
        <f>IF(H$12=0,0,H97/H$12)</f>
        <v>0.1646119009375</v>
      </c>
      <c r="K97" s="16"/>
      <c r="L97" s="20">
        <f>+D97-H97</f>
        <v>-41795.302075</v>
      </c>
      <c r="M97" s="16"/>
      <c r="N97" s="22">
        <f>IF(H97=0,0,L97/H97)</f>
        <v>-3.1737758507257681</v>
      </c>
      <c r="O97" s="29"/>
      <c r="P97" s="20">
        <f>+P25-P27+P94</f>
        <v>11789.230000000091</v>
      </c>
      <c r="Q97" s="14"/>
      <c r="R97" s="22">
        <f>IF(P$12=0,0,P97/P$12)</f>
        <v>3.0049387699276495E-2</v>
      </c>
      <c r="S97" s="14"/>
      <c r="T97" s="20">
        <f>+T25-T27+T94</f>
        <v>112511.56515000004</v>
      </c>
      <c r="U97" s="14"/>
      <c r="V97" s="22">
        <f>IF(T$12=0,0,T97/T$12)</f>
        <v>0.22961543908163273</v>
      </c>
      <c r="W97" s="16"/>
      <c r="X97" s="20">
        <f>+P97-T97</f>
        <v>-100722.33514999994</v>
      </c>
      <c r="Y97" s="16"/>
      <c r="Z97" s="22">
        <f>IF(T97=0,0,X97/T97)</f>
        <v>-0.89521761621320672</v>
      </c>
    </row>
    <row r="98" spans="1:26" x14ac:dyDescent="0.25">
      <c r="A98" s="9"/>
      <c r="B98" s="10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52"/>
      <c r="B99" s="10" t="s">
        <v>14</v>
      </c>
      <c r="C99" s="10"/>
      <c r="D99" s="4">
        <v>3532.54</v>
      </c>
      <c r="E99" s="4"/>
      <c r="F99" s="12">
        <f>IF(D$12=0,0,D99/D$12)</f>
        <v>0.2433297744101946</v>
      </c>
      <c r="G99" s="4"/>
      <c r="H99" s="4">
        <v>7974</v>
      </c>
      <c r="I99" s="4"/>
      <c r="J99" s="12">
        <f>IF(H$12=0,0,H99/H$12)</f>
        <v>9.9675E-2</v>
      </c>
      <c r="K99" s="4"/>
      <c r="L99" s="4">
        <f>+D99-H99</f>
        <v>-4441.46</v>
      </c>
      <c r="M99" s="4"/>
      <c r="N99" s="12">
        <f>IF(H99=0,0,L99/H99)</f>
        <v>-0.55699272636067221</v>
      </c>
      <c r="O99" s="10"/>
      <c r="P99" s="4">
        <v>42038.950000000004</v>
      </c>
      <c r="Q99" s="4"/>
      <c r="R99" s="12">
        <f>IF(P$12=0,0,P99/P$12)</f>
        <v>0.1071524354873465</v>
      </c>
      <c r="S99" s="4"/>
      <c r="T99" s="4">
        <v>57276</v>
      </c>
      <c r="U99" s="4"/>
      <c r="V99" s="12">
        <f>IF(T$12=0,0,T99/T$12)</f>
        <v>0.11688979591836735</v>
      </c>
      <c r="W99" s="4"/>
      <c r="X99" s="4">
        <f>+P99-T99</f>
        <v>-15237.049999999996</v>
      </c>
      <c r="Y99" s="4"/>
      <c r="Z99" s="12">
        <f>IF(T99=0,0,X99/T99)</f>
        <v>-0.26602852852852843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.75" thickBot="1" x14ac:dyDescent="0.3">
      <c r="A101" s="10"/>
      <c r="B101" s="28" t="s">
        <v>4</v>
      </c>
      <c r="C101" s="28"/>
      <c r="D101" s="31">
        <f>+D97-D99</f>
        <v>-32158.889999999996</v>
      </c>
      <c r="E101" s="14"/>
      <c r="F101" s="34">
        <f>IF(D$12=0,0,D101/D$12)</f>
        <v>-2.2151809884622007</v>
      </c>
      <c r="G101" s="14"/>
      <c r="H101" s="31">
        <f>+H97-H99</f>
        <v>5194.9520750000011</v>
      </c>
      <c r="I101" s="14"/>
      <c r="J101" s="34">
        <f>IF(H$12=0,0,H101/H$12)</f>
        <v>6.4936900937500014E-2</v>
      </c>
      <c r="K101" s="16"/>
      <c r="L101" s="31">
        <f>D101-H101</f>
        <v>-37353.842074999993</v>
      </c>
      <c r="M101" s="16"/>
      <c r="N101" s="34">
        <f>IF(H101=0,0,L101/H101)</f>
        <v>-7.1904112946027485</v>
      </c>
      <c r="O101" s="29"/>
      <c r="P101" s="31">
        <f>+P97-P99</f>
        <v>-30249.719999999914</v>
      </c>
      <c r="Q101" s="14"/>
      <c r="R101" s="34">
        <f>IF(P$12=0,0,P101/P$12)</f>
        <v>-7.7103047788070006E-2</v>
      </c>
      <c r="S101" s="14"/>
      <c r="T101" s="31">
        <f>+T97-T99</f>
        <v>55235.565150000039</v>
      </c>
      <c r="U101" s="14"/>
      <c r="V101" s="34">
        <f>IF(T$12=0,0,T101/T$12)</f>
        <v>0.11272564316326539</v>
      </c>
      <c r="W101" s="16"/>
      <c r="X101" s="31">
        <f>P101-T101</f>
        <v>-85485.285149999952</v>
      </c>
      <c r="Y101" s="16"/>
      <c r="Z101" s="34">
        <f>IF(T101=0,0,X101/T101)</f>
        <v>-1.5476493255360473</v>
      </c>
    </row>
    <row r="102" spans="1:26" ht="15.75" thickTop="1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8" t="s">
        <v>5</v>
      </c>
      <c r="C104" s="28"/>
      <c r="D104" s="32">
        <f>SUM(D101:D103)</f>
        <v>-32158.889999999996</v>
      </c>
      <c r="E104" s="14"/>
      <c r="F104" s="35">
        <f>IF(D$12=0,0,D104/D$12)</f>
        <v>-2.2151809884622007</v>
      </c>
      <c r="G104" s="14"/>
      <c r="H104" s="32">
        <f>SUM(H101:H103)</f>
        <v>5194.9520750000011</v>
      </c>
      <c r="I104" s="14"/>
      <c r="J104" s="35">
        <f>IF(H$12=0,0,H104/H$12)</f>
        <v>6.4936900937500014E-2</v>
      </c>
      <c r="K104" s="16"/>
      <c r="L104" s="32">
        <f>+D104-H104</f>
        <v>-37353.842074999993</v>
      </c>
      <c r="M104" s="16"/>
      <c r="N104" s="35">
        <f>IF(H104=0,0,L104/H104)</f>
        <v>-7.1904112946027485</v>
      </c>
      <c r="O104" s="29"/>
      <c r="P104" s="32">
        <f>SUM(P101:P103)</f>
        <v>-30249.719999999914</v>
      </c>
      <c r="Q104" s="14"/>
      <c r="R104" s="35">
        <f>IF(P$12=0,0,P104/P$12)</f>
        <v>-7.7103047788070006E-2</v>
      </c>
      <c r="S104" s="14"/>
      <c r="T104" s="32">
        <f>SUM(T101:T103)</f>
        <v>55235.565150000039</v>
      </c>
      <c r="U104" s="14"/>
      <c r="V104" s="35">
        <f>IF(T$12=0,0,T104/T$12)</f>
        <v>0.11272564316326539</v>
      </c>
      <c r="W104" s="16"/>
      <c r="X104" s="32">
        <f>+P104-T104</f>
        <v>-85485.285149999952</v>
      </c>
      <c r="Y104" s="16"/>
      <c r="Z104" s="35">
        <f>IF(T104=0,0,X104/T104)</f>
        <v>-1.5476493255360473</v>
      </c>
    </row>
    <row r="105" spans="1:26" ht="15.75" thickTop="1" x14ac:dyDescent="0.25">
      <c r="A105" s="9"/>
      <c r="C105" s="9"/>
      <c r="D105" s="18"/>
      <c r="E105" s="18"/>
      <c r="G105" s="18"/>
      <c r="H105" s="18"/>
      <c r="I105" s="18"/>
      <c r="J105" s="42"/>
      <c r="K105" s="18"/>
      <c r="L105" s="18"/>
      <c r="M105" s="18"/>
      <c r="P105" s="18"/>
      <c r="Q105" s="18"/>
      <c r="R105" s="42"/>
      <c r="S105" s="18"/>
      <c r="T105" s="18"/>
      <c r="U105" s="18"/>
      <c r="V105" s="42"/>
      <c r="W105" s="18"/>
      <c r="X105" s="18"/>
    </row>
    <row r="106" spans="1:26" x14ac:dyDescent="0.25">
      <c r="A106" s="9"/>
      <c r="B106" s="57">
        <v>43934.466891469907</v>
      </c>
      <c r="D106" s="18"/>
      <c r="E106" s="18"/>
      <c r="G106" s="18"/>
      <c r="H106" s="18"/>
      <c r="I106" s="18"/>
      <c r="J106" s="42"/>
      <c r="K106" s="18"/>
      <c r="L106" s="18"/>
      <c r="M106" s="18"/>
      <c r="P106" s="18"/>
      <c r="Q106" s="18"/>
      <c r="R106" s="42"/>
      <c r="S106" s="18"/>
      <c r="T106" s="18"/>
      <c r="U106" s="18"/>
      <c r="V106" s="42"/>
      <c r="W106" s="18"/>
      <c r="X106" s="18"/>
    </row>
    <row r="107" spans="1:26" x14ac:dyDescent="0.25">
      <c r="A107" s="9"/>
      <c r="B107" s="62" t="s">
        <v>314</v>
      </c>
      <c r="D107" s="18"/>
      <c r="E107" s="18"/>
      <c r="G107" s="18"/>
      <c r="H107" s="18"/>
      <c r="I107" s="18"/>
      <c r="J107" s="42"/>
      <c r="K107" s="18"/>
      <c r="L107" s="18"/>
      <c r="M107" s="18"/>
      <c r="P107" s="18"/>
      <c r="Q107" s="18"/>
      <c r="R107" s="42"/>
      <c r="S107" s="18"/>
      <c r="T107" s="18"/>
      <c r="U107" s="18"/>
      <c r="V107" s="42"/>
      <c r="W107" s="18"/>
      <c r="X107" s="18"/>
    </row>
    <row r="108" spans="1:26" x14ac:dyDescent="0.25">
      <c r="A108" s="9"/>
      <c r="B108" s="60"/>
      <c r="D108" s="18"/>
      <c r="E108" s="18"/>
      <c r="G108" s="18"/>
      <c r="H108" s="18"/>
      <c r="I108" s="18"/>
      <c r="J108" s="42"/>
      <c r="K108" s="18"/>
      <c r="L108" s="18"/>
      <c r="M108" s="18"/>
      <c r="P108" s="18"/>
      <c r="Q108" s="18"/>
      <c r="R108" s="42"/>
      <c r="S108" s="18"/>
      <c r="T108" s="18"/>
      <c r="U108" s="18"/>
      <c r="V108" s="42"/>
      <c r="W108" s="18"/>
      <c r="X108" s="18"/>
    </row>
    <row r="109" spans="1:26" x14ac:dyDescent="0.25">
      <c r="D109" s="18"/>
      <c r="E109" s="18"/>
      <c r="G109" s="18"/>
      <c r="H109" s="18"/>
      <c r="I109" s="18"/>
      <c r="J109" s="42"/>
      <c r="K109" s="18"/>
      <c r="L109" s="18"/>
      <c r="M109" s="18"/>
      <c r="P109" s="18"/>
      <c r="Q109" s="18"/>
      <c r="R109" s="42"/>
      <c r="S109" s="18"/>
      <c r="T109" s="18"/>
      <c r="U109" s="18"/>
      <c r="V109" s="42"/>
      <c r="W109" s="18"/>
      <c r="X109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","455", " - ", "Vending")</f>
        <v>Department 455 - Vending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934.1</v>
      </c>
      <c r="E18" s="21"/>
      <c r="F18" s="30">
        <f t="shared" ref="F18:F27" si="0">IF(D$12=0,0,D18/D$12)</f>
        <v>0</v>
      </c>
      <c r="G18" s="21"/>
      <c r="H18" s="21">
        <f>SUM(OSRRefH22x_0)</f>
        <v>5329.3879716076881</v>
      </c>
      <c r="I18" s="21"/>
      <c r="J18" s="30">
        <f t="shared" ref="J18:J27" si="1">IF(H$12=0,0,H18/H$12)</f>
        <v>0</v>
      </c>
      <c r="K18" s="4"/>
      <c r="L18" s="21">
        <f t="shared" ref="L18:L27" si="2">+D18-H18</f>
        <v>-4395.2879716076877</v>
      </c>
      <c r="M18" s="4"/>
      <c r="N18" s="30">
        <f t="shared" ref="N18:N27" si="3">IF(H18=0,0,L18/H18)</f>
        <v>-0.82472659056229014</v>
      </c>
      <c r="O18" s="10"/>
      <c r="P18" s="21">
        <f>SUM(OSRRefP22x_0)</f>
        <v>67961.41</v>
      </c>
      <c r="Q18" s="21"/>
      <c r="R18" s="30">
        <f t="shared" ref="R18:R27" si="4">IF(P$12=0,0,P18/P$12)</f>
        <v>0</v>
      </c>
      <c r="S18" s="21"/>
      <c r="T18" s="21">
        <f>SUM(OSRRefT22x_0)</f>
        <v>51961.532723174969</v>
      </c>
      <c r="U18" s="21"/>
      <c r="V18" s="30">
        <f t="shared" ref="V18:V27" si="5">IF(T$12=0,0,T18/T$12)</f>
        <v>0</v>
      </c>
      <c r="W18" s="4"/>
      <c r="X18" s="21">
        <f t="shared" ref="X18:X27" si="6">+P18-T18</f>
        <v>15999.877276825035</v>
      </c>
      <c r="Y18" s="4"/>
      <c r="Z18" s="30">
        <f t="shared" ref="Z18:Z27" si="7">IF(T18=0,0,X18/T18)</f>
        <v>0.3079177314122809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934.1</v>
      </c>
      <c r="E19" s="1"/>
      <c r="F19" s="5">
        <f t="shared" si="0"/>
        <v>0</v>
      </c>
      <c r="G19" s="1"/>
      <c r="H19" s="1">
        <f>SUM(OSRRefH22_0x_0)</f>
        <v>1212.7235869923079</v>
      </c>
      <c r="I19" s="1"/>
      <c r="J19" s="5">
        <f t="shared" si="1"/>
        <v>0</v>
      </c>
      <c r="K19" s="1"/>
      <c r="L19" s="1">
        <f t="shared" si="2"/>
        <v>-278.62358699230788</v>
      </c>
      <c r="M19" s="1"/>
      <c r="N19" s="5">
        <f t="shared" si="3"/>
        <v>-0.22975028273617237</v>
      </c>
      <c r="O19" s="13"/>
      <c r="P19" s="1">
        <f>SUM(OSRRefP22_0x_0)</f>
        <v>30774.21</v>
      </c>
      <c r="Q19" s="1"/>
      <c r="R19" s="5">
        <f t="shared" si="4"/>
        <v>0</v>
      </c>
      <c r="S19" s="1"/>
      <c r="T19" s="1">
        <f>SUM(OSRRefT22_0x_0)</f>
        <v>11824.054973175</v>
      </c>
      <c r="U19" s="1"/>
      <c r="V19" s="5">
        <f t="shared" si="5"/>
        <v>0</v>
      </c>
      <c r="W19" s="1"/>
      <c r="X19" s="1">
        <f t="shared" si="6"/>
        <v>18950.155026824999</v>
      </c>
      <c r="Y19" s="1"/>
      <c r="Z19" s="5">
        <f t="shared" si="7"/>
        <v>1.6026781903346055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/>
      <c r="E20" s="2"/>
      <c r="F20" s="7">
        <f t="shared" si="0"/>
        <v>0</v>
      </c>
      <c r="G20" s="2"/>
      <c r="H20" s="6">
        <v>350.05369483846198</v>
      </c>
      <c r="I20" s="2"/>
      <c r="J20" s="7">
        <f t="shared" si="1"/>
        <v>0</v>
      </c>
      <c r="K20" s="2"/>
      <c r="L20" s="6">
        <f t="shared" si="2"/>
        <v>-350.05369483846198</v>
      </c>
      <c r="M20" s="2"/>
      <c r="N20" s="7">
        <f t="shared" si="3"/>
        <v>-1</v>
      </c>
      <c r="O20" s="11"/>
      <c r="P20" s="6">
        <v>2908.48</v>
      </c>
      <c r="Q20" s="2"/>
      <c r="R20" s="7">
        <f t="shared" si="4"/>
        <v>0</v>
      </c>
      <c r="S20" s="2"/>
      <c r="T20" s="6">
        <v>3413.023524675003</v>
      </c>
      <c r="U20" s="2"/>
      <c r="V20" s="7">
        <f t="shared" si="5"/>
        <v>0</v>
      </c>
      <c r="W20" s="2"/>
      <c r="X20" s="6">
        <f t="shared" si="6"/>
        <v>-504.54352467500303</v>
      </c>
      <c r="Y20" s="2"/>
      <c r="Z20" s="7">
        <f t="shared" si="7"/>
        <v>-0.14782890332496226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/>
      <c r="E21" s="2"/>
      <c r="F21" s="7">
        <f t="shared" si="0"/>
        <v>0</v>
      </c>
      <c r="G21" s="2"/>
      <c r="H21" s="6">
        <v>0</v>
      </c>
      <c r="I21" s="2"/>
      <c r="J21" s="7">
        <f t="shared" si="1"/>
        <v>0</v>
      </c>
      <c r="K21" s="2"/>
      <c r="L21" s="6">
        <f t="shared" si="2"/>
        <v>0</v>
      </c>
      <c r="M21" s="2"/>
      <c r="N21" s="7">
        <f t="shared" si="3"/>
        <v>0</v>
      </c>
      <c r="O21" s="11"/>
      <c r="P21" s="6">
        <v>159.32</v>
      </c>
      <c r="Q21" s="2"/>
      <c r="R21" s="7">
        <f t="shared" si="4"/>
        <v>0</v>
      </c>
      <c r="S21" s="2"/>
      <c r="T21" s="6">
        <v>0</v>
      </c>
      <c r="U21" s="2"/>
      <c r="V21" s="7">
        <f t="shared" si="5"/>
        <v>0</v>
      </c>
      <c r="W21" s="2"/>
      <c r="X21" s="6">
        <f t="shared" si="6"/>
        <v>159.32</v>
      </c>
      <c r="Y21" s="2"/>
      <c r="Z21" s="7">
        <f t="shared" si="7"/>
        <v>0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934.1</v>
      </c>
      <c r="E22" s="2"/>
      <c r="F22" s="7">
        <f t="shared" si="0"/>
        <v>0</v>
      </c>
      <c r="G22" s="2"/>
      <c r="H22" s="6">
        <v>0</v>
      </c>
      <c r="I22" s="2"/>
      <c r="J22" s="7">
        <f t="shared" si="1"/>
        <v>0</v>
      </c>
      <c r="K22" s="2"/>
      <c r="L22" s="6">
        <f t="shared" si="2"/>
        <v>934.1</v>
      </c>
      <c r="M22" s="2"/>
      <c r="N22" s="7">
        <f t="shared" si="3"/>
        <v>0</v>
      </c>
      <c r="O22" s="11"/>
      <c r="P22" s="6">
        <v>8394</v>
      </c>
      <c r="Q22" s="2"/>
      <c r="R22" s="7">
        <f t="shared" si="4"/>
        <v>0</v>
      </c>
      <c r="S22" s="2"/>
      <c r="T22" s="6">
        <v>0</v>
      </c>
      <c r="U22" s="2"/>
      <c r="V22" s="7">
        <f t="shared" si="5"/>
        <v>0</v>
      </c>
      <c r="W22" s="2"/>
      <c r="X22" s="6">
        <f t="shared" si="6"/>
        <v>8394</v>
      </c>
      <c r="Y22" s="2"/>
      <c r="Z22" s="7">
        <f t="shared" si="7"/>
        <v>0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/>
      <c r="E23" s="2"/>
      <c r="F23" s="7">
        <f t="shared" si="0"/>
        <v>0</v>
      </c>
      <c r="G23" s="2"/>
      <c r="H23" s="6">
        <v>11.892586</v>
      </c>
      <c r="I23" s="2"/>
      <c r="J23" s="7">
        <f t="shared" si="1"/>
        <v>0</v>
      </c>
      <c r="K23" s="2"/>
      <c r="L23" s="6">
        <f t="shared" si="2"/>
        <v>-11.892586</v>
      </c>
      <c r="M23" s="2"/>
      <c r="N23" s="7">
        <f t="shared" si="3"/>
        <v>-1</v>
      </c>
      <c r="O23" s="11"/>
      <c r="P23" s="6">
        <v>134.31</v>
      </c>
      <c r="Q23" s="2"/>
      <c r="R23" s="7">
        <f t="shared" si="4"/>
        <v>0</v>
      </c>
      <c r="S23" s="2"/>
      <c r="T23" s="6">
        <v>115.9527135</v>
      </c>
      <c r="U23" s="2"/>
      <c r="V23" s="7">
        <f t="shared" si="5"/>
        <v>0</v>
      </c>
      <c r="W23" s="2"/>
      <c r="X23" s="6">
        <f t="shared" si="6"/>
        <v>18.357286500000001</v>
      </c>
      <c r="Y23" s="2"/>
      <c r="Z23" s="7">
        <f t="shared" si="7"/>
        <v>0.15831700652697533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393.37015230769197</v>
      </c>
      <c r="I24" s="2"/>
      <c r="J24" s="7">
        <f t="shared" si="1"/>
        <v>0</v>
      </c>
      <c r="K24" s="2"/>
      <c r="L24" s="6">
        <f t="shared" si="2"/>
        <v>-393.37015230769197</v>
      </c>
      <c r="M24" s="2"/>
      <c r="N24" s="7">
        <f t="shared" si="3"/>
        <v>-1</v>
      </c>
      <c r="O24" s="11"/>
      <c r="P24" s="6">
        <v>5280.61</v>
      </c>
      <c r="Q24" s="2"/>
      <c r="R24" s="7">
        <f t="shared" si="4"/>
        <v>0</v>
      </c>
      <c r="S24" s="2"/>
      <c r="T24" s="6">
        <v>3835.3589849999967</v>
      </c>
      <c r="U24" s="2"/>
      <c r="V24" s="7">
        <f t="shared" si="5"/>
        <v>0</v>
      </c>
      <c r="W24" s="2"/>
      <c r="X24" s="6">
        <f t="shared" si="6"/>
        <v>1445.251015000003</v>
      </c>
      <c r="Y24" s="2"/>
      <c r="Z24" s="7">
        <f t="shared" si="7"/>
        <v>0.37682287907138484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/>
      <c r="E26" s="2"/>
      <c r="F26" s="7">
        <f t="shared" si="0"/>
        <v>0</v>
      </c>
      <c r="G26" s="2"/>
      <c r="H26" s="6">
        <v>457.40715384615396</v>
      </c>
      <c r="I26" s="2"/>
      <c r="J26" s="7">
        <f t="shared" si="1"/>
        <v>0</v>
      </c>
      <c r="K26" s="2"/>
      <c r="L26" s="6">
        <f t="shared" si="2"/>
        <v>-457.40715384615396</v>
      </c>
      <c r="M26" s="2"/>
      <c r="N26" s="7">
        <f t="shared" si="3"/>
        <v>-1</v>
      </c>
      <c r="O26" s="11"/>
      <c r="P26" s="6">
        <v>5313.38</v>
      </c>
      <c r="Q26" s="2"/>
      <c r="R26" s="7">
        <f t="shared" si="4"/>
        <v>0</v>
      </c>
      <c r="S26" s="2"/>
      <c r="T26" s="6">
        <v>4459.7197500000002</v>
      </c>
      <c r="U26" s="2"/>
      <c r="V26" s="7">
        <f t="shared" si="5"/>
        <v>0</v>
      </c>
      <c r="W26" s="2"/>
      <c r="X26" s="6">
        <f t="shared" si="6"/>
        <v>853.66024999999991</v>
      </c>
      <c r="Y26" s="2"/>
      <c r="Z26" s="7">
        <f t="shared" si="7"/>
        <v>0.19141567135468543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/>
      <c r="E27" s="2"/>
      <c r="F27" s="7">
        <f t="shared" si="0"/>
        <v>0</v>
      </c>
      <c r="G27" s="2"/>
      <c r="H27" s="6">
        <v>0</v>
      </c>
      <c r="I27" s="2"/>
      <c r="J27" s="7">
        <f t="shared" si="1"/>
        <v>0</v>
      </c>
      <c r="K27" s="2"/>
      <c r="L27" s="6">
        <f t="shared" si="2"/>
        <v>0</v>
      </c>
      <c r="M27" s="2"/>
      <c r="N27" s="7">
        <f t="shared" si="3"/>
        <v>0</v>
      </c>
      <c r="O27" s="11"/>
      <c r="P27" s="6">
        <v>8584.11</v>
      </c>
      <c r="Q27" s="2"/>
      <c r="R27" s="7">
        <f t="shared" si="4"/>
        <v>0</v>
      </c>
      <c r="S27" s="2"/>
      <c r="T27" s="6">
        <v>0</v>
      </c>
      <c r="U27" s="2"/>
      <c r="V27" s="7">
        <f t="shared" si="5"/>
        <v>0</v>
      </c>
      <c r="W27" s="2"/>
      <c r="X27" s="6">
        <f t="shared" si="6"/>
        <v>8584.11</v>
      </c>
      <c r="Y27" s="2"/>
      <c r="Z27" s="7">
        <f t="shared" si="7"/>
        <v>0</v>
      </c>
    </row>
    <row r="28" spans="1:26" s="27" customFormat="1" outlineLevel="1" collapsed="1" x14ac:dyDescent="0.25">
      <c r="A28" s="26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0</v>
      </c>
      <c r="E28" s="1"/>
      <c r="F28" s="5">
        <f t="shared" ref="F28:F38" si="8">IF(D$12=0,0,D28/D$12)</f>
        <v>0</v>
      </c>
      <c r="G28" s="1"/>
      <c r="H28" s="1">
        <f>SUM(OSRRefH22_1x_0)</f>
        <v>4116.6643846153802</v>
      </c>
      <c r="I28" s="1"/>
      <c r="J28" s="5">
        <f t="shared" ref="J28:J38" si="9">IF(H$12=0,0,H28/H$12)</f>
        <v>0</v>
      </c>
      <c r="K28" s="1"/>
      <c r="L28" s="1">
        <f t="shared" ref="L28:L38" si="10">+D28-H28</f>
        <v>-4116.6643846153802</v>
      </c>
      <c r="M28" s="1"/>
      <c r="N28" s="5">
        <f t="shared" ref="N28:N38" si="11">IF(H28=0,0,L28/H28)</f>
        <v>-1</v>
      </c>
      <c r="O28" s="13"/>
      <c r="P28" s="1">
        <f>SUM(OSRRefP22_1x_0)</f>
        <v>37187.199999999997</v>
      </c>
      <c r="Q28" s="1"/>
      <c r="R28" s="5">
        <f t="shared" ref="R28:R38" si="12">IF(P$12=0,0,P28/P$12)</f>
        <v>0</v>
      </c>
      <c r="S28" s="1"/>
      <c r="T28" s="1">
        <f>SUM(OSRRefT22_1x_0)</f>
        <v>40137.477749999969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-2950.277749999972</v>
      </c>
      <c r="Y28" s="1"/>
      <c r="Z28" s="5">
        <f t="shared" ref="Z28:Z38" si="15">IF(T28=0,0,X28/T28)</f>
        <v>-7.3504313558914999E-2</v>
      </c>
    </row>
    <row r="29" spans="1:26" s="24" customFormat="1" hidden="1" outlineLevel="2" x14ac:dyDescent="0.25">
      <c r="A29" s="25"/>
      <c r="B29" s="11" t="str">
        <f>CONCATENATE("          ", "6001", " - ", "ADMINISTRATIVE SALARIES")</f>
        <v xml:space="preserve">          6001 - ADMINISTRATIVE SALARIES</v>
      </c>
      <c r="C29" s="11"/>
      <c r="D29" s="6"/>
      <c r="E29" s="2"/>
      <c r="F29" s="7">
        <f t="shared" si="8"/>
        <v>0</v>
      </c>
      <c r="G29" s="2"/>
      <c r="H29" s="6">
        <v>4116.6643846153802</v>
      </c>
      <c r="I29" s="2"/>
      <c r="J29" s="7">
        <f t="shared" si="9"/>
        <v>0</v>
      </c>
      <c r="K29" s="2"/>
      <c r="L29" s="6">
        <f t="shared" si="10"/>
        <v>-4116.6643846153802</v>
      </c>
      <c r="M29" s="2"/>
      <c r="N29" s="7">
        <f t="shared" si="11"/>
        <v>-1</v>
      </c>
      <c r="O29" s="11"/>
      <c r="P29" s="6">
        <v>37187.199999999997</v>
      </c>
      <c r="Q29" s="2"/>
      <c r="R29" s="7">
        <f t="shared" si="12"/>
        <v>0</v>
      </c>
      <c r="S29" s="2"/>
      <c r="T29" s="6">
        <v>40137.477749999969</v>
      </c>
      <c r="U29" s="2"/>
      <c r="V29" s="7">
        <f t="shared" si="13"/>
        <v>0</v>
      </c>
      <c r="W29" s="2"/>
      <c r="X29" s="6">
        <f t="shared" si="14"/>
        <v>-2950.277749999972</v>
      </c>
      <c r="Y29" s="2"/>
      <c r="Z29" s="7">
        <f t="shared" si="15"/>
        <v>-7.3504313558914999E-2</v>
      </c>
    </row>
    <row r="30" spans="1:26" s="24" customFormat="1" hidden="1" outlineLevel="2" x14ac:dyDescent="0.25">
      <c r="A30" s="25"/>
      <c r="B30" s="11" t="str">
        <f>CONCATENATE("          ", "6002", " - ", "STAFF SALARIES")</f>
        <v xml:space="preserve">          6002 - STAFF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>
        <v>0</v>
      </c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25">
      <c r="A31" s="25"/>
      <c r="B31" s="11" t="str">
        <f>CONCATENATE("          ", "6003", " - ", "STAFF HOURLY-9 MONTH")</f>
        <v xml:space="preserve">          6003 - STAFF HOURLY-9 MONTH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25">
      <c r="A32" s="25"/>
      <c r="B32" s="11" t="str">
        <f>CONCATENATE("          ", "6004", " - ", "STAFF HOURLY")</f>
        <v xml:space="preserve">          6004 - STAFF HOURLY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5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5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5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5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5"/>
      <c r="B37" s="11" t="str">
        <f>CONCATENATE("          ", "6009", " - ", "TEMPORARY-SEASONAL")</f>
        <v xml:space="preserve">          6009 - TEMPORARY-SEASONAL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5"/>
      <c r="B38" s="11" t="str">
        <f>CONCATENATE("          ", "6010", " - ", "GRATUITY")</f>
        <v xml:space="preserve">          6010 - GRATUITY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56" customFormat="1" x14ac:dyDescent="0.25">
      <c r="A39" s="36"/>
      <c r="B39" s="36"/>
      <c r="C39" s="36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6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collapsed="1" x14ac:dyDescent="0.25">
      <c r="A40" s="10"/>
      <c r="B40" s="29" t="s">
        <v>0</v>
      </c>
      <c r="C40" s="10"/>
      <c r="D40" s="4">
        <f>SUM(OSRRefD25x_0)</f>
        <v>4052.18</v>
      </c>
      <c r="E40" s="4"/>
      <c r="F40" s="12">
        <f t="shared" ref="F40:F44" si="16">IF(D$12=0,0,D40/D$12)</f>
        <v>0</v>
      </c>
      <c r="G40" s="4"/>
      <c r="H40" s="4">
        <f>SUM(OSRRefH25x_0)</f>
        <v>19538</v>
      </c>
      <c r="I40" s="4"/>
      <c r="J40" s="12">
        <f t="shared" ref="J40:J44" si="17">IF(H$12=0,0,H40/H$12)</f>
        <v>0</v>
      </c>
      <c r="K40" s="4"/>
      <c r="L40" s="4">
        <f t="shared" ref="L40:L44" si="18">+D40-H40</f>
        <v>-15485.82</v>
      </c>
      <c r="M40" s="4"/>
      <c r="N40" s="12">
        <f t="shared" ref="N40:N44" si="19">IF(H40=0,0,L40/H40)</f>
        <v>-0.7926000614187737</v>
      </c>
      <c r="O40" s="10"/>
      <c r="P40" s="4">
        <f>SUM(OSRRefP25x_0)</f>
        <v>360906.57</v>
      </c>
      <c r="Q40" s="4"/>
      <c r="R40" s="12">
        <f t="shared" ref="R40:R44" si="20">IF(P$12=0,0,P40/P$12)</f>
        <v>0</v>
      </c>
      <c r="S40" s="4"/>
      <c r="T40" s="4">
        <f>SUM(OSRRefT25x_0)</f>
        <v>359911</v>
      </c>
      <c r="U40" s="4"/>
      <c r="V40" s="12">
        <f t="shared" ref="V40:V44" si="21">IF(T$12=0,0,T40/T$12)</f>
        <v>0</v>
      </c>
      <c r="W40" s="4"/>
      <c r="X40" s="4">
        <f t="shared" ref="X40:X44" si="22">+P40-T40</f>
        <v>995.57000000000698</v>
      </c>
      <c r="Y40" s="4"/>
      <c r="Z40" s="12">
        <f t="shared" ref="Z40:Z44" si="23">IF(T40=0,0,X40/T40)</f>
        <v>2.7661560774747285E-3</v>
      </c>
    </row>
    <row r="41" spans="1:26" s="24" customFormat="1" hidden="1" outlineLevel="1" x14ac:dyDescent="0.25">
      <c r="A41" s="44"/>
      <c r="B41" s="11" t="str">
        <f>CONCATENATE("          ", "9150", " - ", "MISC. INCOME")</f>
        <v xml:space="preserve">          9150 - MISC. INCOME</v>
      </c>
      <c r="C41" s="11"/>
      <c r="D41" s="2">
        <f t="shared" ref="D41:D43" si="24">0</f>
        <v>0</v>
      </c>
      <c r="E41" s="2"/>
      <c r="F41" s="19">
        <f t="shared" si="16"/>
        <v>0</v>
      </c>
      <c r="G41" s="2"/>
      <c r="H41" s="2">
        <v>4981</v>
      </c>
      <c r="I41" s="2"/>
      <c r="J41" s="19">
        <f t="shared" si="17"/>
        <v>0</v>
      </c>
      <c r="K41" s="2"/>
      <c r="L41" s="2">
        <f t="shared" si="18"/>
        <v>-4981</v>
      </c>
      <c r="M41" s="2"/>
      <c r="N41" s="19">
        <f t="shared" si="19"/>
        <v>-1</v>
      </c>
      <c r="O41" s="11"/>
      <c r="P41" s="2">
        <f t="shared" ref="P41:P42" si="25">0</f>
        <v>0</v>
      </c>
      <c r="Q41" s="2"/>
      <c r="R41" s="19">
        <f t="shared" si="20"/>
        <v>0</v>
      </c>
      <c r="S41" s="2"/>
      <c r="T41" s="2">
        <v>59810</v>
      </c>
      <c r="U41" s="2"/>
      <c r="V41" s="19">
        <f t="shared" si="21"/>
        <v>0</v>
      </c>
      <c r="W41" s="2"/>
      <c r="X41" s="2">
        <f t="shared" si="22"/>
        <v>-59810</v>
      </c>
      <c r="Y41" s="2"/>
      <c r="Z41" s="19">
        <f t="shared" si="23"/>
        <v>-1</v>
      </c>
    </row>
    <row r="42" spans="1:26" s="24" customFormat="1" hidden="1" outlineLevel="1" x14ac:dyDescent="0.25">
      <c r="A42" s="44"/>
      <c r="B42" s="11" t="str">
        <f>CONCATENATE("          ", "9151", " - ", "MISC. INCOME")</f>
        <v xml:space="preserve">          9151 - MISC. INCOME</v>
      </c>
      <c r="C42" s="11"/>
      <c r="D42" s="2">
        <f t="shared" si="24"/>
        <v>0</v>
      </c>
      <c r="E42" s="2"/>
      <c r="F42" s="19">
        <f t="shared" si="16"/>
        <v>0</v>
      </c>
      <c r="G42" s="2"/>
      <c r="H42" s="2">
        <v>14557</v>
      </c>
      <c r="I42" s="2"/>
      <c r="J42" s="19">
        <f t="shared" si="17"/>
        <v>0</v>
      </c>
      <c r="K42" s="2"/>
      <c r="L42" s="2">
        <f t="shared" si="18"/>
        <v>-14557</v>
      </c>
      <c r="M42" s="2"/>
      <c r="N42" s="19">
        <f t="shared" si="19"/>
        <v>-1</v>
      </c>
      <c r="O42" s="11"/>
      <c r="P42" s="2">
        <f t="shared" si="25"/>
        <v>0</v>
      </c>
      <c r="Q42" s="2"/>
      <c r="R42" s="19">
        <f t="shared" si="20"/>
        <v>0</v>
      </c>
      <c r="S42" s="2"/>
      <c r="T42" s="2">
        <v>300101</v>
      </c>
      <c r="U42" s="2"/>
      <c r="V42" s="19">
        <f t="shared" si="21"/>
        <v>0</v>
      </c>
      <c r="W42" s="2"/>
      <c r="X42" s="2">
        <f t="shared" si="22"/>
        <v>-300101</v>
      </c>
      <c r="Y42" s="2"/>
      <c r="Z42" s="19">
        <f t="shared" si="23"/>
        <v>-1</v>
      </c>
    </row>
    <row r="43" spans="1:26" s="24" customFormat="1" hidden="1" outlineLevel="1" x14ac:dyDescent="0.25">
      <c r="A43" s="44"/>
      <c r="B43" s="11" t="str">
        <f>CONCATENATE("          ", "9160", " - ", "MISC. INCOME")</f>
        <v xml:space="preserve">          9160 - MISC. INCOME</v>
      </c>
      <c r="C43" s="11"/>
      <c r="D43" s="2">
        <f t="shared" si="24"/>
        <v>0</v>
      </c>
      <c r="E43" s="2"/>
      <c r="F43" s="19">
        <f t="shared" si="16"/>
        <v>0</v>
      </c>
      <c r="G43" s="2"/>
      <c r="H43" s="2"/>
      <c r="I43" s="2"/>
      <c r="J43" s="19">
        <f t="shared" si="17"/>
        <v>0</v>
      </c>
      <c r="K43" s="2"/>
      <c r="L43" s="2">
        <f t="shared" si="18"/>
        <v>0</v>
      </c>
      <c r="M43" s="2"/>
      <c r="N43" s="19">
        <f t="shared" si="19"/>
        <v>0</v>
      </c>
      <c r="O43" s="11"/>
      <c r="P43" s="2">
        <f>--128039.29</f>
        <v>128039.29</v>
      </c>
      <c r="Q43" s="2"/>
      <c r="R43" s="19">
        <f t="shared" si="20"/>
        <v>0</v>
      </c>
      <c r="S43" s="2"/>
      <c r="T43" s="2"/>
      <c r="U43" s="2"/>
      <c r="V43" s="19">
        <f t="shared" si="21"/>
        <v>0</v>
      </c>
      <c r="W43" s="2"/>
      <c r="X43" s="2">
        <f t="shared" si="22"/>
        <v>128039.29</v>
      </c>
      <c r="Y43" s="2"/>
      <c r="Z43" s="19">
        <f t="shared" si="23"/>
        <v>0</v>
      </c>
    </row>
    <row r="44" spans="1:26" s="24" customFormat="1" hidden="1" outlineLevel="1" x14ac:dyDescent="0.25">
      <c r="A44" s="44"/>
      <c r="B44" s="11" t="str">
        <f>CONCATENATE("          ", "9165", " - ", "OTHER INCOME")</f>
        <v xml:space="preserve">          9165 - OTHER INCOME</v>
      </c>
      <c r="C44" s="11"/>
      <c r="D44" s="2">
        <f>--4052.18</f>
        <v>4052.18</v>
      </c>
      <c r="E44" s="2"/>
      <c r="F44" s="19">
        <f t="shared" si="16"/>
        <v>0</v>
      </c>
      <c r="G44" s="2"/>
      <c r="H44" s="2"/>
      <c r="I44" s="2"/>
      <c r="J44" s="19">
        <f t="shared" si="17"/>
        <v>0</v>
      </c>
      <c r="K44" s="2"/>
      <c r="L44" s="2">
        <f t="shared" si="18"/>
        <v>4052.18</v>
      </c>
      <c r="M44" s="2"/>
      <c r="N44" s="19">
        <f t="shared" si="19"/>
        <v>0</v>
      </c>
      <c r="O44" s="11"/>
      <c r="P44" s="2">
        <f>--232867.28</f>
        <v>232867.28</v>
      </c>
      <c r="Q44" s="2"/>
      <c r="R44" s="19">
        <f t="shared" si="20"/>
        <v>0</v>
      </c>
      <c r="S44" s="2"/>
      <c r="T44" s="2"/>
      <c r="U44" s="2"/>
      <c r="V44" s="19">
        <f t="shared" si="21"/>
        <v>0</v>
      </c>
      <c r="W44" s="2"/>
      <c r="X44" s="2">
        <f t="shared" si="22"/>
        <v>232867.28</v>
      </c>
      <c r="Y44" s="2"/>
      <c r="Z44" s="19">
        <f t="shared" si="23"/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8" t="s">
        <v>3</v>
      </c>
      <c r="C46" s="28"/>
      <c r="D46" s="20">
        <f>+D16-D18+D40</f>
        <v>3118.08</v>
      </c>
      <c r="E46" s="14"/>
      <c r="F46" s="22">
        <f>IF(D$12=0,0,D46/D$12)</f>
        <v>0</v>
      </c>
      <c r="G46" s="14"/>
      <c r="H46" s="20">
        <f>+H16-H18+H40</f>
        <v>14208.612028392312</v>
      </c>
      <c r="I46" s="14"/>
      <c r="J46" s="22">
        <f>IF(H$12=0,0,H46/H$12)</f>
        <v>0</v>
      </c>
      <c r="K46" s="16"/>
      <c r="L46" s="20">
        <f>+D46-H46</f>
        <v>-11090.532028392312</v>
      </c>
      <c r="M46" s="16"/>
      <c r="N46" s="22">
        <f>IF(H46=0,0,L46/H46)</f>
        <v>-0.78054999363982158</v>
      </c>
      <c r="O46" s="29"/>
      <c r="P46" s="20">
        <f>+P16-P18+P40</f>
        <v>292945.16000000003</v>
      </c>
      <c r="Q46" s="14"/>
      <c r="R46" s="22">
        <f>IF(P$12=0,0,P46/P$12)</f>
        <v>0</v>
      </c>
      <c r="S46" s="14"/>
      <c r="T46" s="20">
        <f>+T16-T18+T40</f>
        <v>307949.46727682505</v>
      </c>
      <c r="U46" s="14"/>
      <c r="V46" s="22">
        <f>IF(T$12=0,0,T46/T$12)</f>
        <v>0</v>
      </c>
      <c r="W46" s="16"/>
      <c r="X46" s="20">
        <f>+P46-T46</f>
        <v>-15004.307276825013</v>
      </c>
      <c r="Y46" s="16"/>
      <c r="Z46" s="22">
        <f>IF(T46=0,0,X46/T46)</f>
        <v>-4.8723277262035951E-2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52"/>
      <c r="B48" s="10" t="s">
        <v>14</v>
      </c>
      <c r="C48" s="10"/>
      <c r="D48" s="4"/>
      <c r="E48" s="4"/>
      <c r="F48" s="12">
        <f>IF(D$12=0,0,D48/D$12)</f>
        <v>0</v>
      </c>
      <c r="G48" s="4"/>
      <c r="H48" s="4"/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/>
      <c r="Q48" s="4"/>
      <c r="R48" s="12">
        <f>IF(P$12=0,0,P48/P$12)</f>
        <v>0</v>
      </c>
      <c r="S48" s="4"/>
      <c r="T48" s="4"/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8" t="s">
        <v>4</v>
      </c>
      <c r="C50" s="28"/>
      <c r="D50" s="31">
        <f>+D46-D48</f>
        <v>3118.08</v>
      </c>
      <c r="E50" s="14"/>
      <c r="F50" s="34">
        <f>IF(D$12=0,0,D50/D$12)</f>
        <v>0</v>
      </c>
      <c r="G50" s="14"/>
      <c r="H50" s="31">
        <f>+H46-H48</f>
        <v>14208.612028392312</v>
      </c>
      <c r="I50" s="14"/>
      <c r="J50" s="34">
        <f>IF(H$12=0,0,H50/H$12)</f>
        <v>0</v>
      </c>
      <c r="K50" s="16"/>
      <c r="L50" s="31">
        <f>D50-H50</f>
        <v>-11090.532028392312</v>
      </c>
      <c r="M50" s="16"/>
      <c r="N50" s="34">
        <f>IF(H50=0,0,L50/H50)</f>
        <v>-0.78054999363982158</v>
      </c>
      <c r="O50" s="29"/>
      <c r="P50" s="31">
        <f>+P46-P48</f>
        <v>292945.16000000003</v>
      </c>
      <c r="Q50" s="14"/>
      <c r="R50" s="34">
        <f>IF(P$12=0,0,P50/P$12)</f>
        <v>0</v>
      </c>
      <c r="S50" s="14"/>
      <c r="T50" s="31">
        <f>+T46-T48</f>
        <v>307949.46727682505</v>
      </c>
      <c r="U50" s="14"/>
      <c r="V50" s="34">
        <f>IF(T$12=0,0,T50/T$12)</f>
        <v>0</v>
      </c>
      <c r="W50" s="16"/>
      <c r="X50" s="31">
        <f>P50-T50</f>
        <v>-15004.307276825013</v>
      </c>
      <c r="Y50" s="16"/>
      <c r="Z50" s="34">
        <f>IF(T50=0,0,X50/T50)</f>
        <v>-4.8723277262035951E-2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8" t="s">
        <v>5</v>
      </c>
      <c r="C53" s="28"/>
      <c r="D53" s="32">
        <f>SUM(D50:D52)</f>
        <v>3118.08</v>
      </c>
      <c r="E53" s="14"/>
      <c r="F53" s="35">
        <f>IF(D$12=0,0,D53/D$12)</f>
        <v>0</v>
      </c>
      <c r="G53" s="14"/>
      <c r="H53" s="32">
        <f>SUM(H50:H52)</f>
        <v>14208.612028392312</v>
      </c>
      <c r="I53" s="14"/>
      <c r="J53" s="35">
        <f>IF(H$12=0,0,H53/H$12)</f>
        <v>0</v>
      </c>
      <c r="K53" s="16"/>
      <c r="L53" s="32">
        <f>+D53-H53</f>
        <v>-11090.532028392312</v>
      </c>
      <c r="M53" s="16"/>
      <c r="N53" s="35">
        <f>IF(H53=0,0,L53/H53)</f>
        <v>-0.78054999363982158</v>
      </c>
      <c r="O53" s="29"/>
      <c r="P53" s="32">
        <f>SUM(P50:P52)</f>
        <v>292945.16000000003</v>
      </c>
      <c r="Q53" s="14"/>
      <c r="R53" s="35">
        <f>IF(P$12=0,0,P53/P$12)</f>
        <v>0</v>
      </c>
      <c r="S53" s="14"/>
      <c r="T53" s="32">
        <f>SUM(T50:T52)</f>
        <v>307949.46727682505</v>
      </c>
      <c r="U53" s="14"/>
      <c r="V53" s="35">
        <f>IF(T$12=0,0,T53/T$12)</f>
        <v>0</v>
      </c>
      <c r="W53" s="16"/>
      <c r="X53" s="32">
        <f>+P53-T53</f>
        <v>-15004.307276825013</v>
      </c>
      <c r="Y53" s="16"/>
      <c r="Z53" s="35">
        <f>IF(T53=0,0,X53/T53)</f>
        <v>-4.8723277262035951E-2</v>
      </c>
    </row>
    <row r="54" spans="1:26" ht="15.75" thickTop="1" x14ac:dyDescent="0.25">
      <c r="A54" s="9"/>
      <c r="C54" s="9"/>
      <c r="D54" s="18"/>
      <c r="E54" s="18"/>
      <c r="G54" s="18"/>
      <c r="H54" s="18"/>
      <c r="I54" s="18"/>
      <c r="J54" s="42"/>
      <c r="K54" s="18"/>
      <c r="L54" s="18"/>
      <c r="M54" s="18"/>
      <c r="P54" s="18"/>
      <c r="Q54" s="18"/>
      <c r="R54" s="42"/>
      <c r="S54" s="18"/>
      <c r="T54" s="18"/>
      <c r="U54" s="18"/>
      <c r="V54" s="42"/>
      <c r="W54" s="18"/>
      <c r="X54" s="18"/>
    </row>
    <row r="55" spans="1:26" x14ac:dyDescent="0.25">
      <c r="A55" s="9"/>
      <c r="B55" s="57">
        <v>43934.466997835647</v>
      </c>
      <c r="D55" s="18"/>
      <c r="E55" s="18"/>
      <c r="G55" s="18"/>
      <c r="H55" s="18"/>
      <c r="I55" s="18"/>
      <c r="J55" s="42"/>
      <c r="K55" s="18"/>
      <c r="L55" s="18"/>
      <c r="M55" s="18"/>
      <c r="P55" s="18"/>
      <c r="Q55" s="18"/>
      <c r="R55" s="42"/>
      <c r="S55" s="18"/>
      <c r="T55" s="18"/>
      <c r="U55" s="18"/>
      <c r="V55" s="42"/>
      <c r="W55" s="18"/>
      <c r="X55" s="18"/>
    </row>
    <row r="56" spans="1:26" x14ac:dyDescent="0.25">
      <c r="A56" s="9"/>
      <c r="B56" s="62" t="s">
        <v>314</v>
      </c>
      <c r="D56" s="18"/>
      <c r="E56" s="18"/>
      <c r="G56" s="18"/>
      <c r="H56" s="18"/>
      <c r="I56" s="18"/>
      <c r="J56" s="42"/>
      <c r="K56" s="18"/>
      <c r="L56" s="18"/>
      <c r="M56" s="18"/>
      <c r="P56" s="18"/>
      <c r="Q56" s="18"/>
      <c r="R56" s="42"/>
      <c r="S56" s="18"/>
      <c r="T56" s="18"/>
      <c r="U56" s="18"/>
      <c r="V56" s="42"/>
      <c r="W56" s="18"/>
      <c r="X56" s="18"/>
    </row>
    <row r="57" spans="1:26" x14ac:dyDescent="0.25">
      <c r="A57" s="9"/>
      <c r="B57" s="60"/>
      <c r="D57" s="18"/>
      <c r="E57" s="18"/>
      <c r="G57" s="18"/>
      <c r="H57" s="18"/>
      <c r="I57" s="18"/>
      <c r="J57" s="42"/>
      <c r="K57" s="18"/>
      <c r="L57" s="18"/>
      <c r="M57" s="18"/>
      <c r="P57" s="18"/>
      <c r="Q57" s="18"/>
      <c r="R57" s="42"/>
      <c r="S57" s="18"/>
      <c r="T57" s="18"/>
      <c r="U57" s="18"/>
      <c r="V57" s="42"/>
      <c r="W57" s="18"/>
      <c r="X57" s="18"/>
    </row>
    <row r="58" spans="1:26" x14ac:dyDescent="0.25">
      <c r="D58" s="18"/>
      <c r="E58" s="18"/>
      <c r="G58" s="18"/>
      <c r="H58" s="18"/>
      <c r="I58" s="18"/>
      <c r="J58" s="42"/>
      <c r="K58" s="18"/>
      <c r="L58" s="18"/>
      <c r="M58" s="18"/>
      <c r="P58" s="18"/>
      <c r="Q58" s="18"/>
      <c r="R58" s="42"/>
      <c r="S58" s="18"/>
      <c r="T58" s="18"/>
      <c r="U58" s="18"/>
      <c r="V58" s="42"/>
      <c r="W58" s="18"/>
      <c r="X58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300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302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986080.57</v>
      </c>
      <c r="E12" s="4"/>
      <c r="F12" s="12"/>
      <c r="G12" s="4"/>
      <c r="H12" s="4">
        <f>SUM(OSRRefH13x_0)</f>
        <v>1253521</v>
      </c>
      <c r="I12" s="4"/>
      <c r="J12" s="12"/>
      <c r="K12" s="4"/>
      <c r="L12" s="4">
        <f t="shared" ref="L12:L18" si="0">+D12-H12</f>
        <v>-267440.43000000005</v>
      </c>
      <c r="M12" s="4"/>
      <c r="N12" s="12">
        <f t="shared" ref="N12:N18" si="1">IF(H12=0,0,L12/H12)</f>
        <v>-0.21335137584452118</v>
      </c>
      <c r="O12" s="10"/>
      <c r="P12" s="4">
        <f>SUM(OSRRefP13x_0)</f>
        <v>9045243.9300000016</v>
      </c>
      <c r="Q12" s="4"/>
      <c r="R12" s="12"/>
      <c r="S12" s="4"/>
      <c r="T12" s="4">
        <f>SUM(OSRRefT13x_0)</f>
        <v>9199625</v>
      </c>
      <c r="U12" s="4"/>
      <c r="V12" s="12"/>
      <c r="W12" s="4"/>
      <c r="X12" s="4">
        <f t="shared" ref="X12:X18" si="2">+P12-T12</f>
        <v>-154381.06999999844</v>
      </c>
      <c r="Y12" s="4"/>
      <c r="Z12" s="12">
        <f t="shared" ref="Z12:Z18" si="3">IF(T12=0,0,X12/T12)</f>
        <v>-1.6781235104691598E-2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--3973.86</f>
        <v>3973.86</v>
      </c>
      <c r="E13" s="2"/>
      <c r="F13" s="19"/>
      <c r="G13" s="2"/>
      <c r="H13" s="2"/>
      <c r="I13" s="2"/>
      <c r="J13" s="19"/>
      <c r="K13" s="2"/>
      <c r="L13" s="2">
        <f t="shared" si="0"/>
        <v>3973.86</v>
      </c>
      <c r="M13" s="2"/>
      <c r="N13" s="19">
        <f t="shared" si="1"/>
        <v>0</v>
      </c>
      <c r="O13" s="11"/>
      <c r="P13" s="2">
        <f>--26609.73</f>
        <v>26609.73</v>
      </c>
      <c r="Q13" s="2"/>
      <c r="R13" s="19"/>
      <c r="S13" s="2"/>
      <c r="T13" s="2"/>
      <c r="U13" s="2"/>
      <c r="V13" s="19"/>
      <c r="W13" s="2"/>
      <c r="X13" s="2">
        <f t="shared" si="2"/>
        <v>26609.73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 t="shared" ref="D14:D15" si="4">0</f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--973.49</f>
        <v>973.49</v>
      </c>
      <c r="Q14" s="2"/>
      <c r="R14" s="19"/>
      <c r="S14" s="2"/>
      <c r="T14" s="2"/>
      <c r="U14" s="2"/>
      <c r="V14" s="19"/>
      <c r="W14" s="2"/>
      <c r="X14" s="2">
        <f t="shared" si="2"/>
        <v>973.49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>
        <v>1253521</v>
      </c>
      <c r="I15" s="2"/>
      <c r="J15" s="19"/>
      <c r="K15" s="2"/>
      <c r="L15" s="2">
        <f t="shared" si="0"/>
        <v>-1253521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9199625</v>
      </c>
      <c r="U15" s="2"/>
      <c r="V15" s="19"/>
      <c r="W15" s="2"/>
      <c r="X15" s="2">
        <f t="shared" si="2"/>
        <v>-9199625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--970452</f>
        <v>970452</v>
      </c>
      <c r="E16" s="2"/>
      <c r="F16" s="19"/>
      <c r="G16" s="2"/>
      <c r="H16" s="2"/>
      <c r="I16" s="2"/>
      <c r="J16" s="19"/>
      <c r="K16" s="2"/>
      <c r="L16" s="2">
        <f t="shared" si="0"/>
        <v>970452</v>
      </c>
      <c r="M16" s="2"/>
      <c r="N16" s="19">
        <f t="shared" si="1"/>
        <v>0</v>
      </c>
      <c r="O16" s="11"/>
      <c r="P16" s="2">
        <f>--8712910.38</f>
        <v>8712910.3800000008</v>
      </c>
      <c r="Q16" s="2"/>
      <c r="R16" s="19"/>
      <c r="S16" s="2"/>
      <c r="T16" s="2"/>
      <c r="U16" s="2"/>
      <c r="V16" s="19"/>
      <c r="W16" s="2"/>
      <c r="X16" s="2">
        <f t="shared" si="2"/>
        <v>8712910.3800000008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"4153", " - ", "NON-TAXABLE SALES-FOOD")</f>
        <v xml:space="preserve">          4153 - NON-TAXABLE SALES-FOOD</v>
      </c>
      <c r="C17" s="11"/>
      <c r="D17" s="2">
        <f>--11654.71</f>
        <v>11654.71</v>
      </c>
      <c r="E17" s="2"/>
      <c r="F17" s="19"/>
      <c r="G17" s="2"/>
      <c r="H17" s="2"/>
      <c r="I17" s="2"/>
      <c r="J17" s="19"/>
      <c r="K17" s="2"/>
      <c r="L17" s="2">
        <f t="shared" si="0"/>
        <v>11654.71</v>
      </c>
      <c r="M17" s="2"/>
      <c r="N17" s="19">
        <f t="shared" si="1"/>
        <v>0</v>
      </c>
      <c r="O17" s="11"/>
      <c r="P17" s="2">
        <f>--301016.43</f>
        <v>301016.43</v>
      </c>
      <c r="Q17" s="2"/>
      <c r="R17" s="19"/>
      <c r="S17" s="2"/>
      <c r="T17" s="2"/>
      <c r="U17" s="2"/>
      <c r="V17" s="19"/>
      <c r="W17" s="2"/>
      <c r="X17" s="2">
        <f t="shared" si="2"/>
        <v>301016.43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"4155", " - ", "NON-TAXABLE SALES-FOOD")</f>
        <v xml:space="preserve">          4155 - NON-TAXABLE SALES-FOOD</v>
      </c>
      <c r="C18" s="11"/>
      <c r="D18" s="2">
        <f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--3733.9</f>
        <v>3733.9</v>
      </c>
      <c r="Q18" s="2"/>
      <c r="R18" s="19"/>
      <c r="S18" s="2"/>
      <c r="T18" s="2"/>
      <c r="U18" s="2"/>
      <c r="V18" s="19"/>
      <c r="W18" s="2"/>
      <c r="X18" s="2">
        <f t="shared" si="2"/>
        <v>3733.9</v>
      </c>
      <c r="Y18" s="2"/>
      <c r="Z18" s="19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9" t="s">
        <v>8</v>
      </c>
      <c r="C20" s="10"/>
      <c r="D20" s="4">
        <f>SUM(OSRRefD16x_0)</f>
        <v>232027.11</v>
      </c>
      <c r="E20" s="4"/>
      <c r="F20" s="12">
        <f t="shared" ref="F20:F23" si="5">IF(D$12=0,0,D20/D$12)</f>
        <v>0.23530238507792522</v>
      </c>
      <c r="G20" s="4"/>
      <c r="H20" s="4">
        <f>SUM(OSRRefH16x_0)</f>
        <v>327165.15999999997</v>
      </c>
      <c r="I20" s="4"/>
      <c r="J20" s="12">
        <f t="shared" ref="J20:J23" si="6">IF(H$12=0,0,H20/H$12)</f>
        <v>0.26099695178620858</v>
      </c>
      <c r="K20" s="4"/>
      <c r="L20" s="4">
        <f t="shared" ref="L20:L23" si="7">+D20-H20</f>
        <v>-95138.049999999988</v>
      </c>
      <c r="M20" s="4"/>
      <c r="N20" s="12">
        <f t="shared" ref="N20:N23" si="8">IF(H20=0,0,L20/H20)</f>
        <v>-0.2907951751341738</v>
      </c>
      <c r="O20" s="10"/>
      <c r="P20" s="4">
        <f>SUM(OSRRefP16x_0)</f>
        <v>2177047.3800000004</v>
      </c>
      <c r="Q20" s="4"/>
      <c r="R20" s="12">
        <f t="shared" ref="R20:R23" si="9">IF(P$12=0,0,P20/P$12)</f>
        <v>0.2406842089442689</v>
      </c>
      <c r="S20" s="4"/>
      <c r="T20" s="4">
        <f>SUM(OSRRefT16x_0)</f>
        <v>2422317.96</v>
      </c>
      <c r="U20" s="4"/>
      <c r="V20" s="12">
        <f t="shared" ref="V20:V23" si="10">IF(T$12=0,0,T20/T$12)</f>
        <v>0.26330616302294929</v>
      </c>
      <c r="W20" s="4"/>
      <c r="X20" s="4">
        <f t="shared" ref="X20:X23" si="11">+P20-T20</f>
        <v>-245270.57999999961</v>
      </c>
      <c r="Y20" s="4"/>
      <c r="Z20" s="12">
        <f t="shared" ref="Z20:Z23" si="12">IF(T20=0,0,X20/T20)</f>
        <v>-0.10125449426961257</v>
      </c>
    </row>
    <row r="21" spans="1:26" s="24" customFormat="1" hidden="1" outlineLevel="1" x14ac:dyDescent="0.25">
      <c r="A21" s="44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19">
        <f t="shared" si="5"/>
        <v>0</v>
      </c>
      <c r="G21" s="2"/>
      <c r="H21" s="2">
        <v>327165.15999999997</v>
      </c>
      <c r="I21" s="2"/>
      <c r="J21" s="19">
        <f t="shared" si="6"/>
        <v>0.26099695178620858</v>
      </c>
      <c r="K21" s="2"/>
      <c r="L21" s="2">
        <f t="shared" si="7"/>
        <v>-327165.15999999997</v>
      </c>
      <c r="M21" s="2"/>
      <c r="N21" s="19">
        <f t="shared" si="8"/>
        <v>-1</v>
      </c>
      <c r="O21" s="11"/>
      <c r="P21" s="2"/>
      <c r="Q21" s="2"/>
      <c r="R21" s="19">
        <f t="shared" si="9"/>
        <v>0</v>
      </c>
      <c r="S21" s="2"/>
      <c r="T21" s="2">
        <v>2422317.96</v>
      </c>
      <c r="U21" s="2"/>
      <c r="V21" s="19">
        <f t="shared" si="10"/>
        <v>0.26330616302294929</v>
      </c>
      <c r="W21" s="2"/>
      <c r="X21" s="2">
        <f t="shared" si="11"/>
        <v>-2422317.96</v>
      </c>
      <c r="Y21" s="2"/>
      <c r="Z21" s="19">
        <f t="shared" si="12"/>
        <v>-1</v>
      </c>
    </row>
    <row r="22" spans="1:26" s="24" customFormat="1" hidden="1" outlineLevel="1" x14ac:dyDescent="0.25">
      <c r="A22" s="44"/>
      <c r="B22" s="11" t="str">
        <f>CONCATENATE("          ", "5053", " - ", "PURCHASES @ COST-FOOD")</f>
        <v xml:space="preserve">          5053 - PURCHASES @ COST-FOOD</v>
      </c>
      <c r="C22" s="11"/>
      <c r="D22" s="2">
        <v>164008.10999999999</v>
      </c>
      <c r="E22" s="2"/>
      <c r="F22" s="19">
        <f t="shared" si="5"/>
        <v>0.16632323462169019</v>
      </c>
      <c r="G22" s="2"/>
      <c r="H22" s="2"/>
      <c r="I22" s="2"/>
      <c r="J22" s="19">
        <f t="shared" si="6"/>
        <v>0</v>
      </c>
      <c r="K22" s="2"/>
      <c r="L22" s="2">
        <f t="shared" si="7"/>
        <v>164008.10999999999</v>
      </c>
      <c r="M22" s="2"/>
      <c r="N22" s="19">
        <f t="shared" si="8"/>
        <v>0</v>
      </c>
      <c r="O22" s="11"/>
      <c r="P22" s="2">
        <v>2145593.64</v>
      </c>
      <c r="Q22" s="2"/>
      <c r="R22" s="19">
        <f t="shared" si="9"/>
        <v>0.23720683008711294</v>
      </c>
      <c r="S22" s="2"/>
      <c r="T22" s="2"/>
      <c r="U22" s="2"/>
      <c r="V22" s="19">
        <f t="shared" si="10"/>
        <v>0</v>
      </c>
      <c r="W22" s="2"/>
      <c r="X22" s="2">
        <f t="shared" si="11"/>
        <v>2145593.64</v>
      </c>
      <c r="Y22" s="2"/>
      <c r="Z22" s="19">
        <f t="shared" si="12"/>
        <v>0</v>
      </c>
    </row>
    <row r="23" spans="1:26" s="24" customFormat="1" hidden="1" outlineLevel="1" x14ac:dyDescent="0.25">
      <c r="A23" s="44"/>
      <c r="B23" s="11" t="str">
        <f>CONCATENATE("          ", "5059", " - ", "PURCHASES @ COST-FOOD")</f>
        <v xml:space="preserve">          5059 - PURCHASES @ COST-FOOD</v>
      </c>
      <c r="C23" s="11"/>
      <c r="D23" s="2">
        <v>68019</v>
      </c>
      <c r="E23" s="2"/>
      <c r="F23" s="19">
        <f t="shared" si="5"/>
        <v>6.8979150456235039E-2</v>
      </c>
      <c r="G23" s="2"/>
      <c r="H23" s="2"/>
      <c r="I23" s="2"/>
      <c r="J23" s="19">
        <f t="shared" si="6"/>
        <v>0</v>
      </c>
      <c r="K23" s="2"/>
      <c r="L23" s="2">
        <f t="shared" si="7"/>
        <v>68019</v>
      </c>
      <c r="M23" s="2"/>
      <c r="N23" s="19">
        <f t="shared" si="8"/>
        <v>0</v>
      </c>
      <c r="O23" s="11"/>
      <c r="P23" s="2">
        <v>31453.74</v>
      </c>
      <c r="Q23" s="2"/>
      <c r="R23" s="19">
        <f t="shared" si="9"/>
        <v>3.477378857155928E-3</v>
      </c>
      <c r="S23" s="2"/>
      <c r="T23" s="2"/>
      <c r="U23" s="2"/>
      <c r="V23" s="19">
        <f t="shared" si="10"/>
        <v>0</v>
      </c>
      <c r="W23" s="2"/>
      <c r="X23" s="2">
        <f t="shared" si="11"/>
        <v>31453.74</v>
      </c>
      <c r="Y23" s="2"/>
      <c r="Z23" s="19">
        <f t="shared" si="12"/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8" t="s">
        <v>6</v>
      </c>
      <c r="C25" s="28"/>
      <c r="D25" s="20">
        <f>D12-D20</f>
        <v>754053.46</v>
      </c>
      <c r="E25" s="14"/>
      <c r="F25" s="22">
        <f>IF(D$12=0,0,D25/D$12)</f>
        <v>0.76469761492207478</v>
      </c>
      <c r="G25" s="14"/>
      <c r="H25" s="20">
        <f>H12-H20</f>
        <v>926355.84000000008</v>
      </c>
      <c r="I25" s="14"/>
      <c r="J25" s="22">
        <f>IF(H$12=0,0,H25/H$12)</f>
        <v>0.73900304821379148</v>
      </c>
      <c r="K25" s="16"/>
      <c r="L25" s="20">
        <f>+D25-H25</f>
        <v>-172302.38000000012</v>
      </c>
      <c r="M25" s="16"/>
      <c r="N25" s="22">
        <f>IF(H25=0,0,L25/H25)</f>
        <v>-0.1860002091636839</v>
      </c>
      <c r="O25" s="29"/>
      <c r="P25" s="20">
        <f>P12-P20</f>
        <v>6868196.5500000007</v>
      </c>
      <c r="Q25" s="14"/>
      <c r="R25" s="22">
        <f>IF(P$12=0,0,P25/P$12)</f>
        <v>0.75931579105573099</v>
      </c>
      <c r="S25" s="14"/>
      <c r="T25" s="20">
        <f>T12-T20</f>
        <v>6777307.04</v>
      </c>
      <c r="U25" s="14"/>
      <c r="V25" s="22">
        <f>IF(T$12=0,0,T25/T$12)</f>
        <v>0.73669383697705071</v>
      </c>
      <c r="W25" s="16"/>
      <c r="X25" s="20">
        <f>+P25-T25</f>
        <v>90889.510000000708</v>
      </c>
      <c r="Y25" s="16"/>
      <c r="Z25" s="22">
        <f>IF(T25=0,0,X25/T25)</f>
        <v>1.3410859130856304E-2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9" t="s">
        <v>9</v>
      </c>
      <c r="C27" s="10"/>
      <c r="D27" s="21">
        <f>SUM(OSRRefD22x_0)</f>
        <v>593698.82999999996</v>
      </c>
      <c r="E27" s="21"/>
      <c r="F27" s="30">
        <f t="shared" ref="F27:F38" si="13">IF(D$12=0,0,D27/D$12)</f>
        <v>0.60207943251533691</v>
      </c>
      <c r="G27" s="21"/>
      <c r="H27" s="21">
        <f>SUM(OSRRefH22x_0)</f>
        <v>529071.09408212034</v>
      </c>
      <c r="I27" s="21"/>
      <c r="J27" s="30">
        <f t="shared" ref="J27:J38" si="14">IF(H$12=0,0,H27/H$12)</f>
        <v>0.42206799413980328</v>
      </c>
      <c r="K27" s="4"/>
      <c r="L27" s="21">
        <f t="shared" ref="L27:L38" si="15">+D27-H27</f>
        <v>64627.735917879618</v>
      </c>
      <c r="M27" s="4"/>
      <c r="N27" s="30">
        <f t="shared" ref="N27:N38" si="16">IF(H27=0,0,L27/H27)</f>
        <v>0.12215321653510776</v>
      </c>
      <c r="O27" s="10"/>
      <c r="P27" s="21">
        <f>SUM(OSRRefP22x_0)</f>
        <v>4536468.2700000005</v>
      </c>
      <c r="Q27" s="21"/>
      <c r="R27" s="30">
        <f t="shared" ref="R27:R38" si="17">IF(P$12=0,0,P27/P$12)</f>
        <v>0.50153078292936648</v>
      </c>
      <c r="S27" s="21"/>
      <c r="T27" s="21">
        <f>SUM(OSRRefT22x_0)</f>
        <v>4387431.4089418026</v>
      </c>
      <c r="U27" s="21"/>
      <c r="V27" s="30">
        <f t="shared" ref="V27:V38" si="18">IF(T$12=0,0,T27/T$12)</f>
        <v>0.47691415779901924</v>
      </c>
      <c r="W27" s="4"/>
      <c r="X27" s="21">
        <f t="shared" ref="X27:X38" si="19">+P27-T27</f>
        <v>149036.86105819792</v>
      </c>
      <c r="Y27" s="4"/>
      <c r="Z27" s="30">
        <f t="shared" ref="Z27:Z38" si="20">IF(T27=0,0,X27/T27)</f>
        <v>3.3969046388840039E-2</v>
      </c>
    </row>
    <row r="28" spans="1:26" s="27" customFormat="1" outlineLevel="1" collapsed="1" x14ac:dyDescent="0.25">
      <c r="A28" s="26"/>
      <c r="B28" s="13" t="str">
        <f>CONCATENATE("     ","*Benefits                                         ")</f>
        <v xml:space="preserve">     *Benefits                                         </v>
      </c>
      <c r="C28" s="13"/>
      <c r="D28" s="1">
        <f>SUM(OSRRefD22_0x_0)</f>
        <v>110384.78</v>
      </c>
      <c r="E28" s="1"/>
      <c r="F28" s="5">
        <f t="shared" si="13"/>
        <v>0.1119429622267073</v>
      </c>
      <c r="G28" s="1"/>
      <c r="H28" s="1">
        <f>SUM(OSRRefH22_0x_0)</f>
        <v>84892.734951351085</v>
      </c>
      <c r="I28" s="1"/>
      <c r="J28" s="5">
        <f t="shared" si="14"/>
        <v>6.772342461861515E-2</v>
      </c>
      <c r="K28" s="1"/>
      <c r="L28" s="1">
        <f t="shared" si="15"/>
        <v>25492.045048648914</v>
      </c>
      <c r="M28" s="1"/>
      <c r="N28" s="5">
        <f t="shared" si="16"/>
        <v>0.30028535496303033</v>
      </c>
      <c r="O28" s="13"/>
      <c r="P28" s="1">
        <f>SUM(OSRRefP22_0x_0)</f>
        <v>873268.09999999986</v>
      </c>
      <c r="Q28" s="1"/>
      <c r="R28" s="5">
        <f t="shared" si="17"/>
        <v>9.6544449962666701E-2</v>
      </c>
      <c r="S28" s="1"/>
      <c r="T28" s="1">
        <f>SUM(OSRRefT22_0x_0)</f>
        <v>780077.23784780258</v>
      </c>
      <c r="U28" s="1"/>
      <c r="V28" s="5">
        <f t="shared" si="18"/>
        <v>8.4794460409832198E-2</v>
      </c>
      <c r="W28" s="1"/>
      <c r="X28" s="1">
        <f t="shared" si="19"/>
        <v>93190.862152197282</v>
      </c>
      <c r="Y28" s="1"/>
      <c r="Z28" s="5">
        <f t="shared" si="20"/>
        <v>0.11946363466431428</v>
      </c>
    </row>
    <row r="29" spans="1:26" s="24" customFormat="1" hidden="1" outlineLevel="2" x14ac:dyDescent="0.25">
      <c r="A29" s="25"/>
      <c r="B29" s="11" t="str">
        <f>CONCATENATE("          ", "6111", " - ", "F.I.C.A.")</f>
        <v xml:space="preserve">          6111 - F.I.C.A.</v>
      </c>
      <c r="C29" s="11"/>
      <c r="D29" s="6">
        <v>17838.240000000002</v>
      </c>
      <c r="E29" s="2"/>
      <c r="F29" s="7">
        <f t="shared" si="13"/>
        <v>1.8090043088466901E-2</v>
      </c>
      <c r="G29" s="2"/>
      <c r="H29" s="6">
        <v>11993.53389476031</v>
      </c>
      <c r="I29" s="2"/>
      <c r="J29" s="7">
        <f t="shared" si="14"/>
        <v>9.5678763217850443E-3</v>
      </c>
      <c r="K29" s="2"/>
      <c r="L29" s="6">
        <f t="shared" si="15"/>
        <v>5844.7061052396912</v>
      </c>
      <c r="M29" s="2"/>
      <c r="N29" s="7">
        <f t="shared" si="16"/>
        <v>0.48732143140839451</v>
      </c>
      <c r="O29" s="11"/>
      <c r="P29" s="6">
        <v>126009.10999999999</v>
      </c>
      <c r="Q29" s="2"/>
      <c r="R29" s="7">
        <f t="shared" si="17"/>
        <v>1.3930979747496977E-2</v>
      </c>
      <c r="S29" s="2"/>
      <c r="T29" s="6">
        <v>115978.89787057802</v>
      </c>
      <c r="U29" s="2"/>
      <c r="V29" s="7">
        <f t="shared" si="18"/>
        <v>1.2606915811305137E-2</v>
      </c>
      <c r="W29" s="2"/>
      <c r="X29" s="6">
        <f t="shared" si="19"/>
        <v>10030.212129421969</v>
      </c>
      <c r="Y29" s="2"/>
      <c r="Z29" s="7">
        <f t="shared" si="20"/>
        <v>8.6483078504632632E-2</v>
      </c>
    </row>
    <row r="30" spans="1:26" s="24" customFormat="1" hidden="1" outlineLevel="2" x14ac:dyDescent="0.25">
      <c r="A30" s="25"/>
      <c r="B30" s="11" t="str">
        <f>CONCATENATE("          ", "6112", " - ", "COMPENSATION INSURANCE")</f>
        <v xml:space="preserve">          6112 - COMPENSATION INSURANCE</v>
      </c>
      <c r="C30" s="11"/>
      <c r="D30" s="6">
        <v>16032.96</v>
      </c>
      <c r="E30" s="2"/>
      <c r="F30" s="7">
        <f t="shared" si="13"/>
        <v>1.6259279908537292E-2</v>
      </c>
      <c r="G30" s="2"/>
      <c r="H30" s="6">
        <v>11052.858260381541</v>
      </c>
      <c r="I30" s="2"/>
      <c r="J30" s="7">
        <f t="shared" si="14"/>
        <v>8.8174496162262469E-3</v>
      </c>
      <c r="K30" s="2"/>
      <c r="L30" s="6">
        <f t="shared" si="15"/>
        <v>4980.1017396184579</v>
      </c>
      <c r="M30" s="2"/>
      <c r="N30" s="7">
        <f t="shared" si="16"/>
        <v>0.45057139269300162</v>
      </c>
      <c r="O30" s="11"/>
      <c r="P30" s="6">
        <v>82451.91</v>
      </c>
      <c r="Q30" s="2"/>
      <c r="R30" s="7">
        <f t="shared" si="17"/>
        <v>9.1154987790362432E-3</v>
      </c>
      <c r="S30" s="2"/>
      <c r="T30" s="6">
        <v>90925.946698080006</v>
      </c>
      <c r="U30" s="2"/>
      <c r="V30" s="7">
        <f t="shared" si="18"/>
        <v>9.8836579423704773E-3</v>
      </c>
      <c r="W30" s="2"/>
      <c r="X30" s="6">
        <f t="shared" si="19"/>
        <v>-8474.0366980800027</v>
      </c>
      <c r="Y30" s="2"/>
      <c r="Z30" s="7">
        <f t="shared" si="20"/>
        <v>-9.319712365732169E-2</v>
      </c>
    </row>
    <row r="31" spans="1:26" s="24" customFormat="1" hidden="1" outlineLevel="2" x14ac:dyDescent="0.25">
      <c r="A31" s="25"/>
      <c r="B31" s="11" t="str">
        <f>CONCATENATE("          ", "6113", " - ", "GROUP INSURANCE")</f>
        <v xml:space="preserve">          6113 - GROUP INSURANCE</v>
      </c>
      <c r="C31" s="11"/>
      <c r="D31" s="6">
        <v>51635.66</v>
      </c>
      <c r="E31" s="2"/>
      <c r="F31" s="7">
        <f t="shared" si="13"/>
        <v>5.2364544613225678E-2</v>
      </c>
      <c r="G31" s="2"/>
      <c r="H31" s="6">
        <v>44401.692307692305</v>
      </c>
      <c r="I31" s="2"/>
      <c r="J31" s="7">
        <f t="shared" si="14"/>
        <v>3.5421578344273695E-2</v>
      </c>
      <c r="K31" s="2"/>
      <c r="L31" s="6">
        <f t="shared" si="15"/>
        <v>7233.9676923076986</v>
      </c>
      <c r="M31" s="2"/>
      <c r="N31" s="7">
        <f t="shared" si="16"/>
        <v>0.16292099053743636</v>
      </c>
      <c r="O31" s="11"/>
      <c r="P31" s="6">
        <v>432866.48000000004</v>
      </c>
      <c r="Q31" s="2"/>
      <c r="R31" s="7">
        <f t="shared" si="17"/>
        <v>4.7855700006533705E-2</v>
      </c>
      <c r="S31" s="2"/>
      <c r="T31" s="6">
        <v>418681.38461538451</v>
      </c>
      <c r="U31" s="2"/>
      <c r="V31" s="7">
        <f t="shared" si="18"/>
        <v>4.5510701209601968E-2</v>
      </c>
      <c r="W31" s="2"/>
      <c r="X31" s="6">
        <f t="shared" si="19"/>
        <v>14185.095384615532</v>
      </c>
      <c r="Y31" s="2"/>
      <c r="Z31" s="7">
        <f t="shared" si="20"/>
        <v>3.3880406213059752E-2</v>
      </c>
    </row>
    <row r="32" spans="1:26" s="24" customFormat="1" hidden="1" outlineLevel="2" x14ac:dyDescent="0.25">
      <c r="A32" s="25"/>
      <c r="B32" s="11" t="str">
        <f>CONCATENATE("          ", "6114", " - ", "STATE UNEMPLOYMENT INSURANCE")</f>
        <v xml:space="preserve">          6114 - STATE UNEMPLOYMENT INSURANCE</v>
      </c>
      <c r="C32" s="11"/>
      <c r="D32" s="6">
        <v>1081.96</v>
      </c>
      <c r="E32" s="2"/>
      <c r="F32" s="7">
        <f t="shared" si="13"/>
        <v>1.0972328559318435E-3</v>
      </c>
      <c r="G32" s="2"/>
      <c r="H32" s="6">
        <v>743.72174784000003</v>
      </c>
      <c r="I32" s="2"/>
      <c r="J32" s="7">
        <f t="shared" si="14"/>
        <v>5.9330617344264679E-4</v>
      </c>
      <c r="K32" s="2"/>
      <c r="L32" s="6">
        <f t="shared" si="15"/>
        <v>338.23825216</v>
      </c>
      <c r="M32" s="2"/>
      <c r="N32" s="7">
        <f t="shared" si="16"/>
        <v>0.454791396301573</v>
      </c>
      <c r="O32" s="11"/>
      <c r="P32" s="6">
        <v>6534.75</v>
      </c>
      <c r="Q32" s="2"/>
      <c r="R32" s="7">
        <f t="shared" si="17"/>
        <v>7.2245149501457375E-4</v>
      </c>
      <c r="S32" s="2"/>
      <c r="T32" s="6">
        <v>6113.4438861600001</v>
      </c>
      <c r="U32" s="2"/>
      <c r="V32" s="7">
        <f t="shared" si="18"/>
        <v>6.645318571311331E-4</v>
      </c>
      <c r="W32" s="2"/>
      <c r="X32" s="6">
        <f t="shared" si="19"/>
        <v>421.30611383999985</v>
      </c>
      <c r="Y32" s="2"/>
      <c r="Z32" s="7">
        <f t="shared" si="20"/>
        <v>6.8914693859181267E-2</v>
      </c>
    </row>
    <row r="33" spans="1:26" s="24" customFormat="1" hidden="1" outlineLevel="2" x14ac:dyDescent="0.25">
      <c r="A33" s="25"/>
      <c r="B33" s="11" t="str">
        <f>CONCATENATE("          ", "6115", " - ", "P.E.R.S.")</f>
        <v xml:space="preserve">          6115 - P.E.R.S.</v>
      </c>
      <c r="C33" s="11"/>
      <c r="D33" s="6">
        <v>4124.83</v>
      </c>
      <c r="E33" s="2"/>
      <c r="F33" s="7">
        <f t="shared" si="13"/>
        <v>4.1830557517221947E-3</v>
      </c>
      <c r="G33" s="2"/>
      <c r="H33" s="6">
        <v>3642.2280791384651</v>
      </c>
      <c r="I33" s="2"/>
      <c r="J33" s="7">
        <f t="shared" si="14"/>
        <v>2.9055979749349754E-3</v>
      </c>
      <c r="K33" s="2"/>
      <c r="L33" s="6">
        <f t="shared" si="15"/>
        <v>482.60192086153484</v>
      </c>
      <c r="M33" s="2"/>
      <c r="N33" s="7">
        <f t="shared" si="16"/>
        <v>0.13250183963649245</v>
      </c>
      <c r="O33" s="11"/>
      <c r="P33" s="6">
        <v>40145.47</v>
      </c>
      <c r="Q33" s="2"/>
      <c r="R33" s="7">
        <f t="shared" si="17"/>
        <v>4.4382960051360379E-3</v>
      </c>
      <c r="S33" s="2"/>
      <c r="T33" s="6">
        <v>35511.723771600031</v>
      </c>
      <c r="U33" s="2"/>
      <c r="V33" s="7">
        <f t="shared" si="18"/>
        <v>3.8601273173200028E-3</v>
      </c>
      <c r="W33" s="2"/>
      <c r="X33" s="6">
        <f t="shared" si="19"/>
        <v>4633.7462283999703</v>
      </c>
      <c r="Y33" s="2"/>
      <c r="Z33" s="7">
        <f t="shared" si="20"/>
        <v>0.13048497049038604</v>
      </c>
    </row>
    <row r="34" spans="1:26" s="24" customFormat="1" hidden="1" outlineLevel="2" x14ac:dyDescent="0.25">
      <c r="A34" s="25"/>
      <c r="B34" s="11" t="str">
        <f>CONCATENATE("          ", "6116", " - ", "EDUCATIONAL BENEFITS")</f>
        <v xml:space="preserve">          6116 - EDUCATIONAL BENEFITS</v>
      </c>
      <c r="C34" s="11"/>
      <c r="D34" s="6"/>
      <c r="E34" s="2"/>
      <c r="F34" s="7">
        <f t="shared" si="13"/>
        <v>0</v>
      </c>
      <c r="G34" s="2"/>
      <c r="H34" s="6">
        <v>0</v>
      </c>
      <c r="I34" s="2"/>
      <c r="J34" s="7">
        <f t="shared" si="14"/>
        <v>0</v>
      </c>
      <c r="K34" s="2"/>
      <c r="L34" s="6">
        <f t="shared" si="15"/>
        <v>0</v>
      </c>
      <c r="M34" s="2"/>
      <c r="N34" s="7">
        <f t="shared" si="16"/>
        <v>0</v>
      </c>
      <c r="O34" s="11"/>
      <c r="P34" s="6"/>
      <c r="Q34" s="2"/>
      <c r="R34" s="7">
        <f t="shared" si="17"/>
        <v>0</v>
      </c>
      <c r="S34" s="2"/>
      <c r="T34" s="6">
        <v>0</v>
      </c>
      <c r="U34" s="2"/>
      <c r="V34" s="7">
        <f t="shared" si="18"/>
        <v>0</v>
      </c>
      <c r="W34" s="2"/>
      <c r="X34" s="6">
        <f t="shared" si="19"/>
        <v>0</v>
      </c>
      <c r="Y34" s="2"/>
      <c r="Z34" s="7">
        <f t="shared" si="20"/>
        <v>0</v>
      </c>
    </row>
    <row r="35" spans="1:26" s="24" customFormat="1" hidden="1" outlineLevel="2" x14ac:dyDescent="0.25">
      <c r="A35" s="25"/>
      <c r="B35" s="11" t="str">
        <f>CONCATENATE("          ", "6117", " - ", "RETIREMENT STAFF HOURLY")</f>
        <v xml:space="preserve">          6117 - RETIREMENT STAFF HOURLY</v>
      </c>
      <c r="C35" s="11"/>
      <c r="D35" s="6">
        <v>913.87</v>
      </c>
      <c r="E35" s="2"/>
      <c r="F35" s="7">
        <f t="shared" si="13"/>
        <v>9.2677011169584251E-4</v>
      </c>
      <c r="G35" s="2"/>
      <c r="H35" s="6"/>
      <c r="I35" s="2"/>
      <c r="J35" s="7">
        <f t="shared" si="14"/>
        <v>0</v>
      </c>
      <c r="K35" s="2"/>
      <c r="L35" s="6">
        <f t="shared" si="15"/>
        <v>913.87</v>
      </c>
      <c r="M35" s="2"/>
      <c r="N35" s="7">
        <f t="shared" si="16"/>
        <v>0</v>
      </c>
      <c r="O35" s="11"/>
      <c r="P35" s="6">
        <v>14532.26</v>
      </c>
      <c r="Q35" s="2"/>
      <c r="R35" s="7">
        <f t="shared" si="17"/>
        <v>1.6066189162462971E-3</v>
      </c>
      <c r="S35" s="2"/>
      <c r="T35" s="6"/>
      <c r="U35" s="2"/>
      <c r="V35" s="7">
        <f t="shared" si="18"/>
        <v>0</v>
      </c>
      <c r="W35" s="2"/>
      <c r="X35" s="6">
        <f t="shared" si="19"/>
        <v>14532.26</v>
      </c>
      <c r="Y35" s="2"/>
      <c r="Z35" s="7">
        <f t="shared" si="20"/>
        <v>0</v>
      </c>
    </row>
    <row r="36" spans="1:26" s="24" customFormat="1" hidden="1" outlineLevel="2" x14ac:dyDescent="0.25">
      <c r="A36" s="25"/>
      <c r="B36" s="11" t="str">
        <f>CONCATENATE("          ", "6118", " - ", "VACATION")</f>
        <v xml:space="preserve">          6118 - VACATION</v>
      </c>
      <c r="C36" s="11"/>
      <c r="D36" s="6">
        <v>9282.11</v>
      </c>
      <c r="E36" s="2"/>
      <c r="F36" s="7">
        <f t="shared" si="13"/>
        <v>9.4131354803999451E-3</v>
      </c>
      <c r="G36" s="2"/>
      <c r="H36" s="6">
        <v>3611.6687587692322</v>
      </c>
      <c r="I36" s="2"/>
      <c r="J36" s="7">
        <f t="shared" si="14"/>
        <v>2.8812191888043619E-3</v>
      </c>
      <c r="K36" s="2"/>
      <c r="L36" s="6">
        <f t="shared" si="15"/>
        <v>5670.4412412307684</v>
      </c>
      <c r="M36" s="2"/>
      <c r="N36" s="7">
        <f t="shared" si="16"/>
        <v>1.5700335828037328</v>
      </c>
      <c r="O36" s="11"/>
      <c r="P36" s="6">
        <v>78258.210000000006</v>
      </c>
      <c r="Q36" s="2"/>
      <c r="R36" s="7">
        <f t="shared" si="17"/>
        <v>8.6518628580534024E-3</v>
      </c>
      <c r="S36" s="2"/>
      <c r="T36" s="6">
        <v>35064.387437999998</v>
      </c>
      <c r="U36" s="2"/>
      <c r="V36" s="7">
        <f t="shared" si="18"/>
        <v>3.8115018207807382E-3</v>
      </c>
      <c r="W36" s="2"/>
      <c r="X36" s="6">
        <f t="shared" si="19"/>
        <v>43193.822562000008</v>
      </c>
      <c r="Y36" s="2"/>
      <c r="Z36" s="7">
        <f t="shared" si="20"/>
        <v>1.231843066940048</v>
      </c>
    </row>
    <row r="37" spans="1:26" s="24" customFormat="1" hidden="1" outlineLevel="2" x14ac:dyDescent="0.25">
      <c r="A37" s="25"/>
      <c r="B37" s="11" t="str">
        <f>CONCATENATE("          ", "6119", " - ", "SICK LEAVE")</f>
        <v xml:space="preserve">          6119 - SICK LEAVE</v>
      </c>
      <c r="C37" s="11"/>
      <c r="D37" s="6">
        <v>6078.59</v>
      </c>
      <c r="E37" s="2"/>
      <c r="F37" s="7">
        <f t="shared" si="13"/>
        <v>6.164394862784894E-3</v>
      </c>
      <c r="G37" s="2"/>
      <c r="H37" s="6">
        <v>7947.0319027692303</v>
      </c>
      <c r="I37" s="2"/>
      <c r="J37" s="7">
        <f t="shared" si="14"/>
        <v>6.3397676646575769E-3</v>
      </c>
      <c r="K37" s="2"/>
      <c r="L37" s="6">
        <f t="shared" si="15"/>
        <v>-1868.4419027692302</v>
      </c>
      <c r="M37" s="2"/>
      <c r="N37" s="7">
        <f t="shared" si="16"/>
        <v>-0.23511191670416615</v>
      </c>
      <c r="O37" s="11"/>
      <c r="P37" s="6">
        <v>57812.579999999994</v>
      </c>
      <c r="Q37" s="2"/>
      <c r="R37" s="7">
        <f t="shared" si="17"/>
        <v>6.3914893227207843E-3</v>
      </c>
      <c r="S37" s="2"/>
      <c r="T37" s="6">
        <v>64301.453567999997</v>
      </c>
      <c r="U37" s="2"/>
      <c r="V37" s="7">
        <f t="shared" si="18"/>
        <v>6.9895733323912653E-3</v>
      </c>
      <c r="W37" s="2"/>
      <c r="X37" s="6">
        <f t="shared" si="19"/>
        <v>-6488.8735680000027</v>
      </c>
      <c r="Y37" s="2"/>
      <c r="Z37" s="7">
        <f t="shared" si="20"/>
        <v>-0.10091332633931668</v>
      </c>
    </row>
    <row r="38" spans="1:26" s="24" customFormat="1" hidden="1" outlineLevel="2" x14ac:dyDescent="0.25">
      <c r="A38" s="25"/>
      <c r="B38" s="11" t="str">
        <f>CONCATENATE("          ", "6156", " - ", "EMPLOYEE MEALS")</f>
        <v xml:space="preserve">          6156 - EMPLOYEE MEALS</v>
      </c>
      <c r="C38" s="11"/>
      <c r="D38" s="6">
        <v>3396.56</v>
      </c>
      <c r="E38" s="2"/>
      <c r="F38" s="7">
        <f t="shared" si="13"/>
        <v>3.4445055539427168E-3</v>
      </c>
      <c r="G38" s="2"/>
      <c r="H38" s="6">
        <v>1500</v>
      </c>
      <c r="I38" s="2"/>
      <c r="J38" s="7">
        <f t="shared" si="14"/>
        <v>1.1966293344906069E-3</v>
      </c>
      <c r="K38" s="2"/>
      <c r="L38" s="6">
        <f t="shared" si="15"/>
        <v>1896.56</v>
      </c>
      <c r="M38" s="2"/>
      <c r="N38" s="7">
        <f t="shared" si="16"/>
        <v>1.2643733333333333</v>
      </c>
      <c r="O38" s="11"/>
      <c r="P38" s="6">
        <v>34657.33</v>
      </c>
      <c r="Q38" s="2"/>
      <c r="R38" s="7">
        <f t="shared" si="17"/>
        <v>3.8315528324286987E-3</v>
      </c>
      <c r="S38" s="2"/>
      <c r="T38" s="6">
        <v>13500</v>
      </c>
      <c r="U38" s="2"/>
      <c r="V38" s="7">
        <f t="shared" si="18"/>
        <v>1.4674511189314782E-3</v>
      </c>
      <c r="W38" s="2"/>
      <c r="X38" s="6">
        <f t="shared" si="19"/>
        <v>21157.33</v>
      </c>
      <c r="Y38" s="2"/>
      <c r="Z38" s="7">
        <f t="shared" si="20"/>
        <v>1.5672096296296298</v>
      </c>
    </row>
    <row r="39" spans="1:26" s="27" customFormat="1" outlineLevel="1" collapsed="1" x14ac:dyDescent="0.25">
      <c r="A39" s="26"/>
      <c r="B39" s="13" t="str">
        <f>CONCATENATE("     ","*Payroll                                          ")</f>
        <v xml:space="preserve">     *Payroll                                          </v>
      </c>
      <c r="C39" s="13"/>
      <c r="D39" s="1">
        <f>SUM(OSRRefD22_1x_0)</f>
        <v>350882.25</v>
      </c>
      <c r="E39" s="1"/>
      <c r="F39" s="5">
        <f t="shared" ref="F39:F49" si="21">IF(D$12=0,0,D39/D$12)</f>
        <v>0.35583527419062727</v>
      </c>
      <c r="G39" s="1"/>
      <c r="H39" s="1">
        <f>SUM(OSRRefH22_1x_0)</f>
        <v>276483.35913076921</v>
      </c>
      <c r="I39" s="1"/>
      <c r="J39" s="5">
        <f t="shared" ref="J39:J49" si="22">IF(H$12=0,0,H39/H$12)</f>
        <v>0.22056539868958655</v>
      </c>
      <c r="K39" s="1"/>
      <c r="L39" s="1">
        <f t="shared" ref="L39:L49" si="23">+D39-H39</f>
        <v>74398.890869230789</v>
      </c>
      <c r="M39" s="1"/>
      <c r="N39" s="5">
        <f t="shared" ref="N39:N49" si="24">IF(H39=0,0,L39/H39)</f>
        <v>0.26908994126493563</v>
      </c>
      <c r="O39" s="13"/>
      <c r="P39" s="1">
        <f>SUM(OSRRefP22_1x_0)</f>
        <v>2377430.4000000004</v>
      </c>
      <c r="Q39" s="1"/>
      <c r="R39" s="5">
        <f t="shared" ref="R39:R49" si="25">IF(P$12=0,0,P39/P$12)</f>
        <v>0.26283762145041456</v>
      </c>
      <c r="S39" s="1"/>
      <c r="T39" s="1">
        <f>SUM(OSRRefT22_1x_0)</f>
        <v>2267651.1710939999</v>
      </c>
      <c r="U39" s="1"/>
      <c r="V39" s="5">
        <f t="shared" ref="V39:V49" si="26">IF(T$12=0,0,T39/T$12)</f>
        <v>0.24649387024949385</v>
      </c>
      <c r="W39" s="1"/>
      <c r="X39" s="1">
        <f t="shared" ref="X39:X49" si="27">+P39-T39</f>
        <v>109779.2289060005</v>
      </c>
      <c r="Y39" s="1"/>
      <c r="Z39" s="5">
        <f t="shared" ref="Z39:Z49" si="28">IF(T39=0,0,X39/T39)</f>
        <v>4.8410985915897674E-2</v>
      </c>
    </row>
    <row r="40" spans="1:26" s="24" customFormat="1" hidden="1" outlineLevel="2" x14ac:dyDescent="0.25">
      <c r="A40" s="25"/>
      <c r="B40" s="11" t="str">
        <f>CONCATENATE("          ", "6001", " - ", "ADMINISTRATIVE SALARIES")</f>
        <v xml:space="preserve">          6001 - ADMINISTRATIVE SALARIES</v>
      </c>
      <c r="C40" s="11"/>
      <c r="D40" s="6">
        <v>8959.5400000000009</v>
      </c>
      <c r="E40" s="2"/>
      <c r="F40" s="7">
        <f t="shared" si="21"/>
        <v>9.0860121095378658E-3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8959.5400000000009</v>
      </c>
      <c r="M40" s="2"/>
      <c r="N40" s="7">
        <f t="shared" si="24"/>
        <v>0</v>
      </c>
      <c r="O40" s="11"/>
      <c r="P40" s="6">
        <v>71472.86</v>
      </c>
      <c r="Q40" s="2"/>
      <c r="R40" s="7">
        <f t="shared" si="25"/>
        <v>7.9017061953352962E-3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71472.86</v>
      </c>
      <c r="Y40" s="2"/>
      <c r="Z40" s="7">
        <f t="shared" si="28"/>
        <v>0</v>
      </c>
    </row>
    <row r="41" spans="1:26" s="24" customFormat="1" hidden="1" outlineLevel="2" x14ac:dyDescent="0.25">
      <c r="A41" s="25"/>
      <c r="B41" s="11" t="str">
        <f>CONCATENATE("          ", "6002", " - ", "STAFF SALARIES")</f>
        <v xml:space="preserve">          6002 - STAFF SALARIES</v>
      </c>
      <c r="C41" s="11"/>
      <c r="D41" s="6">
        <v>46765.740000000005</v>
      </c>
      <c r="E41" s="2"/>
      <c r="F41" s="7">
        <f t="shared" si="21"/>
        <v>4.7425881234025337E-2</v>
      </c>
      <c r="G41" s="2"/>
      <c r="H41" s="6">
        <v>39678.938974769218</v>
      </c>
      <c r="I41" s="2"/>
      <c r="J41" s="7">
        <f t="shared" si="22"/>
        <v>3.1653988225780992E-2</v>
      </c>
      <c r="K41" s="2"/>
      <c r="L41" s="6">
        <f t="shared" si="23"/>
        <v>7086.8010252307868</v>
      </c>
      <c r="M41" s="2"/>
      <c r="N41" s="7">
        <f t="shared" si="24"/>
        <v>0.17860359193921729</v>
      </c>
      <c r="O41" s="11"/>
      <c r="P41" s="6">
        <v>364404.23</v>
      </c>
      <c r="Q41" s="2"/>
      <c r="R41" s="7">
        <f t="shared" si="25"/>
        <v>4.0286832817343368E-2</v>
      </c>
      <c r="S41" s="2"/>
      <c r="T41" s="6">
        <v>386869.65500399965</v>
      </c>
      <c r="U41" s="2"/>
      <c r="V41" s="7">
        <f t="shared" si="26"/>
        <v>4.2052763564166977E-2</v>
      </c>
      <c r="W41" s="2"/>
      <c r="X41" s="6">
        <f t="shared" si="27"/>
        <v>-22465.42500399967</v>
      </c>
      <c r="Y41" s="2"/>
      <c r="Z41" s="7">
        <f t="shared" si="28"/>
        <v>-5.8069752210902686E-2</v>
      </c>
    </row>
    <row r="42" spans="1:26" s="24" customFormat="1" hidden="1" outlineLevel="2" x14ac:dyDescent="0.25">
      <c r="A42" s="25"/>
      <c r="B42" s="11" t="str">
        <f>CONCATENATE("          ", "6003", " - ", "STAFF HOURLY-9 MONTH")</f>
        <v xml:space="preserve">          6003 - STAFF HOURLY-9 MONTH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/>
      <c r="Q42" s="2"/>
      <c r="R42" s="7">
        <f t="shared" si="25"/>
        <v>0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0</v>
      </c>
      <c r="Y42" s="2"/>
      <c r="Z42" s="7">
        <f t="shared" si="28"/>
        <v>0</v>
      </c>
    </row>
    <row r="43" spans="1:26" s="24" customFormat="1" hidden="1" outlineLevel="2" x14ac:dyDescent="0.25">
      <c r="A43" s="25"/>
      <c r="B43" s="11" t="str">
        <f>CONCATENATE("          ", "6004", " - ", "STAFF HOURLY")</f>
        <v xml:space="preserve">          6004 - STAFF HOURLY</v>
      </c>
      <c r="C43" s="11"/>
      <c r="D43" s="6">
        <v>86129.84</v>
      </c>
      <c r="E43" s="2"/>
      <c r="F43" s="7">
        <f t="shared" si="21"/>
        <v>8.7345641543266586E-2</v>
      </c>
      <c r="G43" s="2"/>
      <c r="H43" s="6">
        <v>74841.003039999996</v>
      </c>
      <c r="I43" s="2"/>
      <c r="J43" s="7">
        <f t="shared" si="22"/>
        <v>5.9704626440243116E-2</v>
      </c>
      <c r="K43" s="2"/>
      <c r="L43" s="6">
        <f t="shared" si="23"/>
        <v>11288.836960000001</v>
      </c>
      <c r="M43" s="2"/>
      <c r="N43" s="7">
        <f t="shared" si="24"/>
        <v>0.15083759572231412</v>
      </c>
      <c r="O43" s="11"/>
      <c r="P43" s="6">
        <v>562386.73</v>
      </c>
      <c r="Q43" s="2"/>
      <c r="R43" s="7">
        <f t="shared" si="25"/>
        <v>6.2174855023506247E-2</v>
      </c>
      <c r="S43" s="2"/>
      <c r="T43" s="6">
        <v>714701.80956000008</v>
      </c>
      <c r="U43" s="2"/>
      <c r="V43" s="7">
        <f t="shared" si="26"/>
        <v>7.768814593638329E-2</v>
      </c>
      <c r="W43" s="2"/>
      <c r="X43" s="6">
        <f t="shared" si="27"/>
        <v>-152315.0795600001</v>
      </c>
      <c r="Y43" s="2"/>
      <c r="Z43" s="7">
        <f t="shared" si="28"/>
        <v>-0.21311696363798427</v>
      </c>
    </row>
    <row r="44" spans="1:26" s="24" customFormat="1" hidden="1" outlineLevel="2" x14ac:dyDescent="0.25">
      <c r="A44" s="25"/>
      <c r="B44" s="11" t="str">
        <f>CONCATENATE("          ", "6005", " - ", "TEMPORARY WAGES-HOURLY")</f>
        <v xml:space="preserve">          6005 - TEMPORARY WAGES-HOURLY</v>
      </c>
      <c r="C44" s="11"/>
      <c r="D44" s="6">
        <v>57043.76</v>
      </c>
      <c r="E44" s="2"/>
      <c r="F44" s="7">
        <f t="shared" si="21"/>
        <v>5.7848984895828549E-2</v>
      </c>
      <c r="G44" s="2"/>
      <c r="H44" s="6">
        <v>28985.649416</v>
      </c>
      <c r="I44" s="2"/>
      <c r="J44" s="7">
        <f t="shared" si="22"/>
        <v>2.3123385580297418E-2</v>
      </c>
      <c r="K44" s="2"/>
      <c r="L44" s="6">
        <f t="shared" si="23"/>
        <v>28058.110584000002</v>
      </c>
      <c r="M44" s="2"/>
      <c r="N44" s="7">
        <f t="shared" si="24"/>
        <v>0.96800006725093424</v>
      </c>
      <c r="O44" s="11"/>
      <c r="P44" s="6">
        <v>393545.39999999997</v>
      </c>
      <c r="Q44" s="2"/>
      <c r="R44" s="7">
        <f t="shared" si="25"/>
        <v>4.3508544716493888E-2</v>
      </c>
      <c r="S44" s="2"/>
      <c r="T44" s="6">
        <v>214025.50353000002</v>
      </c>
      <c r="U44" s="2"/>
      <c r="V44" s="7">
        <f t="shared" si="26"/>
        <v>2.3264589972960856E-2</v>
      </c>
      <c r="W44" s="2"/>
      <c r="X44" s="6">
        <f t="shared" si="27"/>
        <v>179519.89646999995</v>
      </c>
      <c r="Y44" s="2"/>
      <c r="Z44" s="7">
        <f t="shared" si="28"/>
        <v>0.83877805919908321</v>
      </c>
    </row>
    <row r="45" spans="1:26" s="24" customFormat="1" hidden="1" outlineLevel="2" x14ac:dyDescent="0.25">
      <c r="A45" s="25"/>
      <c r="B45" s="11" t="str">
        <f>CONCATENATE("          ", "6006", " - ", "TEMPORARY PART TIME")</f>
        <v xml:space="preserve">          6006 - TEMPORARY PART TIME</v>
      </c>
      <c r="C45" s="11"/>
      <c r="D45" s="6">
        <v>2129.79</v>
      </c>
      <c r="E45" s="2"/>
      <c r="F45" s="7">
        <f t="shared" si="21"/>
        <v>2.1598539356677518E-3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2129.79</v>
      </c>
      <c r="M45" s="2"/>
      <c r="N45" s="7">
        <f t="shared" si="24"/>
        <v>0</v>
      </c>
      <c r="O45" s="11"/>
      <c r="P45" s="6">
        <v>34130.700000000004</v>
      </c>
      <c r="Q45" s="2"/>
      <c r="R45" s="7">
        <f t="shared" si="25"/>
        <v>3.7733310747762221E-3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34130.700000000004</v>
      </c>
      <c r="Y45" s="2"/>
      <c r="Z45" s="7">
        <f t="shared" si="28"/>
        <v>0</v>
      </c>
    </row>
    <row r="46" spans="1:26" s="24" customFormat="1" hidden="1" outlineLevel="2" x14ac:dyDescent="0.25">
      <c r="A46" s="25"/>
      <c r="B46" s="11" t="str">
        <f>CONCATENATE("          ", "6007", " - ", "STUDENT HOURLY")</f>
        <v xml:space="preserve">          6007 - STUDENT HOURLY</v>
      </c>
      <c r="C46" s="11"/>
      <c r="D46" s="6">
        <v>120982.22999999998</v>
      </c>
      <c r="E46" s="2"/>
      <c r="F46" s="7">
        <f t="shared" si="21"/>
        <v>0.12269000493539792</v>
      </c>
      <c r="G46" s="2"/>
      <c r="H46" s="6">
        <v>35061.862500000003</v>
      </c>
      <c r="I46" s="2"/>
      <c r="J46" s="7">
        <f t="shared" si="22"/>
        <v>2.7970702126250781E-2</v>
      </c>
      <c r="K46" s="2"/>
      <c r="L46" s="6">
        <f t="shared" si="23"/>
        <v>85920.367499999978</v>
      </c>
      <c r="M46" s="2"/>
      <c r="N46" s="7">
        <f t="shared" si="24"/>
        <v>2.4505363199116981</v>
      </c>
      <c r="O46" s="11"/>
      <c r="P46" s="6">
        <v>779038.78</v>
      </c>
      <c r="Q46" s="2"/>
      <c r="R46" s="7">
        <f t="shared" si="25"/>
        <v>8.6126895640281517E-2</v>
      </c>
      <c r="S46" s="2"/>
      <c r="T46" s="6">
        <v>346068.4425</v>
      </c>
      <c r="U46" s="2"/>
      <c r="V46" s="7">
        <f t="shared" si="26"/>
        <v>3.7617668383222141E-2</v>
      </c>
      <c r="W46" s="2"/>
      <c r="X46" s="6">
        <f t="shared" si="27"/>
        <v>432970.33750000002</v>
      </c>
      <c r="Y46" s="2"/>
      <c r="Z46" s="7">
        <f t="shared" si="28"/>
        <v>1.2511118736288704</v>
      </c>
    </row>
    <row r="47" spans="1:26" s="24" customFormat="1" hidden="1" outlineLevel="2" x14ac:dyDescent="0.25">
      <c r="A47" s="25"/>
      <c r="B47" s="11" t="str">
        <f>CONCATENATE("          ", "6008", " - ", "STUDENT HOURLY-FICA EXEMPT")</f>
        <v xml:space="preserve">          6008 - STUDENT HOURLY-FICA EXEMPT</v>
      </c>
      <c r="C47" s="11"/>
      <c r="D47" s="6">
        <v>28871.350000000002</v>
      </c>
      <c r="E47" s="2"/>
      <c r="F47" s="7">
        <f t="shared" si="21"/>
        <v>2.927889553690324E-2</v>
      </c>
      <c r="G47" s="2"/>
      <c r="H47" s="6">
        <v>97915.905199999994</v>
      </c>
      <c r="I47" s="2"/>
      <c r="J47" s="7">
        <f t="shared" si="22"/>
        <v>7.811269631701423E-2</v>
      </c>
      <c r="K47" s="2"/>
      <c r="L47" s="6">
        <f t="shared" si="23"/>
        <v>-69044.555199999988</v>
      </c>
      <c r="M47" s="2"/>
      <c r="N47" s="7">
        <f t="shared" si="24"/>
        <v>-0.70514136655297954</v>
      </c>
      <c r="O47" s="11"/>
      <c r="P47" s="6">
        <v>172451.69999999998</v>
      </c>
      <c r="Q47" s="2"/>
      <c r="R47" s="7">
        <f t="shared" si="25"/>
        <v>1.9065455982677955E-2</v>
      </c>
      <c r="S47" s="2"/>
      <c r="T47" s="6">
        <v>605985.76049999997</v>
      </c>
      <c r="U47" s="2"/>
      <c r="V47" s="7">
        <f t="shared" si="26"/>
        <v>6.5870702392760577E-2</v>
      </c>
      <c r="W47" s="2"/>
      <c r="X47" s="6">
        <f t="shared" si="27"/>
        <v>-433534.06050000002</v>
      </c>
      <c r="Y47" s="2"/>
      <c r="Z47" s="7">
        <f t="shared" si="28"/>
        <v>-0.71541955068761065</v>
      </c>
    </row>
    <row r="48" spans="1:26" s="24" customFormat="1" hidden="1" outlineLevel="2" x14ac:dyDescent="0.25">
      <c r="A48" s="25"/>
      <c r="B48" s="11" t="str">
        <f>CONCATENATE("          ", "6009", " - ", "TEMPORARY-SEASONAL")</f>
        <v xml:space="preserve">          6009 - TEMPORARY-SEASONAL</v>
      </c>
      <c r="C48" s="11"/>
      <c r="D48" s="6"/>
      <c r="E48" s="2"/>
      <c r="F48" s="7">
        <f t="shared" si="21"/>
        <v>0</v>
      </c>
      <c r="G48" s="2"/>
      <c r="H48" s="6">
        <v>0</v>
      </c>
      <c r="I48" s="2"/>
      <c r="J48" s="7">
        <f t="shared" si="22"/>
        <v>0</v>
      </c>
      <c r="K48" s="2"/>
      <c r="L48" s="6">
        <f t="shared" si="23"/>
        <v>0</v>
      </c>
      <c r="M48" s="2"/>
      <c r="N48" s="7">
        <f t="shared" si="24"/>
        <v>0</v>
      </c>
      <c r="O48" s="11"/>
      <c r="P48" s="6"/>
      <c r="Q48" s="2"/>
      <c r="R48" s="7">
        <f t="shared" si="25"/>
        <v>0</v>
      </c>
      <c r="S48" s="2"/>
      <c r="T48" s="6">
        <v>0</v>
      </c>
      <c r="U48" s="2"/>
      <c r="V48" s="7">
        <f t="shared" si="26"/>
        <v>0</v>
      </c>
      <c r="W48" s="2"/>
      <c r="X48" s="6">
        <f t="shared" si="27"/>
        <v>0</v>
      </c>
      <c r="Y48" s="2"/>
      <c r="Z48" s="7">
        <f t="shared" si="28"/>
        <v>0</v>
      </c>
    </row>
    <row r="49" spans="1:26" s="24" customFormat="1" hidden="1" outlineLevel="2" x14ac:dyDescent="0.25">
      <c r="A49" s="25"/>
      <c r="B49" s="11" t="str">
        <f>CONCATENATE("          ", "6010", " - ", "GRATUITY")</f>
        <v xml:space="preserve">          6010 - GRATUITY</v>
      </c>
      <c r="C49" s="11"/>
      <c r="D49" s="6"/>
      <c r="E49" s="2"/>
      <c r="F49" s="7">
        <f t="shared" si="21"/>
        <v>0</v>
      </c>
      <c r="G49" s="2"/>
      <c r="H49" s="6">
        <v>0</v>
      </c>
      <c r="I49" s="2"/>
      <c r="J49" s="7">
        <f t="shared" si="22"/>
        <v>0</v>
      </c>
      <c r="K49" s="2"/>
      <c r="L49" s="6">
        <f t="shared" si="23"/>
        <v>0</v>
      </c>
      <c r="M49" s="2"/>
      <c r="N49" s="7">
        <f t="shared" si="24"/>
        <v>0</v>
      </c>
      <c r="O49" s="11"/>
      <c r="P49" s="6"/>
      <c r="Q49" s="2"/>
      <c r="R49" s="7">
        <f t="shared" si="25"/>
        <v>0</v>
      </c>
      <c r="S49" s="2"/>
      <c r="T49" s="6">
        <v>0</v>
      </c>
      <c r="U49" s="2"/>
      <c r="V49" s="7">
        <f t="shared" si="26"/>
        <v>0</v>
      </c>
      <c r="W49" s="2"/>
      <c r="X49" s="6">
        <f t="shared" si="27"/>
        <v>0</v>
      </c>
      <c r="Y49" s="2"/>
      <c r="Z49" s="7">
        <f t="shared" si="28"/>
        <v>0</v>
      </c>
    </row>
    <row r="50" spans="1:26" s="27" customFormat="1" outlineLevel="1" collapsed="1" x14ac:dyDescent="0.25">
      <c r="A50" s="26"/>
      <c r="B50" s="13" t="str">
        <f>CONCATENATE("     ","Advertising/Promo                                 ")</f>
        <v xml:space="preserve">     Advertising/Promo                                 </v>
      </c>
      <c r="C50" s="13"/>
      <c r="D50" s="1">
        <f>SUM(OSRRefD22_2x_0)</f>
        <v>44.51</v>
      </c>
      <c r="E50" s="1"/>
      <c r="F50" s="5">
        <f t="shared" ref="F50:F54" si="29">IF(D$12=0,0,D50/D$12)</f>
        <v>4.5138299398800647E-5</v>
      </c>
      <c r="G50" s="1"/>
      <c r="H50" s="1">
        <f>SUM(OSRRefH22_2x_0)</f>
        <v>975</v>
      </c>
      <c r="I50" s="1"/>
      <c r="J50" s="5">
        <f t="shared" ref="J50:J54" si="30">IF(H$12=0,0,H50/H$12)</f>
        <v>7.7780906741889443E-4</v>
      </c>
      <c r="K50" s="1"/>
      <c r="L50" s="1">
        <f t="shared" ref="L50:L54" si="31">+D50-H50</f>
        <v>-930.49</v>
      </c>
      <c r="M50" s="1"/>
      <c r="N50" s="5">
        <f t="shared" ref="N50:N54" si="32">IF(H50=0,0,L50/H50)</f>
        <v>-0.95434871794871801</v>
      </c>
      <c r="O50" s="13"/>
      <c r="P50" s="1">
        <f>SUM(OSRRefP22_2x_0)</f>
        <v>8477.7099999999991</v>
      </c>
      <c r="Q50" s="1"/>
      <c r="R50" s="5">
        <f t="shared" ref="R50:R54" si="33">IF(P$12=0,0,P50/P$12)</f>
        <v>9.3725609454072488E-4</v>
      </c>
      <c r="S50" s="1"/>
      <c r="T50" s="1">
        <f>SUM(OSRRefT22_2x_0)</f>
        <v>13325</v>
      </c>
      <c r="U50" s="1"/>
      <c r="V50" s="5">
        <f t="shared" ref="V50:V54" si="34">IF(T$12=0,0,T50/T$12)</f>
        <v>1.4484286044268108E-3</v>
      </c>
      <c r="W50" s="1"/>
      <c r="X50" s="1">
        <f t="shared" ref="X50:X54" si="35">+P50-T50</f>
        <v>-4847.2900000000009</v>
      </c>
      <c r="Y50" s="1"/>
      <c r="Z50" s="5">
        <f t="shared" ref="Z50:Z54" si="36">IF(T50=0,0,X50/T50)</f>
        <v>-0.36377410881801131</v>
      </c>
    </row>
    <row r="51" spans="1:26" s="24" customFormat="1" hidden="1" outlineLevel="2" x14ac:dyDescent="0.25">
      <c r="A51" s="25"/>
      <c r="B51" s="11" t="str">
        <f>CONCATENATE("          ", "6362", " - ", "ADVERTISING EXPENSE")</f>
        <v xml:space="preserve">          6362 - ADVERTISING EXPENSE</v>
      </c>
      <c r="C51" s="11"/>
      <c r="D51" s="6">
        <v>44.51</v>
      </c>
      <c r="E51" s="2"/>
      <c r="F51" s="7">
        <f t="shared" si="29"/>
        <v>4.5138299398800647E-5</v>
      </c>
      <c r="G51" s="2"/>
      <c r="H51" s="6">
        <v>975</v>
      </c>
      <c r="I51" s="2"/>
      <c r="J51" s="7">
        <f t="shared" si="30"/>
        <v>7.7780906741889443E-4</v>
      </c>
      <c r="K51" s="2"/>
      <c r="L51" s="6">
        <f t="shared" si="31"/>
        <v>-930.49</v>
      </c>
      <c r="M51" s="2"/>
      <c r="N51" s="7">
        <f t="shared" si="32"/>
        <v>-0.95434871794871801</v>
      </c>
      <c r="O51" s="11"/>
      <c r="P51" s="6">
        <v>8477.7099999999991</v>
      </c>
      <c r="Q51" s="2"/>
      <c r="R51" s="7">
        <f t="shared" si="33"/>
        <v>9.3725609454072488E-4</v>
      </c>
      <c r="S51" s="2"/>
      <c r="T51" s="6">
        <v>13325</v>
      </c>
      <c r="U51" s="2"/>
      <c r="V51" s="7">
        <f t="shared" si="34"/>
        <v>1.4484286044268108E-3</v>
      </c>
      <c r="W51" s="2"/>
      <c r="X51" s="6">
        <f t="shared" si="35"/>
        <v>-4847.2900000000009</v>
      </c>
      <c r="Y51" s="2"/>
      <c r="Z51" s="7">
        <f t="shared" si="36"/>
        <v>-0.36377410881801131</v>
      </c>
    </row>
    <row r="52" spans="1:26" s="27" customFormat="1" outlineLevel="1" collapsed="1" x14ac:dyDescent="0.25">
      <c r="A52" s="26"/>
      <c r="B52" s="13" t="str">
        <f>CONCATENATE("     ","Bad Debts/Over/Short                              ")</f>
        <v xml:space="preserve">     Bad Debts/Over/Short                              </v>
      </c>
      <c r="C52" s="13"/>
      <c r="D52" s="1">
        <f>SUM(OSRRefD22_3x_0)</f>
        <v>33.49</v>
      </c>
      <c r="E52" s="1"/>
      <c r="F52" s="5">
        <f t="shared" si="29"/>
        <v>3.3962742010016491E-5</v>
      </c>
      <c r="G52" s="1"/>
      <c r="H52" s="1">
        <f>SUM(OSRRefH22_3x_0)</f>
        <v>113</v>
      </c>
      <c r="I52" s="1"/>
      <c r="J52" s="5">
        <f t="shared" si="30"/>
        <v>9.0146076531625723E-5</v>
      </c>
      <c r="K52" s="1"/>
      <c r="L52" s="1">
        <f t="shared" si="31"/>
        <v>-79.509999999999991</v>
      </c>
      <c r="M52" s="1"/>
      <c r="N52" s="5">
        <f t="shared" si="32"/>
        <v>-0.70362831858407071</v>
      </c>
      <c r="O52" s="13"/>
      <c r="P52" s="1">
        <f>SUM(OSRRefP22_3x_0)</f>
        <v>63.55</v>
      </c>
      <c r="Q52" s="1"/>
      <c r="R52" s="5">
        <f t="shared" si="33"/>
        <v>7.025791730085491E-6</v>
      </c>
      <c r="S52" s="1"/>
      <c r="T52" s="1">
        <f>SUM(OSRRefT22_3x_0)</f>
        <v>949</v>
      </c>
      <c r="U52" s="1"/>
      <c r="V52" s="5">
        <f t="shared" si="34"/>
        <v>1.0315637865673872E-4</v>
      </c>
      <c r="W52" s="1"/>
      <c r="X52" s="1">
        <f t="shared" si="35"/>
        <v>-885.45</v>
      </c>
      <c r="Y52" s="1"/>
      <c r="Z52" s="5">
        <f t="shared" si="36"/>
        <v>-0.93303477344573238</v>
      </c>
    </row>
    <row r="53" spans="1:26" s="24" customFormat="1" hidden="1" outlineLevel="2" x14ac:dyDescent="0.25">
      <c r="A53" s="25"/>
      <c r="B53" s="11" t="str">
        <f>CONCATENATE("          ", "6272", " - ", "CASH (OVER/SHORT)")</f>
        <v xml:space="preserve">          6272 - CASH (OVER/SHORT)</v>
      </c>
      <c r="C53" s="11"/>
      <c r="D53" s="6">
        <v>33.49</v>
      </c>
      <c r="E53" s="2"/>
      <c r="F53" s="7">
        <f t="shared" si="29"/>
        <v>3.3962742010016491E-5</v>
      </c>
      <c r="G53" s="2"/>
      <c r="H53" s="6">
        <v>63</v>
      </c>
      <c r="I53" s="2"/>
      <c r="J53" s="7">
        <f t="shared" si="30"/>
        <v>5.0258432048605489E-5</v>
      </c>
      <c r="K53" s="2"/>
      <c r="L53" s="6">
        <f t="shared" si="31"/>
        <v>-29.509999999999998</v>
      </c>
      <c r="M53" s="2"/>
      <c r="N53" s="7">
        <f t="shared" si="32"/>
        <v>-0.46841269841269839</v>
      </c>
      <c r="O53" s="11"/>
      <c r="P53" s="6">
        <v>63.55</v>
      </c>
      <c r="Q53" s="2"/>
      <c r="R53" s="7">
        <f t="shared" si="33"/>
        <v>7.025791730085491E-6</v>
      </c>
      <c r="S53" s="2"/>
      <c r="T53" s="6">
        <v>549</v>
      </c>
      <c r="U53" s="2"/>
      <c r="V53" s="7">
        <f t="shared" si="34"/>
        <v>5.9676345503213444E-5</v>
      </c>
      <c r="W53" s="2"/>
      <c r="X53" s="6">
        <f t="shared" si="35"/>
        <v>-485.45</v>
      </c>
      <c r="Y53" s="2"/>
      <c r="Z53" s="7">
        <f t="shared" si="36"/>
        <v>-0.88424408014571942</v>
      </c>
    </row>
    <row r="54" spans="1:26" s="24" customFormat="1" hidden="1" outlineLevel="2" x14ac:dyDescent="0.25">
      <c r="A54" s="25"/>
      <c r="B54" s="11" t="str">
        <f>CONCATENATE("          ", "6342", " - ", "BAD DEBT")</f>
        <v xml:space="preserve">          6342 - BAD DEBT</v>
      </c>
      <c r="C54" s="11"/>
      <c r="D54" s="6"/>
      <c r="E54" s="2"/>
      <c r="F54" s="7">
        <f t="shared" si="29"/>
        <v>0</v>
      </c>
      <c r="G54" s="2"/>
      <c r="H54" s="6">
        <v>50</v>
      </c>
      <c r="I54" s="2"/>
      <c r="J54" s="7">
        <f t="shared" si="30"/>
        <v>3.9887644483020228E-5</v>
      </c>
      <c r="K54" s="2"/>
      <c r="L54" s="6">
        <f t="shared" si="31"/>
        <v>-50</v>
      </c>
      <c r="M54" s="2"/>
      <c r="N54" s="7">
        <f t="shared" si="32"/>
        <v>-1</v>
      </c>
      <c r="O54" s="11"/>
      <c r="P54" s="6"/>
      <c r="Q54" s="2"/>
      <c r="R54" s="7">
        <f t="shared" si="33"/>
        <v>0</v>
      </c>
      <c r="S54" s="2"/>
      <c r="T54" s="6">
        <v>400</v>
      </c>
      <c r="U54" s="2"/>
      <c r="V54" s="7">
        <f t="shared" si="34"/>
        <v>4.3480033153525278E-5</v>
      </c>
      <c r="W54" s="2"/>
      <c r="X54" s="6">
        <f t="shared" si="35"/>
        <v>-400</v>
      </c>
      <c r="Y54" s="2"/>
      <c r="Z54" s="7">
        <f t="shared" si="36"/>
        <v>-1</v>
      </c>
    </row>
    <row r="55" spans="1:26" s="27" customFormat="1" outlineLevel="1" collapsed="1" x14ac:dyDescent="0.25">
      <c r="A55" s="26"/>
      <c r="B55" s="13" t="str">
        <f>CONCATENATE("     ","Bank/card Fees                                    ")</f>
        <v xml:space="preserve">     Bank/card Fees                                    </v>
      </c>
      <c r="C55" s="13"/>
      <c r="D55" s="1">
        <f>SUM(OSRRefD22_4x_0)</f>
        <v>119.38</v>
      </c>
      <c r="E55" s="1"/>
      <c r="F55" s="5">
        <f t="shared" ref="F55:F61" si="37">IF(D$12=0,0,D55/D$12)</f>
        <v>1.2106515799211012E-4</v>
      </c>
      <c r="G55" s="1"/>
      <c r="H55" s="1">
        <f>SUM(OSRRefH22_4x_0)</f>
        <v>447</v>
      </c>
      <c r="I55" s="1"/>
      <c r="J55" s="5">
        <f t="shared" ref="J55:J61" si="38">IF(H$12=0,0,H55/H$12)</f>
        <v>3.5659554167820085E-4</v>
      </c>
      <c r="K55" s="1"/>
      <c r="L55" s="1">
        <f t="shared" ref="L55:L61" si="39">+D55-H55</f>
        <v>-327.62</v>
      </c>
      <c r="M55" s="1"/>
      <c r="N55" s="5">
        <f t="shared" ref="N55:N61" si="40">IF(H55=0,0,L55/H55)</f>
        <v>-0.73293064876957492</v>
      </c>
      <c r="O55" s="13"/>
      <c r="P55" s="1">
        <f>SUM(OSRRefP22_4x_0)</f>
        <v>3152.34</v>
      </c>
      <c r="Q55" s="1"/>
      <c r="R55" s="5">
        <f t="shared" ref="R55:R61" si="41">IF(P$12=0,0,P55/P$12)</f>
        <v>3.4850801420012115E-4</v>
      </c>
      <c r="S55" s="1"/>
      <c r="T55" s="1">
        <f>SUM(OSRRefT22_4x_0)</f>
        <v>3926</v>
      </c>
      <c r="U55" s="1"/>
      <c r="V55" s="5">
        <f t="shared" ref="V55:V61" si="42">IF(T$12=0,0,T55/T$12)</f>
        <v>4.2675652540185064E-4</v>
      </c>
      <c r="W55" s="1"/>
      <c r="X55" s="1">
        <f t="shared" ref="X55:X61" si="43">+P55-T55</f>
        <v>-773.65999999999985</v>
      </c>
      <c r="Y55" s="1"/>
      <c r="Z55" s="5">
        <f t="shared" ref="Z55:Z61" si="44">IF(T55=0,0,X55/T55)</f>
        <v>-0.19706062149770756</v>
      </c>
    </row>
    <row r="56" spans="1:26" s="24" customFormat="1" hidden="1" outlineLevel="2" x14ac:dyDescent="0.25">
      <c r="A56" s="25"/>
      <c r="B56" s="11" t="str">
        <f>CONCATENATE("          ", "6381", " - ", "BANK/CREDIT CARD FEES")</f>
        <v xml:space="preserve">          6381 - BANK/CREDIT CARD FEES</v>
      </c>
      <c r="C56" s="11"/>
      <c r="D56" s="6">
        <v>119.38</v>
      </c>
      <c r="E56" s="2"/>
      <c r="F56" s="7">
        <f t="shared" si="37"/>
        <v>1.2106515799211012E-4</v>
      </c>
      <c r="G56" s="2"/>
      <c r="H56" s="6">
        <v>447</v>
      </c>
      <c r="I56" s="2"/>
      <c r="J56" s="7">
        <f t="shared" si="38"/>
        <v>3.5659554167820085E-4</v>
      </c>
      <c r="K56" s="2"/>
      <c r="L56" s="6">
        <f t="shared" si="39"/>
        <v>-327.62</v>
      </c>
      <c r="M56" s="2"/>
      <c r="N56" s="7">
        <f t="shared" si="40"/>
        <v>-0.73293064876957492</v>
      </c>
      <c r="O56" s="11"/>
      <c r="P56" s="6">
        <v>3152.34</v>
      </c>
      <c r="Q56" s="2"/>
      <c r="R56" s="7">
        <f t="shared" si="41"/>
        <v>3.4850801420012115E-4</v>
      </c>
      <c r="S56" s="2"/>
      <c r="T56" s="6">
        <v>3926</v>
      </c>
      <c r="U56" s="2"/>
      <c r="V56" s="7">
        <f t="shared" si="42"/>
        <v>4.2675652540185064E-4</v>
      </c>
      <c r="W56" s="2"/>
      <c r="X56" s="6">
        <f t="shared" si="43"/>
        <v>-773.65999999999985</v>
      </c>
      <c r="Y56" s="2"/>
      <c r="Z56" s="7">
        <f t="shared" si="44"/>
        <v>-0.19706062149770756</v>
      </c>
    </row>
    <row r="57" spans="1:26" s="27" customFormat="1" outlineLevel="1" collapsed="1" x14ac:dyDescent="0.25">
      <c r="A57" s="26"/>
      <c r="B57" s="13" t="str">
        <f>CONCATENATE("     ","Depreciation                                      ")</f>
        <v xml:space="preserve">     Depreciation                                      </v>
      </c>
      <c r="C57" s="13"/>
      <c r="D57" s="1">
        <f>SUM(OSRRefD22_5x_0)</f>
        <v>213.02</v>
      </c>
      <c r="E57" s="1"/>
      <c r="F57" s="5">
        <f t="shared" si="37"/>
        <v>2.1602697231931059E-4</v>
      </c>
      <c r="G57" s="1"/>
      <c r="H57" s="1">
        <f>SUM(OSRRefH22_5x_0)</f>
        <v>0</v>
      </c>
      <c r="I57" s="1"/>
      <c r="J57" s="5">
        <f t="shared" si="38"/>
        <v>0</v>
      </c>
      <c r="K57" s="1"/>
      <c r="L57" s="1">
        <f t="shared" si="39"/>
        <v>213.02</v>
      </c>
      <c r="M57" s="1"/>
      <c r="N57" s="5">
        <f t="shared" si="40"/>
        <v>0</v>
      </c>
      <c r="O57" s="13"/>
      <c r="P57" s="1">
        <f>SUM(OSRRefP22_5x_0)</f>
        <v>213.02</v>
      </c>
      <c r="Q57" s="1"/>
      <c r="R57" s="5">
        <f t="shared" si="41"/>
        <v>2.3550498101381769E-5</v>
      </c>
      <c r="S57" s="1"/>
      <c r="T57" s="1">
        <f>SUM(OSRRefT22_5x_0)</f>
        <v>0</v>
      </c>
      <c r="U57" s="1"/>
      <c r="V57" s="5">
        <f t="shared" si="42"/>
        <v>0</v>
      </c>
      <c r="W57" s="1"/>
      <c r="X57" s="1">
        <f t="shared" si="43"/>
        <v>213.02</v>
      </c>
      <c r="Y57" s="1"/>
      <c r="Z57" s="5">
        <f t="shared" si="44"/>
        <v>0</v>
      </c>
    </row>
    <row r="58" spans="1:26" s="24" customFormat="1" hidden="1" outlineLevel="2" x14ac:dyDescent="0.25">
      <c r="A58" s="25"/>
      <c r="B58" s="11" t="str">
        <f>CONCATENATE("          ", "6322", " - ", "EQUIPMENT DEPRECIATION EXPENSE")</f>
        <v xml:space="preserve">          6322 - EQUIPMENT DEPRECIATION EXPENSE</v>
      </c>
      <c r="C58" s="11"/>
      <c r="D58" s="6">
        <v>213.02</v>
      </c>
      <c r="E58" s="2"/>
      <c r="F58" s="7">
        <f t="shared" si="37"/>
        <v>2.1602697231931059E-4</v>
      </c>
      <c r="G58" s="2"/>
      <c r="H58" s="6"/>
      <c r="I58" s="2"/>
      <c r="J58" s="7">
        <f t="shared" si="38"/>
        <v>0</v>
      </c>
      <c r="K58" s="2"/>
      <c r="L58" s="6">
        <f t="shared" si="39"/>
        <v>213.02</v>
      </c>
      <c r="M58" s="2"/>
      <c r="N58" s="7">
        <f t="shared" si="40"/>
        <v>0</v>
      </c>
      <c r="O58" s="11"/>
      <c r="P58" s="6">
        <v>213.02</v>
      </c>
      <c r="Q58" s="2"/>
      <c r="R58" s="7">
        <f t="shared" si="41"/>
        <v>2.3550498101381769E-5</v>
      </c>
      <c r="S58" s="2"/>
      <c r="T58" s="6"/>
      <c r="U58" s="2"/>
      <c r="V58" s="7">
        <f t="shared" si="42"/>
        <v>0</v>
      </c>
      <c r="W58" s="2"/>
      <c r="X58" s="6">
        <f t="shared" si="43"/>
        <v>213.02</v>
      </c>
      <c r="Y58" s="2"/>
      <c r="Z58" s="7">
        <f t="shared" si="44"/>
        <v>0</v>
      </c>
    </row>
    <row r="59" spans="1:26" s="27" customFormat="1" outlineLevel="1" collapsed="1" x14ac:dyDescent="0.25">
      <c r="A59" s="26"/>
      <c r="B59" s="13" t="str">
        <f>CONCATENATE("     ","Donations                                         ")</f>
        <v xml:space="preserve">     Donations                                         </v>
      </c>
      <c r="C59" s="13"/>
      <c r="D59" s="1">
        <f>SUM(OSRRefD22_6x_0)</f>
        <v>14237.58</v>
      </c>
      <c r="E59" s="1"/>
      <c r="F59" s="5">
        <f t="shared" si="37"/>
        <v>1.4438556476171111E-2</v>
      </c>
      <c r="G59" s="1"/>
      <c r="H59" s="1">
        <f>SUM(OSRRefH22_6x_0)</f>
        <v>14929</v>
      </c>
      <c r="I59" s="1"/>
      <c r="J59" s="5">
        <f t="shared" si="38"/>
        <v>1.1909652889740181E-2</v>
      </c>
      <c r="K59" s="1"/>
      <c r="L59" s="1">
        <f t="shared" si="39"/>
        <v>-691.42000000000007</v>
      </c>
      <c r="M59" s="1"/>
      <c r="N59" s="5">
        <f t="shared" si="40"/>
        <v>-4.6313885725768646E-2</v>
      </c>
      <c r="O59" s="13"/>
      <c r="P59" s="1">
        <f>SUM(OSRRefP22_6x_0)</f>
        <v>120143.85</v>
      </c>
      <c r="Q59" s="1"/>
      <c r="R59" s="5">
        <f t="shared" si="41"/>
        <v>1.3282543945721979E-2</v>
      </c>
      <c r="S59" s="1"/>
      <c r="T59" s="1">
        <f>SUM(OSRRefT22_6x_0)</f>
        <v>110063</v>
      </c>
      <c r="U59" s="1"/>
      <c r="V59" s="5">
        <f t="shared" si="42"/>
        <v>1.1963857222441133E-2</v>
      </c>
      <c r="W59" s="1"/>
      <c r="X59" s="1">
        <f t="shared" si="43"/>
        <v>10080.850000000006</v>
      </c>
      <c r="Y59" s="1"/>
      <c r="Z59" s="5">
        <f t="shared" si="44"/>
        <v>9.1591633882412857E-2</v>
      </c>
    </row>
    <row r="60" spans="1:26" s="24" customFormat="1" hidden="1" outlineLevel="2" x14ac:dyDescent="0.25">
      <c r="A60" s="25"/>
      <c r="B60" s="11" t="str">
        <f>CONCATENATE("          ", "6396", " - ", "COUPONS-CHARTROOM")</f>
        <v xml:space="preserve">          6396 - COUPONS-CHARTROOM</v>
      </c>
      <c r="C60" s="11"/>
      <c r="D60" s="6"/>
      <c r="E60" s="2"/>
      <c r="F60" s="7">
        <f t="shared" si="37"/>
        <v>0</v>
      </c>
      <c r="G60" s="2"/>
      <c r="H60" s="6">
        <v>100</v>
      </c>
      <c r="I60" s="2"/>
      <c r="J60" s="7">
        <f t="shared" si="38"/>
        <v>7.9775288966040455E-5</v>
      </c>
      <c r="K60" s="2"/>
      <c r="L60" s="6">
        <f t="shared" si="39"/>
        <v>-100</v>
      </c>
      <c r="M60" s="2"/>
      <c r="N60" s="7">
        <f t="shared" si="40"/>
        <v>-1</v>
      </c>
      <c r="O60" s="11"/>
      <c r="P60" s="6"/>
      <c r="Q60" s="2"/>
      <c r="R60" s="7">
        <f t="shared" si="41"/>
        <v>0</v>
      </c>
      <c r="S60" s="2"/>
      <c r="T60" s="6">
        <v>900</v>
      </c>
      <c r="U60" s="2"/>
      <c r="V60" s="7">
        <f t="shared" si="42"/>
        <v>9.7830074595431872E-5</v>
      </c>
      <c r="W60" s="2"/>
      <c r="X60" s="6">
        <f t="shared" si="43"/>
        <v>-900</v>
      </c>
      <c r="Y60" s="2"/>
      <c r="Z60" s="7">
        <f t="shared" si="44"/>
        <v>-1</v>
      </c>
    </row>
    <row r="61" spans="1:26" s="24" customFormat="1" hidden="1" outlineLevel="2" x14ac:dyDescent="0.25">
      <c r="A61" s="25"/>
      <c r="B61" s="11" t="str">
        <f>CONCATENATE("          ", "6399", " - ", "DONATION-ON CAMPUS")</f>
        <v xml:space="preserve">          6399 - DONATION-ON CAMPUS</v>
      </c>
      <c r="C61" s="11"/>
      <c r="D61" s="6">
        <v>14237.58</v>
      </c>
      <c r="E61" s="2"/>
      <c r="F61" s="7">
        <f t="shared" si="37"/>
        <v>1.4438556476171111E-2</v>
      </c>
      <c r="G61" s="2"/>
      <c r="H61" s="6">
        <v>14829</v>
      </c>
      <c r="I61" s="2"/>
      <c r="J61" s="7">
        <f t="shared" si="38"/>
        <v>1.182987760077414E-2</v>
      </c>
      <c r="K61" s="2"/>
      <c r="L61" s="6">
        <f t="shared" si="39"/>
        <v>-591.42000000000007</v>
      </c>
      <c r="M61" s="2"/>
      <c r="N61" s="7">
        <f t="shared" si="40"/>
        <v>-3.9882662350799118E-2</v>
      </c>
      <c r="O61" s="11"/>
      <c r="P61" s="6">
        <v>120143.85</v>
      </c>
      <c r="Q61" s="2"/>
      <c r="R61" s="7">
        <f t="shared" si="41"/>
        <v>1.3282543945721979E-2</v>
      </c>
      <c r="S61" s="2"/>
      <c r="T61" s="6">
        <v>109163</v>
      </c>
      <c r="U61" s="2"/>
      <c r="V61" s="7">
        <f t="shared" si="42"/>
        <v>1.18660271478457E-2</v>
      </c>
      <c r="W61" s="2"/>
      <c r="X61" s="6">
        <f t="shared" si="43"/>
        <v>10980.850000000006</v>
      </c>
      <c r="Y61" s="2"/>
      <c r="Z61" s="7">
        <f t="shared" si="44"/>
        <v>0.10059131757097191</v>
      </c>
    </row>
    <row r="62" spans="1:26" s="27" customFormat="1" outlineLevel="1" collapsed="1" x14ac:dyDescent="0.25">
      <c r="A62" s="26"/>
      <c r="B62" s="13" t="str">
        <f>CONCATENATE("     ","Employees' Appreciation                           ")</f>
        <v xml:space="preserve">     Employees' Appreciation                           </v>
      </c>
      <c r="C62" s="13"/>
      <c r="D62" s="1">
        <f>SUM(OSRRefD22_7x_0)</f>
        <v>0</v>
      </c>
      <c r="E62" s="1"/>
      <c r="F62" s="5">
        <f t="shared" ref="F62:F78" si="45">IF(D$12=0,0,D62/D$12)</f>
        <v>0</v>
      </c>
      <c r="G62" s="1"/>
      <c r="H62" s="1">
        <f>SUM(OSRRefH22_7x_0)</f>
        <v>605</v>
      </c>
      <c r="I62" s="1"/>
      <c r="J62" s="5">
        <f t="shared" ref="J62:J78" si="46">IF(H$12=0,0,H62/H$12)</f>
        <v>4.8264049824454474E-4</v>
      </c>
      <c r="K62" s="1"/>
      <c r="L62" s="1">
        <f t="shared" ref="L62:L78" si="47">+D62-H62</f>
        <v>-605</v>
      </c>
      <c r="M62" s="1"/>
      <c r="N62" s="5">
        <f t="shared" ref="N62:N78" si="48">IF(H62=0,0,L62/H62)</f>
        <v>-1</v>
      </c>
      <c r="O62" s="13"/>
      <c r="P62" s="1">
        <f>SUM(OSRRefP22_7x_0)</f>
        <v>1798.43</v>
      </c>
      <c r="Q62" s="1"/>
      <c r="R62" s="5">
        <f t="shared" ref="R62:R78" si="49">IF(P$12=0,0,P62/P$12)</f>
        <v>1.988260365245893E-4</v>
      </c>
      <c r="S62" s="1"/>
      <c r="T62" s="1">
        <f>SUM(OSRRefT22_7x_0)</f>
        <v>6055</v>
      </c>
      <c r="U62" s="1"/>
      <c r="V62" s="5">
        <f t="shared" ref="V62:V78" si="50">IF(T$12=0,0,T62/T$12)</f>
        <v>6.5817900186148888E-4</v>
      </c>
      <c r="W62" s="1"/>
      <c r="X62" s="1">
        <f t="shared" ref="X62:X78" si="51">+P62-T62</f>
        <v>-4256.57</v>
      </c>
      <c r="Y62" s="1"/>
      <c r="Z62" s="5">
        <f t="shared" ref="Z62:Z78" si="52">IF(T62=0,0,X62/T62)</f>
        <v>-0.70298431048720056</v>
      </c>
    </row>
    <row r="63" spans="1:26" s="24" customFormat="1" hidden="1" outlineLevel="2" x14ac:dyDescent="0.25">
      <c r="A63" s="25"/>
      <c r="B63" s="11" t="str">
        <f>CONCATENATE("          ", "6277", " - ", "EMPLOYEE APPRECIATION")</f>
        <v xml:space="preserve">          6277 - EMPLOYEE APPRECIATION</v>
      </c>
      <c r="C63" s="11"/>
      <c r="D63" s="6"/>
      <c r="E63" s="2"/>
      <c r="F63" s="7">
        <f t="shared" si="45"/>
        <v>0</v>
      </c>
      <c r="G63" s="2"/>
      <c r="H63" s="6">
        <v>605</v>
      </c>
      <c r="I63" s="2"/>
      <c r="J63" s="7">
        <f t="shared" si="46"/>
        <v>4.8264049824454474E-4</v>
      </c>
      <c r="K63" s="2"/>
      <c r="L63" s="6">
        <f t="shared" si="47"/>
        <v>-605</v>
      </c>
      <c r="M63" s="2"/>
      <c r="N63" s="7">
        <f t="shared" si="48"/>
        <v>-1</v>
      </c>
      <c r="O63" s="11"/>
      <c r="P63" s="6">
        <v>1798.43</v>
      </c>
      <c r="Q63" s="2"/>
      <c r="R63" s="7">
        <f t="shared" si="49"/>
        <v>1.988260365245893E-4</v>
      </c>
      <c r="S63" s="2"/>
      <c r="T63" s="6">
        <v>6055</v>
      </c>
      <c r="U63" s="2"/>
      <c r="V63" s="7">
        <f t="shared" si="50"/>
        <v>6.5817900186148888E-4</v>
      </c>
      <c r="W63" s="2"/>
      <c r="X63" s="6">
        <f t="shared" si="51"/>
        <v>-4256.57</v>
      </c>
      <c r="Y63" s="2"/>
      <c r="Z63" s="7">
        <f t="shared" si="52"/>
        <v>-0.70298431048720056</v>
      </c>
    </row>
    <row r="64" spans="1:26" s="27" customFormat="1" outlineLevel="1" collapsed="1" x14ac:dyDescent="0.25">
      <c r="A64" s="26"/>
      <c r="B64" s="13" t="str">
        <f>CONCATENATE("     ","Equipment Rental                                  ")</f>
        <v xml:space="preserve">     Equipment Rental                                  </v>
      </c>
      <c r="C64" s="13"/>
      <c r="D64" s="1">
        <f>SUM(OSRRefD22_8x_0)</f>
        <v>443.01</v>
      </c>
      <c r="E64" s="1"/>
      <c r="F64" s="5">
        <f t="shared" si="45"/>
        <v>4.4926349172461641E-4</v>
      </c>
      <c r="G64" s="1"/>
      <c r="H64" s="1">
        <f>SUM(OSRRefH22_8x_0)</f>
        <v>670</v>
      </c>
      <c r="I64" s="1"/>
      <c r="J64" s="5">
        <f t="shared" si="46"/>
        <v>5.3449443607247104E-4</v>
      </c>
      <c r="K64" s="1"/>
      <c r="L64" s="1">
        <f t="shared" si="47"/>
        <v>-226.99</v>
      </c>
      <c r="M64" s="1"/>
      <c r="N64" s="5">
        <f t="shared" si="48"/>
        <v>-0.33879104477611943</v>
      </c>
      <c r="O64" s="13"/>
      <c r="P64" s="1">
        <f>SUM(OSRRefP22_8x_0)</f>
        <v>4768.34</v>
      </c>
      <c r="Q64" s="1"/>
      <c r="R64" s="5">
        <f t="shared" si="49"/>
        <v>5.2716544041283794E-4</v>
      </c>
      <c r="S64" s="1"/>
      <c r="T64" s="1">
        <f>SUM(OSRRefT22_8x_0)</f>
        <v>6230</v>
      </c>
      <c r="U64" s="1"/>
      <c r="V64" s="5">
        <f t="shared" si="50"/>
        <v>6.7720151636615621E-4</v>
      </c>
      <c r="W64" s="1"/>
      <c r="X64" s="1">
        <f t="shared" si="51"/>
        <v>-1461.6599999999999</v>
      </c>
      <c r="Y64" s="1"/>
      <c r="Z64" s="5">
        <f t="shared" si="52"/>
        <v>-0.23461637239165326</v>
      </c>
    </row>
    <row r="65" spans="1:26" s="24" customFormat="1" hidden="1" outlineLevel="2" x14ac:dyDescent="0.25">
      <c r="A65" s="25"/>
      <c r="B65" s="11" t="str">
        <f>CONCATENATE("          ", "6351", " - ", "EQUIPMENT RENTAL")</f>
        <v xml:space="preserve">          6351 - EQUIPMENT RENTAL</v>
      </c>
      <c r="C65" s="11"/>
      <c r="D65" s="6">
        <v>443.01</v>
      </c>
      <c r="E65" s="2"/>
      <c r="F65" s="7">
        <f t="shared" si="45"/>
        <v>4.4926349172461641E-4</v>
      </c>
      <c r="G65" s="2"/>
      <c r="H65" s="6">
        <v>670</v>
      </c>
      <c r="I65" s="2"/>
      <c r="J65" s="7">
        <f t="shared" si="46"/>
        <v>5.3449443607247104E-4</v>
      </c>
      <c r="K65" s="2"/>
      <c r="L65" s="6">
        <f t="shared" si="47"/>
        <v>-226.99</v>
      </c>
      <c r="M65" s="2"/>
      <c r="N65" s="7">
        <f t="shared" si="48"/>
        <v>-0.33879104477611943</v>
      </c>
      <c r="O65" s="11"/>
      <c r="P65" s="6">
        <v>4768.34</v>
      </c>
      <c r="Q65" s="2"/>
      <c r="R65" s="7">
        <f t="shared" si="49"/>
        <v>5.2716544041283794E-4</v>
      </c>
      <c r="S65" s="2"/>
      <c r="T65" s="6">
        <v>6230</v>
      </c>
      <c r="U65" s="2"/>
      <c r="V65" s="7">
        <f t="shared" si="50"/>
        <v>6.7720151636615621E-4</v>
      </c>
      <c r="W65" s="2"/>
      <c r="X65" s="6">
        <f t="shared" si="51"/>
        <v>-1461.6599999999999</v>
      </c>
      <c r="Y65" s="2"/>
      <c r="Z65" s="7">
        <f t="shared" si="52"/>
        <v>-0.23461637239165326</v>
      </c>
    </row>
    <row r="66" spans="1:26" s="27" customFormat="1" outlineLevel="1" collapsed="1" x14ac:dyDescent="0.25">
      <c r="A66" s="26"/>
      <c r="B66" s="13" t="str">
        <f>CONCATENATE("     ","Freight out/Postage                               ")</f>
        <v xml:space="preserve">     Freight out/Postage                               </v>
      </c>
      <c r="C66" s="13"/>
      <c r="D66" s="1">
        <f>SUM(OSRRefD22_9x_0)</f>
        <v>0</v>
      </c>
      <c r="E66" s="1"/>
      <c r="F66" s="5">
        <f t="shared" si="45"/>
        <v>0</v>
      </c>
      <c r="G66" s="1"/>
      <c r="H66" s="1">
        <f>SUM(OSRRefH22_9x_0)</f>
        <v>1</v>
      </c>
      <c r="I66" s="1"/>
      <c r="J66" s="5">
        <f t="shared" si="46"/>
        <v>7.9775288966040459E-7</v>
      </c>
      <c r="K66" s="1"/>
      <c r="L66" s="1">
        <f t="shared" si="47"/>
        <v>-1</v>
      </c>
      <c r="M66" s="1"/>
      <c r="N66" s="5">
        <f t="shared" si="48"/>
        <v>-1</v>
      </c>
      <c r="O66" s="13"/>
      <c r="P66" s="1">
        <f>SUM(OSRRefP22_9x_0)</f>
        <v>0</v>
      </c>
      <c r="Q66" s="1"/>
      <c r="R66" s="5">
        <f t="shared" si="49"/>
        <v>0</v>
      </c>
      <c r="S66" s="1"/>
      <c r="T66" s="1">
        <f>SUM(OSRRefT22_9x_0)</f>
        <v>9</v>
      </c>
      <c r="U66" s="1"/>
      <c r="V66" s="5">
        <f t="shared" si="50"/>
        <v>9.7830074595431885E-7</v>
      </c>
      <c r="W66" s="1"/>
      <c r="X66" s="1">
        <f t="shared" si="51"/>
        <v>-9</v>
      </c>
      <c r="Y66" s="1"/>
      <c r="Z66" s="5">
        <f t="shared" si="52"/>
        <v>-1</v>
      </c>
    </row>
    <row r="67" spans="1:26" s="24" customFormat="1" hidden="1" outlineLevel="2" x14ac:dyDescent="0.25">
      <c r="A67" s="25"/>
      <c r="B67" s="11" t="str">
        <f>CONCATENATE("          ", "6307", " - ", "POSTAGE")</f>
        <v xml:space="preserve">          6307 - POSTAGE</v>
      </c>
      <c r="C67" s="11"/>
      <c r="D67" s="6"/>
      <c r="E67" s="2"/>
      <c r="F67" s="7">
        <f t="shared" si="45"/>
        <v>0</v>
      </c>
      <c r="G67" s="2"/>
      <c r="H67" s="6">
        <v>1</v>
      </c>
      <c r="I67" s="2"/>
      <c r="J67" s="7">
        <f t="shared" si="46"/>
        <v>7.9775288966040459E-7</v>
      </c>
      <c r="K67" s="2"/>
      <c r="L67" s="6">
        <f t="shared" si="47"/>
        <v>-1</v>
      </c>
      <c r="M67" s="2"/>
      <c r="N67" s="7">
        <f t="shared" si="48"/>
        <v>-1</v>
      </c>
      <c r="O67" s="11"/>
      <c r="P67" s="6"/>
      <c r="Q67" s="2"/>
      <c r="R67" s="7">
        <f t="shared" si="49"/>
        <v>0</v>
      </c>
      <c r="S67" s="2"/>
      <c r="T67" s="6">
        <v>9</v>
      </c>
      <c r="U67" s="2"/>
      <c r="V67" s="7">
        <f t="shared" si="50"/>
        <v>9.7830074595431885E-7</v>
      </c>
      <c r="W67" s="2"/>
      <c r="X67" s="6">
        <f t="shared" si="51"/>
        <v>-9</v>
      </c>
      <c r="Y67" s="2"/>
      <c r="Z67" s="7">
        <f t="shared" si="52"/>
        <v>-1</v>
      </c>
    </row>
    <row r="68" spans="1:26" s="27" customFormat="1" outlineLevel="1" collapsed="1" x14ac:dyDescent="0.25">
      <c r="A68" s="26"/>
      <c r="B68" s="13" t="str">
        <f>CONCATENATE("     ","General                                           ")</f>
        <v xml:space="preserve">     General                                           </v>
      </c>
      <c r="C68" s="13"/>
      <c r="D68" s="1">
        <f>SUM(OSRRefD22_10x_0)</f>
        <v>433.32</v>
      </c>
      <c r="E68" s="1"/>
      <c r="F68" s="5">
        <f t="shared" si="45"/>
        <v>4.3943670850344409E-4</v>
      </c>
      <c r="G68" s="1"/>
      <c r="H68" s="1">
        <f>SUM(OSRRefH22_10x_0)</f>
        <v>1025</v>
      </c>
      <c r="I68" s="1"/>
      <c r="J68" s="5">
        <f t="shared" si="46"/>
        <v>8.1769671190191472E-4</v>
      </c>
      <c r="K68" s="1"/>
      <c r="L68" s="1">
        <f t="shared" si="47"/>
        <v>-591.68000000000006</v>
      </c>
      <c r="M68" s="1"/>
      <c r="N68" s="5">
        <f t="shared" si="48"/>
        <v>-0.57724878048780492</v>
      </c>
      <c r="O68" s="13"/>
      <c r="P68" s="1">
        <f>SUM(OSRRefP22_10x_0)</f>
        <v>8927.11</v>
      </c>
      <c r="Q68" s="1"/>
      <c r="R68" s="5">
        <f t="shared" si="49"/>
        <v>9.8693966343923675E-4</v>
      </c>
      <c r="S68" s="1"/>
      <c r="T68" s="1">
        <f>SUM(OSRRefT22_10x_0)</f>
        <v>12244</v>
      </c>
      <c r="U68" s="1"/>
      <c r="V68" s="5">
        <f t="shared" si="50"/>
        <v>1.3309238148294087E-3</v>
      </c>
      <c r="W68" s="1"/>
      <c r="X68" s="1">
        <f t="shared" si="51"/>
        <v>-3316.8899999999994</v>
      </c>
      <c r="Y68" s="1"/>
      <c r="Z68" s="5">
        <f t="shared" si="52"/>
        <v>-0.27089921594250238</v>
      </c>
    </row>
    <row r="69" spans="1:26" s="24" customFormat="1" hidden="1" outlineLevel="2" x14ac:dyDescent="0.25">
      <c r="A69" s="25"/>
      <c r="B69" s="11" t="str">
        <f>CONCATENATE("          ", "6279", " - ", "GENERAL EXPENSE")</f>
        <v xml:space="preserve">          6279 - GENERAL EXPENSE</v>
      </c>
      <c r="C69" s="11"/>
      <c r="D69" s="6">
        <v>433.32</v>
      </c>
      <c r="E69" s="2"/>
      <c r="F69" s="7">
        <f t="shared" si="45"/>
        <v>4.3943670850344409E-4</v>
      </c>
      <c r="G69" s="2"/>
      <c r="H69" s="6">
        <v>1025</v>
      </c>
      <c r="I69" s="2"/>
      <c r="J69" s="7">
        <f t="shared" si="46"/>
        <v>8.1769671190191472E-4</v>
      </c>
      <c r="K69" s="2"/>
      <c r="L69" s="6">
        <f t="shared" si="47"/>
        <v>-591.68000000000006</v>
      </c>
      <c r="M69" s="2"/>
      <c r="N69" s="7">
        <f t="shared" si="48"/>
        <v>-0.57724878048780492</v>
      </c>
      <c r="O69" s="11"/>
      <c r="P69" s="6">
        <v>8927.11</v>
      </c>
      <c r="Q69" s="2"/>
      <c r="R69" s="7">
        <f t="shared" si="49"/>
        <v>9.8693966343923675E-4</v>
      </c>
      <c r="S69" s="2"/>
      <c r="T69" s="6">
        <v>12244</v>
      </c>
      <c r="U69" s="2"/>
      <c r="V69" s="7">
        <f t="shared" si="50"/>
        <v>1.3309238148294087E-3</v>
      </c>
      <c r="W69" s="2"/>
      <c r="X69" s="6">
        <f t="shared" si="51"/>
        <v>-3316.8899999999994</v>
      </c>
      <c r="Y69" s="2"/>
      <c r="Z69" s="7">
        <f t="shared" si="52"/>
        <v>-0.27089921594250238</v>
      </c>
    </row>
    <row r="70" spans="1:26" s="27" customFormat="1" outlineLevel="1" collapsed="1" x14ac:dyDescent="0.25">
      <c r="A70" s="26"/>
      <c r="B70" s="13" t="str">
        <f>CONCATENATE("     ","Insurance                                         ")</f>
        <v xml:space="preserve">     Insurance                                         </v>
      </c>
      <c r="C70" s="13"/>
      <c r="D70" s="1">
        <f>SUM(OSRRefD22_11x_0)</f>
        <v>5.9</v>
      </c>
      <c r="E70" s="1"/>
      <c r="F70" s="5">
        <f t="shared" si="45"/>
        <v>5.9832839014361685E-6</v>
      </c>
      <c r="G70" s="1"/>
      <c r="H70" s="1">
        <f>SUM(OSRRefH22_11x_0)</f>
        <v>5</v>
      </c>
      <c r="I70" s="1"/>
      <c r="J70" s="5">
        <f t="shared" si="46"/>
        <v>3.9887644483020228E-6</v>
      </c>
      <c r="K70" s="1"/>
      <c r="L70" s="1">
        <f t="shared" si="47"/>
        <v>0.90000000000000036</v>
      </c>
      <c r="M70" s="1"/>
      <c r="N70" s="5">
        <f t="shared" si="48"/>
        <v>0.18000000000000008</v>
      </c>
      <c r="O70" s="13"/>
      <c r="P70" s="1">
        <f>SUM(OSRRefP22_11x_0)</f>
        <v>53.1</v>
      </c>
      <c r="Q70" s="1"/>
      <c r="R70" s="5">
        <f t="shared" si="49"/>
        <v>5.8704884479549899E-6</v>
      </c>
      <c r="S70" s="1"/>
      <c r="T70" s="1">
        <f>SUM(OSRRefT22_11x_0)</f>
        <v>45</v>
      </c>
      <c r="U70" s="1"/>
      <c r="V70" s="5">
        <f t="shared" si="50"/>
        <v>4.8915037297715936E-6</v>
      </c>
      <c r="W70" s="1"/>
      <c r="X70" s="1">
        <f t="shared" si="51"/>
        <v>8.1000000000000014</v>
      </c>
      <c r="Y70" s="1"/>
      <c r="Z70" s="5">
        <f t="shared" si="52"/>
        <v>0.18000000000000002</v>
      </c>
    </row>
    <row r="71" spans="1:26" s="24" customFormat="1" hidden="1" outlineLevel="2" x14ac:dyDescent="0.25">
      <c r="A71" s="25"/>
      <c r="B71" s="11" t="str">
        <f>CONCATENATE("          ", "6314", " - ", "LIABILITY INSURANCE")</f>
        <v xml:space="preserve">          6314 - LIABILITY INSURANCE</v>
      </c>
      <c r="C71" s="11"/>
      <c r="D71" s="6">
        <v>5.9</v>
      </c>
      <c r="E71" s="2"/>
      <c r="F71" s="7">
        <f t="shared" si="45"/>
        <v>5.9832839014361685E-6</v>
      </c>
      <c r="G71" s="2"/>
      <c r="H71" s="6">
        <v>5</v>
      </c>
      <c r="I71" s="2"/>
      <c r="J71" s="7">
        <f t="shared" si="46"/>
        <v>3.9887644483020228E-6</v>
      </c>
      <c r="K71" s="2"/>
      <c r="L71" s="6">
        <f t="shared" si="47"/>
        <v>0.90000000000000036</v>
      </c>
      <c r="M71" s="2"/>
      <c r="N71" s="7">
        <f t="shared" si="48"/>
        <v>0.18000000000000008</v>
      </c>
      <c r="O71" s="11"/>
      <c r="P71" s="6">
        <v>53.1</v>
      </c>
      <c r="Q71" s="2"/>
      <c r="R71" s="7">
        <f t="shared" si="49"/>
        <v>5.8704884479549899E-6</v>
      </c>
      <c r="S71" s="2"/>
      <c r="T71" s="6">
        <v>45</v>
      </c>
      <c r="U71" s="2"/>
      <c r="V71" s="7">
        <f t="shared" si="50"/>
        <v>4.8915037297715936E-6</v>
      </c>
      <c r="W71" s="2"/>
      <c r="X71" s="6">
        <f t="shared" si="51"/>
        <v>8.1000000000000014</v>
      </c>
      <c r="Y71" s="2"/>
      <c r="Z71" s="7">
        <f t="shared" si="52"/>
        <v>0.18000000000000002</v>
      </c>
    </row>
    <row r="72" spans="1:26" s="27" customFormat="1" outlineLevel="1" collapsed="1" x14ac:dyDescent="0.25">
      <c r="A72" s="26"/>
      <c r="B72" s="13" t="str">
        <f>CONCATENATE("     ","R/H Commissions                                   ")</f>
        <v xml:space="preserve">     R/H Commissions                                   </v>
      </c>
      <c r="C72" s="13"/>
      <c r="D72" s="1">
        <f>SUM(OSRRefD22_12x_0)</f>
        <v>76497.149999999994</v>
      </c>
      <c r="E72" s="1"/>
      <c r="F72" s="5">
        <f t="shared" si="45"/>
        <v>7.7576977305211473E-2</v>
      </c>
      <c r="G72" s="1"/>
      <c r="H72" s="1">
        <f>SUM(OSRRefH22_12x_0)</f>
        <v>100255</v>
      </c>
      <c r="I72" s="1"/>
      <c r="J72" s="5">
        <f t="shared" si="46"/>
        <v>7.9978715952903859E-2</v>
      </c>
      <c r="K72" s="1"/>
      <c r="L72" s="1">
        <f t="shared" si="47"/>
        <v>-23757.850000000006</v>
      </c>
      <c r="M72" s="1"/>
      <c r="N72" s="5">
        <f t="shared" si="48"/>
        <v>-0.23697421574983796</v>
      </c>
      <c r="O72" s="13"/>
      <c r="P72" s="1">
        <f>SUM(OSRRefP22_12x_0)</f>
        <v>702548.43</v>
      </c>
      <c r="Q72" s="1"/>
      <c r="R72" s="5">
        <f t="shared" si="49"/>
        <v>7.7670479142069968E-2</v>
      </c>
      <c r="S72" s="1"/>
      <c r="T72" s="1">
        <f>SUM(OSRRefT22_12x_0)</f>
        <v>735891</v>
      </c>
      <c r="U72" s="1"/>
      <c r="V72" s="5">
        <f t="shared" si="50"/>
        <v>7.9991412693452182E-2</v>
      </c>
      <c r="W72" s="1"/>
      <c r="X72" s="1">
        <f t="shared" si="51"/>
        <v>-33342.569999999949</v>
      </c>
      <c r="Y72" s="1"/>
      <c r="Z72" s="5">
        <f t="shared" si="52"/>
        <v>-4.5309115072748478E-2</v>
      </c>
    </row>
    <row r="73" spans="1:26" s="24" customFormat="1" hidden="1" outlineLevel="2" x14ac:dyDescent="0.25">
      <c r="A73" s="25"/>
      <c r="B73" s="11" t="str">
        <f>CONCATENATE("          ", "6387", " - ", "COMMISSION DUE HOUSING")</f>
        <v xml:space="preserve">          6387 - COMMISSION DUE HOUSING</v>
      </c>
      <c r="C73" s="11"/>
      <c r="D73" s="6">
        <v>76497.149999999994</v>
      </c>
      <c r="E73" s="2"/>
      <c r="F73" s="7">
        <f t="shared" si="45"/>
        <v>7.7576977305211473E-2</v>
      </c>
      <c r="G73" s="2"/>
      <c r="H73" s="6">
        <v>100255</v>
      </c>
      <c r="I73" s="2"/>
      <c r="J73" s="7">
        <f t="shared" si="46"/>
        <v>7.9978715952903859E-2</v>
      </c>
      <c r="K73" s="2"/>
      <c r="L73" s="6">
        <f t="shared" si="47"/>
        <v>-23757.850000000006</v>
      </c>
      <c r="M73" s="2"/>
      <c r="N73" s="7">
        <f t="shared" si="48"/>
        <v>-0.23697421574983796</v>
      </c>
      <c r="O73" s="11"/>
      <c r="P73" s="6">
        <v>702548.43</v>
      </c>
      <c r="Q73" s="2"/>
      <c r="R73" s="7">
        <f t="shared" si="49"/>
        <v>7.7670479142069968E-2</v>
      </c>
      <c r="S73" s="2"/>
      <c r="T73" s="6">
        <v>735891</v>
      </c>
      <c r="U73" s="2"/>
      <c r="V73" s="7">
        <f t="shared" si="50"/>
        <v>7.9991412693452182E-2</v>
      </c>
      <c r="W73" s="2"/>
      <c r="X73" s="6">
        <f t="shared" si="51"/>
        <v>-33342.569999999949</v>
      </c>
      <c r="Y73" s="2"/>
      <c r="Z73" s="7">
        <f t="shared" si="52"/>
        <v>-4.5309115072748478E-2</v>
      </c>
    </row>
    <row r="74" spans="1:26" s="27" customFormat="1" outlineLevel="1" collapsed="1" x14ac:dyDescent="0.25">
      <c r="A74" s="26"/>
      <c r="B74" s="13" t="str">
        <f>CONCATENATE("     ","Repair and Maintenance                            ")</f>
        <v xml:space="preserve">     Repair and Maintenance                            </v>
      </c>
      <c r="C74" s="13"/>
      <c r="D74" s="1">
        <f>SUM(OSRRefD22_13x_0)</f>
        <v>1776.19</v>
      </c>
      <c r="E74" s="1"/>
      <c r="F74" s="5">
        <f t="shared" si="45"/>
        <v>1.801262547947781E-3</v>
      </c>
      <c r="G74" s="1"/>
      <c r="H74" s="1">
        <f>SUM(OSRRefH22_13x_0)</f>
        <v>2107</v>
      </c>
      <c r="I74" s="1"/>
      <c r="J74" s="5">
        <f t="shared" si="46"/>
        <v>1.6808653385144724E-3</v>
      </c>
      <c r="K74" s="1"/>
      <c r="L74" s="1">
        <f t="shared" si="47"/>
        <v>-330.80999999999995</v>
      </c>
      <c r="M74" s="1"/>
      <c r="N74" s="5">
        <f t="shared" si="48"/>
        <v>-0.1570052206929283</v>
      </c>
      <c r="O74" s="13"/>
      <c r="P74" s="1">
        <f>SUM(OSRRefP22_13x_0)</f>
        <v>64793.400000000009</v>
      </c>
      <c r="Q74" s="1"/>
      <c r="R74" s="5">
        <f t="shared" si="49"/>
        <v>7.1632562373583212E-3</v>
      </c>
      <c r="S74" s="1"/>
      <c r="T74" s="1">
        <f>SUM(OSRRefT22_13x_0)</f>
        <v>32843</v>
      </c>
      <c r="U74" s="1"/>
      <c r="V74" s="5">
        <f t="shared" si="50"/>
        <v>3.5700368221530769E-3</v>
      </c>
      <c r="W74" s="1"/>
      <c r="X74" s="1">
        <f t="shared" si="51"/>
        <v>31950.400000000009</v>
      </c>
      <c r="Y74" s="1"/>
      <c r="Z74" s="5">
        <f t="shared" si="52"/>
        <v>0.97282221477940534</v>
      </c>
    </row>
    <row r="75" spans="1:26" s="24" customFormat="1" hidden="1" outlineLevel="2" x14ac:dyDescent="0.25">
      <c r="A75" s="25"/>
      <c r="B75" s="11" t="str">
        <f>CONCATENATE("          ", "6371", " - ", "COMPUTER SOFTWARE MAINTENANCE")</f>
        <v xml:space="preserve">          6371 - COMPUTER SOFTWARE MAINTENANCE</v>
      </c>
      <c r="C75" s="11"/>
      <c r="D75" s="6"/>
      <c r="E75" s="2"/>
      <c r="F75" s="7">
        <f t="shared" si="45"/>
        <v>0</v>
      </c>
      <c r="G75" s="2"/>
      <c r="H75" s="6">
        <v>1497</v>
      </c>
      <c r="I75" s="2"/>
      <c r="J75" s="7">
        <f t="shared" si="46"/>
        <v>1.1942360758216257E-3</v>
      </c>
      <c r="K75" s="2"/>
      <c r="L75" s="6">
        <f t="shared" si="47"/>
        <v>-1497</v>
      </c>
      <c r="M75" s="2"/>
      <c r="N75" s="7">
        <f t="shared" si="48"/>
        <v>-1</v>
      </c>
      <c r="O75" s="11"/>
      <c r="P75" s="6">
        <v>63062.930000000008</v>
      </c>
      <c r="Q75" s="2"/>
      <c r="R75" s="7">
        <f t="shared" si="49"/>
        <v>6.9719435416044102E-3</v>
      </c>
      <c r="S75" s="2"/>
      <c r="T75" s="6">
        <v>22473</v>
      </c>
      <c r="U75" s="2"/>
      <c r="V75" s="7">
        <f t="shared" si="50"/>
        <v>2.442816962647934E-3</v>
      </c>
      <c r="W75" s="2"/>
      <c r="X75" s="6">
        <f t="shared" si="51"/>
        <v>40589.930000000008</v>
      </c>
      <c r="Y75" s="2"/>
      <c r="Z75" s="7">
        <f t="shared" si="52"/>
        <v>1.8061642860321279</v>
      </c>
    </row>
    <row r="76" spans="1:26" s="24" customFormat="1" hidden="1" outlineLevel="2" x14ac:dyDescent="0.25">
      <c r="A76" s="25"/>
      <c r="B76" s="11" t="str">
        <f>CONCATENATE("          ", "6372", " - ", "COMPUTER HARDWARE MAINTENANCE")</f>
        <v xml:space="preserve">          6372 - COMPUTER HARDWARE MAINTENANCE</v>
      </c>
      <c r="C76" s="11"/>
      <c r="D76" s="6"/>
      <c r="E76" s="2"/>
      <c r="F76" s="7">
        <f t="shared" si="45"/>
        <v>0</v>
      </c>
      <c r="G76" s="2"/>
      <c r="H76" s="6">
        <v>70</v>
      </c>
      <c r="I76" s="2"/>
      <c r="J76" s="7">
        <f t="shared" si="46"/>
        <v>5.5842702276228319E-5</v>
      </c>
      <c r="K76" s="2"/>
      <c r="L76" s="6">
        <f t="shared" si="47"/>
        <v>-70</v>
      </c>
      <c r="M76" s="2"/>
      <c r="N76" s="7">
        <f t="shared" si="48"/>
        <v>-1</v>
      </c>
      <c r="O76" s="11"/>
      <c r="P76" s="6"/>
      <c r="Q76" s="2"/>
      <c r="R76" s="7">
        <f t="shared" si="49"/>
        <v>0</v>
      </c>
      <c r="S76" s="2"/>
      <c r="T76" s="6">
        <v>210</v>
      </c>
      <c r="U76" s="2"/>
      <c r="V76" s="7">
        <f t="shared" si="50"/>
        <v>2.2827017405600771E-5</v>
      </c>
      <c r="W76" s="2"/>
      <c r="X76" s="6">
        <f t="shared" si="51"/>
        <v>-210</v>
      </c>
      <c r="Y76" s="2"/>
      <c r="Z76" s="7">
        <f t="shared" si="52"/>
        <v>-1</v>
      </c>
    </row>
    <row r="77" spans="1:26" s="24" customFormat="1" hidden="1" outlineLevel="2" x14ac:dyDescent="0.25">
      <c r="A77" s="25"/>
      <c r="B77" s="11" t="str">
        <f>CONCATENATE("          ", "6373", " - ", "MAINTENANCE CONTRACTS")</f>
        <v xml:space="preserve">          6373 - MAINTENANCE CONTRACTS</v>
      </c>
      <c r="C77" s="11"/>
      <c r="D77" s="6">
        <v>221.63</v>
      </c>
      <c r="E77" s="2"/>
      <c r="F77" s="7">
        <f t="shared" si="45"/>
        <v>2.2475851035174541E-4</v>
      </c>
      <c r="G77" s="2"/>
      <c r="H77" s="6">
        <v>30</v>
      </c>
      <c r="I77" s="2"/>
      <c r="J77" s="7">
        <f t="shared" si="46"/>
        <v>2.3932586689812137E-5</v>
      </c>
      <c r="K77" s="2"/>
      <c r="L77" s="6">
        <f t="shared" si="47"/>
        <v>191.63</v>
      </c>
      <c r="M77" s="2"/>
      <c r="N77" s="7">
        <f t="shared" si="48"/>
        <v>6.3876666666666662</v>
      </c>
      <c r="O77" s="11"/>
      <c r="P77" s="6">
        <v>721.28</v>
      </c>
      <c r="Q77" s="2"/>
      <c r="R77" s="7">
        <f t="shared" si="49"/>
        <v>7.9741354194745291E-5</v>
      </c>
      <c r="S77" s="2"/>
      <c r="T77" s="6">
        <v>5570</v>
      </c>
      <c r="U77" s="2"/>
      <c r="V77" s="7">
        <f t="shared" si="50"/>
        <v>6.054594616628395E-4</v>
      </c>
      <c r="W77" s="2"/>
      <c r="X77" s="6">
        <f t="shared" si="51"/>
        <v>-4848.72</v>
      </c>
      <c r="Y77" s="2"/>
      <c r="Z77" s="7">
        <f t="shared" si="52"/>
        <v>-0.87050628366247762</v>
      </c>
    </row>
    <row r="78" spans="1:26" s="24" customFormat="1" hidden="1" outlineLevel="2" x14ac:dyDescent="0.25">
      <c r="A78" s="25"/>
      <c r="B78" s="11" t="str">
        <f>CONCATENATE("          ", "6375", " - ", "OUTSIDE REPAIRS &amp; MAINTENANCE")</f>
        <v xml:space="preserve">          6375 - OUTSIDE REPAIRS &amp; MAINTENANCE</v>
      </c>
      <c r="C78" s="11"/>
      <c r="D78" s="6">
        <v>1554.56</v>
      </c>
      <c r="E78" s="2"/>
      <c r="F78" s="7">
        <f t="shared" si="45"/>
        <v>1.5765040375960355E-3</v>
      </c>
      <c r="G78" s="2"/>
      <c r="H78" s="6">
        <v>510</v>
      </c>
      <c r="I78" s="2"/>
      <c r="J78" s="7">
        <f t="shared" si="46"/>
        <v>4.0685397372680631E-4</v>
      </c>
      <c r="K78" s="2"/>
      <c r="L78" s="6">
        <f t="shared" si="47"/>
        <v>1044.56</v>
      </c>
      <c r="M78" s="2"/>
      <c r="N78" s="7">
        <f t="shared" si="48"/>
        <v>2.0481568627450981</v>
      </c>
      <c r="O78" s="11"/>
      <c r="P78" s="6">
        <v>1009.19</v>
      </c>
      <c r="Q78" s="2"/>
      <c r="R78" s="7">
        <f t="shared" si="49"/>
        <v>1.1157134155916565E-4</v>
      </c>
      <c r="S78" s="2"/>
      <c r="T78" s="6">
        <v>4590</v>
      </c>
      <c r="U78" s="2"/>
      <c r="V78" s="7">
        <f t="shared" si="50"/>
        <v>4.9893338043670256E-4</v>
      </c>
      <c r="W78" s="2"/>
      <c r="X78" s="6">
        <f t="shared" si="51"/>
        <v>-3580.81</v>
      </c>
      <c r="Y78" s="2"/>
      <c r="Z78" s="7">
        <f t="shared" si="52"/>
        <v>-0.78013289760348581</v>
      </c>
    </row>
    <row r="79" spans="1:26" s="27" customFormat="1" outlineLevel="1" collapsed="1" x14ac:dyDescent="0.25">
      <c r="A79" s="26"/>
      <c r="B79" s="13" t="str">
        <f>CONCATENATE("     ","Services                                          ")</f>
        <v xml:space="preserve">     Services                                          </v>
      </c>
      <c r="C79" s="13"/>
      <c r="D79" s="1">
        <f>SUM(OSRRefD22_14x_0)</f>
        <v>22105.17</v>
      </c>
      <c r="E79" s="1"/>
      <c r="F79" s="5">
        <f t="shared" ref="F79:F83" si="53">IF(D$12=0,0,D79/D$12)</f>
        <v>2.2417204711781311E-2</v>
      </c>
      <c r="G79" s="1"/>
      <c r="H79" s="1">
        <f>SUM(OSRRefH22_14x_0)</f>
        <v>19527</v>
      </c>
      <c r="I79" s="1"/>
      <c r="J79" s="5">
        <f t="shared" ref="J79:J83" si="54">IF(H$12=0,0,H79/H$12)</f>
        <v>1.557772067639872E-2</v>
      </c>
      <c r="K79" s="1"/>
      <c r="L79" s="1">
        <f t="shared" ref="L79:L83" si="55">+D79-H79</f>
        <v>2578.1699999999983</v>
      </c>
      <c r="M79" s="1"/>
      <c r="N79" s="5">
        <f t="shared" ref="N79:N83" si="56">IF(H79=0,0,L79/H79)</f>
        <v>0.13203103395298807</v>
      </c>
      <c r="O79" s="13"/>
      <c r="P79" s="1">
        <f>SUM(OSRRefP22_14x_0)</f>
        <v>170963.46</v>
      </c>
      <c r="Q79" s="1"/>
      <c r="R79" s="5">
        <f t="shared" ref="R79:R83" si="57">IF(P$12=0,0,P79/P$12)</f>
        <v>1.8900923106448492E-2</v>
      </c>
      <c r="S79" s="1"/>
      <c r="T79" s="1">
        <f>SUM(OSRRefT22_14x_0)</f>
        <v>172249</v>
      </c>
      <c r="U79" s="1"/>
      <c r="V79" s="5">
        <f t="shared" ref="V79:V83" si="58">IF(T$12=0,0,T79/T$12)</f>
        <v>1.8723480576653941E-2</v>
      </c>
      <c r="W79" s="1"/>
      <c r="X79" s="1">
        <f t="shared" ref="X79:X83" si="59">+P79-T79</f>
        <v>-1285.5400000000081</v>
      </c>
      <c r="Y79" s="1"/>
      <c r="Z79" s="5">
        <f t="shared" ref="Z79:Z83" si="60">IF(T79=0,0,X79/T79)</f>
        <v>-7.4632653890589094E-3</v>
      </c>
    </row>
    <row r="80" spans="1:26" s="24" customFormat="1" hidden="1" outlineLevel="2" x14ac:dyDescent="0.25">
      <c r="A80" s="25"/>
      <c r="B80" s="11" t="str">
        <f>CONCATENATE("          ", "6282", " - ", "JANITORIAL/EXTERMINATOR EXPENS")</f>
        <v xml:space="preserve">          6282 - JANITORIAL/EXTERMINATOR EXPENS</v>
      </c>
      <c r="C80" s="11"/>
      <c r="D80" s="6">
        <v>1436.53</v>
      </c>
      <c r="E80" s="2"/>
      <c r="F80" s="7">
        <f t="shared" si="53"/>
        <v>1.4568079360898472E-3</v>
      </c>
      <c r="G80" s="2"/>
      <c r="H80" s="6">
        <v>1630</v>
      </c>
      <c r="I80" s="2"/>
      <c r="J80" s="7">
        <f t="shared" si="54"/>
        <v>1.3003372101464594E-3</v>
      </c>
      <c r="K80" s="2"/>
      <c r="L80" s="6">
        <f t="shared" si="55"/>
        <v>-193.47000000000003</v>
      </c>
      <c r="M80" s="2"/>
      <c r="N80" s="7">
        <f t="shared" si="56"/>
        <v>-0.11869325153374234</v>
      </c>
      <c r="O80" s="11"/>
      <c r="P80" s="6">
        <v>15281.230000000001</v>
      </c>
      <c r="Q80" s="2"/>
      <c r="R80" s="7">
        <f t="shared" si="57"/>
        <v>1.6894215477503433E-3</v>
      </c>
      <c r="S80" s="2"/>
      <c r="T80" s="6">
        <v>14670</v>
      </c>
      <c r="U80" s="2"/>
      <c r="V80" s="7">
        <f t="shared" si="58"/>
        <v>1.5946302159055396E-3</v>
      </c>
      <c r="W80" s="2"/>
      <c r="X80" s="6">
        <f t="shared" si="59"/>
        <v>611.23000000000138</v>
      </c>
      <c r="Y80" s="2"/>
      <c r="Z80" s="7">
        <f t="shared" si="60"/>
        <v>4.1665303340150062E-2</v>
      </c>
    </row>
    <row r="81" spans="1:26" s="24" customFormat="1" hidden="1" outlineLevel="2" x14ac:dyDescent="0.25">
      <c r="A81" s="25"/>
      <c r="B81" s="11" t="str">
        <f>CONCATENATE("          ", "6284", " - ", "TRASH REMOVAL EXPENSE")</f>
        <v xml:space="preserve">          6284 - TRASH REMOVAL EXPENSE</v>
      </c>
      <c r="C81" s="11"/>
      <c r="D81" s="6"/>
      <c r="E81" s="2"/>
      <c r="F81" s="7">
        <f t="shared" si="53"/>
        <v>0</v>
      </c>
      <c r="G81" s="2"/>
      <c r="H81" s="6">
        <v>550</v>
      </c>
      <c r="I81" s="2"/>
      <c r="J81" s="7">
        <f t="shared" si="54"/>
        <v>4.3876408931322252E-4</v>
      </c>
      <c r="K81" s="2"/>
      <c r="L81" s="6">
        <f t="shared" si="55"/>
        <v>-550</v>
      </c>
      <c r="M81" s="2"/>
      <c r="N81" s="7">
        <f t="shared" si="56"/>
        <v>-1</v>
      </c>
      <c r="O81" s="11"/>
      <c r="P81" s="6"/>
      <c r="Q81" s="2"/>
      <c r="R81" s="7">
        <f t="shared" si="57"/>
        <v>0</v>
      </c>
      <c r="S81" s="2"/>
      <c r="T81" s="6">
        <v>4900</v>
      </c>
      <c r="U81" s="2"/>
      <c r="V81" s="7">
        <f t="shared" si="58"/>
        <v>5.3263040613068472E-4</v>
      </c>
      <c r="W81" s="2"/>
      <c r="X81" s="6">
        <f t="shared" si="59"/>
        <v>-4900</v>
      </c>
      <c r="Y81" s="2"/>
      <c r="Z81" s="7">
        <f t="shared" si="60"/>
        <v>-1</v>
      </c>
    </row>
    <row r="82" spans="1:26" s="24" customFormat="1" hidden="1" outlineLevel="2" x14ac:dyDescent="0.25">
      <c r="A82" s="25"/>
      <c r="B82" s="11" t="str">
        <f>CONCATENATE("          ", "6285", " - ", "JANITORIAL SERVICES")</f>
        <v xml:space="preserve">          6285 - JANITORIAL SERVICES</v>
      </c>
      <c r="C82" s="11"/>
      <c r="D82" s="6">
        <v>16471.599999999999</v>
      </c>
      <c r="E82" s="2"/>
      <c r="F82" s="7">
        <f t="shared" si="53"/>
        <v>1.6704111713711181E-2</v>
      </c>
      <c r="G82" s="2"/>
      <c r="H82" s="6">
        <v>12547</v>
      </c>
      <c r="I82" s="2"/>
      <c r="J82" s="7">
        <f t="shared" si="54"/>
        <v>1.0009405506569096E-2</v>
      </c>
      <c r="K82" s="2"/>
      <c r="L82" s="6">
        <f t="shared" si="55"/>
        <v>3924.5999999999985</v>
      </c>
      <c r="M82" s="2"/>
      <c r="N82" s="7">
        <f t="shared" si="56"/>
        <v>0.31279190244679994</v>
      </c>
      <c r="O82" s="11"/>
      <c r="P82" s="6">
        <v>115053.02</v>
      </c>
      <c r="Q82" s="2"/>
      <c r="R82" s="7">
        <f t="shared" si="57"/>
        <v>1.2719725514356579E-2</v>
      </c>
      <c r="S82" s="2"/>
      <c r="T82" s="6">
        <v>111079</v>
      </c>
      <c r="U82" s="2"/>
      <c r="V82" s="7">
        <f t="shared" si="58"/>
        <v>1.2074296506651086E-2</v>
      </c>
      <c r="W82" s="2"/>
      <c r="X82" s="6">
        <f t="shared" si="59"/>
        <v>3974.0200000000041</v>
      </c>
      <c r="Y82" s="2"/>
      <c r="Z82" s="7">
        <f t="shared" si="60"/>
        <v>3.5776519414110718E-2</v>
      </c>
    </row>
    <row r="83" spans="1:26" s="24" customFormat="1" hidden="1" outlineLevel="2" x14ac:dyDescent="0.25">
      <c r="A83" s="25"/>
      <c r="B83" s="11" t="str">
        <f>CONCATENATE("          ", "6286", " - ", "LAUNDRY EXPENSE")</f>
        <v xml:space="preserve">          6286 - LAUNDRY EXPENSE</v>
      </c>
      <c r="C83" s="11"/>
      <c r="D83" s="6">
        <v>4197.04</v>
      </c>
      <c r="E83" s="2"/>
      <c r="F83" s="7">
        <f t="shared" si="53"/>
        <v>4.2562850619802806E-3</v>
      </c>
      <c r="G83" s="2"/>
      <c r="H83" s="6">
        <v>4800</v>
      </c>
      <c r="I83" s="2"/>
      <c r="J83" s="7">
        <f t="shared" si="54"/>
        <v>3.8292138703699421E-3</v>
      </c>
      <c r="K83" s="2"/>
      <c r="L83" s="6">
        <f t="shared" si="55"/>
        <v>-602.96</v>
      </c>
      <c r="M83" s="2"/>
      <c r="N83" s="7">
        <f t="shared" si="56"/>
        <v>-0.12561666666666668</v>
      </c>
      <c r="O83" s="11"/>
      <c r="P83" s="6">
        <v>40629.21</v>
      </c>
      <c r="Q83" s="2"/>
      <c r="R83" s="7">
        <f t="shared" si="57"/>
        <v>4.4917760443415698E-3</v>
      </c>
      <c r="S83" s="2"/>
      <c r="T83" s="6">
        <v>41600</v>
      </c>
      <c r="U83" s="2"/>
      <c r="V83" s="7">
        <f t="shared" si="58"/>
        <v>4.5219234479666288E-3</v>
      </c>
      <c r="W83" s="2"/>
      <c r="X83" s="6">
        <f t="shared" si="59"/>
        <v>-970.79000000000087</v>
      </c>
      <c r="Y83" s="2"/>
      <c r="Z83" s="7">
        <f t="shared" si="60"/>
        <v>-2.3336298076923098E-2</v>
      </c>
    </row>
    <row r="84" spans="1:26" s="27" customFormat="1" outlineLevel="1" collapsed="1" x14ac:dyDescent="0.25">
      <c r="A84" s="26"/>
      <c r="B84" s="13" t="str">
        <f>CONCATENATE("     ","Supplies                                          ")</f>
        <v xml:space="preserve">     Supplies                                          </v>
      </c>
      <c r="C84" s="13"/>
      <c r="D84" s="1">
        <f>SUM(OSRRefD22_15x_0)</f>
        <v>15777.73</v>
      </c>
      <c r="E84" s="1"/>
      <c r="F84" s="5">
        <f t="shared" ref="F84:F93" si="61">IF(D$12=0,0,D84/D$12)</f>
        <v>1.6000447103424825E-2</v>
      </c>
      <c r="G84" s="1"/>
      <c r="H84" s="1">
        <f>SUM(OSRRefH22_15x_0)</f>
        <v>24833</v>
      </c>
      <c r="I84" s="1"/>
      <c r="J84" s="5">
        <f t="shared" ref="J84:J93" si="62">IF(H$12=0,0,H84/H$12)</f>
        <v>1.9810597508936826E-2</v>
      </c>
      <c r="K84" s="1"/>
      <c r="L84" s="1">
        <f t="shared" ref="L84:L93" si="63">+D84-H84</f>
        <v>-9055.27</v>
      </c>
      <c r="M84" s="1"/>
      <c r="N84" s="5">
        <f t="shared" ref="N84:N93" si="64">IF(H84=0,0,L84/H84)</f>
        <v>-0.36464663955220877</v>
      </c>
      <c r="O84" s="13"/>
      <c r="P84" s="1">
        <f>SUM(OSRRefP22_15x_0)</f>
        <v>185660.19</v>
      </c>
      <c r="Q84" s="1"/>
      <c r="R84" s="5">
        <f t="shared" ref="R84:R93" si="65">IF(P$12=0,0,P84/P$12)</f>
        <v>2.0525725059136132E-2</v>
      </c>
      <c r="S84" s="1"/>
      <c r="T84" s="1">
        <f>SUM(OSRRefT22_15x_0)</f>
        <v>219910</v>
      </c>
      <c r="U84" s="1"/>
      <c r="V84" s="5">
        <f t="shared" ref="V84:V93" si="66">IF(T$12=0,0,T84/T$12)</f>
        <v>2.3904235226979362E-2</v>
      </c>
      <c r="W84" s="1"/>
      <c r="X84" s="1">
        <f t="shared" ref="X84:X93" si="67">+P84-T84</f>
        <v>-34249.81</v>
      </c>
      <c r="Y84" s="1"/>
      <c r="Z84" s="5">
        <f t="shared" ref="Z84:Z93" si="68">IF(T84=0,0,X84/T84)</f>
        <v>-0.15574466827338457</v>
      </c>
    </row>
    <row r="85" spans="1:26" s="24" customFormat="1" hidden="1" outlineLevel="2" x14ac:dyDescent="0.25">
      <c r="A85" s="25"/>
      <c r="B85" s="11" t="str">
        <f>CONCATENATE("          ", "6234", " - ", "EXPENDABLE SUPPLIES &amp; EQUIPMEN")</f>
        <v xml:space="preserve">          6234 - EXPENDABLE SUPPLIES &amp; EQUIPMEN</v>
      </c>
      <c r="C85" s="11"/>
      <c r="D85" s="6"/>
      <c r="E85" s="2"/>
      <c r="F85" s="7">
        <f t="shared" si="61"/>
        <v>0</v>
      </c>
      <c r="G85" s="2"/>
      <c r="H85" s="6">
        <v>200</v>
      </c>
      <c r="I85" s="2"/>
      <c r="J85" s="7">
        <f t="shared" si="62"/>
        <v>1.5955057793208091E-4</v>
      </c>
      <c r="K85" s="2"/>
      <c r="L85" s="6">
        <f t="shared" si="63"/>
        <v>-200</v>
      </c>
      <c r="M85" s="2"/>
      <c r="N85" s="7">
        <f t="shared" si="64"/>
        <v>-1</v>
      </c>
      <c r="O85" s="11"/>
      <c r="P85" s="6">
        <v>118.34</v>
      </c>
      <c r="Q85" s="2"/>
      <c r="R85" s="7">
        <f t="shared" si="65"/>
        <v>1.3083118699265415E-5</v>
      </c>
      <c r="S85" s="2"/>
      <c r="T85" s="6">
        <v>1000</v>
      </c>
      <c r="U85" s="2"/>
      <c r="V85" s="7">
        <f t="shared" si="66"/>
        <v>1.087000828838132E-4</v>
      </c>
      <c r="W85" s="2"/>
      <c r="X85" s="6">
        <f t="shared" si="67"/>
        <v>-881.66</v>
      </c>
      <c r="Y85" s="2"/>
      <c r="Z85" s="7">
        <f t="shared" si="68"/>
        <v>-0.88166</v>
      </c>
    </row>
    <row r="86" spans="1:26" s="24" customFormat="1" hidden="1" outlineLevel="2" x14ac:dyDescent="0.25">
      <c r="A86" s="25"/>
      <c r="B86" s="11" t="str">
        <f>CONCATENATE("          ", "6237", " - ", "JANITORIAL SUPPLIES")</f>
        <v xml:space="preserve">          6237 - JANITORIAL SUPPLIES</v>
      </c>
      <c r="C86" s="11"/>
      <c r="D86" s="6">
        <v>6402.82</v>
      </c>
      <c r="E86" s="2"/>
      <c r="F86" s="7">
        <f t="shared" si="61"/>
        <v>6.4932016660666989E-3</v>
      </c>
      <c r="G86" s="2"/>
      <c r="H86" s="6">
        <v>9855</v>
      </c>
      <c r="I86" s="2"/>
      <c r="J86" s="7">
        <f t="shared" si="62"/>
        <v>7.8618547276032864E-3</v>
      </c>
      <c r="K86" s="2"/>
      <c r="L86" s="6">
        <f t="shared" si="63"/>
        <v>-3452.1800000000003</v>
      </c>
      <c r="M86" s="2"/>
      <c r="N86" s="7">
        <f t="shared" si="64"/>
        <v>-0.35029731100963979</v>
      </c>
      <c r="O86" s="11"/>
      <c r="P86" s="6">
        <v>71658.739999999991</v>
      </c>
      <c r="Q86" s="2"/>
      <c r="R86" s="7">
        <f t="shared" si="65"/>
        <v>7.9222562215632789E-3</v>
      </c>
      <c r="S86" s="2"/>
      <c r="T86" s="6">
        <v>87540</v>
      </c>
      <c r="U86" s="2"/>
      <c r="V86" s="7">
        <f t="shared" si="66"/>
        <v>9.5156052556490071E-3</v>
      </c>
      <c r="W86" s="2"/>
      <c r="X86" s="6">
        <f t="shared" si="67"/>
        <v>-15881.260000000009</v>
      </c>
      <c r="Y86" s="2"/>
      <c r="Z86" s="7">
        <f t="shared" si="68"/>
        <v>-0.18141718071738644</v>
      </c>
    </row>
    <row r="87" spans="1:26" s="24" customFormat="1" hidden="1" outlineLevel="2" x14ac:dyDescent="0.25">
      <c r="A87" s="25"/>
      <c r="B87" s="11" t="str">
        <f>CONCATENATE("          ", "6239", " - ", "KITCHEN SUPPLIES")</f>
        <v xml:space="preserve">          6239 - KITCHEN SUPPLIES</v>
      </c>
      <c r="C87" s="11"/>
      <c r="D87" s="6">
        <v>155.58000000000001</v>
      </c>
      <c r="E87" s="2"/>
      <c r="F87" s="7">
        <f t="shared" si="61"/>
        <v>1.5777615413312528E-4</v>
      </c>
      <c r="G87" s="2"/>
      <c r="H87" s="6">
        <v>5700</v>
      </c>
      <c r="I87" s="2"/>
      <c r="J87" s="7">
        <f t="shared" si="62"/>
        <v>4.5471914710643064E-3</v>
      </c>
      <c r="K87" s="2"/>
      <c r="L87" s="6">
        <f t="shared" si="63"/>
        <v>-5544.42</v>
      </c>
      <c r="M87" s="2"/>
      <c r="N87" s="7">
        <f t="shared" si="64"/>
        <v>-0.97270526315789474</v>
      </c>
      <c r="O87" s="11"/>
      <c r="P87" s="6">
        <v>26798.5</v>
      </c>
      <c r="Q87" s="2"/>
      <c r="R87" s="7">
        <f t="shared" si="65"/>
        <v>2.9627172254712199E-3</v>
      </c>
      <c r="S87" s="2"/>
      <c r="T87" s="6">
        <v>40450</v>
      </c>
      <c r="U87" s="2"/>
      <c r="V87" s="7">
        <f t="shared" si="66"/>
        <v>4.3969183526502437E-3</v>
      </c>
      <c r="W87" s="2"/>
      <c r="X87" s="6">
        <f t="shared" si="67"/>
        <v>-13651.5</v>
      </c>
      <c r="Y87" s="2"/>
      <c r="Z87" s="7">
        <f t="shared" si="68"/>
        <v>-0.33749072929542645</v>
      </c>
    </row>
    <row r="88" spans="1:26" s="24" customFormat="1" hidden="1" outlineLevel="2" x14ac:dyDescent="0.25">
      <c r="A88" s="25"/>
      <c r="B88" s="11" t="str">
        <f>CONCATENATE("          ", "6241", " - ", "OFFICE EXPENSE")</f>
        <v xml:space="preserve">          6241 - OFFICE EXPENSE</v>
      </c>
      <c r="C88" s="11"/>
      <c r="D88" s="6">
        <v>950.83</v>
      </c>
      <c r="E88" s="2"/>
      <c r="F88" s="7">
        <f t="shared" si="61"/>
        <v>9.6425183593263589E-4</v>
      </c>
      <c r="G88" s="2"/>
      <c r="H88" s="6">
        <v>1529</v>
      </c>
      <c r="I88" s="2"/>
      <c r="J88" s="7">
        <f t="shared" si="62"/>
        <v>1.2197641682907586E-3</v>
      </c>
      <c r="K88" s="2"/>
      <c r="L88" s="6">
        <f t="shared" si="63"/>
        <v>-578.16999999999996</v>
      </c>
      <c r="M88" s="2"/>
      <c r="N88" s="7">
        <f t="shared" si="64"/>
        <v>-0.37813603662524525</v>
      </c>
      <c r="O88" s="11"/>
      <c r="P88" s="6">
        <v>28380.449999999997</v>
      </c>
      <c r="Q88" s="2"/>
      <c r="R88" s="7">
        <f t="shared" si="65"/>
        <v>3.1376102424249372E-3</v>
      </c>
      <c r="S88" s="2"/>
      <c r="T88" s="6">
        <v>12387</v>
      </c>
      <c r="U88" s="2"/>
      <c r="V88" s="7">
        <f t="shared" si="66"/>
        <v>1.3464679266817941E-3</v>
      </c>
      <c r="W88" s="2"/>
      <c r="X88" s="6">
        <f t="shared" si="67"/>
        <v>15993.449999999997</v>
      </c>
      <c r="Y88" s="2"/>
      <c r="Z88" s="7">
        <f t="shared" si="68"/>
        <v>1.2911479777185757</v>
      </c>
    </row>
    <row r="89" spans="1:26" s="24" customFormat="1" hidden="1" outlineLevel="2" x14ac:dyDescent="0.25">
      <c r="A89" s="25"/>
      <c r="B89" s="11" t="str">
        <f>CONCATENATE("          ", "6243", " - ", "PAPER SUPPLIES")</f>
        <v xml:space="preserve">          6243 - PAPER SUPPLIES</v>
      </c>
      <c r="C89" s="11"/>
      <c r="D89" s="6">
        <v>6698.96</v>
      </c>
      <c r="E89" s="2"/>
      <c r="F89" s="7">
        <f t="shared" si="61"/>
        <v>6.7935219532821748E-3</v>
      </c>
      <c r="G89" s="2"/>
      <c r="H89" s="6">
        <v>6859</v>
      </c>
      <c r="I89" s="2"/>
      <c r="J89" s="7">
        <f t="shared" si="62"/>
        <v>5.4717870701807151E-3</v>
      </c>
      <c r="K89" s="2"/>
      <c r="L89" s="6">
        <f t="shared" si="63"/>
        <v>-160.03999999999996</v>
      </c>
      <c r="M89" s="2"/>
      <c r="N89" s="7">
        <f t="shared" si="64"/>
        <v>-2.3332847353841661E-2</v>
      </c>
      <c r="O89" s="11"/>
      <c r="P89" s="6">
        <v>56811.740000000005</v>
      </c>
      <c r="Q89" s="2"/>
      <c r="R89" s="7">
        <f t="shared" si="65"/>
        <v>6.280841118233944E-3</v>
      </c>
      <c r="S89" s="2"/>
      <c r="T89" s="6">
        <v>59922</v>
      </c>
      <c r="U89" s="2"/>
      <c r="V89" s="7">
        <f t="shared" si="66"/>
        <v>6.5135263665638543E-3</v>
      </c>
      <c r="W89" s="2"/>
      <c r="X89" s="6">
        <f t="shared" si="67"/>
        <v>-3110.2599999999948</v>
      </c>
      <c r="Y89" s="2"/>
      <c r="Z89" s="7">
        <f t="shared" si="68"/>
        <v>-5.1905143353025512E-2</v>
      </c>
    </row>
    <row r="90" spans="1:26" s="24" customFormat="1" hidden="1" outlineLevel="2" x14ac:dyDescent="0.25">
      <c r="A90" s="25"/>
      <c r="B90" s="11" t="str">
        <f>CONCATENATE("          ", "6244", " - ", "SAFETY SUPPLY EXPENSE")</f>
        <v xml:space="preserve">          6244 - SAFETY SUPPLY EXPENSE</v>
      </c>
      <c r="C90" s="11"/>
      <c r="D90" s="6"/>
      <c r="E90" s="2"/>
      <c r="F90" s="7">
        <f t="shared" si="61"/>
        <v>0</v>
      </c>
      <c r="G90" s="2"/>
      <c r="H90" s="6">
        <v>125</v>
      </c>
      <c r="I90" s="2"/>
      <c r="J90" s="7">
        <f t="shared" si="62"/>
        <v>9.9719111207550572E-5</v>
      </c>
      <c r="K90" s="2"/>
      <c r="L90" s="6">
        <f t="shared" si="63"/>
        <v>-125</v>
      </c>
      <c r="M90" s="2"/>
      <c r="N90" s="7">
        <f t="shared" si="64"/>
        <v>-1</v>
      </c>
      <c r="O90" s="11"/>
      <c r="P90" s="6"/>
      <c r="Q90" s="2"/>
      <c r="R90" s="7">
        <f t="shared" si="65"/>
        <v>0</v>
      </c>
      <c r="S90" s="2"/>
      <c r="T90" s="6">
        <v>1125</v>
      </c>
      <c r="U90" s="2"/>
      <c r="V90" s="7">
        <f t="shared" si="66"/>
        <v>1.2228759324428985E-4</v>
      </c>
      <c r="W90" s="2"/>
      <c r="X90" s="6">
        <f t="shared" si="67"/>
        <v>-1125</v>
      </c>
      <c r="Y90" s="2"/>
      <c r="Z90" s="7">
        <f t="shared" si="68"/>
        <v>-1</v>
      </c>
    </row>
    <row r="91" spans="1:26" s="24" customFormat="1" hidden="1" outlineLevel="2" x14ac:dyDescent="0.25">
      <c r="A91" s="25"/>
      <c r="B91" s="11" t="str">
        <f>CONCATENATE("          ", "6245", " - ", "PRINTING")</f>
        <v xml:space="preserve">          6245 - PRINTING</v>
      </c>
      <c r="C91" s="11"/>
      <c r="D91" s="6"/>
      <c r="E91" s="2"/>
      <c r="F91" s="7">
        <f t="shared" si="61"/>
        <v>0</v>
      </c>
      <c r="G91" s="2"/>
      <c r="H91" s="6">
        <v>160</v>
      </c>
      <c r="I91" s="2"/>
      <c r="J91" s="7">
        <f t="shared" si="62"/>
        <v>1.2764046234566473E-4</v>
      </c>
      <c r="K91" s="2"/>
      <c r="L91" s="6">
        <f t="shared" si="63"/>
        <v>-160</v>
      </c>
      <c r="M91" s="2"/>
      <c r="N91" s="7">
        <f t="shared" si="64"/>
        <v>-1</v>
      </c>
      <c r="O91" s="11"/>
      <c r="P91" s="6">
        <v>1351.44</v>
      </c>
      <c r="Q91" s="2"/>
      <c r="R91" s="7">
        <f t="shared" si="65"/>
        <v>1.4940890599066461E-4</v>
      </c>
      <c r="S91" s="2"/>
      <c r="T91" s="6">
        <v>1430</v>
      </c>
      <c r="U91" s="2"/>
      <c r="V91" s="7">
        <f t="shared" si="66"/>
        <v>1.5544111852385287E-4</v>
      </c>
      <c r="W91" s="2"/>
      <c r="X91" s="6">
        <f t="shared" si="67"/>
        <v>-78.559999999999945</v>
      </c>
      <c r="Y91" s="2"/>
      <c r="Z91" s="7">
        <f t="shared" si="68"/>
        <v>-5.4937062937062901E-2</v>
      </c>
    </row>
    <row r="92" spans="1:26" s="24" customFormat="1" hidden="1" outlineLevel="2" x14ac:dyDescent="0.25">
      <c r="A92" s="25"/>
      <c r="B92" s="11" t="str">
        <f>CONCATENATE("          ", "6247", " - ", "STORE SUPPLIES")</f>
        <v xml:space="preserve">          6247 - STORE SUPPLIES</v>
      </c>
      <c r="C92" s="11"/>
      <c r="D92" s="6"/>
      <c r="E92" s="2"/>
      <c r="F92" s="7">
        <f t="shared" si="61"/>
        <v>0</v>
      </c>
      <c r="G92" s="2"/>
      <c r="H92" s="6">
        <v>30</v>
      </c>
      <c r="I92" s="2"/>
      <c r="J92" s="7">
        <f t="shared" si="62"/>
        <v>2.3932586689812137E-5</v>
      </c>
      <c r="K92" s="2"/>
      <c r="L92" s="6">
        <f t="shared" si="63"/>
        <v>-30</v>
      </c>
      <c r="M92" s="2"/>
      <c r="N92" s="7">
        <f t="shared" si="64"/>
        <v>-1</v>
      </c>
      <c r="O92" s="11"/>
      <c r="P92" s="6">
        <v>667.78</v>
      </c>
      <c r="Q92" s="2"/>
      <c r="R92" s="7">
        <f t="shared" si="65"/>
        <v>7.3826643611589135E-5</v>
      </c>
      <c r="S92" s="2"/>
      <c r="T92" s="6">
        <v>181</v>
      </c>
      <c r="U92" s="2"/>
      <c r="V92" s="7">
        <f t="shared" si="66"/>
        <v>1.9674715001970189E-5</v>
      </c>
      <c r="W92" s="2"/>
      <c r="X92" s="6">
        <f t="shared" si="67"/>
        <v>486.78</v>
      </c>
      <c r="Y92" s="2"/>
      <c r="Z92" s="7">
        <f t="shared" si="68"/>
        <v>2.6893922651933702</v>
      </c>
    </row>
    <row r="93" spans="1:26" s="24" customFormat="1" hidden="1" outlineLevel="2" x14ac:dyDescent="0.25">
      <c r="A93" s="25"/>
      <c r="B93" s="11" t="str">
        <f>CONCATENATE("          ", "6248", " - ", "UNIFORMS")</f>
        <v xml:space="preserve">          6248 - UNIFORMS</v>
      </c>
      <c r="C93" s="11"/>
      <c r="D93" s="6">
        <v>1569.54</v>
      </c>
      <c r="E93" s="2"/>
      <c r="F93" s="7">
        <f t="shared" si="61"/>
        <v>1.5916954940101904E-3</v>
      </c>
      <c r="G93" s="2"/>
      <c r="H93" s="6">
        <v>375</v>
      </c>
      <c r="I93" s="2"/>
      <c r="J93" s="7">
        <f t="shared" si="62"/>
        <v>2.9915733362265173E-4</v>
      </c>
      <c r="K93" s="2"/>
      <c r="L93" s="6">
        <f t="shared" si="63"/>
        <v>1194.54</v>
      </c>
      <c r="M93" s="2"/>
      <c r="N93" s="7">
        <f t="shared" si="64"/>
        <v>3.1854399999999998</v>
      </c>
      <c r="O93" s="11"/>
      <c r="P93" s="6">
        <v>-126.8</v>
      </c>
      <c r="Q93" s="2"/>
      <c r="R93" s="7">
        <f t="shared" si="65"/>
        <v>-1.4018416858770107E-5</v>
      </c>
      <c r="S93" s="2"/>
      <c r="T93" s="6">
        <v>15875</v>
      </c>
      <c r="U93" s="2"/>
      <c r="V93" s="7">
        <f t="shared" si="66"/>
        <v>1.7256138157805345E-3</v>
      </c>
      <c r="W93" s="2"/>
      <c r="X93" s="6">
        <f t="shared" si="67"/>
        <v>-16001.8</v>
      </c>
      <c r="Y93" s="2"/>
      <c r="Z93" s="7">
        <f t="shared" si="68"/>
        <v>-1.0079874015748032</v>
      </c>
    </row>
    <row r="94" spans="1:26" s="27" customFormat="1" outlineLevel="1" collapsed="1" x14ac:dyDescent="0.25">
      <c r="A94" s="26"/>
      <c r="B94" s="13" t="str">
        <f>CONCATENATE("     ","Telephone/Data Lines                              ")</f>
        <v xml:space="preserve">     Telephone/Data Lines                              </v>
      </c>
      <c r="C94" s="13"/>
      <c r="D94" s="1">
        <f>SUM(OSRRefD22_16x_0)</f>
        <v>745.35</v>
      </c>
      <c r="E94" s="1"/>
      <c r="F94" s="5">
        <f t="shared" ref="F94:F100" si="69">IF(D$12=0,0,D94/D$12)</f>
        <v>7.5587129761617766E-4</v>
      </c>
      <c r="G94" s="1"/>
      <c r="H94" s="1">
        <f>SUM(OSRRefH22_16x_0)</f>
        <v>793</v>
      </c>
      <c r="I94" s="1"/>
      <c r="J94" s="5">
        <f t="shared" ref="J94:J100" si="70">IF(H$12=0,0,H94/H$12)</f>
        <v>6.3261804150070082E-4</v>
      </c>
      <c r="K94" s="1"/>
      <c r="L94" s="1">
        <f t="shared" ref="L94:L100" si="71">+D94-H94</f>
        <v>-47.649999999999977</v>
      </c>
      <c r="M94" s="1"/>
      <c r="N94" s="5">
        <f t="shared" ref="N94:N100" si="72">IF(H94=0,0,L94/H94)</f>
        <v>-6.0088272383354319E-2</v>
      </c>
      <c r="O94" s="13"/>
      <c r="P94" s="1">
        <f>SUM(OSRRefP22_16x_0)</f>
        <v>5914.35</v>
      </c>
      <c r="Q94" s="1"/>
      <c r="R94" s="5">
        <f t="shared" ref="R94:R100" si="73">IF(P$12=0,0,P94/P$12)</f>
        <v>6.5386296331756304E-4</v>
      </c>
      <c r="S94" s="1"/>
      <c r="T94" s="1">
        <f>SUM(OSRRefT22_16x_0)</f>
        <v>7137</v>
      </c>
      <c r="U94" s="1"/>
      <c r="V94" s="5">
        <f t="shared" ref="V94:V100" si="74">IF(T$12=0,0,T94/T$12)</f>
        <v>7.7579249154177481E-4</v>
      </c>
      <c r="W94" s="1"/>
      <c r="X94" s="1">
        <f t="shared" ref="X94:X100" si="75">+P94-T94</f>
        <v>-1222.6499999999996</v>
      </c>
      <c r="Y94" s="1"/>
      <c r="Z94" s="5">
        <f t="shared" ref="Z94:Z100" si="76">IF(T94=0,0,X94/T94)</f>
        <v>-0.17131147540983602</v>
      </c>
    </row>
    <row r="95" spans="1:26" s="24" customFormat="1" hidden="1" outlineLevel="2" x14ac:dyDescent="0.25">
      <c r="A95" s="25"/>
      <c r="B95" s="11" t="str">
        <f>CONCATENATE("          ", "6309", " - ", "TELEPHONE")</f>
        <v xml:space="preserve">          6309 - TELEPHONE</v>
      </c>
      <c r="C95" s="11"/>
      <c r="D95" s="6">
        <v>745.35</v>
      </c>
      <c r="E95" s="2"/>
      <c r="F95" s="7">
        <f t="shared" si="69"/>
        <v>7.5587129761617766E-4</v>
      </c>
      <c r="G95" s="2"/>
      <c r="H95" s="6">
        <v>793</v>
      </c>
      <c r="I95" s="2"/>
      <c r="J95" s="7">
        <f t="shared" si="70"/>
        <v>6.3261804150070082E-4</v>
      </c>
      <c r="K95" s="2"/>
      <c r="L95" s="6">
        <f t="shared" si="71"/>
        <v>-47.649999999999977</v>
      </c>
      <c r="M95" s="2"/>
      <c r="N95" s="7">
        <f t="shared" si="72"/>
        <v>-6.0088272383354319E-2</v>
      </c>
      <c r="O95" s="11"/>
      <c r="P95" s="6">
        <v>5914.35</v>
      </c>
      <c r="Q95" s="2"/>
      <c r="R95" s="7">
        <f t="shared" si="73"/>
        <v>6.5386296331756304E-4</v>
      </c>
      <c r="S95" s="2"/>
      <c r="T95" s="6">
        <v>7137</v>
      </c>
      <c r="U95" s="2"/>
      <c r="V95" s="7">
        <f t="shared" si="74"/>
        <v>7.7579249154177481E-4</v>
      </c>
      <c r="W95" s="2"/>
      <c r="X95" s="6">
        <f t="shared" si="75"/>
        <v>-1222.6499999999996</v>
      </c>
      <c r="Y95" s="2"/>
      <c r="Z95" s="7">
        <f t="shared" si="76"/>
        <v>-0.17131147540983602</v>
      </c>
    </row>
    <row r="96" spans="1:26" s="27" customFormat="1" outlineLevel="1" collapsed="1" x14ac:dyDescent="0.25">
      <c r="A96" s="26"/>
      <c r="B96" s="13" t="str">
        <f>CONCATENATE("     ","Training                                          ")</f>
        <v xml:space="preserve">     Training                                          </v>
      </c>
      <c r="C96" s="13"/>
      <c r="D96" s="1">
        <f>SUM(OSRRefD22_17x_0)</f>
        <v>0</v>
      </c>
      <c r="E96" s="1"/>
      <c r="F96" s="5">
        <f t="shared" si="69"/>
        <v>0</v>
      </c>
      <c r="G96" s="1"/>
      <c r="H96" s="1">
        <f>SUM(OSRRefH22_17x_0)</f>
        <v>1000</v>
      </c>
      <c r="I96" s="1"/>
      <c r="J96" s="5">
        <f t="shared" si="70"/>
        <v>7.9775288966040458E-4</v>
      </c>
      <c r="K96" s="1"/>
      <c r="L96" s="1">
        <f t="shared" si="71"/>
        <v>-1000</v>
      </c>
      <c r="M96" s="1"/>
      <c r="N96" s="5">
        <f t="shared" si="72"/>
        <v>-1</v>
      </c>
      <c r="O96" s="13"/>
      <c r="P96" s="1">
        <f>SUM(OSRRefP22_17x_0)</f>
        <v>6398.23</v>
      </c>
      <c r="Q96" s="1"/>
      <c r="R96" s="5">
        <f t="shared" si="73"/>
        <v>7.0735848027041529E-4</v>
      </c>
      <c r="S96" s="1"/>
      <c r="T96" s="1">
        <f>SUM(OSRRefT22_17x_0)</f>
        <v>15137</v>
      </c>
      <c r="U96" s="1"/>
      <c r="V96" s="5">
        <f t="shared" si="74"/>
        <v>1.6453931546122804E-3</v>
      </c>
      <c r="W96" s="1"/>
      <c r="X96" s="1">
        <f t="shared" si="75"/>
        <v>-8738.77</v>
      </c>
      <c r="Y96" s="1"/>
      <c r="Z96" s="5">
        <f t="shared" si="76"/>
        <v>-0.57731188478562467</v>
      </c>
    </row>
    <row r="97" spans="1:26" s="24" customFormat="1" hidden="1" outlineLevel="2" x14ac:dyDescent="0.25">
      <c r="A97" s="25"/>
      <c r="B97" s="11" t="str">
        <f>CONCATENATE("          ", "6376", " - ", "TRAINING")</f>
        <v xml:space="preserve">          6376 - TRAINING</v>
      </c>
      <c r="C97" s="11"/>
      <c r="D97" s="6"/>
      <c r="E97" s="2"/>
      <c r="F97" s="7">
        <f t="shared" si="69"/>
        <v>0</v>
      </c>
      <c r="G97" s="2"/>
      <c r="H97" s="6">
        <v>1000</v>
      </c>
      <c r="I97" s="2"/>
      <c r="J97" s="7">
        <f t="shared" si="70"/>
        <v>7.9775288966040458E-4</v>
      </c>
      <c r="K97" s="2"/>
      <c r="L97" s="6">
        <f t="shared" si="71"/>
        <v>-1000</v>
      </c>
      <c r="M97" s="2"/>
      <c r="N97" s="7">
        <f t="shared" si="72"/>
        <v>-1</v>
      </c>
      <c r="O97" s="11"/>
      <c r="P97" s="6">
        <v>6398.23</v>
      </c>
      <c r="Q97" s="2"/>
      <c r="R97" s="7">
        <f t="shared" si="73"/>
        <v>7.0735848027041529E-4</v>
      </c>
      <c r="S97" s="2"/>
      <c r="T97" s="6">
        <v>15137</v>
      </c>
      <c r="U97" s="2"/>
      <c r="V97" s="7">
        <f t="shared" si="74"/>
        <v>1.6453931546122804E-3</v>
      </c>
      <c r="W97" s="2"/>
      <c r="X97" s="6">
        <f t="shared" si="75"/>
        <v>-8738.77</v>
      </c>
      <c r="Y97" s="2"/>
      <c r="Z97" s="7">
        <f t="shared" si="76"/>
        <v>-0.57731188478562467</v>
      </c>
    </row>
    <row r="98" spans="1:26" s="27" customFormat="1" outlineLevel="1" collapsed="1" x14ac:dyDescent="0.25">
      <c r="A98" s="26"/>
      <c r="B98" s="13" t="str">
        <f>CONCATENATE("     ","Travel                                            ")</f>
        <v xml:space="preserve">     Travel                                            </v>
      </c>
      <c r="C98" s="13"/>
      <c r="D98" s="1">
        <f>SUM(OSRRefD22_18x_0)</f>
        <v>0</v>
      </c>
      <c r="E98" s="1"/>
      <c r="F98" s="5">
        <f t="shared" si="69"/>
        <v>0</v>
      </c>
      <c r="G98" s="1"/>
      <c r="H98" s="1">
        <f>SUM(OSRRefH22_18x_0)</f>
        <v>410</v>
      </c>
      <c r="I98" s="1"/>
      <c r="J98" s="5">
        <f t="shared" si="70"/>
        <v>3.270786847607659E-4</v>
      </c>
      <c r="K98" s="1"/>
      <c r="L98" s="1">
        <f t="shared" si="71"/>
        <v>-410</v>
      </c>
      <c r="M98" s="1"/>
      <c r="N98" s="5">
        <f t="shared" si="72"/>
        <v>-1</v>
      </c>
      <c r="O98" s="13"/>
      <c r="P98" s="1">
        <f>SUM(OSRRefP22_18x_0)</f>
        <v>1894.26</v>
      </c>
      <c r="Q98" s="1"/>
      <c r="R98" s="5">
        <f t="shared" si="73"/>
        <v>2.0942055456540901E-4</v>
      </c>
      <c r="S98" s="1"/>
      <c r="T98" s="1">
        <f>SUM(OSRRefT22_18x_0)</f>
        <v>3690</v>
      </c>
      <c r="U98" s="1"/>
      <c r="V98" s="5">
        <f t="shared" si="74"/>
        <v>4.011033058412707E-4</v>
      </c>
      <c r="W98" s="1"/>
      <c r="X98" s="1">
        <f t="shared" si="75"/>
        <v>-1795.74</v>
      </c>
      <c r="Y98" s="1"/>
      <c r="Z98" s="5">
        <f t="shared" si="76"/>
        <v>-0.48665040650406505</v>
      </c>
    </row>
    <row r="99" spans="1:26" s="24" customFormat="1" hidden="1" outlineLevel="2" x14ac:dyDescent="0.25">
      <c r="A99" s="25"/>
      <c r="B99" s="11" t="str">
        <f>CONCATENATE("          ", "6292", " - ", "TRAVEL/CONFERENCE")</f>
        <v xml:space="preserve">          6292 - TRAVEL/CONFERENCE</v>
      </c>
      <c r="C99" s="11"/>
      <c r="D99" s="6"/>
      <c r="E99" s="2"/>
      <c r="F99" s="7">
        <f t="shared" si="69"/>
        <v>0</v>
      </c>
      <c r="G99" s="2"/>
      <c r="H99" s="6">
        <v>300</v>
      </c>
      <c r="I99" s="2"/>
      <c r="J99" s="7">
        <f t="shared" si="70"/>
        <v>2.3932586689812138E-4</v>
      </c>
      <c r="K99" s="2"/>
      <c r="L99" s="6">
        <f t="shared" si="71"/>
        <v>-300</v>
      </c>
      <c r="M99" s="2"/>
      <c r="N99" s="7">
        <f t="shared" si="72"/>
        <v>-1</v>
      </c>
      <c r="O99" s="11"/>
      <c r="P99" s="6">
        <v>1894.26</v>
      </c>
      <c r="Q99" s="2"/>
      <c r="R99" s="7">
        <f t="shared" si="73"/>
        <v>2.0942055456540901E-4</v>
      </c>
      <c r="S99" s="2"/>
      <c r="T99" s="6">
        <v>2700</v>
      </c>
      <c r="U99" s="2"/>
      <c r="V99" s="7">
        <f t="shared" si="74"/>
        <v>2.9349022378629563E-4</v>
      </c>
      <c r="W99" s="2"/>
      <c r="X99" s="6">
        <f t="shared" si="75"/>
        <v>-805.74</v>
      </c>
      <c r="Y99" s="2"/>
      <c r="Z99" s="7">
        <f t="shared" si="76"/>
        <v>-0.2984222222222222</v>
      </c>
    </row>
    <row r="100" spans="1:26" s="24" customFormat="1" hidden="1" outlineLevel="2" x14ac:dyDescent="0.25">
      <c r="A100" s="25"/>
      <c r="B100" s="11" t="str">
        <f>CONCATENATE("          ", "6298", " - ", "VEHICLE MILEAGE")</f>
        <v xml:space="preserve">          6298 - VEHICLE MILEAGE</v>
      </c>
      <c r="C100" s="11"/>
      <c r="D100" s="6"/>
      <c r="E100" s="2"/>
      <c r="F100" s="7">
        <f t="shared" si="69"/>
        <v>0</v>
      </c>
      <c r="G100" s="2"/>
      <c r="H100" s="6">
        <v>110</v>
      </c>
      <c r="I100" s="2"/>
      <c r="J100" s="7">
        <f t="shared" si="70"/>
        <v>8.7752817862644507E-5</v>
      </c>
      <c r="K100" s="2"/>
      <c r="L100" s="6">
        <f t="shared" si="71"/>
        <v>-110</v>
      </c>
      <c r="M100" s="2"/>
      <c r="N100" s="7">
        <f t="shared" si="72"/>
        <v>-1</v>
      </c>
      <c r="O100" s="11"/>
      <c r="P100" s="6"/>
      <c r="Q100" s="2"/>
      <c r="R100" s="7">
        <f t="shared" si="73"/>
        <v>0</v>
      </c>
      <c r="S100" s="2"/>
      <c r="T100" s="6">
        <v>990</v>
      </c>
      <c r="U100" s="2"/>
      <c r="V100" s="7">
        <f t="shared" si="74"/>
        <v>1.0761308205497507E-4</v>
      </c>
      <c r="W100" s="2"/>
      <c r="X100" s="6">
        <f t="shared" si="75"/>
        <v>-990</v>
      </c>
      <c r="Y100" s="2"/>
      <c r="Z100" s="7">
        <f t="shared" si="76"/>
        <v>-1</v>
      </c>
    </row>
    <row r="101" spans="1:26" s="56" customFormat="1" x14ac:dyDescent="0.25">
      <c r="A101" s="36"/>
      <c r="B101" s="36"/>
      <c r="C101" s="36"/>
      <c r="D101" s="1"/>
      <c r="E101" s="1"/>
      <c r="F101" s="5"/>
      <c r="G101" s="1"/>
      <c r="H101" s="1"/>
      <c r="I101" s="1"/>
      <c r="J101" s="5"/>
      <c r="K101" s="1"/>
      <c r="L101" s="1"/>
      <c r="M101" s="1"/>
      <c r="N101" s="5"/>
      <c r="O101" s="36"/>
      <c r="P101" s="1"/>
      <c r="Q101" s="1"/>
      <c r="R101" s="5"/>
      <c r="S101" s="1"/>
      <c r="T101" s="1"/>
      <c r="U101" s="1"/>
      <c r="V101" s="5"/>
      <c r="W101" s="1"/>
      <c r="X101" s="1"/>
      <c r="Y101" s="1"/>
      <c r="Z101" s="5"/>
    </row>
    <row r="102" spans="1:26" s="23" customFormat="1" x14ac:dyDescent="0.25">
      <c r="A102" s="10"/>
      <c r="B102" s="29" t="s">
        <v>0</v>
      </c>
      <c r="C102" s="10"/>
      <c r="D102" s="4">
        <f>SUM(0)</f>
        <v>0</v>
      </c>
      <c r="E102" s="4"/>
      <c r="F102" s="12">
        <f>IF(D$12=0,0,D102/D$12)</f>
        <v>0</v>
      </c>
      <c r="G102" s="4"/>
      <c r="H102" s="4">
        <f>SUM(0)</f>
        <v>0</v>
      </c>
      <c r="I102" s="4"/>
      <c r="J102" s="12">
        <f>IF(H$12=0,0,H102/H$12)</f>
        <v>0</v>
      </c>
      <c r="K102" s="4"/>
      <c r="L102" s="4">
        <f>+D102-H102</f>
        <v>0</v>
      </c>
      <c r="M102" s="4"/>
      <c r="N102" s="12">
        <f>IF(H102=0,0,L102/H102)</f>
        <v>0</v>
      </c>
      <c r="O102" s="10"/>
      <c r="P102" s="4">
        <f>SUM(0)</f>
        <v>0</v>
      </c>
      <c r="Q102" s="4"/>
      <c r="R102" s="12">
        <f>IF(P$12=0,0,P102/P$12)</f>
        <v>0</v>
      </c>
      <c r="S102" s="4"/>
      <c r="T102" s="4">
        <f>SUM(0)</f>
        <v>0</v>
      </c>
      <c r="U102" s="4"/>
      <c r="V102" s="12">
        <f>IF(T$12=0,0,T102/T$12)</f>
        <v>0</v>
      </c>
      <c r="W102" s="4"/>
      <c r="X102" s="4">
        <f>+P102-T102</f>
        <v>0</v>
      </c>
      <c r="Y102" s="4"/>
      <c r="Z102" s="12">
        <f>IF(T102=0,0,X102/T102)</f>
        <v>0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10"/>
      <c r="B104" s="28" t="s">
        <v>3</v>
      </c>
      <c r="C104" s="28"/>
      <c r="D104" s="20">
        <f>+D25-D27+D102</f>
        <v>160354.63</v>
      </c>
      <c r="E104" s="14"/>
      <c r="F104" s="22">
        <f>IF(D$12=0,0,D104/D$12)</f>
        <v>0.16261818240673784</v>
      </c>
      <c r="G104" s="14"/>
      <c r="H104" s="20">
        <f>+H25-H27+H102</f>
        <v>397284.74591787974</v>
      </c>
      <c r="I104" s="14"/>
      <c r="J104" s="22">
        <f>IF(H$12=0,0,H104/H$12)</f>
        <v>0.3169350540739882</v>
      </c>
      <c r="K104" s="16"/>
      <c r="L104" s="20">
        <f>+D104-H104</f>
        <v>-236930.11591787974</v>
      </c>
      <c r="M104" s="16"/>
      <c r="N104" s="22">
        <f>IF(H104=0,0,L104/H104)</f>
        <v>-0.59637355411288329</v>
      </c>
      <c r="O104" s="29"/>
      <c r="P104" s="20">
        <f>+P25-P27+P102</f>
        <v>2331728.2800000003</v>
      </c>
      <c r="Q104" s="14"/>
      <c r="R104" s="22">
        <f>IF(P$12=0,0,P104/P$12)</f>
        <v>0.25778500812636457</v>
      </c>
      <c r="S104" s="14"/>
      <c r="T104" s="20">
        <f>+T25-T27+T102</f>
        <v>2389875.6310581975</v>
      </c>
      <c r="U104" s="14"/>
      <c r="V104" s="22">
        <f>IF(T$12=0,0,T104/T$12)</f>
        <v>0.25977967917803146</v>
      </c>
      <c r="W104" s="16"/>
      <c r="X104" s="20">
        <f>+P104-T104</f>
        <v>-58147.351058197208</v>
      </c>
      <c r="Y104" s="16"/>
      <c r="Z104" s="22">
        <f>IF(T104=0,0,X104/T104)</f>
        <v>-2.4330701691138011E-2</v>
      </c>
    </row>
    <row r="105" spans="1:26" x14ac:dyDescent="0.25">
      <c r="A105" s="9"/>
      <c r="B105" s="10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x14ac:dyDescent="0.25">
      <c r="A106" s="52"/>
      <c r="B106" s="10" t="s">
        <v>14</v>
      </c>
      <c r="C106" s="10"/>
      <c r="D106" s="4">
        <v>147831.71000000002</v>
      </c>
      <c r="E106" s="4"/>
      <c r="F106" s="12">
        <f>IF(D$12=0,0,D106/D$12)</f>
        <v>0.14991848992623394</v>
      </c>
      <c r="G106" s="4"/>
      <c r="H106" s="4">
        <v>119825</v>
      </c>
      <c r="I106" s="4"/>
      <c r="J106" s="12">
        <f>IF(H$12=0,0,H106/H$12)</f>
        <v>9.5590740003557981E-2</v>
      </c>
      <c r="K106" s="4"/>
      <c r="L106" s="4">
        <f>+D106-H106</f>
        <v>28006.710000000021</v>
      </c>
      <c r="M106" s="4"/>
      <c r="N106" s="12">
        <f>IF(H106=0,0,L106/H106)</f>
        <v>0.23373010640517439</v>
      </c>
      <c r="O106" s="10"/>
      <c r="P106" s="4">
        <v>969219.79</v>
      </c>
      <c r="Q106" s="4"/>
      <c r="R106" s="12">
        <f>IF(P$12=0,0,P106/P$12)</f>
        <v>0.10715242148256801</v>
      </c>
      <c r="S106" s="4"/>
      <c r="T106" s="4">
        <v>1075353</v>
      </c>
      <c r="U106" s="4"/>
      <c r="V106" s="12">
        <f>IF(T$12=0,0,T106/T$12)</f>
        <v>0.11689096022935717</v>
      </c>
      <c r="W106" s="4"/>
      <c r="X106" s="4">
        <f>+P106-T106</f>
        <v>-106133.20999999996</v>
      </c>
      <c r="Y106" s="4"/>
      <c r="Z106" s="12">
        <f>IF(T106=0,0,X106/T106)</f>
        <v>-9.8696158377760565E-2</v>
      </c>
    </row>
    <row r="107" spans="1:26" x14ac:dyDescent="0.25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.75" thickBot="1" x14ac:dyDescent="0.3">
      <c r="A108" s="10"/>
      <c r="B108" s="28" t="s">
        <v>4</v>
      </c>
      <c r="C108" s="28"/>
      <c r="D108" s="31">
        <f>+D104-D106</f>
        <v>12522.919999999984</v>
      </c>
      <c r="E108" s="14"/>
      <c r="F108" s="34">
        <f>IF(D$12=0,0,D108/D$12)</f>
        <v>1.2699692480503885E-2</v>
      </c>
      <c r="G108" s="14"/>
      <c r="H108" s="31">
        <f>+H104-H106</f>
        <v>277459.74591787974</v>
      </c>
      <c r="I108" s="14"/>
      <c r="J108" s="34">
        <f>IF(H$12=0,0,H108/H$12)</f>
        <v>0.2213443140704302</v>
      </c>
      <c r="K108" s="16"/>
      <c r="L108" s="31">
        <f>D108-H108</f>
        <v>-264936.82591787976</v>
      </c>
      <c r="M108" s="16"/>
      <c r="N108" s="34">
        <f>IF(H108=0,0,L108/H108)</f>
        <v>-0.95486581320626451</v>
      </c>
      <c r="O108" s="29"/>
      <c r="P108" s="31">
        <f>+P104-P106</f>
        <v>1362508.4900000002</v>
      </c>
      <c r="Q108" s="14"/>
      <c r="R108" s="34">
        <f>IF(P$12=0,0,P108/P$12)</f>
        <v>0.15063258664379656</v>
      </c>
      <c r="S108" s="14"/>
      <c r="T108" s="31">
        <f>+T104-T106</f>
        <v>1314522.6310581975</v>
      </c>
      <c r="U108" s="14"/>
      <c r="V108" s="34">
        <f>IF(T$12=0,0,T108/T$12)</f>
        <v>0.14288871894867428</v>
      </c>
      <c r="W108" s="16"/>
      <c r="X108" s="31">
        <f>P108-T108</f>
        <v>47985.858941802755</v>
      </c>
      <c r="Y108" s="16"/>
      <c r="Z108" s="34">
        <f>IF(T108=0,0,X108/T108)</f>
        <v>3.6504399245811302E-2</v>
      </c>
    </row>
    <row r="109" spans="1:26" ht="15.75" thickTop="1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x14ac:dyDescent="0.25">
      <c r="A110" s="9"/>
      <c r="B110" s="9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8" t="s">
        <v>5</v>
      </c>
      <c r="C111" s="28"/>
      <c r="D111" s="32">
        <f>SUM(D108:D110)</f>
        <v>12522.919999999984</v>
      </c>
      <c r="E111" s="14"/>
      <c r="F111" s="35">
        <f>IF(D$12=0,0,D111/D$12)</f>
        <v>1.2699692480503885E-2</v>
      </c>
      <c r="G111" s="14"/>
      <c r="H111" s="32">
        <f>SUM(H108:H110)</f>
        <v>277459.74591787974</v>
      </c>
      <c r="I111" s="14"/>
      <c r="J111" s="35">
        <f>IF(H$12=0,0,H111/H$12)</f>
        <v>0.2213443140704302</v>
      </c>
      <c r="K111" s="16"/>
      <c r="L111" s="32">
        <f>+D111-H111</f>
        <v>-264936.82591787976</v>
      </c>
      <c r="M111" s="16"/>
      <c r="N111" s="35">
        <f>IF(H111=0,0,L111/H111)</f>
        <v>-0.95486581320626451</v>
      </c>
      <c r="O111" s="29"/>
      <c r="P111" s="32">
        <f>SUM(P108:P110)</f>
        <v>1362508.4900000002</v>
      </c>
      <c r="Q111" s="14"/>
      <c r="R111" s="35">
        <f>IF(P$12=0,0,P111/P$12)</f>
        <v>0.15063258664379656</v>
      </c>
      <c r="S111" s="14"/>
      <c r="T111" s="32">
        <f>SUM(T108:T110)</f>
        <v>1314522.6310581975</v>
      </c>
      <c r="U111" s="14"/>
      <c r="V111" s="35">
        <f>IF(T$12=0,0,T111/T$12)</f>
        <v>0.14288871894867428</v>
      </c>
      <c r="W111" s="16"/>
      <c r="X111" s="32">
        <f>+P111-T111</f>
        <v>47985.858941802755</v>
      </c>
      <c r="Y111" s="16"/>
      <c r="Z111" s="35">
        <f>IF(T111=0,0,X111/T111)</f>
        <v>3.6504399245811302E-2</v>
      </c>
    </row>
    <row r="112" spans="1:26" ht="15.75" thickTop="1" x14ac:dyDescent="0.25">
      <c r="A112" s="9"/>
      <c r="C112" s="9"/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  <row r="113" spans="1:24" x14ac:dyDescent="0.25">
      <c r="A113" s="9"/>
      <c r="B113" s="57">
        <v>43934.466092048613</v>
      </c>
      <c r="D113" s="18"/>
      <c r="E113" s="18"/>
      <c r="G113" s="18"/>
      <c r="H113" s="18"/>
      <c r="I113" s="18"/>
      <c r="J113" s="42"/>
      <c r="K113" s="18"/>
      <c r="L113" s="18"/>
      <c r="M113" s="18"/>
      <c r="P113" s="18"/>
      <c r="Q113" s="18"/>
      <c r="R113" s="42"/>
      <c r="S113" s="18"/>
      <c r="T113" s="18"/>
      <c r="U113" s="18"/>
      <c r="V113" s="42"/>
      <c r="W113" s="18"/>
      <c r="X113" s="18"/>
    </row>
    <row r="114" spans="1:24" x14ac:dyDescent="0.25">
      <c r="A114" s="9"/>
      <c r="B114" s="62" t="s">
        <v>314</v>
      </c>
      <c r="D114" s="18"/>
      <c r="E114" s="18"/>
      <c r="G114" s="18"/>
      <c r="H114" s="18"/>
      <c r="I114" s="18"/>
      <c r="J114" s="42"/>
      <c r="K114" s="18"/>
      <c r="L114" s="18"/>
      <c r="M114" s="18"/>
      <c r="P114" s="18"/>
      <c r="Q114" s="18"/>
      <c r="R114" s="42"/>
      <c r="S114" s="18"/>
      <c r="T114" s="18"/>
      <c r="U114" s="18"/>
      <c r="V114" s="42"/>
      <c r="W114" s="18"/>
      <c r="X114" s="18"/>
    </row>
    <row r="115" spans="1:24" x14ac:dyDescent="0.25">
      <c r="A115" s="9"/>
      <c r="B115" s="60"/>
      <c r="D115" s="18"/>
      <c r="E115" s="18"/>
      <c r="G115" s="18"/>
      <c r="H115" s="18"/>
      <c r="I115" s="18"/>
      <c r="J115" s="42"/>
      <c r="K115" s="18"/>
      <c r="L115" s="18"/>
      <c r="M115" s="18"/>
      <c r="P115" s="18"/>
      <c r="Q115" s="18"/>
      <c r="R115" s="42"/>
      <c r="S115" s="18"/>
      <c r="T115" s="18"/>
      <c r="U115" s="18"/>
      <c r="V115" s="42"/>
      <c r="W115" s="18"/>
      <c r="X115" s="18"/>
    </row>
    <row r="116" spans="1:24" x14ac:dyDescent="0.25">
      <c r="D116" s="18"/>
      <c r="E116" s="18"/>
      <c r="G116" s="18"/>
      <c r="H116" s="18"/>
      <c r="I116" s="18"/>
      <c r="J116" s="42"/>
      <c r="K116" s="18"/>
      <c r="L116" s="18"/>
      <c r="M116" s="18"/>
      <c r="P116" s="18"/>
      <c r="Q116" s="18"/>
      <c r="R116" s="42"/>
      <c r="S116" s="18"/>
      <c r="T116" s="18"/>
      <c r="U116" s="18"/>
      <c r="V116" s="42"/>
      <c r="W116" s="18"/>
      <c r="X116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","430", " - ", "Res Hall Management")</f>
        <v>Department 430 - Res Hall Management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17427.299999999996</v>
      </c>
      <c r="E18" s="21"/>
      <c r="F18" s="30">
        <f t="shared" ref="F18:F28" si="0">IF(D$12=0,0,D18/D$12)</f>
        <v>0</v>
      </c>
      <c r="G18" s="21"/>
      <c r="H18" s="21">
        <f>SUM(OSRRefH22x_0)</f>
        <v>13708.050783619999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3719.2492163799961</v>
      </c>
      <c r="M18" s="4"/>
      <c r="N18" s="30">
        <f t="shared" ref="N18:N28" si="3">IF(H18=0,0,L18/H18)</f>
        <v>0.27131860503640642</v>
      </c>
      <c r="O18" s="10"/>
      <c r="P18" s="21">
        <f>SUM(OSRRefP22x_0)</f>
        <v>180145.18</v>
      </c>
      <c r="Q18" s="21"/>
      <c r="R18" s="30">
        <f t="shared" ref="R18:R28" si="4">IF(P$12=0,0,P18/P$12)</f>
        <v>0</v>
      </c>
      <c r="S18" s="21"/>
      <c r="T18" s="21">
        <f>SUM(OSRRefT22x_0)</f>
        <v>129326.995140295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50818.184859704998</v>
      </c>
      <c r="Y18" s="4"/>
      <c r="Z18" s="30">
        <f t="shared" ref="Z18:Z28" si="7">IF(T18=0,0,X18/T18)</f>
        <v>0.39294336657692391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8323.8399999999983</v>
      </c>
      <c r="E19" s="1"/>
      <c r="F19" s="5">
        <f t="shared" si="0"/>
        <v>0</v>
      </c>
      <c r="G19" s="1"/>
      <c r="H19" s="1">
        <f>SUM(OSRRefH22_0x_0)</f>
        <v>4452.5201836199994</v>
      </c>
      <c r="I19" s="1"/>
      <c r="J19" s="5">
        <f t="shared" si="1"/>
        <v>0</v>
      </c>
      <c r="K19" s="1"/>
      <c r="L19" s="1">
        <f t="shared" si="2"/>
        <v>3871.3198163799989</v>
      </c>
      <c r="M19" s="1"/>
      <c r="N19" s="5">
        <f t="shared" si="3"/>
        <v>0.8694671010413092</v>
      </c>
      <c r="O19" s="13"/>
      <c r="P19" s="1">
        <f>SUM(OSRRefP22_0x_0)</f>
        <v>55136.29</v>
      </c>
      <c r="Q19" s="1"/>
      <c r="R19" s="5">
        <f t="shared" si="4"/>
        <v>0</v>
      </c>
      <c r="S19" s="1"/>
      <c r="T19" s="1">
        <f>SUM(OSRRefT22_0x_0)</f>
        <v>41929.321790294998</v>
      </c>
      <c r="U19" s="1"/>
      <c r="V19" s="5">
        <f t="shared" si="5"/>
        <v>0</v>
      </c>
      <c r="W19" s="1"/>
      <c r="X19" s="1">
        <f t="shared" si="6"/>
        <v>13206.968209705003</v>
      </c>
      <c r="Y19" s="1"/>
      <c r="Z19" s="5">
        <f t="shared" si="7"/>
        <v>0.31498167978385716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685.42</v>
      </c>
      <c r="E20" s="2"/>
      <c r="F20" s="7">
        <f t="shared" si="0"/>
        <v>0</v>
      </c>
      <c r="G20" s="2"/>
      <c r="H20" s="6">
        <v>623.33945201999995</v>
      </c>
      <c r="I20" s="2"/>
      <c r="J20" s="7">
        <f t="shared" si="1"/>
        <v>0</v>
      </c>
      <c r="K20" s="2"/>
      <c r="L20" s="6">
        <f t="shared" si="2"/>
        <v>62.080547980000006</v>
      </c>
      <c r="M20" s="2"/>
      <c r="N20" s="7">
        <f t="shared" si="3"/>
        <v>9.9593484382901123E-2</v>
      </c>
      <c r="O20" s="11"/>
      <c r="P20" s="6">
        <v>6847.16</v>
      </c>
      <c r="Q20" s="2"/>
      <c r="R20" s="7">
        <f t="shared" si="4"/>
        <v>0</v>
      </c>
      <c r="S20" s="2"/>
      <c r="T20" s="6">
        <v>6077.559657195</v>
      </c>
      <c r="U20" s="2"/>
      <c r="V20" s="7">
        <f t="shared" si="5"/>
        <v>0</v>
      </c>
      <c r="W20" s="2"/>
      <c r="X20" s="6">
        <f t="shared" si="6"/>
        <v>769.60034280499985</v>
      </c>
      <c r="Y20" s="2"/>
      <c r="Z20" s="7">
        <f t="shared" si="7"/>
        <v>0.12662982944048903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347.63</v>
      </c>
      <c r="E21" s="2"/>
      <c r="F21" s="7">
        <f t="shared" si="0"/>
        <v>0</v>
      </c>
      <c r="G21" s="2"/>
      <c r="H21" s="6">
        <v>316.02731920000002</v>
      </c>
      <c r="I21" s="2"/>
      <c r="J21" s="7">
        <f t="shared" si="1"/>
        <v>0</v>
      </c>
      <c r="K21" s="2"/>
      <c r="L21" s="6">
        <f t="shared" si="2"/>
        <v>31.602680799999973</v>
      </c>
      <c r="M21" s="2"/>
      <c r="N21" s="7">
        <f t="shared" si="3"/>
        <v>9.999983824183252E-2</v>
      </c>
      <c r="O21" s="11"/>
      <c r="P21" s="6">
        <v>2882.44</v>
      </c>
      <c r="Q21" s="2"/>
      <c r="R21" s="7">
        <f t="shared" si="4"/>
        <v>0</v>
      </c>
      <c r="S21" s="2"/>
      <c r="T21" s="6">
        <v>3081.2663622</v>
      </c>
      <c r="U21" s="2"/>
      <c r="V21" s="7">
        <f t="shared" si="5"/>
        <v>0</v>
      </c>
      <c r="W21" s="2"/>
      <c r="X21" s="6">
        <f t="shared" si="6"/>
        <v>-198.82636219999995</v>
      </c>
      <c r="Y21" s="2"/>
      <c r="Z21" s="7">
        <f t="shared" si="7"/>
        <v>-6.4527482803544284E-2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2737.9</v>
      </c>
      <c r="E22" s="2"/>
      <c r="F22" s="7">
        <f t="shared" si="0"/>
        <v>0</v>
      </c>
      <c r="G22" s="2"/>
      <c r="H22" s="6">
        <v>1977</v>
      </c>
      <c r="I22" s="2"/>
      <c r="J22" s="7">
        <f t="shared" si="1"/>
        <v>0</v>
      </c>
      <c r="K22" s="2"/>
      <c r="L22" s="6">
        <f t="shared" si="2"/>
        <v>760.90000000000009</v>
      </c>
      <c r="M22" s="2"/>
      <c r="N22" s="7">
        <f t="shared" si="3"/>
        <v>0.38487607486090042</v>
      </c>
      <c r="O22" s="11"/>
      <c r="P22" s="6">
        <v>24597.3</v>
      </c>
      <c r="Q22" s="2"/>
      <c r="R22" s="7">
        <f t="shared" si="4"/>
        <v>0</v>
      </c>
      <c r="S22" s="2"/>
      <c r="T22" s="6">
        <v>17793</v>
      </c>
      <c r="U22" s="2"/>
      <c r="V22" s="7">
        <f t="shared" si="5"/>
        <v>0</v>
      </c>
      <c r="W22" s="2"/>
      <c r="X22" s="6">
        <f t="shared" si="6"/>
        <v>6804.2999999999993</v>
      </c>
      <c r="Y22" s="2"/>
      <c r="Z22" s="7">
        <f t="shared" si="7"/>
        <v>0.38241443264205022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23.29</v>
      </c>
      <c r="E23" s="2"/>
      <c r="F23" s="7">
        <f t="shared" si="0"/>
        <v>0</v>
      </c>
      <c r="G23" s="2"/>
      <c r="H23" s="6">
        <v>21.177088399999999</v>
      </c>
      <c r="I23" s="2"/>
      <c r="J23" s="7">
        <f t="shared" si="1"/>
        <v>0</v>
      </c>
      <c r="K23" s="2"/>
      <c r="L23" s="6">
        <f t="shared" si="2"/>
        <v>2.1129116000000003</v>
      </c>
      <c r="M23" s="2"/>
      <c r="N23" s="7">
        <f t="shared" si="3"/>
        <v>9.9773470275545548E-2</v>
      </c>
      <c r="O23" s="11"/>
      <c r="P23" s="6">
        <v>232.22</v>
      </c>
      <c r="Q23" s="2"/>
      <c r="R23" s="7">
        <f t="shared" si="4"/>
        <v>0</v>
      </c>
      <c r="S23" s="2"/>
      <c r="T23" s="6">
        <v>206.47661189999999</v>
      </c>
      <c r="U23" s="2"/>
      <c r="V23" s="7">
        <f t="shared" si="5"/>
        <v>0</v>
      </c>
      <c r="W23" s="2"/>
      <c r="X23" s="6">
        <f t="shared" si="6"/>
        <v>25.743388100000004</v>
      </c>
      <c r="Y23" s="2"/>
      <c r="Z23" s="7">
        <f t="shared" si="7"/>
        <v>0.12467943881444524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625.82000000000005</v>
      </c>
      <c r="E24" s="2"/>
      <c r="F24" s="7">
        <f t="shared" si="0"/>
        <v>0</v>
      </c>
      <c r="G24" s="2"/>
      <c r="H24" s="6">
        <v>700.47292400000003</v>
      </c>
      <c r="I24" s="2"/>
      <c r="J24" s="7">
        <f t="shared" si="1"/>
        <v>0</v>
      </c>
      <c r="K24" s="2"/>
      <c r="L24" s="6">
        <f t="shared" si="2"/>
        <v>-74.652923999999985</v>
      </c>
      <c r="M24" s="2"/>
      <c r="N24" s="7">
        <f t="shared" si="3"/>
        <v>-0.106575031585375</v>
      </c>
      <c r="O24" s="11"/>
      <c r="P24" s="6">
        <v>5461.73</v>
      </c>
      <c r="Q24" s="2"/>
      <c r="R24" s="7">
        <f t="shared" si="4"/>
        <v>0</v>
      </c>
      <c r="S24" s="2"/>
      <c r="T24" s="6">
        <v>6829.6110090000002</v>
      </c>
      <c r="U24" s="2"/>
      <c r="V24" s="7">
        <f t="shared" si="5"/>
        <v>0</v>
      </c>
      <c r="W24" s="2"/>
      <c r="X24" s="6">
        <f t="shared" si="6"/>
        <v>-1367.8810090000006</v>
      </c>
      <c r="Y24" s="2"/>
      <c r="Z24" s="7">
        <f t="shared" si="7"/>
        <v>-0.2002868109468342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2451.64</v>
      </c>
      <c r="E26" s="2"/>
      <c r="F26" s="7">
        <f t="shared" si="0"/>
        <v>0</v>
      </c>
      <c r="G26" s="2"/>
      <c r="H26" s="6">
        <v>570.15237999999999</v>
      </c>
      <c r="I26" s="2"/>
      <c r="J26" s="7">
        <f t="shared" si="1"/>
        <v>0</v>
      </c>
      <c r="K26" s="2"/>
      <c r="L26" s="6">
        <f t="shared" si="2"/>
        <v>1881.4876199999999</v>
      </c>
      <c r="M26" s="2"/>
      <c r="N26" s="7">
        <f t="shared" si="3"/>
        <v>3.2999732808271358</v>
      </c>
      <c r="O26" s="11"/>
      <c r="P26" s="6">
        <v>9187.49</v>
      </c>
      <c r="Q26" s="2"/>
      <c r="R26" s="7">
        <f t="shared" si="4"/>
        <v>0</v>
      </c>
      <c r="S26" s="2"/>
      <c r="T26" s="6">
        <v>5558.9857050000001</v>
      </c>
      <c r="U26" s="2"/>
      <c r="V26" s="7">
        <f t="shared" si="5"/>
        <v>0</v>
      </c>
      <c r="W26" s="2"/>
      <c r="X26" s="6">
        <f t="shared" si="6"/>
        <v>3628.5042949999997</v>
      </c>
      <c r="Y26" s="2"/>
      <c r="Z26" s="7">
        <f t="shared" si="7"/>
        <v>0.6527277614217214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1279.58</v>
      </c>
      <c r="E27" s="2"/>
      <c r="F27" s="7">
        <f t="shared" si="0"/>
        <v>0</v>
      </c>
      <c r="G27" s="2"/>
      <c r="H27" s="6">
        <v>244.35102000000001</v>
      </c>
      <c r="I27" s="2"/>
      <c r="J27" s="7">
        <f t="shared" si="1"/>
        <v>0</v>
      </c>
      <c r="K27" s="2"/>
      <c r="L27" s="6">
        <f t="shared" si="2"/>
        <v>1035.2289799999999</v>
      </c>
      <c r="M27" s="2"/>
      <c r="N27" s="7">
        <f t="shared" si="3"/>
        <v>4.2366468533669304</v>
      </c>
      <c r="O27" s="11"/>
      <c r="P27" s="6">
        <v>4703.3599999999997</v>
      </c>
      <c r="Q27" s="2"/>
      <c r="R27" s="7">
        <f t="shared" si="4"/>
        <v>0</v>
      </c>
      <c r="S27" s="2"/>
      <c r="T27" s="6">
        <v>2382.4224449999997</v>
      </c>
      <c r="U27" s="2"/>
      <c r="V27" s="7">
        <f t="shared" si="5"/>
        <v>0</v>
      </c>
      <c r="W27" s="2"/>
      <c r="X27" s="6">
        <f t="shared" si="6"/>
        <v>2320.937555</v>
      </c>
      <c r="Y27" s="2"/>
      <c r="Z27" s="7">
        <f t="shared" si="7"/>
        <v>0.97419228058019758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>
        <v>172.56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172.56</v>
      </c>
      <c r="M28" s="2"/>
      <c r="N28" s="7">
        <f t="shared" si="3"/>
        <v>0</v>
      </c>
      <c r="O28" s="11"/>
      <c r="P28" s="6">
        <v>1224.5899999999999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1224.5899999999999</v>
      </c>
      <c r="Y28" s="2"/>
      <c r="Z28" s="7">
        <f t="shared" si="7"/>
        <v>0</v>
      </c>
    </row>
    <row r="29" spans="1:26" s="27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8959.5400000000009</v>
      </c>
      <c r="E29" s="1"/>
      <c r="F29" s="5">
        <f t="shared" ref="F29:F39" si="8">IF(D$12=0,0,D29/D$12)</f>
        <v>0</v>
      </c>
      <c r="G29" s="1"/>
      <c r="H29" s="1">
        <f>SUM(OSRRefH22_1x_0)</f>
        <v>7330.5306</v>
      </c>
      <c r="I29" s="1"/>
      <c r="J29" s="5">
        <f t="shared" ref="J29:J39" si="9">IF(H$12=0,0,H29/H$12)</f>
        <v>0</v>
      </c>
      <c r="K29" s="1"/>
      <c r="L29" s="1">
        <f t="shared" ref="L29:L39" si="10">+D29-H29</f>
        <v>1629.0094000000008</v>
      </c>
      <c r="M29" s="1"/>
      <c r="N29" s="5">
        <f t="shared" ref="N29:N39" si="11">IF(H29=0,0,L29/H29)</f>
        <v>0.22222257690323274</v>
      </c>
      <c r="O29" s="13"/>
      <c r="P29" s="1">
        <f>SUM(OSRRefP22_1x_0)</f>
        <v>71472.86</v>
      </c>
      <c r="Q29" s="1"/>
      <c r="R29" s="5">
        <f t="shared" ref="R29:R39" si="12">IF(P$12=0,0,P29/P$12)</f>
        <v>0</v>
      </c>
      <c r="S29" s="1"/>
      <c r="T29" s="1">
        <f>SUM(OSRRefT22_1x_0)</f>
        <v>71472.673349999997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0.18665000000328291</v>
      </c>
      <c r="Y29" s="1"/>
      <c r="Z29" s="5">
        <f t="shared" ref="Z29:Z39" si="15">IF(T29=0,0,X29/T29)</f>
        <v>2.6114875973543381E-6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6">
        <v>8959.5400000000009</v>
      </c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8959.5400000000009</v>
      </c>
      <c r="M30" s="2"/>
      <c r="N30" s="7">
        <f t="shared" si="11"/>
        <v>0</v>
      </c>
      <c r="O30" s="11"/>
      <c r="P30" s="6">
        <v>71472.86</v>
      </c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71472.86</v>
      </c>
      <c r="Y30" s="2"/>
      <c r="Z30" s="7">
        <f t="shared" si="15"/>
        <v>0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7330.5306</v>
      </c>
      <c r="I31" s="2"/>
      <c r="J31" s="7">
        <f t="shared" si="9"/>
        <v>0</v>
      </c>
      <c r="K31" s="2"/>
      <c r="L31" s="6">
        <f t="shared" si="10"/>
        <v>-7330.5306</v>
      </c>
      <c r="M31" s="2"/>
      <c r="N31" s="7">
        <f t="shared" si="11"/>
        <v>-1</v>
      </c>
      <c r="O31" s="11"/>
      <c r="P31" s="6"/>
      <c r="Q31" s="2"/>
      <c r="R31" s="7">
        <f t="shared" si="12"/>
        <v>0</v>
      </c>
      <c r="S31" s="2"/>
      <c r="T31" s="6">
        <v>71472.673349999997</v>
      </c>
      <c r="U31" s="2"/>
      <c r="V31" s="7">
        <f t="shared" si="13"/>
        <v>0</v>
      </c>
      <c r="W31" s="2"/>
      <c r="X31" s="6">
        <f t="shared" si="14"/>
        <v>-71472.673349999997</v>
      </c>
      <c r="Y31" s="2"/>
      <c r="Z31" s="7">
        <f t="shared" si="15"/>
        <v>-1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7" customFormat="1" outlineLevel="1" collapsed="1" x14ac:dyDescent="0.25">
      <c r="A40" s="26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53" si="16">IF(D$12=0,0,D40/D$12)</f>
        <v>0</v>
      </c>
      <c r="G40" s="1"/>
      <c r="H40" s="1">
        <f>SUM(OSRRefH22_2x_0)</f>
        <v>125</v>
      </c>
      <c r="I40" s="1"/>
      <c r="J40" s="5">
        <f t="shared" ref="J40:J53" si="17">IF(H$12=0,0,H40/H$12)</f>
        <v>0</v>
      </c>
      <c r="K40" s="1"/>
      <c r="L40" s="1">
        <f t="shared" ref="L40:L53" si="18">+D40-H40</f>
        <v>-125</v>
      </c>
      <c r="M40" s="1"/>
      <c r="N40" s="5">
        <f t="shared" ref="N40:N53" si="19">IF(H40=0,0,L40/H40)</f>
        <v>-1</v>
      </c>
      <c r="O40" s="13"/>
      <c r="P40" s="1">
        <f>SUM(OSRRefP22_2x_0)</f>
        <v>0</v>
      </c>
      <c r="Q40" s="1"/>
      <c r="R40" s="5">
        <f t="shared" ref="R40:R53" si="20">IF(P$12=0,0,P40/P$12)</f>
        <v>0</v>
      </c>
      <c r="S40" s="1"/>
      <c r="T40" s="1">
        <f>SUM(OSRRefT22_2x_0)</f>
        <v>1125</v>
      </c>
      <c r="U40" s="1"/>
      <c r="V40" s="5">
        <f t="shared" ref="V40:V53" si="21">IF(T$12=0,0,T40/T$12)</f>
        <v>0</v>
      </c>
      <c r="W40" s="1"/>
      <c r="X40" s="1">
        <f t="shared" ref="X40:X53" si="22">+P40-T40</f>
        <v>-1125</v>
      </c>
      <c r="Y40" s="1"/>
      <c r="Z40" s="5">
        <f t="shared" ref="Z40:Z53" si="23">IF(T40=0,0,X40/T40)</f>
        <v>-1</v>
      </c>
    </row>
    <row r="41" spans="1:26" s="24" customFormat="1" hidden="1" outlineLevel="2" x14ac:dyDescent="0.25">
      <c r="A41" s="25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>
        <v>125</v>
      </c>
      <c r="I41" s="2"/>
      <c r="J41" s="7">
        <f t="shared" si="17"/>
        <v>0</v>
      </c>
      <c r="K41" s="2"/>
      <c r="L41" s="6">
        <f t="shared" si="18"/>
        <v>-125</v>
      </c>
      <c r="M41" s="2"/>
      <c r="N41" s="7">
        <f t="shared" si="19"/>
        <v>-1</v>
      </c>
      <c r="O41" s="11"/>
      <c r="P41" s="6"/>
      <c r="Q41" s="2"/>
      <c r="R41" s="7">
        <f t="shared" si="20"/>
        <v>0</v>
      </c>
      <c r="S41" s="2"/>
      <c r="T41" s="6">
        <v>1125</v>
      </c>
      <c r="U41" s="2"/>
      <c r="V41" s="7">
        <f t="shared" si="21"/>
        <v>0</v>
      </c>
      <c r="W41" s="2"/>
      <c r="X41" s="6">
        <f t="shared" si="22"/>
        <v>-1125</v>
      </c>
      <c r="Y41" s="2"/>
      <c r="Z41" s="7">
        <f t="shared" si="23"/>
        <v>-1</v>
      </c>
    </row>
    <row r="42" spans="1:26" s="27" customFormat="1" outlineLevel="1" collapsed="1" x14ac:dyDescent="0.25">
      <c r="A42" s="26"/>
      <c r="B42" s="13" t="str">
        <f>CONCATENATE("     ","Donations                                         ")</f>
        <v xml:space="preserve">     Donations                                         </v>
      </c>
      <c r="C42" s="13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100</v>
      </c>
      <c r="I42" s="1"/>
      <c r="J42" s="5">
        <f t="shared" si="17"/>
        <v>0</v>
      </c>
      <c r="K42" s="1"/>
      <c r="L42" s="1">
        <f t="shared" si="18"/>
        <v>-100</v>
      </c>
      <c r="M42" s="1"/>
      <c r="N42" s="5">
        <f t="shared" si="19"/>
        <v>-1</v>
      </c>
      <c r="O42" s="13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900</v>
      </c>
      <c r="U42" s="1"/>
      <c r="V42" s="5">
        <f t="shared" si="21"/>
        <v>0</v>
      </c>
      <c r="W42" s="1"/>
      <c r="X42" s="1">
        <f t="shared" si="22"/>
        <v>-900</v>
      </c>
      <c r="Y42" s="1"/>
      <c r="Z42" s="5">
        <f t="shared" si="23"/>
        <v>-1</v>
      </c>
    </row>
    <row r="43" spans="1:26" s="24" customFormat="1" hidden="1" outlineLevel="2" x14ac:dyDescent="0.25">
      <c r="A43" s="25"/>
      <c r="B43" s="11" t="str">
        <f>CONCATENATE("          ", "6396", " - ", "COUPONS-CHARTROOM")</f>
        <v xml:space="preserve">          6396 - COUPONS-CHARTROOM</v>
      </c>
      <c r="C43" s="11"/>
      <c r="D43" s="6"/>
      <c r="E43" s="2"/>
      <c r="F43" s="7">
        <f t="shared" si="16"/>
        <v>0</v>
      </c>
      <c r="G43" s="2"/>
      <c r="H43" s="6">
        <v>100</v>
      </c>
      <c r="I43" s="2"/>
      <c r="J43" s="7">
        <f t="shared" si="17"/>
        <v>0</v>
      </c>
      <c r="K43" s="2"/>
      <c r="L43" s="6">
        <f t="shared" si="18"/>
        <v>-100</v>
      </c>
      <c r="M43" s="2"/>
      <c r="N43" s="7">
        <f t="shared" si="19"/>
        <v>-1</v>
      </c>
      <c r="O43" s="11"/>
      <c r="P43" s="6"/>
      <c r="Q43" s="2"/>
      <c r="R43" s="7">
        <f t="shared" si="20"/>
        <v>0</v>
      </c>
      <c r="S43" s="2"/>
      <c r="T43" s="6">
        <v>900</v>
      </c>
      <c r="U43" s="2"/>
      <c r="V43" s="7">
        <f t="shared" si="21"/>
        <v>0</v>
      </c>
      <c r="W43" s="2"/>
      <c r="X43" s="6">
        <f t="shared" si="22"/>
        <v>-900</v>
      </c>
      <c r="Y43" s="2"/>
      <c r="Z43" s="7">
        <f t="shared" si="23"/>
        <v>-1</v>
      </c>
    </row>
    <row r="44" spans="1:26" s="27" customFormat="1" outlineLevel="1" collapsed="1" x14ac:dyDescent="0.25">
      <c r="A44" s="26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300</v>
      </c>
      <c r="I44" s="1"/>
      <c r="J44" s="5">
        <f t="shared" si="17"/>
        <v>0</v>
      </c>
      <c r="K44" s="1"/>
      <c r="L44" s="1">
        <f t="shared" si="18"/>
        <v>-300</v>
      </c>
      <c r="M44" s="1"/>
      <c r="N44" s="5">
        <f t="shared" si="19"/>
        <v>-1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2700</v>
      </c>
      <c r="U44" s="1"/>
      <c r="V44" s="5">
        <f t="shared" si="21"/>
        <v>0</v>
      </c>
      <c r="W44" s="1"/>
      <c r="X44" s="1">
        <f t="shared" si="22"/>
        <v>-2700</v>
      </c>
      <c r="Y44" s="1"/>
      <c r="Z44" s="5">
        <f t="shared" si="23"/>
        <v>-1</v>
      </c>
    </row>
    <row r="45" spans="1:26" s="24" customFormat="1" hidden="1" outlineLevel="2" x14ac:dyDescent="0.25">
      <c r="A45" s="25"/>
      <c r="B45" s="11" t="str">
        <f>CONCATENATE("          ", "6277", " - ", "EMPLOYEE APPRECIATION")</f>
        <v xml:space="preserve">          6277 - EMPLOYEE APPRECIATION</v>
      </c>
      <c r="C45" s="11"/>
      <c r="D45" s="6"/>
      <c r="E45" s="2"/>
      <c r="F45" s="7">
        <f t="shared" si="16"/>
        <v>0</v>
      </c>
      <c r="G45" s="2"/>
      <c r="H45" s="6">
        <v>300</v>
      </c>
      <c r="I45" s="2"/>
      <c r="J45" s="7">
        <f t="shared" si="17"/>
        <v>0</v>
      </c>
      <c r="K45" s="2"/>
      <c r="L45" s="6">
        <f t="shared" si="18"/>
        <v>-300</v>
      </c>
      <c r="M45" s="2"/>
      <c r="N45" s="7">
        <f t="shared" si="19"/>
        <v>-1</v>
      </c>
      <c r="O45" s="11"/>
      <c r="P45" s="6"/>
      <c r="Q45" s="2"/>
      <c r="R45" s="7">
        <f t="shared" si="20"/>
        <v>0</v>
      </c>
      <c r="S45" s="2"/>
      <c r="T45" s="6">
        <v>2700</v>
      </c>
      <c r="U45" s="2"/>
      <c r="V45" s="7">
        <f t="shared" si="21"/>
        <v>0</v>
      </c>
      <c r="W45" s="2"/>
      <c r="X45" s="6">
        <f t="shared" si="22"/>
        <v>-2700</v>
      </c>
      <c r="Y45" s="2"/>
      <c r="Z45" s="7">
        <f t="shared" si="23"/>
        <v>-1</v>
      </c>
    </row>
    <row r="46" spans="1:26" s="27" customFormat="1" outlineLevel="1" collapsed="1" x14ac:dyDescent="0.25">
      <c r="A46" s="26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200</v>
      </c>
      <c r="I46" s="1"/>
      <c r="J46" s="5">
        <f t="shared" si="17"/>
        <v>0</v>
      </c>
      <c r="K46" s="1"/>
      <c r="L46" s="1">
        <f t="shared" si="18"/>
        <v>-200</v>
      </c>
      <c r="M46" s="1"/>
      <c r="N46" s="5">
        <f t="shared" si="19"/>
        <v>-1</v>
      </c>
      <c r="O46" s="13"/>
      <c r="P46" s="1">
        <f>SUM(OSRRefP22_5x_0)</f>
        <v>206.82</v>
      </c>
      <c r="Q46" s="1"/>
      <c r="R46" s="5">
        <f t="shared" si="20"/>
        <v>0</v>
      </c>
      <c r="S46" s="1"/>
      <c r="T46" s="1">
        <f>SUM(OSRRefT22_5x_0)</f>
        <v>1800</v>
      </c>
      <c r="U46" s="1"/>
      <c r="V46" s="5">
        <f t="shared" si="21"/>
        <v>0</v>
      </c>
      <c r="W46" s="1"/>
      <c r="X46" s="1">
        <f t="shared" si="22"/>
        <v>-1593.18</v>
      </c>
      <c r="Y46" s="1"/>
      <c r="Z46" s="5">
        <f t="shared" si="23"/>
        <v>-0.8851</v>
      </c>
    </row>
    <row r="47" spans="1:26" s="24" customFormat="1" hidden="1" outlineLevel="2" x14ac:dyDescent="0.25">
      <c r="A47" s="25"/>
      <c r="B47" s="11" t="str">
        <f>CONCATENATE("          ", "6279", " - ", "GENERAL EXPENSE")</f>
        <v xml:space="preserve">          6279 - GENERAL EXPENSE</v>
      </c>
      <c r="C47" s="11"/>
      <c r="D47" s="6"/>
      <c r="E47" s="2"/>
      <c r="F47" s="7">
        <f t="shared" si="16"/>
        <v>0</v>
      </c>
      <c r="G47" s="2"/>
      <c r="H47" s="6">
        <v>200</v>
      </c>
      <c r="I47" s="2"/>
      <c r="J47" s="7">
        <f t="shared" si="17"/>
        <v>0</v>
      </c>
      <c r="K47" s="2"/>
      <c r="L47" s="6">
        <f t="shared" si="18"/>
        <v>-200</v>
      </c>
      <c r="M47" s="2"/>
      <c r="N47" s="7">
        <f t="shared" si="19"/>
        <v>-1</v>
      </c>
      <c r="O47" s="11"/>
      <c r="P47" s="6">
        <v>206.82</v>
      </c>
      <c r="Q47" s="2"/>
      <c r="R47" s="7">
        <f t="shared" si="20"/>
        <v>0</v>
      </c>
      <c r="S47" s="2"/>
      <c r="T47" s="6">
        <v>1800</v>
      </c>
      <c r="U47" s="2"/>
      <c r="V47" s="7">
        <f t="shared" si="21"/>
        <v>0</v>
      </c>
      <c r="W47" s="2"/>
      <c r="X47" s="6">
        <f t="shared" si="22"/>
        <v>-1593.18</v>
      </c>
      <c r="Y47" s="2"/>
      <c r="Z47" s="7">
        <f t="shared" si="23"/>
        <v>-0.8851</v>
      </c>
    </row>
    <row r="48" spans="1:26" s="27" customFormat="1" outlineLevel="1" collapsed="1" x14ac:dyDescent="0.25">
      <c r="A48" s="26"/>
      <c r="B48" s="13" t="str">
        <f>CONCATENATE("     ","Repair and Maintenance                            ")</f>
        <v xml:space="preserve">     Repair and Maintenance                            </v>
      </c>
      <c r="C48" s="13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3"/>
      <c r="P48" s="1">
        <f>SUM(OSRRefP22_6x_0)</f>
        <v>46585.43</v>
      </c>
      <c r="Q48" s="1"/>
      <c r="R48" s="5">
        <f t="shared" si="20"/>
        <v>0</v>
      </c>
      <c r="S48" s="1"/>
      <c r="T48" s="1">
        <f>SUM(OSRRefT22_6x_0)</f>
        <v>0</v>
      </c>
      <c r="U48" s="1"/>
      <c r="V48" s="5">
        <f t="shared" si="21"/>
        <v>0</v>
      </c>
      <c r="W48" s="1"/>
      <c r="X48" s="1">
        <f t="shared" si="22"/>
        <v>46585.43</v>
      </c>
      <c r="Y48" s="1"/>
      <c r="Z48" s="5">
        <f t="shared" si="23"/>
        <v>0</v>
      </c>
    </row>
    <row r="49" spans="1:26" s="24" customFormat="1" hidden="1" outlineLevel="2" x14ac:dyDescent="0.25">
      <c r="A49" s="25"/>
      <c r="B49" s="11" t="str">
        <f>CONCATENATE("          ", "6371", " - ", "COMPUTER SOFTWARE MAINTENANCE")</f>
        <v xml:space="preserve">          6371 - COMPUTER SOFTWARE MAINTENANCE</v>
      </c>
      <c r="C49" s="11"/>
      <c r="D49" s="6"/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0</v>
      </c>
      <c r="M49" s="2"/>
      <c r="N49" s="7">
        <f t="shared" si="19"/>
        <v>0</v>
      </c>
      <c r="O49" s="11"/>
      <c r="P49" s="6">
        <v>46585.43</v>
      </c>
      <c r="Q49" s="2"/>
      <c r="R49" s="7">
        <f t="shared" si="20"/>
        <v>0</v>
      </c>
      <c r="S49" s="2"/>
      <c r="T49" s="6">
        <v>0</v>
      </c>
      <c r="U49" s="2"/>
      <c r="V49" s="7">
        <f t="shared" si="21"/>
        <v>0</v>
      </c>
      <c r="W49" s="2"/>
      <c r="X49" s="6">
        <f t="shared" si="22"/>
        <v>46585.43</v>
      </c>
      <c r="Y49" s="2"/>
      <c r="Z49" s="7">
        <f t="shared" si="23"/>
        <v>0</v>
      </c>
    </row>
    <row r="50" spans="1:26" s="27" customFormat="1" outlineLevel="1" collapsed="1" x14ac:dyDescent="0.25">
      <c r="A50" s="26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SUM(OSRRefD22_7x_0)</f>
        <v>93.92</v>
      </c>
      <c r="E50" s="1"/>
      <c r="F50" s="5">
        <f t="shared" si="16"/>
        <v>0</v>
      </c>
      <c r="G50" s="1"/>
      <c r="H50" s="1">
        <f>SUM(OSRRefH22_7x_0)</f>
        <v>500</v>
      </c>
      <c r="I50" s="1"/>
      <c r="J50" s="5">
        <f t="shared" si="17"/>
        <v>0</v>
      </c>
      <c r="K50" s="1"/>
      <c r="L50" s="1">
        <f t="shared" si="18"/>
        <v>-406.08</v>
      </c>
      <c r="M50" s="1"/>
      <c r="N50" s="5">
        <f t="shared" si="19"/>
        <v>-0.81215999999999999</v>
      </c>
      <c r="O50" s="13"/>
      <c r="P50" s="1">
        <f>SUM(OSRRefP22_7x_0)</f>
        <v>3917.81</v>
      </c>
      <c r="Q50" s="1"/>
      <c r="R50" s="5">
        <f t="shared" si="20"/>
        <v>0</v>
      </c>
      <c r="S50" s="1"/>
      <c r="T50" s="1">
        <f>SUM(OSRRefT22_7x_0)</f>
        <v>3100</v>
      </c>
      <c r="U50" s="1"/>
      <c r="V50" s="5">
        <f t="shared" si="21"/>
        <v>0</v>
      </c>
      <c r="W50" s="1"/>
      <c r="X50" s="1">
        <f t="shared" si="22"/>
        <v>817.81</v>
      </c>
      <c r="Y50" s="1"/>
      <c r="Z50" s="5">
        <f t="shared" si="23"/>
        <v>0.26380967741935485</v>
      </c>
    </row>
    <row r="51" spans="1:26" s="24" customFormat="1" hidden="1" outlineLevel="2" x14ac:dyDescent="0.25">
      <c r="A51" s="25"/>
      <c r="B51" s="11" t="str">
        <f>CONCATENATE("          ", "6234", " - ", "EXPENDABLE SUPPLIES &amp; EQUIPMEN")</f>
        <v xml:space="preserve">          6234 - EXPENDABLE SUPPLIES &amp; EQUIPMEN</v>
      </c>
      <c r="C51" s="11"/>
      <c r="D51" s="6"/>
      <c r="E51" s="2"/>
      <c r="F51" s="7">
        <f t="shared" si="16"/>
        <v>0</v>
      </c>
      <c r="G51" s="2"/>
      <c r="H51" s="6">
        <v>200</v>
      </c>
      <c r="I51" s="2"/>
      <c r="J51" s="7">
        <f t="shared" si="17"/>
        <v>0</v>
      </c>
      <c r="K51" s="2"/>
      <c r="L51" s="6">
        <f t="shared" si="18"/>
        <v>-200</v>
      </c>
      <c r="M51" s="2"/>
      <c r="N51" s="7">
        <f t="shared" si="19"/>
        <v>-1</v>
      </c>
      <c r="O51" s="11"/>
      <c r="P51" s="6"/>
      <c r="Q51" s="2"/>
      <c r="R51" s="7">
        <f t="shared" si="20"/>
        <v>0</v>
      </c>
      <c r="S51" s="2"/>
      <c r="T51" s="6">
        <v>1000</v>
      </c>
      <c r="U51" s="2"/>
      <c r="V51" s="7">
        <f t="shared" si="21"/>
        <v>0</v>
      </c>
      <c r="W51" s="2"/>
      <c r="X51" s="6">
        <f t="shared" si="22"/>
        <v>-1000</v>
      </c>
      <c r="Y51" s="2"/>
      <c r="Z51" s="7">
        <f t="shared" si="23"/>
        <v>-1</v>
      </c>
    </row>
    <row r="52" spans="1:26" s="24" customFormat="1" hidden="1" outlineLevel="2" x14ac:dyDescent="0.25">
      <c r="A52" s="25"/>
      <c r="B52" s="11" t="str">
        <f>CONCATENATE("          ", "6239", " - ", "KITCHEN SUPPLIES")</f>
        <v xml:space="preserve">          6239 - KITCHEN SUPPLIES</v>
      </c>
      <c r="C52" s="11"/>
      <c r="D52" s="6"/>
      <c r="E52" s="2"/>
      <c r="F52" s="7">
        <f t="shared" si="16"/>
        <v>0</v>
      </c>
      <c r="G52" s="2"/>
      <c r="H52" s="6">
        <v>100</v>
      </c>
      <c r="I52" s="2"/>
      <c r="J52" s="7">
        <f t="shared" si="17"/>
        <v>0</v>
      </c>
      <c r="K52" s="2"/>
      <c r="L52" s="6">
        <f t="shared" si="18"/>
        <v>-100</v>
      </c>
      <c r="M52" s="2"/>
      <c r="N52" s="7">
        <f t="shared" si="19"/>
        <v>-1</v>
      </c>
      <c r="O52" s="11"/>
      <c r="P52" s="6"/>
      <c r="Q52" s="2"/>
      <c r="R52" s="7">
        <f t="shared" si="20"/>
        <v>0</v>
      </c>
      <c r="S52" s="2"/>
      <c r="T52" s="6">
        <v>900</v>
      </c>
      <c r="U52" s="2"/>
      <c r="V52" s="7">
        <f t="shared" si="21"/>
        <v>0</v>
      </c>
      <c r="W52" s="2"/>
      <c r="X52" s="6">
        <f t="shared" si="22"/>
        <v>-900</v>
      </c>
      <c r="Y52" s="2"/>
      <c r="Z52" s="7">
        <f t="shared" si="23"/>
        <v>-1</v>
      </c>
    </row>
    <row r="53" spans="1:26" s="24" customFormat="1" hidden="1" outlineLevel="2" x14ac:dyDescent="0.25">
      <c r="A53" s="25"/>
      <c r="B53" s="11" t="str">
        <f>CONCATENATE("          ", "6241", " - ", "OFFICE EXPENSE")</f>
        <v xml:space="preserve">          6241 - OFFICE EXPENSE</v>
      </c>
      <c r="C53" s="11"/>
      <c r="D53" s="6">
        <v>93.92</v>
      </c>
      <c r="E53" s="2"/>
      <c r="F53" s="7">
        <f t="shared" si="16"/>
        <v>0</v>
      </c>
      <c r="G53" s="2"/>
      <c r="H53" s="6">
        <v>200</v>
      </c>
      <c r="I53" s="2"/>
      <c r="J53" s="7">
        <f t="shared" si="17"/>
        <v>0</v>
      </c>
      <c r="K53" s="2"/>
      <c r="L53" s="6">
        <f t="shared" si="18"/>
        <v>-106.08</v>
      </c>
      <c r="M53" s="2"/>
      <c r="N53" s="7">
        <f t="shared" si="19"/>
        <v>-0.53039999999999998</v>
      </c>
      <c r="O53" s="11"/>
      <c r="P53" s="6">
        <v>3917.81</v>
      </c>
      <c r="Q53" s="2"/>
      <c r="R53" s="7">
        <f t="shared" si="20"/>
        <v>0</v>
      </c>
      <c r="S53" s="2"/>
      <c r="T53" s="6">
        <v>1200</v>
      </c>
      <c r="U53" s="2"/>
      <c r="V53" s="7">
        <f t="shared" si="21"/>
        <v>0</v>
      </c>
      <c r="W53" s="2"/>
      <c r="X53" s="6">
        <f t="shared" si="22"/>
        <v>2717.81</v>
      </c>
      <c r="Y53" s="2"/>
      <c r="Z53" s="7">
        <f t="shared" si="23"/>
        <v>2.2648416666666664</v>
      </c>
    </row>
    <row r="54" spans="1:26" s="27" customFormat="1" outlineLevel="1" collapsed="1" x14ac:dyDescent="0.25">
      <c r="A54" s="26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SUM(OSRRefD22_8x_0)</f>
        <v>50</v>
      </c>
      <c r="E54" s="1"/>
      <c r="F54" s="5">
        <f t="shared" ref="F54:F59" si="24">IF(D$12=0,0,D54/D$12)</f>
        <v>0</v>
      </c>
      <c r="G54" s="1"/>
      <c r="H54" s="1">
        <f>SUM(OSRRefH22_8x_0)</f>
        <v>100</v>
      </c>
      <c r="I54" s="1"/>
      <c r="J54" s="5">
        <f t="shared" ref="J54:J59" si="25">IF(H$12=0,0,H54/H$12)</f>
        <v>0</v>
      </c>
      <c r="K54" s="1"/>
      <c r="L54" s="1">
        <f t="shared" ref="L54:L59" si="26">+D54-H54</f>
        <v>-50</v>
      </c>
      <c r="M54" s="1"/>
      <c r="N54" s="5">
        <f t="shared" ref="N54:N59" si="27">IF(H54=0,0,L54/H54)</f>
        <v>-0.5</v>
      </c>
      <c r="O54" s="13"/>
      <c r="P54" s="1">
        <f>SUM(OSRRefP22_8x_0)</f>
        <v>-450</v>
      </c>
      <c r="Q54" s="1"/>
      <c r="R54" s="5">
        <f t="shared" ref="R54:R59" si="28">IF(P$12=0,0,P54/P$12)</f>
        <v>0</v>
      </c>
      <c r="S54" s="1"/>
      <c r="T54" s="1">
        <f>SUM(OSRRefT22_8x_0)</f>
        <v>900</v>
      </c>
      <c r="U54" s="1"/>
      <c r="V54" s="5">
        <f t="shared" ref="V54:V59" si="29">IF(T$12=0,0,T54/T$12)</f>
        <v>0</v>
      </c>
      <c r="W54" s="1"/>
      <c r="X54" s="1">
        <f t="shared" ref="X54:X59" si="30">+P54-T54</f>
        <v>-1350</v>
      </c>
      <c r="Y54" s="1"/>
      <c r="Z54" s="5">
        <f t="shared" ref="Z54:Z59" si="31">IF(T54=0,0,X54/T54)</f>
        <v>-1.5</v>
      </c>
    </row>
    <row r="55" spans="1:26" s="24" customFormat="1" hidden="1" outlineLevel="2" x14ac:dyDescent="0.25">
      <c r="A55" s="25"/>
      <c r="B55" s="11" t="str">
        <f>CONCATENATE("          ", "6309", " - ", "TELEPHONE")</f>
        <v xml:space="preserve">          6309 - TELEPHONE</v>
      </c>
      <c r="C55" s="11"/>
      <c r="D55" s="6">
        <v>50</v>
      </c>
      <c r="E55" s="2"/>
      <c r="F55" s="7">
        <f t="shared" si="24"/>
        <v>0</v>
      </c>
      <c r="G55" s="2"/>
      <c r="H55" s="6">
        <v>100</v>
      </c>
      <c r="I55" s="2"/>
      <c r="J55" s="7">
        <f t="shared" si="25"/>
        <v>0</v>
      </c>
      <c r="K55" s="2"/>
      <c r="L55" s="6">
        <f t="shared" si="26"/>
        <v>-50</v>
      </c>
      <c r="M55" s="2"/>
      <c r="N55" s="7">
        <f t="shared" si="27"/>
        <v>-0.5</v>
      </c>
      <c r="O55" s="11"/>
      <c r="P55" s="6">
        <v>-450</v>
      </c>
      <c r="Q55" s="2"/>
      <c r="R55" s="7">
        <f t="shared" si="28"/>
        <v>0</v>
      </c>
      <c r="S55" s="2"/>
      <c r="T55" s="6">
        <v>900</v>
      </c>
      <c r="U55" s="2"/>
      <c r="V55" s="7">
        <f t="shared" si="29"/>
        <v>0</v>
      </c>
      <c r="W55" s="2"/>
      <c r="X55" s="6">
        <f t="shared" si="30"/>
        <v>-1350</v>
      </c>
      <c r="Y55" s="2"/>
      <c r="Z55" s="7">
        <f t="shared" si="31"/>
        <v>-1.5</v>
      </c>
    </row>
    <row r="56" spans="1:26" s="27" customFormat="1" outlineLevel="1" collapsed="1" x14ac:dyDescent="0.25">
      <c r="A56" s="26"/>
      <c r="B56" s="13" t="str">
        <f>CONCATENATE("     ","Training                                          ")</f>
        <v xml:space="preserve">     Training                                          </v>
      </c>
      <c r="C56" s="13"/>
      <c r="D56" s="1">
        <f>SUM(OSRRefD22_9x_0)</f>
        <v>0</v>
      </c>
      <c r="E56" s="1"/>
      <c r="F56" s="5">
        <f t="shared" si="24"/>
        <v>0</v>
      </c>
      <c r="G56" s="1"/>
      <c r="H56" s="1">
        <f>SUM(OSRRefH22_9x_0)</f>
        <v>300</v>
      </c>
      <c r="I56" s="1"/>
      <c r="J56" s="5">
        <f t="shared" si="25"/>
        <v>0</v>
      </c>
      <c r="K56" s="1"/>
      <c r="L56" s="1">
        <f t="shared" si="26"/>
        <v>-300</v>
      </c>
      <c r="M56" s="1"/>
      <c r="N56" s="5">
        <f t="shared" si="27"/>
        <v>-1</v>
      </c>
      <c r="O56" s="13"/>
      <c r="P56" s="1">
        <f>SUM(OSRRefP22_9x_0)</f>
        <v>2950.22</v>
      </c>
      <c r="Q56" s="1"/>
      <c r="R56" s="5">
        <f t="shared" si="28"/>
        <v>0</v>
      </c>
      <c r="S56" s="1"/>
      <c r="T56" s="1">
        <f>SUM(OSRRefT22_9x_0)</f>
        <v>2700</v>
      </c>
      <c r="U56" s="1"/>
      <c r="V56" s="5">
        <f t="shared" si="29"/>
        <v>0</v>
      </c>
      <c r="W56" s="1"/>
      <c r="X56" s="1">
        <f t="shared" si="30"/>
        <v>250.2199999999998</v>
      </c>
      <c r="Y56" s="1"/>
      <c r="Z56" s="5">
        <f t="shared" si="31"/>
        <v>9.2674074074074006E-2</v>
      </c>
    </row>
    <row r="57" spans="1:26" s="24" customFormat="1" hidden="1" outlineLevel="2" x14ac:dyDescent="0.25">
      <c r="A57" s="25"/>
      <c r="B57" s="11" t="str">
        <f>CONCATENATE("          ", "6376", " - ", "TRAINING")</f>
        <v xml:space="preserve">          6376 - TRAINING</v>
      </c>
      <c r="C57" s="11"/>
      <c r="D57" s="6"/>
      <c r="E57" s="2"/>
      <c r="F57" s="7">
        <f t="shared" si="24"/>
        <v>0</v>
      </c>
      <c r="G57" s="2"/>
      <c r="H57" s="6">
        <v>300</v>
      </c>
      <c r="I57" s="2"/>
      <c r="J57" s="7">
        <f t="shared" si="25"/>
        <v>0</v>
      </c>
      <c r="K57" s="2"/>
      <c r="L57" s="6">
        <f t="shared" si="26"/>
        <v>-300</v>
      </c>
      <c r="M57" s="2"/>
      <c r="N57" s="7">
        <f t="shared" si="27"/>
        <v>-1</v>
      </c>
      <c r="O57" s="11"/>
      <c r="P57" s="6">
        <v>2950.22</v>
      </c>
      <c r="Q57" s="2"/>
      <c r="R57" s="7">
        <f t="shared" si="28"/>
        <v>0</v>
      </c>
      <c r="S57" s="2"/>
      <c r="T57" s="6">
        <v>2700</v>
      </c>
      <c r="U57" s="2"/>
      <c r="V57" s="7">
        <f t="shared" si="29"/>
        <v>0</v>
      </c>
      <c r="W57" s="2"/>
      <c r="X57" s="6">
        <f t="shared" si="30"/>
        <v>250.2199999999998</v>
      </c>
      <c r="Y57" s="2"/>
      <c r="Z57" s="7">
        <f t="shared" si="31"/>
        <v>9.2674074074074006E-2</v>
      </c>
    </row>
    <row r="58" spans="1:26" s="27" customFormat="1" outlineLevel="1" collapsed="1" x14ac:dyDescent="0.25">
      <c r="A58" s="26"/>
      <c r="B58" s="13" t="str">
        <f>CONCATENATE("     ","Travel                                            ")</f>
        <v xml:space="preserve">     Travel                                            </v>
      </c>
      <c r="C58" s="13"/>
      <c r="D58" s="1">
        <f>SUM(OSRRefD22_10x_0)</f>
        <v>0</v>
      </c>
      <c r="E58" s="1"/>
      <c r="F58" s="5">
        <f t="shared" si="24"/>
        <v>0</v>
      </c>
      <c r="G58" s="1"/>
      <c r="H58" s="1">
        <f>SUM(OSRRefH22_10x_0)</f>
        <v>300</v>
      </c>
      <c r="I58" s="1"/>
      <c r="J58" s="5">
        <f t="shared" si="25"/>
        <v>0</v>
      </c>
      <c r="K58" s="1"/>
      <c r="L58" s="1">
        <f t="shared" si="26"/>
        <v>-300</v>
      </c>
      <c r="M58" s="1"/>
      <c r="N58" s="5">
        <f t="shared" si="27"/>
        <v>-1</v>
      </c>
      <c r="O58" s="13"/>
      <c r="P58" s="1">
        <f>SUM(OSRRefP22_10x_0)</f>
        <v>325.75</v>
      </c>
      <c r="Q58" s="1"/>
      <c r="R58" s="5">
        <f t="shared" si="28"/>
        <v>0</v>
      </c>
      <c r="S58" s="1"/>
      <c r="T58" s="1">
        <f>SUM(OSRRefT22_10x_0)</f>
        <v>2700</v>
      </c>
      <c r="U58" s="1"/>
      <c r="V58" s="5">
        <f t="shared" si="29"/>
        <v>0</v>
      </c>
      <c r="W58" s="1"/>
      <c r="X58" s="1">
        <f t="shared" si="30"/>
        <v>-2374.25</v>
      </c>
      <c r="Y58" s="1"/>
      <c r="Z58" s="5">
        <f t="shared" si="31"/>
        <v>-0.87935185185185183</v>
      </c>
    </row>
    <row r="59" spans="1:26" s="24" customFormat="1" hidden="1" outlineLevel="2" x14ac:dyDescent="0.25">
      <c r="A59" s="25"/>
      <c r="B59" s="11" t="str">
        <f>CONCATENATE("          ", "6292", " - ", "TRAVEL/CONFERENCE")</f>
        <v xml:space="preserve">          6292 - TRAVEL/CONFERENCE</v>
      </c>
      <c r="C59" s="11"/>
      <c r="D59" s="6"/>
      <c r="E59" s="2"/>
      <c r="F59" s="7">
        <f t="shared" si="24"/>
        <v>0</v>
      </c>
      <c r="G59" s="2"/>
      <c r="H59" s="6">
        <v>300</v>
      </c>
      <c r="I59" s="2"/>
      <c r="J59" s="7">
        <f t="shared" si="25"/>
        <v>0</v>
      </c>
      <c r="K59" s="2"/>
      <c r="L59" s="6">
        <f t="shared" si="26"/>
        <v>-300</v>
      </c>
      <c r="M59" s="2"/>
      <c r="N59" s="7">
        <f t="shared" si="27"/>
        <v>-1</v>
      </c>
      <c r="O59" s="11"/>
      <c r="P59" s="6">
        <v>325.75</v>
      </c>
      <c r="Q59" s="2"/>
      <c r="R59" s="7">
        <f t="shared" si="28"/>
        <v>0</v>
      </c>
      <c r="S59" s="2"/>
      <c r="T59" s="6">
        <v>2700</v>
      </c>
      <c r="U59" s="2"/>
      <c r="V59" s="7">
        <f t="shared" si="29"/>
        <v>0</v>
      </c>
      <c r="W59" s="2"/>
      <c r="X59" s="6">
        <f t="shared" si="30"/>
        <v>-2374.25</v>
      </c>
      <c r="Y59" s="2"/>
      <c r="Z59" s="7">
        <f t="shared" si="31"/>
        <v>-0.87935185185185183</v>
      </c>
    </row>
    <row r="60" spans="1:26" s="56" customFormat="1" x14ac:dyDescent="0.25">
      <c r="A60" s="36"/>
      <c r="B60" s="36"/>
      <c r="C60" s="36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6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25">
      <c r="A61" s="10"/>
      <c r="B61" s="29" t="s">
        <v>0</v>
      </c>
      <c r="C61" s="10"/>
      <c r="D61" s="4">
        <f>SUM(0)</f>
        <v>0</v>
      </c>
      <c r="E61" s="4"/>
      <c r="F61" s="12">
        <f>IF(D$12=0,0,D61/D$12)</f>
        <v>0</v>
      </c>
      <c r="G61" s="4"/>
      <c r="H61" s="4">
        <f>SUM(0)</f>
        <v>0</v>
      </c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>
        <f>SUM(0)</f>
        <v>0</v>
      </c>
      <c r="Q61" s="4"/>
      <c r="R61" s="12">
        <f>IF(P$12=0,0,P61/P$12)</f>
        <v>0</v>
      </c>
      <c r="S61" s="4"/>
      <c r="T61" s="4">
        <f>SUM(0)</f>
        <v>0</v>
      </c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8" t="s">
        <v>3</v>
      </c>
      <c r="C63" s="28"/>
      <c r="D63" s="20">
        <f>+D16-D18+D61</f>
        <v>-17427.299999999996</v>
      </c>
      <c r="E63" s="14"/>
      <c r="F63" s="22">
        <f>IF(D$12=0,0,D63/D$12)</f>
        <v>0</v>
      </c>
      <c r="G63" s="14"/>
      <c r="H63" s="20">
        <f>+H16-H18+H61</f>
        <v>-13708.050783619999</v>
      </c>
      <c r="I63" s="14"/>
      <c r="J63" s="22">
        <f>IF(H$12=0,0,H63/H$12)</f>
        <v>0</v>
      </c>
      <c r="K63" s="16"/>
      <c r="L63" s="20">
        <f>+D63-H63</f>
        <v>-3719.2492163799961</v>
      </c>
      <c r="M63" s="16"/>
      <c r="N63" s="22">
        <f>IF(H63=0,0,L63/H63)</f>
        <v>0.27131860503640642</v>
      </c>
      <c r="O63" s="29"/>
      <c r="P63" s="20">
        <f>+P16-P18+P61</f>
        <v>-180145.18</v>
      </c>
      <c r="Q63" s="14"/>
      <c r="R63" s="22">
        <f>IF(P$12=0,0,P63/P$12)</f>
        <v>0</v>
      </c>
      <c r="S63" s="14"/>
      <c r="T63" s="20">
        <f>+T16-T18+T61</f>
        <v>-129326.995140295</v>
      </c>
      <c r="U63" s="14"/>
      <c r="V63" s="22">
        <f>IF(T$12=0,0,T63/T$12)</f>
        <v>0</v>
      </c>
      <c r="W63" s="16"/>
      <c r="X63" s="20">
        <f>+P63-T63</f>
        <v>-50818.184859704998</v>
      </c>
      <c r="Y63" s="16"/>
      <c r="Z63" s="22">
        <f>IF(T63=0,0,X63/T63)</f>
        <v>0.39294336657692391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2"/>
      <c r="B65" s="10" t="s">
        <v>14</v>
      </c>
      <c r="C65" s="10"/>
      <c r="D65" s="4"/>
      <c r="E65" s="4"/>
      <c r="F65" s="12">
        <f>IF(D$12=0,0,D65/D$12)</f>
        <v>0</v>
      </c>
      <c r="G65" s="4"/>
      <c r="H65" s="4"/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/>
      <c r="Q65" s="4"/>
      <c r="R65" s="12">
        <f>IF(P$12=0,0,P65/P$12)</f>
        <v>0</v>
      </c>
      <c r="S65" s="4"/>
      <c r="T65" s="4"/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8" t="s">
        <v>4</v>
      </c>
      <c r="C67" s="28"/>
      <c r="D67" s="31">
        <f>+D63-D65</f>
        <v>-17427.299999999996</v>
      </c>
      <c r="E67" s="14"/>
      <c r="F67" s="34">
        <f>IF(D$12=0,0,D67/D$12)</f>
        <v>0</v>
      </c>
      <c r="G67" s="14"/>
      <c r="H67" s="31">
        <f>+H63-H65</f>
        <v>-13708.050783619999</v>
      </c>
      <c r="I67" s="14"/>
      <c r="J67" s="34">
        <f>IF(H$12=0,0,H67/H$12)</f>
        <v>0</v>
      </c>
      <c r="K67" s="16"/>
      <c r="L67" s="31">
        <f>D67-H67</f>
        <v>-3719.2492163799961</v>
      </c>
      <c r="M67" s="16"/>
      <c r="N67" s="34">
        <f>IF(H67=0,0,L67/H67)</f>
        <v>0.27131860503640642</v>
      </c>
      <c r="O67" s="29"/>
      <c r="P67" s="31">
        <f>+P63-P65</f>
        <v>-180145.18</v>
      </c>
      <c r="Q67" s="14"/>
      <c r="R67" s="34">
        <f>IF(P$12=0,0,P67/P$12)</f>
        <v>0</v>
      </c>
      <c r="S67" s="14"/>
      <c r="T67" s="31">
        <f>+T63-T65</f>
        <v>-129326.995140295</v>
      </c>
      <c r="U67" s="14"/>
      <c r="V67" s="34">
        <f>IF(T$12=0,0,T67/T$12)</f>
        <v>0</v>
      </c>
      <c r="W67" s="16"/>
      <c r="X67" s="31">
        <f>P67-T67</f>
        <v>-50818.184859704998</v>
      </c>
      <c r="Y67" s="16"/>
      <c r="Z67" s="34">
        <f>IF(T67=0,0,X67/T67)</f>
        <v>0.39294336657692391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8" t="s">
        <v>5</v>
      </c>
      <c r="C70" s="28"/>
      <c r="D70" s="32">
        <f>SUM(D67:D69)</f>
        <v>-17427.299999999996</v>
      </c>
      <c r="E70" s="14"/>
      <c r="F70" s="35">
        <f>IF(D$12=0,0,D70/D$12)</f>
        <v>0</v>
      </c>
      <c r="G70" s="14"/>
      <c r="H70" s="32">
        <f>SUM(H67:H69)</f>
        <v>-13708.050783619999</v>
      </c>
      <c r="I70" s="14"/>
      <c r="J70" s="35">
        <f>IF(H$12=0,0,H70/H$12)</f>
        <v>0</v>
      </c>
      <c r="K70" s="16"/>
      <c r="L70" s="32">
        <f>+D70-H70</f>
        <v>-3719.2492163799961</v>
      </c>
      <c r="M70" s="16"/>
      <c r="N70" s="35">
        <f>IF(H70=0,0,L70/H70)</f>
        <v>0.27131860503640642</v>
      </c>
      <c r="O70" s="29"/>
      <c r="P70" s="32">
        <f>SUM(P67:P69)</f>
        <v>-180145.18</v>
      </c>
      <c r="Q70" s="14"/>
      <c r="R70" s="35">
        <f>IF(P$12=0,0,P70/P$12)</f>
        <v>0</v>
      </c>
      <c r="S70" s="14"/>
      <c r="T70" s="32">
        <f>SUM(T67:T69)</f>
        <v>-129326.995140295</v>
      </c>
      <c r="U70" s="14"/>
      <c r="V70" s="35">
        <f>IF(T$12=0,0,T70/T$12)</f>
        <v>0</v>
      </c>
      <c r="W70" s="16"/>
      <c r="X70" s="32">
        <f>+P70-T70</f>
        <v>-50818.184859704998</v>
      </c>
      <c r="Y70" s="16"/>
      <c r="Z70" s="35">
        <f>IF(T70=0,0,X70/T70)</f>
        <v>0.39294336657692391</v>
      </c>
    </row>
    <row r="71" spans="1:26" ht="15.75" thickTop="1" x14ac:dyDescent="0.25">
      <c r="A71" s="9"/>
      <c r="C71" s="9"/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  <row r="72" spans="1:26" x14ac:dyDescent="0.25">
      <c r="A72" s="9"/>
      <c r="B72" s="57">
        <v>43934.466905590278</v>
      </c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  <row r="73" spans="1:26" x14ac:dyDescent="0.25">
      <c r="A73" s="9"/>
      <c r="B73" s="62" t="s">
        <v>314</v>
      </c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  <row r="74" spans="1:26" x14ac:dyDescent="0.25">
      <c r="A74" s="9"/>
      <c r="B74" s="60"/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  <row r="75" spans="1:26" x14ac:dyDescent="0.25">
      <c r="D75" s="18"/>
      <c r="E75" s="18"/>
      <c r="G75" s="18"/>
      <c r="H75" s="18"/>
      <c r="I75" s="18"/>
      <c r="J75" s="42"/>
      <c r="K75" s="18"/>
      <c r="L75" s="18"/>
      <c r="M75" s="18"/>
      <c r="P75" s="18"/>
      <c r="Q75" s="18"/>
      <c r="R75" s="42"/>
      <c r="S75" s="18"/>
      <c r="T75" s="18"/>
      <c r="U75" s="18"/>
      <c r="V75" s="42"/>
      <c r="W75" s="18"/>
      <c r="X75" s="18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","433", " - ", "Hillside Dining Hall")</f>
        <v>Department 433 - Hillside Dining Hall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379688.4</v>
      </c>
      <c r="E12" s="4"/>
      <c r="F12" s="12"/>
      <c r="G12" s="4"/>
      <c r="H12" s="4">
        <f>SUM(OSRRefH13x_0)</f>
        <v>484621</v>
      </c>
      <c r="I12" s="4"/>
      <c r="J12" s="12"/>
      <c r="K12" s="4"/>
      <c r="L12" s="4">
        <f t="shared" ref="L12:L16" si="0">+D12-H12</f>
        <v>-104932.59999999998</v>
      </c>
      <c r="M12" s="4"/>
      <c r="N12" s="12">
        <f t="shared" ref="N12:N16" si="1">IF(H12=0,0,L12/H12)</f>
        <v>-0.21652507836020307</v>
      </c>
      <c r="O12" s="10"/>
      <c r="P12" s="4">
        <f>SUM(OSRRefP13x_0)</f>
        <v>3659241.29</v>
      </c>
      <c r="Q12" s="4"/>
      <c r="R12" s="12"/>
      <c r="S12" s="4"/>
      <c r="T12" s="4">
        <f>SUM(OSRRefT13x_0)</f>
        <v>3737700</v>
      </c>
      <c r="U12" s="4"/>
      <c r="V12" s="12"/>
      <c r="W12" s="4"/>
      <c r="X12" s="4">
        <f t="shared" ref="X12:X16" si="2">+P12-T12</f>
        <v>-78458.709999999963</v>
      </c>
      <c r="Y12" s="4"/>
      <c r="Z12" s="12">
        <f t="shared" ref="Z12:Z16" si="3">IF(T12=0,0,X12/T12)</f>
        <v>-2.0991173716456635E-2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--2047.2</f>
        <v>2047.2</v>
      </c>
      <c r="E13" s="2"/>
      <c r="F13" s="19"/>
      <c r="G13" s="2"/>
      <c r="H13" s="2"/>
      <c r="I13" s="2"/>
      <c r="J13" s="19"/>
      <c r="K13" s="2"/>
      <c r="L13" s="2">
        <f t="shared" si="0"/>
        <v>2047.2</v>
      </c>
      <c r="M13" s="2"/>
      <c r="N13" s="19">
        <f t="shared" si="1"/>
        <v>0</v>
      </c>
      <c r="O13" s="11"/>
      <c r="P13" s="2">
        <f>--21335.12</f>
        <v>21335.119999999999</v>
      </c>
      <c r="Q13" s="2"/>
      <c r="R13" s="19"/>
      <c r="S13" s="2"/>
      <c r="T13" s="2"/>
      <c r="U13" s="2"/>
      <c r="V13" s="19"/>
      <c r="W13" s="2"/>
      <c r="X13" s="2">
        <f t="shared" si="2"/>
        <v>21335.119999999999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484621</v>
      </c>
      <c r="I14" s="2"/>
      <c r="J14" s="19"/>
      <c r="K14" s="2"/>
      <c r="L14" s="2">
        <f t="shared" si="0"/>
        <v>-484621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3737700</v>
      </c>
      <c r="U14" s="2"/>
      <c r="V14" s="19"/>
      <c r="W14" s="2"/>
      <c r="X14" s="2">
        <f t="shared" si="2"/>
        <v>-3737700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--370496.7</f>
        <v>370496.7</v>
      </c>
      <c r="E15" s="2"/>
      <c r="F15" s="19"/>
      <c r="G15" s="2"/>
      <c r="H15" s="2"/>
      <c r="I15" s="2"/>
      <c r="J15" s="19"/>
      <c r="K15" s="2"/>
      <c r="L15" s="2">
        <f t="shared" si="0"/>
        <v>370496.7</v>
      </c>
      <c r="M15" s="2"/>
      <c r="N15" s="19">
        <f t="shared" si="1"/>
        <v>0</v>
      </c>
      <c r="O15" s="11"/>
      <c r="P15" s="2">
        <f>--3392640.21</f>
        <v>3392640.21</v>
      </c>
      <c r="Q15" s="2"/>
      <c r="R15" s="19"/>
      <c r="S15" s="2"/>
      <c r="T15" s="2"/>
      <c r="U15" s="2"/>
      <c r="V15" s="19"/>
      <c r="W15" s="2"/>
      <c r="X15" s="2">
        <f t="shared" si="2"/>
        <v>3392640.21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--7144.5</f>
        <v>7144.5</v>
      </c>
      <c r="E16" s="2"/>
      <c r="F16" s="19"/>
      <c r="G16" s="2"/>
      <c r="H16" s="2"/>
      <c r="I16" s="2"/>
      <c r="J16" s="19"/>
      <c r="K16" s="2"/>
      <c r="L16" s="2">
        <f t="shared" si="0"/>
        <v>7144.5</v>
      </c>
      <c r="M16" s="2"/>
      <c r="N16" s="19">
        <f t="shared" si="1"/>
        <v>0</v>
      </c>
      <c r="O16" s="11"/>
      <c r="P16" s="2">
        <f>--245265.96</f>
        <v>245265.96</v>
      </c>
      <c r="Q16" s="2"/>
      <c r="R16" s="19"/>
      <c r="S16" s="2"/>
      <c r="T16" s="2"/>
      <c r="U16" s="2"/>
      <c r="V16" s="19"/>
      <c r="W16" s="2"/>
      <c r="X16" s="2">
        <f t="shared" si="2"/>
        <v>245265.96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98718.59</v>
      </c>
      <c r="E18" s="4"/>
      <c r="F18" s="12">
        <f t="shared" ref="F18:F21" si="4">IF(D$12=0,0,D18/D$12)</f>
        <v>0.25999896230698644</v>
      </c>
      <c r="G18" s="4"/>
      <c r="H18" s="4">
        <f>SUM(OSRRefH16x_0)</f>
        <v>126001.99999999999</v>
      </c>
      <c r="I18" s="4"/>
      <c r="J18" s="12">
        <f t="shared" ref="J18:J21" si="5">IF(H$12=0,0,H18/H$12)</f>
        <v>0.26000111427280281</v>
      </c>
      <c r="K18" s="4"/>
      <c r="L18" s="4">
        <f t="shared" ref="L18:L21" si="6">+D18-H18</f>
        <v>-27283.409999999989</v>
      </c>
      <c r="M18" s="4"/>
      <c r="N18" s="12">
        <f t="shared" ref="N18:N21" si="7">IF(H18=0,0,L18/H18)</f>
        <v>-0.21653156299106358</v>
      </c>
      <c r="O18" s="10"/>
      <c r="P18" s="4">
        <f>SUM(OSRRefP16x_0)</f>
        <v>885506.82000000007</v>
      </c>
      <c r="Q18" s="4"/>
      <c r="R18" s="12">
        <f t="shared" ref="R18:R21" si="8">IF(P$12=0,0,P18/P$12)</f>
        <v>0.24199191849412041</v>
      </c>
      <c r="S18" s="4"/>
      <c r="T18" s="4">
        <f>SUM(OSRRefT16x_0)</f>
        <v>995582</v>
      </c>
      <c r="U18" s="4"/>
      <c r="V18" s="12">
        <f t="shared" ref="V18:V21" si="9">IF(T$12=0,0,T18/T$12)</f>
        <v>0.2663622013537737</v>
      </c>
      <c r="W18" s="4"/>
      <c r="X18" s="4">
        <f t="shared" ref="X18:X21" si="10">+P18-T18</f>
        <v>-110075.17999999993</v>
      </c>
      <c r="Y18" s="4"/>
      <c r="Z18" s="12">
        <f t="shared" ref="Z18:Z21" si="11">IF(T18=0,0,X18/T18)</f>
        <v>-0.11056365020661275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126001.99999999999</v>
      </c>
      <c r="I19" s="2"/>
      <c r="J19" s="19">
        <f t="shared" si="5"/>
        <v>0.26000111427280281</v>
      </c>
      <c r="K19" s="2"/>
      <c r="L19" s="2">
        <f t="shared" si="6"/>
        <v>-126001.99999999999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995582</v>
      </c>
      <c r="U19" s="2"/>
      <c r="V19" s="19">
        <f t="shared" si="9"/>
        <v>0.2663622013537737</v>
      </c>
      <c r="W19" s="2"/>
      <c r="X19" s="2">
        <f t="shared" si="10"/>
        <v>-995582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65575.59</v>
      </c>
      <c r="E20" s="2"/>
      <c r="F20" s="19">
        <f t="shared" si="4"/>
        <v>0.17270896345529649</v>
      </c>
      <c r="G20" s="2"/>
      <c r="H20" s="2"/>
      <c r="I20" s="2"/>
      <c r="J20" s="19">
        <f t="shared" si="5"/>
        <v>0</v>
      </c>
      <c r="K20" s="2"/>
      <c r="L20" s="2">
        <f t="shared" si="6"/>
        <v>65575.59</v>
      </c>
      <c r="M20" s="2"/>
      <c r="N20" s="19">
        <f t="shared" si="7"/>
        <v>0</v>
      </c>
      <c r="O20" s="11"/>
      <c r="P20" s="2">
        <v>873622.82000000007</v>
      </c>
      <c r="Q20" s="2"/>
      <c r="R20" s="19">
        <f t="shared" si="8"/>
        <v>0.2387442507241713</v>
      </c>
      <c r="S20" s="2"/>
      <c r="T20" s="2"/>
      <c r="U20" s="2"/>
      <c r="V20" s="19">
        <f t="shared" si="9"/>
        <v>0</v>
      </c>
      <c r="W20" s="2"/>
      <c r="X20" s="2">
        <f t="shared" si="10"/>
        <v>873622.82000000007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33143</v>
      </c>
      <c r="E21" s="2"/>
      <c r="F21" s="19">
        <f t="shared" si="4"/>
        <v>8.7289998851689962E-2</v>
      </c>
      <c r="G21" s="2"/>
      <c r="H21" s="2"/>
      <c r="I21" s="2"/>
      <c r="J21" s="19">
        <f t="shared" si="5"/>
        <v>0</v>
      </c>
      <c r="K21" s="2"/>
      <c r="L21" s="2">
        <f t="shared" si="6"/>
        <v>33143</v>
      </c>
      <c r="M21" s="2"/>
      <c r="N21" s="19">
        <f t="shared" si="7"/>
        <v>0</v>
      </c>
      <c r="O21" s="11"/>
      <c r="P21" s="2">
        <v>11884</v>
      </c>
      <c r="Q21" s="2"/>
      <c r="R21" s="19">
        <f t="shared" si="8"/>
        <v>3.2476677699491089E-3</v>
      </c>
      <c r="S21" s="2"/>
      <c r="T21" s="2"/>
      <c r="U21" s="2"/>
      <c r="V21" s="19">
        <f t="shared" si="9"/>
        <v>0</v>
      </c>
      <c r="W21" s="2"/>
      <c r="X21" s="2">
        <f t="shared" si="10"/>
        <v>11884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0">
        <f>D12-D18</f>
        <v>280969.81000000006</v>
      </c>
      <c r="E23" s="14"/>
      <c r="F23" s="22">
        <f>IF(D$12=0,0,D23/D$12)</f>
        <v>0.74000103769301362</v>
      </c>
      <c r="G23" s="14"/>
      <c r="H23" s="20">
        <f>H12-H18</f>
        <v>358619</v>
      </c>
      <c r="I23" s="14"/>
      <c r="J23" s="22">
        <f>IF(H$12=0,0,H23/H$12)</f>
        <v>0.73999888572719708</v>
      </c>
      <c r="K23" s="16"/>
      <c r="L23" s="20">
        <f>+D23-H23</f>
        <v>-77649.189999999944</v>
      </c>
      <c r="M23" s="16"/>
      <c r="N23" s="22">
        <f>IF(H23=0,0,L23/H23)</f>
        <v>-0.21652279996319199</v>
      </c>
      <c r="O23" s="29"/>
      <c r="P23" s="20">
        <f>P12-P18</f>
        <v>2773734.4699999997</v>
      </c>
      <c r="Q23" s="14"/>
      <c r="R23" s="22">
        <f>IF(P$12=0,0,P23/P$12)</f>
        <v>0.75800808150587951</v>
      </c>
      <c r="S23" s="14"/>
      <c r="T23" s="20">
        <f>T12-T18</f>
        <v>2742118</v>
      </c>
      <c r="U23" s="14"/>
      <c r="V23" s="22">
        <f>IF(T$12=0,0,T23/T$12)</f>
        <v>0.73363779864622625</v>
      </c>
      <c r="W23" s="16"/>
      <c r="X23" s="20">
        <f>+P23-T23</f>
        <v>31616.469999999739</v>
      </c>
      <c r="Y23" s="16"/>
      <c r="Z23" s="22">
        <f>IF(T23=0,0,X23/T23)</f>
        <v>1.1529945100830722E-2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1">
        <f>SUM(OSRRefD22x_0)</f>
        <v>205654.74000000011</v>
      </c>
      <c r="E25" s="21"/>
      <c r="F25" s="30">
        <f t="shared" ref="F25:F36" si="12">IF(D$12=0,0,D25/D$12)</f>
        <v>0.54164082969087313</v>
      </c>
      <c r="G25" s="21"/>
      <c r="H25" s="21">
        <f>SUM(OSRRefH22x_0)</f>
        <v>191604.60057348336</v>
      </c>
      <c r="I25" s="21"/>
      <c r="J25" s="30">
        <f t="shared" ref="J25:J36" si="13">IF(H$12=0,0,H25/H$12)</f>
        <v>0.39536999134062156</v>
      </c>
      <c r="K25" s="4"/>
      <c r="L25" s="21">
        <f t="shared" ref="L25:L36" si="14">+D25-H25</f>
        <v>14050.139426516747</v>
      </c>
      <c r="M25" s="4"/>
      <c r="N25" s="30">
        <f t="shared" ref="N25:N36" si="15">IF(H25=0,0,L25/H25)</f>
        <v>7.3328820834488773E-2</v>
      </c>
      <c r="O25" s="10"/>
      <c r="P25" s="21">
        <f>SUM(OSRRefP22x_0)</f>
        <v>1556737.1199999996</v>
      </c>
      <c r="Q25" s="21"/>
      <c r="R25" s="30">
        <f t="shared" ref="R25:R36" si="16">IF(P$12=0,0,P25/P$12)</f>
        <v>0.42542620085050464</v>
      </c>
      <c r="S25" s="21"/>
      <c r="T25" s="21">
        <f>SUM(OSRRefT22x_0)</f>
        <v>1658677.1578791165</v>
      </c>
      <c r="U25" s="21"/>
      <c r="V25" s="30">
        <f t="shared" ref="V25:V36" si="17">IF(T$12=0,0,T25/T$12)</f>
        <v>0.44376947263801708</v>
      </c>
      <c r="W25" s="4"/>
      <c r="X25" s="21">
        <f t="shared" ref="X25:X36" si="18">+P25-T25</f>
        <v>-101940.03787911683</v>
      </c>
      <c r="Y25" s="4"/>
      <c r="Z25" s="30">
        <f t="shared" ref="Z25:Z36" si="19">IF(T25=0,0,X25/T25)</f>
        <v>-6.1458637321239441E-2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31789.210000000003</v>
      </c>
      <c r="E26" s="1"/>
      <c r="F26" s="5">
        <f t="shared" si="12"/>
        <v>8.3724469854754582E-2</v>
      </c>
      <c r="G26" s="1"/>
      <c r="H26" s="1">
        <f>SUM(OSRRefH22_0x_0)</f>
        <v>28618.132198714167</v>
      </c>
      <c r="I26" s="1"/>
      <c r="J26" s="5">
        <f t="shared" si="13"/>
        <v>5.9052604403676622E-2</v>
      </c>
      <c r="K26" s="1"/>
      <c r="L26" s="1">
        <f t="shared" si="14"/>
        <v>3171.0778012858354</v>
      </c>
      <c r="M26" s="1"/>
      <c r="N26" s="5">
        <f t="shared" si="15"/>
        <v>0.11080659559704997</v>
      </c>
      <c r="O26" s="13"/>
      <c r="P26" s="1">
        <f>SUM(OSRRefP22_0x_0)</f>
        <v>255817.82</v>
      </c>
      <c r="Q26" s="1"/>
      <c r="R26" s="5">
        <f t="shared" si="16"/>
        <v>6.9910071439973284E-2</v>
      </c>
      <c r="S26" s="1"/>
      <c r="T26" s="1">
        <f>SUM(OSRRefT22_0x_0)</f>
        <v>273606.74172511679</v>
      </c>
      <c r="U26" s="1"/>
      <c r="V26" s="5">
        <f t="shared" si="17"/>
        <v>7.320190002544795E-2</v>
      </c>
      <c r="W26" s="1"/>
      <c r="X26" s="1">
        <f t="shared" si="18"/>
        <v>-17788.921725116787</v>
      </c>
      <c r="Y26" s="1"/>
      <c r="Z26" s="5">
        <f t="shared" si="19"/>
        <v>-6.5016386705078699E-2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6">
        <v>5490.49</v>
      </c>
      <c r="E27" s="2"/>
      <c r="F27" s="7">
        <f t="shared" si="12"/>
        <v>1.4460515517461159E-2</v>
      </c>
      <c r="G27" s="2"/>
      <c r="H27" s="6">
        <v>4144.8353583203098</v>
      </c>
      <c r="I27" s="2"/>
      <c r="J27" s="7">
        <f t="shared" si="13"/>
        <v>8.5527357632465568E-3</v>
      </c>
      <c r="K27" s="2"/>
      <c r="L27" s="6">
        <f t="shared" si="14"/>
        <v>1345.65464167969</v>
      </c>
      <c r="M27" s="2"/>
      <c r="N27" s="7">
        <f t="shared" si="15"/>
        <v>0.32465816500489786</v>
      </c>
      <c r="O27" s="11"/>
      <c r="P27" s="6">
        <v>39933.46</v>
      </c>
      <c r="Q27" s="2"/>
      <c r="R27" s="7">
        <f t="shared" si="16"/>
        <v>1.0913043670864349E-2</v>
      </c>
      <c r="S27" s="2"/>
      <c r="T27" s="6">
        <v>43772.791327623017</v>
      </c>
      <c r="U27" s="2"/>
      <c r="V27" s="7">
        <f t="shared" si="17"/>
        <v>1.1711156948824951E-2</v>
      </c>
      <c r="W27" s="2"/>
      <c r="X27" s="6">
        <f t="shared" si="18"/>
        <v>-3839.3313276230183</v>
      </c>
      <c r="Y27" s="2"/>
      <c r="Z27" s="7">
        <f t="shared" si="19"/>
        <v>-8.7710452342119452E-2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6">
        <v>5830.48</v>
      </c>
      <c r="E28" s="2"/>
      <c r="F28" s="7">
        <f t="shared" si="12"/>
        <v>1.5355960308505605E-2</v>
      </c>
      <c r="G28" s="2"/>
      <c r="H28" s="6">
        <v>3888.8605733415402</v>
      </c>
      <c r="I28" s="2"/>
      <c r="J28" s="7">
        <f t="shared" si="13"/>
        <v>8.0245399463530053E-3</v>
      </c>
      <c r="K28" s="2"/>
      <c r="L28" s="6">
        <f t="shared" si="14"/>
        <v>1941.6194266584594</v>
      </c>
      <c r="M28" s="2"/>
      <c r="N28" s="7">
        <f t="shared" si="15"/>
        <v>0.49927720216261301</v>
      </c>
      <c r="O28" s="11"/>
      <c r="P28" s="6">
        <v>27907.759999999998</v>
      </c>
      <c r="Q28" s="2"/>
      <c r="R28" s="7">
        <f t="shared" si="16"/>
        <v>7.6266520265461909E-3</v>
      </c>
      <c r="S28" s="2"/>
      <c r="T28" s="6">
        <v>33533.978605079996</v>
      </c>
      <c r="U28" s="2"/>
      <c r="V28" s="7">
        <f t="shared" si="17"/>
        <v>8.9718218704229868E-3</v>
      </c>
      <c r="W28" s="2"/>
      <c r="X28" s="6">
        <f t="shared" si="18"/>
        <v>-5626.2186050799974</v>
      </c>
      <c r="Y28" s="2"/>
      <c r="Z28" s="7">
        <f t="shared" si="19"/>
        <v>-0.16777665040400822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6">
        <v>13844.04</v>
      </c>
      <c r="E29" s="2"/>
      <c r="F29" s="7">
        <f t="shared" si="12"/>
        <v>3.6461582708347158E-2</v>
      </c>
      <c r="G29" s="2"/>
      <c r="H29" s="6">
        <v>14965.615384615401</v>
      </c>
      <c r="I29" s="2"/>
      <c r="J29" s="7">
        <f t="shared" si="13"/>
        <v>3.0881070743148567E-2</v>
      </c>
      <c r="K29" s="2"/>
      <c r="L29" s="6">
        <f t="shared" si="14"/>
        <v>-1121.5753846154003</v>
      </c>
      <c r="M29" s="2"/>
      <c r="N29" s="7">
        <f t="shared" si="15"/>
        <v>-7.4943485836765231E-2</v>
      </c>
      <c r="O29" s="11"/>
      <c r="P29" s="6">
        <v>117848.29000000001</v>
      </c>
      <c r="Q29" s="2"/>
      <c r="R29" s="7">
        <f t="shared" si="16"/>
        <v>3.2205662502239642E-2</v>
      </c>
      <c r="S29" s="2"/>
      <c r="T29" s="6">
        <v>145039.15384615379</v>
      </c>
      <c r="U29" s="2"/>
      <c r="V29" s="7">
        <f t="shared" si="17"/>
        <v>3.8804386078645635E-2</v>
      </c>
      <c r="W29" s="2"/>
      <c r="X29" s="6">
        <f t="shared" si="18"/>
        <v>-27190.863846153778</v>
      </c>
      <c r="Y29" s="2"/>
      <c r="Z29" s="7">
        <f t="shared" si="19"/>
        <v>-0.1874725763706242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6">
        <v>390.7</v>
      </c>
      <c r="E30" s="2"/>
      <c r="F30" s="7">
        <f t="shared" si="12"/>
        <v>1.0290016761112532E-3</v>
      </c>
      <c r="G30" s="2"/>
      <c r="H30" s="6">
        <v>260.59374975999998</v>
      </c>
      <c r="I30" s="2"/>
      <c r="J30" s="7">
        <f t="shared" si="13"/>
        <v>5.377269036215929E-4</v>
      </c>
      <c r="K30" s="2"/>
      <c r="L30" s="6">
        <f t="shared" si="14"/>
        <v>130.10625024000001</v>
      </c>
      <c r="M30" s="2"/>
      <c r="N30" s="7">
        <f t="shared" si="15"/>
        <v>0.49926849880254021</v>
      </c>
      <c r="O30" s="11"/>
      <c r="P30" s="6">
        <v>2181.34</v>
      </c>
      <c r="Q30" s="2"/>
      <c r="R30" s="7">
        <f t="shared" si="16"/>
        <v>5.961181095002347E-4</v>
      </c>
      <c r="S30" s="2"/>
      <c r="T30" s="6">
        <v>2247.1222776599998</v>
      </c>
      <c r="U30" s="2"/>
      <c r="V30" s="7">
        <f t="shared" si="17"/>
        <v>6.0120455832731357E-4</v>
      </c>
      <c r="W30" s="2"/>
      <c r="X30" s="6">
        <f t="shared" si="18"/>
        <v>-65.782277659999636</v>
      </c>
      <c r="Y30" s="2"/>
      <c r="Z30" s="7">
        <f t="shared" si="19"/>
        <v>-2.9274008946456098E-2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6">
        <v>1221.6600000000001</v>
      </c>
      <c r="E31" s="2"/>
      <c r="F31" s="7">
        <f t="shared" si="12"/>
        <v>3.2175331139955815E-3</v>
      </c>
      <c r="G31" s="2"/>
      <c r="H31" s="6">
        <v>1270.4277151384601</v>
      </c>
      <c r="I31" s="2"/>
      <c r="J31" s="7">
        <f t="shared" si="13"/>
        <v>2.621487131466569E-3</v>
      </c>
      <c r="K31" s="2"/>
      <c r="L31" s="6">
        <f t="shared" si="14"/>
        <v>-48.767715138460062</v>
      </c>
      <c r="M31" s="2"/>
      <c r="N31" s="7">
        <f t="shared" si="15"/>
        <v>-3.8386847639847822E-2</v>
      </c>
      <c r="O31" s="11"/>
      <c r="P31" s="6">
        <v>11990.97</v>
      </c>
      <c r="Q31" s="2"/>
      <c r="R31" s="7">
        <f t="shared" si="16"/>
        <v>3.2769006058083693E-3</v>
      </c>
      <c r="S31" s="2"/>
      <c r="T31" s="6">
        <v>12386.6702226</v>
      </c>
      <c r="U31" s="2"/>
      <c r="V31" s="7">
        <f t="shared" si="17"/>
        <v>3.3139819200577896E-3</v>
      </c>
      <c r="W31" s="2"/>
      <c r="X31" s="6">
        <f t="shared" si="18"/>
        <v>-395.70022260000042</v>
      </c>
      <c r="Y31" s="2"/>
      <c r="Z31" s="7">
        <f t="shared" si="19"/>
        <v>-3.1945649273686864E-2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5"/>
      <c r="B33" s="11" t="str">
        <f>CONCATENATE("          ", "6117", " - ", "RETIREMENT STAFF HOURLY")</f>
        <v xml:space="preserve">          6117 - RETIREMENT STAFF HOURLY</v>
      </c>
      <c r="C33" s="11"/>
      <c r="D33" s="6">
        <v>307.88</v>
      </c>
      <c r="E33" s="2"/>
      <c r="F33" s="7">
        <f t="shared" si="12"/>
        <v>8.1087544418001706E-4</v>
      </c>
      <c r="G33" s="2"/>
      <c r="H33" s="6"/>
      <c r="I33" s="2"/>
      <c r="J33" s="7">
        <f t="shared" si="13"/>
        <v>0</v>
      </c>
      <c r="K33" s="2"/>
      <c r="L33" s="6">
        <f t="shared" si="14"/>
        <v>307.88</v>
      </c>
      <c r="M33" s="2"/>
      <c r="N33" s="7">
        <f t="shared" si="15"/>
        <v>0</v>
      </c>
      <c r="O33" s="11"/>
      <c r="P33" s="6">
        <v>4130.24</v>
      </c>
      <c r="Q33" s="2"/>
      <c r="R33" s="7">
        <f t="shared" si="16"/>
        <v>1.1287148544391287E-3</v>
      </c>
      <c r="S33" s="2"/>
      <c r="T33" s="6"/>
      <c r="U33" s="2"/>
      <c r="V33" s="7">
        <f t="shared" si="17"/>
        <v>0</v>
      </c>
      <c r="W33" s="2"/>
      <c r="X33" s="6">
        <f t="shared" si="18"/>
        <v>4130.24</v>
      </c>
      <c r="Y33" s="2"/>
      <c r="Z33" s="7">
        <f t="shared" si="19"/>
        <v>0</v>
      </c>
    </row>
    <row r="34" spans="1:26" s="24" customFormat="1" hidden="1" outlineLevel="2" x14ac:dyDescent="0.25">
      <c r="A34" s="25"/>
      <c r="B34" s="11" t="str">
        <f>CONCATENATE("          ", "6118", " - ", "VACATION")</f>
        <v xml:space="preserve">          6118 - VACATION</v>
      </c>
      <c r="C34" s="11"/>
      <c r="D34" s="6">
        <v>2209.12</v>
      </c>
      <c r="E34" s="2"/>
      <c r="F34" s="7">
        <f t="shared" si="12"/>
        <v>5.8182446448192772E-3</v>
      </c>
      <c r="G34" s="2"/>
      <c r="H34" s="6">
        <v>1293.5404587692301</v>
      </c>
      <c r="I34" s="2"/>
      <c r="J34" s="7">
        <f t="shared" si="13"/>
        <v>2.6691795418878465E-3</v>
      </c>
      <c r="K34" s="2"/>
      <c r="L34" s="6">
        <f t="shared" si="14"/>
        <v>915.57954123076979</v>
      </c>
      <c r="M34" s="2"/>
      <c r="N34" s="7">
        <f t="shared" si="15"/>
        <v>0.70780897112558794</v>
      </c>
      <c r="O34" s="11"/>
      <c r="P34" s="6">
        <v>22420.91</v>
      </c>
      <c r="Q34" s="2"/>
      <c r="R34" s="7">
        <f t="shared" si="16"/>
        <v>6.12720184953969E-3</v>
      </c>
      <c r="S34" s="2"/>
      <c r="T34" s="6">
        <v>12824.611472999999</v>
      </c>
      <c r="U34" s="2"/>
      <c r="V34" s="7">
        <f t="shared" si="17"/>
        <v>3.4311505666586401E-3</v>
      </c>
      <c r="W34" s="2"/>
      <c r="X34" s="6">
        <f t="shared" si="18"/>
        <v>9596.2985270000008</v>
      </c>
      <c r="Y34" s="2"/>
      <c r="Z34" s="7">
        <f t="shared" si="19"/>
        <v>0.74827206634706611</v>
      </c>
    </row>
    <row r="35" spans="1:26" s="24" customFormat="1" hidden="1" outlineLevel="2" x14ac:dyDescent="0.25">
      <c r="A35" s="25"/>
      <c r="B35" s="11" t="str">
        <f>CONCATENATE("          ", "6119", " - ", "SICK LEAVE")</f>
        <v xml:space="preserve">          6119 - SICK LEAVE</v>
      </c>
      <c r="C35" s="11"/>
      <c r="D35" s="6">
        <v>1528.04</v>
      </c>
      <c r="E35" s="2"/>
      <c r="F35" s="7">
        <f t="shared" si="12"/>
        <v>4.0244579502560513E-3</v>
      </c>
      <c r="G35" s="2"/>
      <c r="H35" s="6">
        <v>2794.25895876923</v>
      </c>
      <c r="I35" s="2"/>
      <c r="J35" s="7">
        <f t="shared" si="13"/>
        <v>5.7658643739524904E-3</v>
      </c>
      <c r="K35" s="2"/>
      <c r="L35" s="6">
        <f t="shared" si="14"/>
        <v>-1266.2189587692301</v>
      </c>
      <c r="M35" s="2"/>
      <c r="N35" s="7">
        <f t="shared" si="15"/>
        <v>-0.45315018309074462</v>
      </c>
      <c r="O35" s="11"/>
      <c r="P35" s="6">
        <v>19182</v>
      </c>
      <c r="Q35" s="2"/>
      <c r="R35" s="7">
        <f t="shared" si="16"/>
        <v>5.2420702762675702E-3</v>
      </c>
      <c r="S35" s="2"/>
      <c r="T35" s="6">
        <v>23802.413972999999</v>
      </c>
      <c r="U35" s="2"/>
      <c r="V35" s="7">
        <f t="shared" si="17"/>
        <v>6.3681980825106349E-3</v>
      </c>
      <c r="W35" s="2"/>
      <c r="X35" s="6">
        <f t="shared" si="18"/>
        <v>-4620.4139729999988</v>
      </c>
      <c r="Y35" s="2"/>
      <c r="Z35" s="7">
        <f t="shared" si="19"/>
        <v>-0.19411535225969573</v>
      </c>
    </row>
    <row r="36" spans="1:26" s="24" customFormat="1" hidden="1" outlineLevel="2" x14ac:dyDescent="0.25">
      <c r="A36" s="25"/>
      <c r="B36" s="11" t="str">
        <f>CONCATENATE("          ", "6156", " - ", "EMPLOYEE MEALS")</f>
        <v xml:space="preserve">          6156 - EMPLOYEE MEALS</v>
      </c>
      <c r="C36" s="11"/>
      <c r="D36" s="6">
        <v>966.8</v>
      </c>
      <c r="E36" s="2"/>
      <c r="F36" s="7">
        <f t="shared" si="12"/>
        <v>2.5462984910784737E-3</v>
      </c>
      <c r="G36" s="2"/>
      <c r="H36" s="6"/>
      <c r="I36" s="2"/>
      <c r="J36" s="7">
        <f t="shared" si="13"/>
        <v>0</v>
      </c>
      <c r="K36" s="2"/>
      <c r="L36" s="6">
        <f t="shared" si="14"/>
        <v>966.8</v>
      </c>
      <c r="M36" s="2"/>
      <c r="N36" s="7">
        <f t="shared" si="15"/>
        <v>0</v>
      </c>
      <c r="O36" s="11"/>
      <c r="P36" s="6">
        <v>10222.85</v>
      </c>
      <c r="Q36" s="2"/>
      <c r="R36" s="7">
        <f t="shared" si="16"/>
        <v>2.7937075447681124E-3</v>
      </c>
      <c r="S36" s="2"/>
      <c r="T36" s="6"/>
      <c r="U36" s="2"/>
      <c r="V36" s="7">
        <f t="shared" si="17"/>
        <v>0</v>
      </c>
      <c r="W36" s="2"/>
      <c r="X36" s="6">
        <f t="shared" si="18"/>
        <v>10222.85</v>
      </c>
      <c r="Y36" s="2"/>
      <c r="Z36" s="7">
        <f t="shared" si="19"/>
        <v>0</v>
      </c>
    </row>
    <row r="37" spans="1:26" s="27" customFormat="1" outlineLevel="1" collapsed="1" x14ac:dyDescent="0.25">
      <c r="A37" s="26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120458.82</v>
      </c>
      <c r="E37" s="1"/>
      <c r="F37" s="5">
        <f t="shared" ref="F37:F47" si="20">IF(D$12=0,0,D37/D$12)</f>
        <v>0.31725704551416373</v>
      </c>
      <c r="G37" s="1"/>
      <c r="H37" s="1">
        <f>SUM(OSRRefH22_1x_0)</f>
        <v>98066.468374769203</v>
      </c>
      <c r="I37" s="1"/>
      <c r="J37" s="5">
        <f t="shared" ref="J37:J47" si="21">IF(H$12=0,0,H37/H$12)</f>
        <v>0.20235703441404562</v>
      </c>
      <c r="K37" s="1"/>
      <c r="L37" s="1">
        <f t="shared" ref="L37:L47" si="22">+D37-H37</f>
        <v>22392.351625230804</v>
      </c>
      <c r="M37" s="1"/>
      <c r="N37" s="5">
        <f t="shared" ref="N37:N47" si="23">IF(H37=0,0,L37/H37)</f>
        <v>0.2283385136258457</v>
      </c>
      <c r="O37" s="13"/>
      <c r="P37" s="1">
        <f>SUM(OSRRefP22_1x_0)</f>
        <v>806006.95</v>
      </c>
      <c r="Q37" s="1"/>
      <c r="R37" s="5">
        <f t="shared" ref="R37:R47" si="24">IF(P$12=0,0,P37/P$12)</f>
        <v>0.22026613883120016</v>
      </c>
      <c r="S37" s="1"/>
      <c r="T37" s="1">
        <f>SUM(OSRRefT22_1x_0)</f>
        <v>842880.41615399974</v>
      </c>
      <c r="U37" s="1"/>
      <c r="V37" s="5">
        <f t="shared" ref="V37:V47" si="25">IF(T$12=0,0,T37/T$12)</f>
        <v>0.22550777648125847</v>
      </c>
      <c r="W37" s="1"/>
      <c r="X37" s="1">
        <f t="shared" ref="X37:X47" si="26">+P37-T37</f>
        <v>-36873.466153999791</v>
      </c>
      <c r="Y37" s="1"/>
      <c r="Z37" s="5">
        <f t="shared" ref="Z37:Z47" si="27">IF(T37=0,0,X37/T37)</f>
        <v>-4.3746972224423787E-2</v>
      </c>
    </row>
    <row r="38" spans="1:26" s="24" customFormat="1" hidden="1" outlineLevel="2" x14ac:dyDescent="0.25">
      <c r="A38" s="25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"6002", " - ", "STAFF SALARIES")</f>
        <v xml:space="preserve">          6002 - STAFF SALARIES</v>
      </c>
      <c r="C39" s="11"/>
      <c r="D39" s="6">
        <v>16834.16</v>
      </c>
      <c r="E39" s="2"/>
      <c r="F39" s="7">
        <f t="shared" si="20"/>
        <v>4.433677720994373E-2</v>
      </c>
      <c r="G39" s="2"/>
      <c r="H39" s="6">
        <v>13886.0703747692</v>
      </c>
      <c r="I39" s="2"/>
      <c r="J39" s="7">
        <f t="shared" si="21"/>
        <v>2.8653463995099677E-2</v>
      </c>
      <c r="K39" s="2"/>
      <c r="L39" s="6">
        <f t="shared" si="22"/>
        <v>2948.0896252307994</v>
      </c>
      <c r="M39" s="2"/>
      <c r="N39" s="7">
        <f t="shared" si="23"/>
        <v>0.21230553681964898</v>
      </c>
      <c r="O39" s="11"/>
      <c r="P39" s="6">
        <v>135005.63999999998</v>
      </c>
      <c r="Q39" s="2"/>
      <c r="R39" s="7">
        <f t="shared" si="24"/>
        <v>3.6894435020982171E-2</v>
      </c>
      <c r="S39" s="2"/>
      <c r="T39" s="6">
        <v>135389.1861539997</v>
      </c>
      <c r="U39" s="2"/>
      <c r="V39" s="7">
        <f t="shared" si="25"/>
        <v>3.622259307970134E-2</v>
      </c>
      <c r="W39" s="2"/>
      <c r="X39" s="6">
        <f t="shared" si="26"/>
        <v>-383.54615399971954</v>
      </c>
      <c r="Y39" s="2"/>
      <c r="Z39" s="7">
        <f t="shared" si="27"/>
        <v>-2.8329157216696122E-3</v>
      </c>
    </row>
    <row r="40" spans="1:26" s="24" customFormat="1" hidden="1" outlineLevel="2" x14ac:dyDescent="0.25">
      <c r="A40" s="25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5"/>
      <c r="B41" s="11" t="str">
        <f>CONCATENATE("          ", "6004", " - ", "STAFF HOURLY")</f>
        <v xml:space="preserve">          6004 - STAFF HOURLY</v>
      </c>
      <c r="C41" s="11"/>
      <c r="D41" s="6">
        <v>25020.28</v>
      </c>
      <c r="E41" s="2"/>
      <c r="F41" s="7">
        <f t="shared" si="20"/>
        <v>6.5896877544849922E-2</v>
      </c>
      <c r="G41" s="2"/>
      <c r="H41" s="6">
        <v>38111.648000000001</v>
      </c>
      <c r="I41" s="2"/>
      <c r="J41" s="7">
        <f t="shared" si="21"/>
        <v>7.8642171924039619E-2</v>
      </c>
      <c r="K41" s="2"/>
      <c r="L41" s="6">
        <f t="shared" si="22"/>
        <v>-13091.368000000002</v>
      </c>
      <c r="M41" s="2"/>
      <c r="N41" s="7">
        <f t="shared" si="23"/>
        <v>-0.3435004437488508</v>
      </c>
      <c r="O41" s="11"/>
      <c r="P41" s="6">
        <v>169714.82</v>
      </c>
      <c r="Q41" s="2"/>
      <c r="R41" s="7">
        <f t="shared" si="24"/>
        <v>4.6379783826717806E-2</v>
      </c>
      <c r="S41" s="2"/>
      <c r="T41" s="6">
        <v>367932.48</v>
      </c>
      <c r="U41" s="2"/>
      <c r="V41" s="7">
        <f t="shared" si="25"/>
        <v>9.8438205313428034E-2</v>
      </c>
      <c r="W41" s="2"/>
      <c r="X41" s="6">
        <f t="shared" si="26"/>
        <v>-198217.65999999997</v>
      </c>
      <c r="Y41" s="2"/>
      <c r="Z41" s="7">
        <f t="shared" si="27"/>
        <v>-0.53873379159132673</v>
      </c>
    </row>
    <row r="42" spans="1:26" s="24" customFormat="1" hidden="1" outlineLevel="2" x14ac:dyDescent="0.25">
      <c r="A42" s="25"/>
      <c r="B42" s="11" t="str">
        <f>CONCATENATE("          ", "6005", " - ", "TEMPORARY WAGES-HOURLY")</f>
        <v xml:space="preserve">          6005 - TEMPORARY WAGES-HOURLY</v>
      </c>
      <c r="C42" s="11"/>
      <c r="D42" s="6">
        <v>21379.7</v>
      </c>
      <c r="E42" s="2"/>
      <c r="F42" s="7">
        <f t="shared" si="20"/>
        <v>5.6308541425021147E-2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21379.7</v>
      </c>
      <c r="M42" s="2"/>
      <c r="N42" s="7">
        <f t="shared" si="23"/>
        <v>0</v>
      </c>
      <c r="O42" s="11"/>
      <c r="P42" s="6">
        <v>132250.51</v>
      </c>
      <c r="Q42" s="2"/>
      <c r="R42" s="7">
        <f t="shared" si="24"/>
        <v>3.6141511181953245E-2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132250.51</v>
      </c>
      <c r="Y42" s="2"/>
      <c r="Z42" s="7">
        <f t="shared" si="27"/>
        <v>0</v>
      </c>
    </row>
    <row r="43" spans="1:26" s="24" customFormat="1" hidden="1" outlineLevel="2" x14ac:dyDescent="0.25">
      <c r="A43" s="25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>
        <v>10133.07</v>
      </c>
      <c r="Q43" s="2"/>
      <c r="R43" s="7">
        <f t="shared" si="24"/>
        <v>2.7691724040422596E-3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10133.07</v>
      </c>
      <c r="Y43" s="2"/>
      <c r="Z43" s="7">
        <f t="shared" si="27"/>
        <v>0</v>
      </c>
    </row>
    <row r="44" spans="1:26" s="24" customFormat="1" hidden="1" outlineLevel="2" x14ac:dyDescent="0.25">
      <c r="A44" s="25"/>
      <c r="B44" s="11" t="str">
        <f>CONCATENATE("          ", "6007", " - ", "STUDENT HOURLY")</f>
        <v xml:space="preserve">          6007 - STUDENT HOURLY</v>
      </c>
      <c r="C44" s="11"/>
      <c r="D44" s="6">
        <v>50694.71</v>
      </c>
      <c r="E44" s="2"/>
      <c r="F44" s="7">
        <f t="shared" si="20"/>
        <v>0.13351661520341415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50694.71</v>
      </c>
      <c r="M44" s="2"/>
      <c r="N44" s="7">
        <f t="shared" si="23"/>
        <v>0</v>
      </c>
      <c r="O44" s="11"/>
      <c r="P44" s="6">
        <v>329049.69</v>
      </c>
      <c r="Q44" s="2"/>
      <c r="R44" s="7">
        <f t="shared" si="24"/>
        <v>8.9922927711607675E-2</v>
      </c>
      <c r="S44" s="2"/>
      <c r="T44" s="6">
        <v>47250</v>
      </c>
      <c r="U44" s="2"/>
      <c r="V44" s="7">
        <f t="shared" si="25"/>
        <v>1.2641464001926318E-2</v>
      </c>
      <c r="W44" s="2"/>
      <c r="X44" s="6">
        <f t="shared" si="26"/>
        <v>281799.69</v>
      </c>
      <c r="Y44" s="2"/>
      <c r="Z44" s="7">
        <f t="shared" si="27"/>
        <v>5.9640146031746033</v>
      </c>
    </row>
    <row r="45" spans="1:26" s="24" customFormat="1" hidden="1" outlineLevel="2" x14ac:dyDescent="0.25">
      <c r="A45" s="25"/>
      <c r="B45" s="11" t="str">
        <f>CONCATENATE("          ", "6008", " - ", "STUDENT HOURLY-FICA EXEMPT")</f>
        <v xml:space="preserve">          6008 - STUDENT HOURLY-FICA EXEMPT</v>
      </c>
      <c r="C45" s="11"/>
      <c r="D45" s="6">
        <v>6529.97</v>
      </c>
      <c r="E45" s="2"/>
      <c r="F45" s="7">
        <f t="shared" si="20"/>
        <v>1.7198234130934735E-2</v>
      </c>
      <c r="G45" s="2"/>
      <c r="H45" s="6">
        <v>46068.75</v>
      </c>
      <c r="I45" s="2"/>
      <c r="J45" s="7">
        <f t="shared" si="21"/>
        <v>9.506139849490633E-2</v>
      </c>
      <c r="K45" s="2"/>
      <c r="L45" s="6">
        <f t="shared" si="22"/>
        <v>-39538.78</v>
      </c>
      <c r="M45" s="2"/>
      <c r="N45" s="7">
        <f t="shared" si="23"/>
        <v>-0.85825597612264282</v>
      </c>
      <c r="O45" s="11"/>
      <c r="P45" s="6">
        <v>29853.219999999998</v>
      </c>
      <c r="Q45" s="2"/>
      <c r="R45" s="7">
        <f t="shared" si="24"/>
        <v>8.1583086858970141E-3</v>
      </c>
      <c r="S45" s="2"/>
      <c r="T45" s="6">
        <v>292308.75</v>
      </c>
      <c r="U45" s="2"/>
      <c r="V45" s="7">
        <f t="shared" si="25"/>
        <v>7.8205514086202743E-2</v>
      </c>
      <c r="W45" s="2"/>
      <c r="X45" s="6">
        <f t="shared" si="26"/>
        <v>-262455.53000000003</v>
      </c>
      <c r="Y45" s="2"/>
      <c r="Z45" s="7">
        <f t="shared" si="27"/>
        <v>-0.89787093270386198</v>
      </c>
    </row>
    <row r="46" spans="1:26" s="24" customFormat="1" hidden="1" outlineLevel="2" x14ac:dyDescent="0.25">
      <c r="A46" s="25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25">
      <c r="A47" s="25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7" customFormat="1" outlineLevel="1" collapsed="1" x14ac:dyDescent="0.25">
      <c r="A48" s="26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0</v>
      </c>
      <c r="E48" s="1"/>
      <c r="F48" s="5">
        <f t="shared" ref="F48:F67" si="28">IF(D$12=0,0,D48/D$12)</f>
        <v>0</v>
      </c>
      <c r="G48" s="1"/>
      <c r="H48" s="1">
        <f>SUM(OSRRefH22_2x_0)</f>
        <v>250</v>
      </c>
      <c r="I48" s="1"/>
      <c r="J48" s="5">
        <f t="shared" ref="J48:J67" si="29">IF(H$12=0,0,H48/H$12)</f>
        <v>5.158670383660634E-4</v>
      </c>
      <c r="K48" s="1"/>
      <c r="L48" s="1">
        <f t="shared" ref="L48:L67" si="30">+D48-H48</f>
        <v>-250</v>
      </c>
      <c r="M48" s="1"/>
      <c r="N48" s="5">
        <f t="shared" ref="N48:N67" si="31">IF(H48=0,0,L48/H48)</f>
        <v>-1</v>
      </c>
      <c r="O48" s="13"/>
      <c r="P48" s="1">
        <f>SUM(OSRRefP22_2x_0)</f>
        <v>2828.94</v>
      </c>
      <c r="Q48" s="1"/>
      <c r="R48" s="5">
        <f t="shared" ref="R48:R67" si="32">IF(P$12=0,0,P48/P$12)</f>
        <v>7.7309468706831305E-4</v>
      </c>
      <c r="S48" s="1"/>
      <c r="T48" s="1">
        <f>SUM(OSRRefT22_2x_0)</f>
        <v>4150</v>
      </c>
      <c r="U48" s="1"/>
      <c r="V48" s="5">
        <f t="shared" ref="V48:V67" si="33">IF(T$12=0,0,T48/T$12)</f>
        <v>1.1103084784760682E-3</v>
      </c>
      <c r="W48" s="1"/>
      <c r="X48" s="1">
        <f t="shared" ref="X48:X67" si="34">+P48-T48</f>
        <v>-1321.06</v>
      </c>
      <c r="Y48" s="1"/>
      <c r="Z48" s="5">
        <f t="shared" ref="Z48:Z67" si="35">IF(T48=0,0,X48/T48)</f>
        <v>-0.31832771084337347</v>
      </c>
    </row>
    <row r="49" spans="1:26" s="24" customFormat="1" hidden="1" outlineLevel="2" x14ac:dyDescent="0.25">
      <c r="A49" s="25"/>
      <c r="B49" s="11" t="str">
        <f>CONCATENATE("          ", "6362", " - ", "ADVERTISING EXPENSE")</f>
        <v xml:space="preserve">          6362 - ADVERTISING EXPENSE</v>
      </c>
      <c r="C49" s="11"/>
      <c r="D49" s="6"/>
      <c r="E49" s="2"/>
      <c r="F49" s="7">
        <f t="shared" si="28"/>
        <v>0</v>
      </c>
      <c r="G49" s="2"/>
      <c r="H49" s="6">
        <v>250</v>
      </c>
      <c r="I49" s="2"/>
      <c r="J49" s="7">
        <f t="shared" si="29"/>
        <v>5.158670383660634E-4</v>
      </c>
      <c r="K49" s="2"/>
      <c r="L49" s="6">
        <f t="shared" si="30"/>
        <v>-250</v>
      </c>
      <c r="M49" s="2"/>
      <c r="N49" s="7">
        <f t="shared" si="31"/>
        <v>-1</v>
      </c>
      <c r="O49" s="11"/>
      <c r="P49" s="6">
        <v>2828.94</v>
      </c>
      <c r="Q49" s="2"/>
      <c r="R49" s="7">
        <f t="shared" si="32"/>
        <v>7.7309468706831305E-4</v>
      </c>
      <c r="S49" s="2"/>
      <c r="T49" s="6">
        <v>4150</v>
      </c>
      <c r="U49" s="2"/>
      <c r="V49" s="7">
        <f t="shared" si="33"/>
        <v>1.1103084784760682E-3</v>
      </c>
      <c r="W49" s="2"/>
      <c r="X49" s="6">
        <f t="shared" si="34"/>
        <v>-1321.06</v>
      </c>
      <c r="Y49" s="2"/>
      <c r="Z49" s="7">
        <f t="shared" si="35"/>
        <v>-0.31832771084337347</v>
      </c>
    </row>
    <row r="50" spans="1:26" s="27" customFormat="1" outlineLevel="1" collapsed="1" x14ac:dyDescent="0.25">
      <c r="A50" s="26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-0.3</v>
      </c>
      <c r="E50" s="1"/>
      <c r="F50" s="5">
        <f t="shared" si="28"/>
        <v>-7.9012158390933191E-7</v>
      </c>
      <c r="G50" s="1"/>
      <c r="H50" s="1">
        <f>SUM(OSRRefH22_3x_0)</f>
        <v>10</v>
      </c>
      <c r="I50" s="1"/>
      <c r="J50" s="5">
        <f t="shared" si="29"/>
        <v>2.0634681534642536E-5</v>
      </c>
      <c r="K50" s="1"/>
      <c r="L50" s="1">
        <f t="shared" si="30"/>
        <v>-10.3</v>
      </c>
      <c r="M50" s="1"/>
      <c r="N50" s="5">
        <f t="shared" si="31"/>
        <v>-1.03</v>
      </c>
      <c r="O50" s="13"/>
      <c r="P50" s="1">
        <f>SUM(OSRRefP22_3x_0)</f>
        <v>1.65</v>
      </c>
      <c r="Q50" s="1"/>
      <c r="R50" s="5">
        <f t="shared" si="32"/>
        <v>4.5091314544059486E-7</v>
      </c>
      <c r="S50" s="1"/>
      <c r="T50" s="1">
        <f>SUM(OSRRefT22_3x_0)</f>
        <v>92</v>
      </c>
      <c r="U50" s="1"/>
      <c r="V50" s="5">
        <f t="shared" si="33"/>
        <v>2.4614067474650187E-5</v>
      </c>
      <c r="W50" s="1"/>
      <c r="X50" s="1">
        <f t="shared" si="34"/>
        <v>-90.35</v>
      </c>
      <c r="Y50" s="1"/>
      <c r="Z50" s="5">
        <f t="shared" si="35"/>
        <v>-0.98206521739130426</v>
      </c>
    </row>
    <row r="51" spans="1:26" s="24" customFormat="1" hidden="1" outlineLevel="2" x14ac:dyDescent="0.25">
      <c r="A51" s="25"/>
      <c r="B51" s="11" t="str">
        <f>CONCATENATE("          ", "6272", " - ", "CASH (OVER/SHORT)")</f>
        <v xml:space="preserve">          6272 - CASH (OVER/SHORT)</v>
      </c>
      <c r="C51" s="11"/>
      <c r="D51" s="6">
        <v>-0.3</v>
      </c>
      <c r="E51" s="2"/>
      <c r="F51" s="7">
        <f t="shared" si="28"/>
        <v>-7.9012158390933191E-7</v>
      </c>
      <c r="G51" s="2"/>
      <c r="H51" s="6">
        <v>10</v>
      </c>
      <c r="I51" s="2"/>
      <c r="J51" s="7">
        <f t="shared" si="29"/>
        <v>2.0634681534642536E-5</v>
      </c>
      <c r="K51" s="2"/>
      <c r="L51" s="6">
        <f t="shared" si="30"/>
        <v>-10.3</v>
      </c>
      <c r="M51" s="2"/>
      <c r="N51" s="7">
        <f t="shared" si="31"/>
        <v>-1.03</v>
      </c>
      <c r="O51" s="11"/>
      <c r="P51" s="6">
        <v>1.65</v>
      </c>
      <c r="Q51" s="2"/>
      <c r="R51" s="7">
        <f t="shared" si="32"/>
        <v>4.5091314544059486E-7</v>
      </c>
      <c r="S51" s="2"/>
      <c r="T51" s="6">
        <v>92</v>
      </c>
      <c r="U51" s="2"/>
      <c r="V51" s="7">
        <f t="shared" si="33"/>
        <v>2.4614067474650187E-5</v>
      </c>
      <c r="W51" s="2"/>
      <c r="X51" s="6">
        <f t="shared" si="34"/>
        <v>-90.35</v>
      </c>
      <c r="Y51" s="2"/>
      <c r="Z51" s="7">
        <f t="shared" si="35"/>
        <v>-0.98206521739130426</v>
      </c>
    </row>
    <row r="52" spans="1:26" s="27" customFormat="1" outlineLevel="1" collapsed="1" x14ac:dyDescent="0.25">
      <c r="A52" s="26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67.39</v>
      </c>
      <c r="E52" s="1"/>
      <c r="F52" s="5">
        <f t="shared" si="28"/>
        <v>1.7748764513216627E-4</v>
      </c>
      <c r="G52" s="1"/>
      <c r="H52" s="1">
        <f>SUM(OSRRefH22_4x_0)</f>
        <v>225</v>
      </c>
      <c r="I52" s="1"/>
      <c r="J52" s="5">
        <f t="shared" si="29"/>
        <v>4.6428033452945705E-4</v>
      </c>
      <c r="K52" s="1"/>
      <c r="L52" s="1">
        <f t="shared" si="30"/>
        <v>-157.61000000000001</v>
      </c>
      <c r="M52" s="1"/>
      <c r="N52" s="5">
        <f t="shared" si="31"/>
        <v>-0.70048888888888894</v>
      </c>
      <c r="O52" s="13"/>
      <c r="P52" s="1">
        <f>SUM(OSRRefP22_4x_0)</f>
        <v>1830.44</v>
      </c>
      <c r="Q52" s="1"/>
      <c r="R52" s="5">
        <f t="shared" si="32"/>
        <v>5.0022391390320154E-4</v>
      </c>
      <c r="S52" s="1"/>
      <c r="T52" s="1">
        <f>SUM(OSRRefT22_4x_0)</f>
        <v>2025</v>
      </c>
      <c r="U52" s="1"/>
      <c r="V52" s="5">
        <f t="shared" si="33"/>
        <v>5.4177702865398512E-4</v>
      </c>
      <c r="W52" s="1"/>
      <c r="X52" s="1">
        <f t="shared" si="34"/>
        <v>-194.55999999999995</v>
      </c>
      <c r="Y52" s="1"/>
      <c r="Z52" s="5">
        <f t="shared" si="35"/>
        <v>-9.6079012345678991E-2</v>
      </c>
    </row>
    <row r="53" spans="1:26" s="24" customFormat="1" hidden="1" outlineLevel="2" x14ac:dyDescent="0.25">
      <c r="A53" s="25"/>
      <c r="B53" s="11" t="str">
        <f>CONCATENATE("          ", "6381", " - ", "BANK/CREDIT CARD FEES")</f>
        <v xml:space="preserve">          6381 - BANK/CREDIT CARD FEES</v>
      </c>
      <c r="C53" s="11"/>
      <c r="D53" s="6">
        <v>67.39</v>
      </c>
      <c r="E53" s="2"/>
      <c r="F53" s="7">
        <f t="shared" si="28"/>
        <v>1.7748764513216627E-4</v>
      </c>
      <c r="G53" s="2"/>
      <c r="H53" s="6">
        <v>225</v>
      </c>
      <c r="I53" s="2"/>
      <c r="J53" s="7">
        <f t="shared" si="29"/>
        <v>4.6428033452945705E-4</v>
      </c>
      <c r="K53" s="2"/>
      <c r="L53" s="6">
        <f t="shared" si="30"/>
        <v>-157.61000000000001</v>
      </c>
      <c r="M53" s="2"/>
      <c r="N53" s="7">
        <f t="shared" si="31"/>
        <v>-0.70048888888888894</v>
      </c>
      <c r="O53" s="11"/>
      <c r="P53" s="6">
        <v>1830.44</v>
      </c>
      <c r="Q53" s="2"/>
      <c r="R53" s="7">
        <f t="shared" si="32"/>
        <v>5.0022391390320154E-4</v>
      </c>
      <c r="S53" s="2"/>
      <c r="T53" s="6">
        <v>2025</v>
      </c>
      <c r="U53" s="2"/>
      <c r="V53" s="7">
        <f t="shared" si="33"/>
        <v>5.4177702865398512E-4</v>
      </c>
      <c r="W53" s="2"/>
      <c r="X53" s="6">
        <f t="shared" si="34"/>
        <v>-194.55999999999995</v>
      </c>
      <c r="Y53" s="2"/>
      <c r="Z53" s="7">
        <f t="shared" si="35"/>
        <v>-9.6079012345678991E-2</v>
      </c>
    </row>
    <row r="54" spans="1:26" s="27" customFormat="1" outlineLevel="1" collapsed="1" x14ac:dyDescent="0.25">
      <c r="A54" s="26"/>
      <c r="B54" s="13" t="str">
        <f>CONCATENATE("     ","Donations                                         ")</f>
        <v xml:space="preserve">     Donations                                         </v>
      </c>
      <c r="C54" s="13"/>
      <c r="D54" s="1">
        <f>SUM(OSRRefD22_5x_0)</f>
        <v>8687.7000000000007</v>
      </c>
      <c r="E54" s="1"/>
      <c r="F54" s="5">
        <f t="shared" si="28"/>
        <v>2.2881130948430344E-2</v>
      </c>
      <c r="G54" s="1"/>
      <c r="H54" s="1">
        <f>SUM(OSRRefH22_5x_0)</f>
        <v>9000</v>
      </c>
      <c r="I54" s="1"/>
      <c r="J54" s="5">
        <f t="shared" si="29"/>
        <v>1.8571213381178283E-2</v>
      </c>
      <c r="K54" s="1"/>
      <c r="L54" s="1">
        <f t="shared" si="30"/>
        <v>-312.29999999999927</v>
      </c>
      <c r="M54" s="1"/>
      <c r="N54" s="5">
        <f t="shared" si="31"/>
        <v>-3.4699999999999918E-2</v>
      </c>
      <c r="O54" s="13"/>
      <c r="P54" s="1">
        <f>SUM(OSRRefP22_5x_0)</f>
        <v>72144.13</v>
      </c>
      <c r="Q54" s="1"/>
      <c r="R54" s="5">
        <f t="shared" si="32"/>
        <v>1.9715597929318294E-2</v>
      </c>
      <c r="S54" s="1"/>
      <c r="T54" s="1">
        <f>SUM(OSRRefT22_5x_0)</f>
        <v>66000</v>
      </c>
      <c r="U54" s="1"/>
      <c r="V54" s="5">
        <f t="shared" si="33"/>
        <v>1.7657917970944698E-2</v>
      </c>
      <c r="W54" s="1"/>
      <c r="X54" s="1">
        <f t="shared" si="34"/>
        <v>6144.1300000000047</v>
      </c>
      <c r="Y54" s="1"/>
      <c r="Z54" s="5">
        <f t="shared" si="35"/>
        <v>9.3092878787878863E-2</v>
      </c>
    </row>
    <row r="55" spans="1:26" s="24" customFormat="1" hidden="1" outlineLevel="2" x14ac:dyDescent="0.25">
      <c r="A55" s="25"/>
      <c r="B55" s="11" t="str">
        <f>CONCATENATE("          ", "6399", " - ", "DONATION-ON CAMPUS")</f>
        <v xml:space="preserve">          6399 - DONATION-ON CAMPUS</v>
      </c>
      <c r="C55" s="11"/>
      <c r="D55" s="6">
        <v>8687.7000000000007</v>
      </c>
      <c r="E55" s="2"/>
      <c r="F55" s="7">
        <f t="shared" si="28"/>
        <v>2.2881130948430344E-2</v>
      </c>
      <c r="G55" s="2"/>
      <c r="H55" s="6">
        <v>9000</v>
      </c>
      <c r="I55" s="2"/>
      <c r="J55" s="7">
        <f t="shared" si="29"/>
        <v>1.8571213381178283E-2</v>
      </c>
      <c r="K55" s="2"/>
      <c r="L55" s="6">
        <f t="shared" si="30"/>
        <v>-312.29999999999927</v>
      </c>
      <c r="M55" s="2"/>
      <c r="N55" s="7">
        <f t="shared" si="31"/>
        <v>-3.4699999999999918E-2</v>
      </c>
      <c r="O55" s="11"/>
      <c r="P55" s="6">
        <v>72144.13</v>
      </c>
      <c r="Q55" s="2"/>
      <c r="R55" s="7">
        <f t="shared" si="32"/>
        <v>1.9715597929318294E-2</v>
      </c>
      <c r="S55" s="2"/>
      <c r="T55" s="6">
        <v>66000</v>
      </c>
      <c r="U55" s="2"/>
      <c r="V55" s="7">
        <f t="shared" si="33"/>
        <v>1.7657917970944698E-2</v>
      </c>
      <c r="W55" s="2"/>
      <c r="X55" s="6">
        <f t="shared" si="34"/>
        <v>6144.1300000000047</v>
      </c>
      <c r="Y55" s="2"/>
      <c r="Z55" s="7">
        <f t="shared" si="35"/>
        <v>9.3092878787878863E-2</v>
      </c>
    </row>
    <row r="56" spans="1:26" s="27" customFormat="1" outlineLevel="1" collapsed="1" x14ac:dyDescent="0.25">
      <c r="A56" s="26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si="28"/>
        <v>0</v>
      </c>
      <c r="G56" s="1"/>
      <c r="H56" s="1">
        <f>SUM(OSRRefH22_6x_0)</f>
        <v>160</v>
      </c>
      <c r="I56" s="1"/>
      <c r="J56" s="5">
        <f t="shared" si="29"/>
        <v>3.3015490455428058E-4</v>
      </c>
      <c r="K56" s="1"/>
      <c r="L56" s="1">
        <f t="shared" si="30"/>
        <v>-160</v>
      </c>
      <c r="M56" s="1"/>
      <c r="N56" s="5">
        <f t="shared" si="31"/>
        <v>-1</v>
      </c>
      <c r="O56" s="13"/>
      <c r="P56" s="1">
        <f>SUM(OSRRefP22_6x_0)</f>
        <v>172.29</v>
      </c>
      <c r="Q56" s="1"/>
      <c r="R56" s="5">
        <f t="shared" si="32"/>
        <v>4.7083530804824292E-5</v>
      </c>
      <c r="S56" s="1"/>
      <c r="T56" s="1">
        <f>SUM(OSRRefT22_6x_0)</f>
        <v>1450</v>
      </c>
      <c r="U56" s="1"/>
      <c r="V56" s="5">
        <f t="shared" si="33"/>
        <v>3.8793910693742139E-4</v>
      </c>
      <c r="W56" s="1"/>
      <c r="X56" s="1">
        <f t="shared" si="34"/>
        <v>-1277.71</v>
      </c>
      <c r="Y56" s="1"/>
      <c r="Z56" s="5">
        <f t="shared" si="35"/>
        <v>-0.88117931034482766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28"/>
        <v>0</v>
      </c>
      <c r="G57" s="2"/>
      <c r="H57" s="6">
        <v>160</v>
      </c>
      <c r="I57" s="2"/>
      <c r="J57" s="7">
        <f t="shared" si="29"/>
        <v>3.3015490455428058E-4</v>
      </c>
      <c r="K57" s="2"/>
      <c r="L57" s="6">
        <f t="shared" si="30"/>
        <v>-160</v>
      </c>
      <c r="M57" s="2"/>
      <c r="N57" s="7">
        <f t="shared" si="31"/>
        <v>-1</v>
      </c>
      <c r="O57" s="11"/>
      <c r="P57" s="6">
        <v>172.29</v>
      </c>
      <c r="Q57" s="2"/>
      <c r="R57" s="7">
        <f t="shared" si="32"/>
        <v>4.7083530804824292E-5</v>
      </c>
      <c r="S57" s="2"/>
      <c r="T57" s="6">
        <v>1450</v>
      </c>
      <c r="U57" s="2"/>
      <c r="V57" s="7">
        <f t="shared" si="33"/>
        <v>3.8793910693742139E-4</v>
      </c>
      <c r="W57" s="2"/>
      <c r="X57" s="6">
        <f t="shared" si="34"/>
        <v>-1277.71</v>
      </c>
      <c r="Y57" s="2"/>
      <c r="Z57" s="7">
        <f t="shared" si="35"/>
        <v>-0.88117931034482766</v>
      </c>
    </row>
    <row r="58" spans="1:26" s="27" customFormat="1" outlineLevel="1" collapsed="1" x14ac:dyDescent="0.25">
      <c r="A58" s="26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235.41</v>
      </c>
      <c r="E58" s="1"/>
      <c r="F58" s="5">
        <f t="shared" si="28"/>
        <v>6.2000840689365279E-4</v>
      </c>
      <c r="G58" s="1"/>
      <c r="H58" s="1">
        <f>SUM(OSRRefH22_7x_0)</f>
        <v>400</v>
      </c>
      <c r="I58" s="1"/>
      <c r="J58" s="5">
        <f t="shared" si="29"/>
        <v>8.253872613857014E-4</v>
      </c>
      <c r="K58" s="1"/>
      <c r="L58" s="1">
        <f t="shared" si="30"/>
        <v>-164.59</v>
      </c>
      <c r="M58" s="1"/>
      <c r="N58" s="5">
        <f t="shared" si="31"/>
        <v>-0.41147500000000004</v>
      </c>
      <c r="O58" s="13"/>
      <c r="P58" s="1">
        <f>SUM(OSRRefP22_7x_0)</f>
        <v>2193.62</v>
      </c>
      <c r="Q58" s="1"/>
      <c r="R58" s="5">
        <f t="shared" si="32"/>
        <v>5.9947399642508946E-4</v>
      </c>
      <c r="S58" s="1"/>
      <c r="T58" s="1">
        <f>SUM(OSRRefT22_7x_0)</f>
        <v>3800</v>
      </c>
      <c r="U58" s="1"/>
      <c r="V58" s="5">
        <f t="shared" si="33"/>
        <v>1.0166680043877251E-3</v>
      </c>
      <c r="W58" s="1"/>
      <c r="X58" s="1">
        <f t="shared" si="34"/>
        <v>-1606.38</v>
      </c>
      <c r="Y58" s="1"/>
      <c r="Z58" s="5">
        <f t="shared" si="35"/>
        <v>-0.42273157894736846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6">
        <v>235.41</v>
      </c>
      <c r="E59" s="2"/>
      <c r="F59" s="7">
        <f t="shared" si="28"/>
        <v>6.2000840689365279E-4</v>
      </c>
      <c r="G59" s="2"/>
      <c r="H59" s="6">
        <v>400</v>
      </c>
      <c r="I59" s="2"/>
      <c r="J59" s="7">
        <f t="shared" si="29"/>
        <v>8.253872613857014E-4</v>
      </c>
      <c r="K59" s="2"/>
      <c r="L59" s="6">
        <f t="shared" si="30"/>
        <v>-164.59</v>
      </c>
      <c r="M59" s="2"/>
      <c r="N59" s="7">
        <f t="shared" si="31"/>
        <v>-0.41147500000000004</v>
      </c>
      <c r="O59" s="11"/>
      <c r="P59" s="6">
        <v>2193.62</v>
      </c>
      <c r="Q59" s="2"/>
      <c r="R59" s="7">
        <f t="shared" si="32"/>
        <v>5.9947399642508946E-4</v>
      </c>
      <c r="S59" s="2"/>
      <c r="T59" s="6">
        <v>3800</v>
      </c>
      <c r="U59" s="2"/>
      <c r="V59" s="7">
        <f t="shared" si="33"/>
        <v>1.0166680043877251E-3</v>
      </c>
      <c r="W59" s="2"/>
      <c r="X59" s="6">
        <f t="shared" si="34"/>
        <v>-1606.38</v>
      </c>
      <c r="Y59" s="2"/>
      <c r="Z59" s="7">
        <f t="shared" si="35"/>
        <v>-0.42273157894736846</v>
      </c>
    </row>
    <row r="60" spans="1:26" s="27" customFormat="1" outlineLevel="1" collapsed="1" x14ac:dyDescent="0.25">
      <c r="A60" s="26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0</v>
      </c>
      <c r="E60" s="1"/>
      <c r="F60" s="5">
        <f t="shared" si="28"/>
        <v>0</v>
      </c>
      <c r="G60" s="1"/>
      <c r="H60" s="1">
        <f>SUM(OSRRefH22_8x_0)</f>
        <v>175</v>
      </c>
      <c r="I60" s="1"/>
      <c r="J60" s="5">
        <f t="shared" si="29"/>
        <v>3.6110692685624435E-4</v>
      </c>
      <c r="K60" s="1"/>
      <c r="L60" s="1">
        <f t="shared" si="30"/>
        <v>-175</v>
      </c>
      <c r="M60" s="1"/>
      <c r="N60" s="5">
        <f t="shared" si="31"/>
        <v>-1</v>
      </c>
      <c r="O60" s="13"/>
      <c r="P60" s="1">
        <f>SUM(OSRRefP22_8x_0)</f>
        <v>2391.19</v>
      </c>
      <c r="Q60" s="1"/>
      <c r="R60" s="5">
        <f t="shared" si="32"/>
        <v>6.5346606317945213E-4</v>
      </c>
      <c r="S60" s="1"/>
      <c r="T60" s="1">
        <f>SUM(OSRRefT22_8x_0)</f>
        <v>3170</v>
      </c>
      <c r="U60" s="1"/>
      <c r="V60" s="5">
        <f t="shared" si="33"/>
        <v>8.4811515102870753E-4</v>
      </c>
      <c r="W60" s="1"/>
      <c r="X60" s="1">
        <f t="shared" si="34"/>
        <v>-778.81</v>
      </c>
      <c r="Y60" s="1"/>
      <c r="Z60" s="5">
        <f t="shared" si="35"/>
        <v>-0.24568138801261827</v>
      </c>
    </row>
    <row r="61" spans="1:26" s="24" customFormat="1" hidden="1" outlineLevel="2" x14ac:dyDescent="0.25">
      <c r="A61" s="25"/>
      <c r="B61" s="11" t="str">
        <f>CONCATENATE("          ", "6279", " - ", "GENERAL EXPENSE")</f>
        <v xml:space="preserve">          6279 - GENERAL EXPENSE</v>
      </c>
      <c r="C61" s="11"/>
      <c r="D61" s="6"/>
      <c r="E61" s="2"/>
      <c r="F61" s="7">
        <f t="shared" si="28"/>
        <v>0</v>
      </c>
      <c r="G61" s="2"/>
      <c r="H61" s="6">
        <v>175</v>
      </c>
      <c r="I61" s="2"/>
      <c r="J61" s="7">
        <f t="shared" si="29"/>
        <v>3.6110692685624435E-4</v>
      </c>
      <c r="K61" s="2"/>
      <c r="L61" s="6">
        <f t="shared" si="30"/>
        <v>-175</v>
      </c>
      <c r="M61" s="2"/>
      <c r="N61" s="7">
        <f t="shared" si="31"/>
        <v>-1</v>
      </c>
      <c r="O61" s="11"/>
      <c r="P61" s="6">
        <v>2391.19</v>
      </c>
      <c r="Q61" s="2"/>
      <c r="R61" s="7">
        <f t="shared" si="32"/>
        <v>6.5346606317945213E-4</v>
      </c>
      <c r="S61" s="2"/>
      <c r="T61" s="6">
        <v>3170</v>
      </c>
      <c r="U61" s="2"/>
      <c r="V61" s="7">
        <f t="shared" si="33"/>
        <v>8.4811515102870753E-4</v>
      </c>
      <c r="W61" s="2"/>
      <c r="X61" s="6">
        <f t="shared" si="34"/>
        <v>-778.81</v>
      </c>
      <c r="Y61" s="2"/>
      <c r="Z61" s="7">
        <f t="shared" si="35"/>
        <v>-0.24568138801261827</v>
      </c>
    </row>
    <row r="62" spans="1:26" s="27" customFormat="1" outlineLevel="1" collapsed="1" x14ac:dyDescent="0.25">
      <c r="A62" s="26"/>
      <c r="B62" s="13" t="str">
        <f>CONCATENATE("     ","R/H Commissions                                   ")</f>
        <v xml:space="preserve">     R/H Commissions                                   </v>
      </c>
      <c r="C62" s="13"/>
      <c r="D62" s="1">
        <f>SUM(OSRRefD22_9x_0)</f>
        <v>28944.720000000001</v>
      </c>
      <c r="E62" s="1"/>
      <c r="F62" s="5">
        <f t="shared" si="28"/>
        <v>7.6232826707373733E-2</v>
      </c>
      <c r="G62" s="1"/>
      <c r="H62" s="1">
        <f>SUM(OSRRefH22_9x_0)</f>
        <v>38770</v>
      </c>
      <c r="I62" s="1"/>
      <c r="J62" s="5">
        <f t="shared" si="29"/>
        <v>8.000066030980911E-2</v>
      </c>
      <c r="K62" s="1"/>
      <c r="L62" s="1">
        <f t="shared" si="30"/>
        <v>-9825.2799999999988</v>
      </c>
      <c r="M62" s="1"/>
      <c r="N62" s="5">
        <f t="shared" si="31"/>
        <v>-0.25342481299974207</v>
      </c>
      <c r="O62" s="13"/>
      <c r="P62" s="1">
        <f>SUM(OSRRefP22_9x_0)</f>
        <v>281366.23</v>
      </c>
      <c r="Q62" s="1"/>
      <c r="R62" s="5">
        <f t="shared" si="32"/>
        <v>7.689195866064355E-2</v>
      </c>
      <c r="S62" s="1"/>
      <c r="T62" s="1">
        <f>SUM(OSRRefT22_9x_0)</f>
        <v>299017</v>
      </c>
      <c r="U62" s="1"/>
      <c r="V62" s="5">
        <f t="shared" si="33"/>
        <v>8.0000267544211676E-2</v>
      </c>
      <c r="W62" s="1"/>
      <c r="X62" s="1">
        <f t="shared" si="34"/>
        <v>-17650.770000000019</v>
      </c>
      <c r="Y62" s="1"/>
      <c r="Z62" s="5">
        <f t="shared" si="35"/>
        <v>-5.9029319403244691E-2</v>
      </c>
    </row>
    <row r="63" spans="1:26" s="24" customFormat="1" hidden="1" outlineLevel="2" x14ac:dyDescent="0.25">
      <c r="A63" s="25"/>
      <c r="B63" s="11" t="str">
        <f>CONCATENATE("          ", "6387", " - ", "COMMISSION DUE HOUSING")</f>
        <v xml:space="preserve">          6387 - COMMISSION DUE HOUSING</v>
      </c>
      <c r="C63" s="11"/>
      <c r="D63" s="6">
        <v>28944.720000000001</v>
      </c>
      <c r="E63" s="2"/>
      <c r="F63" s="7">
        <f t="shared" si="28"/>
        <v>7.6232826707373733E-2</v>
      </c>
      <c r="G63" s="2"/>
      <c r="H63" s="6">
        <v>38770</v>
      </c>
      <c r="I63" s="2"/>
      <c r="J63" s="7">
        <f t="shared" si="29"/>
        <v>8.000066030980911E-2</v>
      </c>
      <c r="K63" s="2"/>
      <c r="L63" s="6">
        <f t="shared" si="30"/>
        <v>-9825.2799999999988</v>
      </c>
      <c r="M63" s="2"/>
      <c r="N63" s="7">
        <f t="shared" si="31"/>
        <v>-0.25342481299974207</v>
      </c>
      <c r="O63" s="11"/>
      <c r="P63" s="6">
        <v>281366.23</v>
      </c>
      <c r="Q63" s="2"/>
      <c r="R63" s="7">
        <f t="shared" si="32"/>
        <v>7.689195866064355E-2</v>
      </c>
      <c r="S63" s="2"/>
      <c r="T63" s="6">
        <v>299017</v>
      </c>
      <c r="U63" s="2"/>
      <c r="V63" s="7">
        <f t="shared" si="33"/>
        <v>8.0000267544211676E-2</v>
      </c>
      <c r="W63" s="2"/>
      <c r="X63" s="6">
        <f t="shared" si="34"/>
        <v>-17650.770000000019</v>
      </c>
      <c r="Y63" s="2"/>
      <c r="Z63" s="7">
        <f t="shared" si="35"/>
        <v>-5.9029319403244691E-2</v>
      </c>
    </row>
    <row r="64" spans="1:26" s="27" customFormat="1" outlineLevel="1" collapsed="1" x14ac:dyDescent="0.25">
      <c r="A64" s="26"/>
      <c r="B64" s="13" t="str">
        <f>CONCATENATE("     ","Repair and Maintenance                            ")</f>
        <v xml:space="preserve">     Repair and Maintenance                            </v>
      </c>
      <c r="C64" s="13"/>
      <c r="D64" s="1">
        <f>SUM(OSRRefD22_10x_0)</f>
        <v>72.349999999999994</v>
      </c>
      <c r="E64" s="1"/>
      <c r="F64" s="5">
        <f t="shared" si="28"/>
        <v>1.9055098865280052E-4</v>
      </c>
      <c r="G64" s="1"/>
      <c r="H64" s="1">
        <f>SUM(OSRRefH22_10x_0)</f>
        <v>250</v>
      </c>
      <c r="I64" s="1"/>
      <c r="J64" s="5">
        <f t="shared" si="29"/>
        <v>5.158670383660634E-4</v>
      </c>
      <c r="K64" s="1"/>
      <c r="L64" s="1">
        <f t="shared" si="30"/>
        <v>-177.65</v>
      </c>
      <c r="M64" s="1"/>
      <c r="N64" s="5">
        <f t="shared" si="31"/>
        <v>-0.71060000000000001</v>
      </c>
      <c r="O64" s="13"/>
      <c r="P64" s="1">
        <f>SUM(OSRRefP22_10x_0)</f>
        <v>8602.7200000000012</v>
      </c>
      <c r="Q64" s="1"/>
      <c r="R64" s="5">
        <f t="shared" si="32"/>
        <v>2.3509572936634636E-3</v>
      </c>
      <c r="S64" s="1"/>
      <c r="T64" s="1">
        <f>SUM(OSRRefT22_10x_0)</f>
        <v>16550</v>
      </c>
      <c r="U64" s="1"/>
      <c r="V64" s="5">
        <f t="shared" si="33"/>
        <v>4.4278567033202241E-3</v>
      </c>
      <c r="W64" s="1"/>
      <c r="X64" s="1">
        <f t="shared" si="34"/>
        <v>-7947.2799999999988</v>
      </c>
      <c r="Y64" s="1"/>
      <c r="Z64" s="5">
        <f t="shared" si="35"/>
        <v>-0.48019818731117819</v>
      </c>
    </row>
    <row r="65" spans="1:26" s="24" customFormat="1" hidden="1" outlineLevel="2" x14ac:dyDescent="0.25">
      <c r="A65" s="25"/>
      <c r="B65" s="11" t="str">
        <f>CONCATENATE("          ", "6371", " - ", "COMPUTER SOFTWARE MAINTENANCE")</f>
        <v xml:space="preserve">          6371 - COMPUTER SOFTWARE MAINTENANCE</v>
      </c>
      <c r="C65" s="11"/>
      <c r="D65" s="6"/>
      <c r="E65" s="2"/>
      <c r="F65" s="7">
        <f t="shared" si="28"/>
        <v>0</v>
      </c>
      <c r="G65" s="2"/>
      <c r="H65" s="6"/>
      <c r="I65" s="2"/>
      <c r="J65" s="7">
        <f t="shared" si="29"/>
        <v>0</v>
      </c>
      <c r="K65" s="2"/>
      <c r="L65" s="6">
        <f t="shared" si="30"/>
        <v>0</v>
      </c>
      <c r="M65" s="2"/>
      <c r="N65" s="7">
        <f t="shared" si="31"/>
        <v>0</v>
      </c>
      <c r="O65" s="11"/>
      <c r="P65" s="6">
        <v>8238.75</v>
      </c>
      <c r="Q65" s="2"/>
      <c r="R65" s="7">
        <f t="shared" si="32"/>
        <v>2.2514913193931521E-3</v>
      </c>
      <c r="S65" s="2"/>
      <c r="T65" s="6">
        <v>9000</v>
      </c>
      <c r="U65" s="2"/>
      <c r="V65" s="7">
        <f t="shared" si="33"/>
        <v>2.4078979051288226E-3</v>
      </c>
      <c r="W65" s="2"/>
      <c r="X65" s="6">
        <f t="shared" si="34"/>
        <v>-761.25</v>
      </c>
      <c r="Y65" s="2"/>
      <c r="Z65" s="7">
        <f t="shared" si="35"/>
        <v>-8.458333333333333E-2</v>
      </c>
    </row>
    <row r="66" spans="1:26" s="24" customFormat="1" hidden="1" outlineLevel="2" x14ac:dyDescent="0.25">
      <c r="A66" s="25"/>
      <c r="B66" s="11" t="str">
        <f>CONCATENATE("          ", "6373", " - ", "MAINTENANCE CONTRACTS")</f>
        <v xml:space="preserve">          6373 - MAINTENANCE CONTRACTS</v>
      </c>
      <c r="C66" s="11"/>
      <c r="D66" s="6">
        <v>72.349999999999994</v>
      </c>
      <c r="E66" s="2"/>
      <c r="F66" s="7">
        <f t="shared" si="28"/>
        <v>1.9055098865280052E-4</v>
      </c>
      <c r="G66" s="2"/>
      <c r="H66" s="6"/>
      <c r="I66" s="2"/>
      <c r="J66" s="7">
        <f t="shared" si="29"/>
        <v>0</v>
      </c>
      <c r="K66" s="2"/>
      <c r="L66" s="6">
        <f t="shared" si="30"/>
        <v>72.349999999999994</v>
      </c>
      <c r="M66" s="2"/>
      <c r="N66" s="7">
        <f t="shared" si="31"/>
        <v>0</v>
      </c>
      <c r="O66" s="11"/>
      <c r="P66" s="6">
        <v>212.19</v>
      </c>
      <c r="Q66" s="2"/>
      <c r="R66" s="7">
        <f t="shared" si="32"/>
        <v>5.7987430503660497E-5</v>
      </c>
      <c r="S66" s="2"/>
      <c r="T66" s="6">
        <v>5300</v>
      </c>
      <c r="U66" s="2"/>
      <c r="V66" s="7">
        <f t="shared" si="33"/>
        <v>1.4179843219091954E-3</v>
      </c>
      <c r="W66" s="2"/>
      <c r="X66" s="6">
        <f t="shared" si="34"/>
        <v>-5087.8100000000004</v>
      </c>
      <c r="Y66" s="2"/>
      <c r="Z66" s="7">
        <f t="shared" si="35"/>
        <v>-0.95996415094339627</v>
      </c>
    </row>
    <row r="67" spans="1:26" s="24" customFormat="1" hidden="1" outlineLevel="2" x14ac:dyDescent="0.25">
      <c r="A67" s="25"/>
      <c r="B67" s="11" t="str">
        <f>CONCATENATE("          ", "6375", " - ", "OUTSIDE REPAIRS &amp; MAINTENANCE")</f>
        <v xml:space="preserve">          6375 - OUTSIDE REPAIRS &amp; MAINTENANCE</v>
      </c>
      <c r="C67" s="11"/>
      <c r="D67" s="6"/>
      <c r="E67" s="2"/>
      <c r="F67" s="7">
        <f t="shared" si="28"/>
        <v>0</v>
      </c>
      <c r="G67" s="2"/>
      <c r="H67" s="6">
        <v>250</v>
      </c>
      <c r="I67" s="2"/>
      <c r="J67" s="7">
        <f t="shared" si="29"/>
        <v>5.158670383660634E-4</v>
      </c>
      <c r="K67" s="2"/>
      <c r="L67" s="6">
        <f t="shared" si="30"/>
        <v>-250</v>
      </c>
      <c r="M67" s="2"/>
      <c r="N67" s="7">
        <f t="shared" si="31"/>
        <v>-1</v>
      </c>
      <c r="O67" s="11"/>
      <c r="P67" s="6">
        <v>151.78</v>
      </c>
      <c r="Q67" s="2"/>
      <c r="R67" s="7">
        <f t="shared" si="32"/>
        <v>4.1478543766650602E-5</v>
      </c>
      <c r="S67" s="2"/>
      <c r="T67" s="6">
        <v>2250</v>
      </c>
      <c r="U67" s="2"/>
      <c r="V67" s="7">
        <f t="shared" si="33"/>
        <v>6.0197447628220564E-4</v>
      </c>
      <c r="W67" s="2"/>
      <c r="X67" s="6">
        <f t="shared" si="34"/>
        <v>-2098.2199999999998</v>
      </c>
      <c r="Y67" s="2"/>
      <c r="Z67" s="7">
        <f t="shared" si="35"/>
        <v>-0.93254222222222216</v>
      </c>
    </row>
    <row r="68" spans="1:26" s="27" customFormat="1" outlineLevel="1" collapsed="1" x14ac:dyDescent="0.25">
      <c r="A68" s="26"/>
      <c r="B68" s="13" t="str">
        <f>CONCATENATE("     ","Services                                          ")</f>
        <v xml:space="preserve">     Services                                          </v>
      </c>
      <c r="C68" s="13"/>
      <c r="D68" s="1">
        <f>SUM(OSRRefD22_11x_0)</f>
        <v>8402.52</v>
      </c>
      <c r="E68" s="1"/>
      <c r="F68" s="5">
        <f t="shared" ref="F68:F72" si="36">IF(D$12=0,0,D68/D$12)</f>
        <v>2.2130041370766133E-2</v>
      </c>
      <c r="G68" s="1"/>
      <c r="H68" s="1">
        <f>SUM(OSRRefH22_11x_0)</f>
        <v>7100</v>
      </c>
      <c r="I68" s="1"/>
      <c r="J68" s="5">
        <f t="shared" ref="J68:J72" si="37">IF(H$12=0,0,H68/H$12)</f>
        <v>1.46506238895962E-2</v>
      </c>
      <c r="K68" s="1"/>
      <c r="L68" s="1">
        <f t="shared" ref="L68:L72" si="38">+D68-H68</f>
        <v>1302.5200000000004</v>
      </c>
      <c r="M68" s="1"/>
      <c r="N68" s="5">
        <f t="shared" ref="N68:N72" si="39">IF(H68=0,0,L68/H68)</f>
        <v>0.18345352112676064</v>
      </c>
      <c r="O68" s="13"/>
      <c r="P68" s="1">
        <f>SUM(OSRRefP22_11x_0)</f>
        <v>59213.619999999995</v>
      </c>
      <c r="Q68" s="1"/>
      <c r="R68" s="5">
        <f t="shared" ref="R68:R72" si="40">IF(P$12=0,0,P68/P$12)</f>
        <v>1.6181939180075221E-2</v>
      </c>
      <c r="S68" s="1"/>
      <c r="T68" s="1">
        <f>SUM(OSRRefT22_11x_0)</f>
        <v>59726</v>
      </c>
      <c r="U68" s="1"/>
      <c r="V68" s="5">
        <f t="shared" ref="V68:V72" si="41">IF(T$12=0,0,T68/T$12)</f>
        <v>1.5979345586858228E-2</v>
      </c>
      <c r="W68" s="1"/>
      <c r="X68" s="1">
        <f t="shared" ref="X68:X72" si="42">+P68-T68</f>
        <v>-512.38000000000466</v>
      </c>
      <c r="Y68" s="1"/>
      <c r="Z68" s="5">
        <f t="shared" ref="Z68:Z72" si="43">IF(T68=0,0,X68/T68)</f>
        <v>-8.5788433847906222E-3</v>
      </c>
    </row>
    <row r="69" spans="1:26" s="24" customFormat="1" hidden="1" outlineLevel="2" x14ac:dyDescent="0.25">
      <c r="A69" s="25"/>
      <c r="B69" s="11" t="str">
        <f>CONCATENATE("          ", "6282", " - ", "JANITORIAL/EXTERMINATOR EXPENS")</f>
        <v xml:space="preserve">          6282 - JANITORIAL/EXTERMINATOR EXPENS</v>
      </c>
      <c r="C69" s="11"/>
      <c r="D69" s="6">
        <v>417.32</v>
      </c>
      <c r="E69" s="2"/>
      <c r="F69" s="7">
        <f t="shared" si="36"/>
        <v>1.0991117979901413E-3</v>
      </c>
      <c r="G69" s="2"/>
      <c r="H69" s="6">
        <v>450</v>
      </c>
      <c r="I69" s="2"/>
      <c r="J69" s="7">
        <f t="shared" si="37"/>
        <v>9.2856066905891411E-4</v>
      </c>
      <c r="K69" s="2"/>
      <c r="L69" s="6">
        <f t="shared" si="38"/>
        <v>-32.680000000000007</v>
      </c>
      <c r="M69" s="2"/>
      <c r="N69" s="7">
        <f t="shared" si="39"/>
        <v>-7.2622222222222241E-2</v>
      </c>
      <c r="O69" s="11"/>
      <c r="P69" s="6">
        <v>4293.2</v>
      </c>
      <c r="Q69" s="2"/>
      <c r="R69" s="7">
        <f t="shared" si="40"/>
        <v>1.1732486763670071E-3</v>
      </c>
      <c r="S69" s="2"/>
      <c r="T69" s="6">
        <v>4050</v>
      </c>
      <c r="U69" s="2"/>
      <c r="V69" s="7">
        <f t="shared" si="41"/>
        <v>1.0835540573079702E-3</v>
      </c>
      <c r="W69" s="2"/>
      <c r="X69" s="6">
        <f t="shared" si="42"/>
        <v>243.19999999999982</v>
      </c>
      <c r="Y69" s="2"/>
      <c r="Z69" s="7">
        <f t="shared" si="43"/>
        <v>6.0049382716049336E-2</v>
      </c>
    </row>
    <row r="70" spans="1:26" s="24" customFormat="1" hidden="1" outlineLevel="2" x14ac:dyDescent="0.25">
      <c r="A70" s="25"/>
      <c r="B70" s="11" t="str">
        <f>CONCATENATE("          ", "6284", " - ", "TRASH REMOVAL EXPENSE")</f>
        <v xml:space="preserve">          6284 - TRASH REMOVAL EXPENSE</v>
      </c>
      <c r="C70" s="11"/>
      <c r="D70" s="6"/>
      <c r="E70" s="2"/>
      <c r="F70" s="7">
        <f t="shared" si="36"/>
        <v>0</v>
      </c>
      <c r="G70" s="2"/>
      <c r="H70" s="6">
        <v>550</v>
      </c>
      <c r="I70" s="2"/>
      <c r="J70" s="7">
        <f t="shared" si="37"/>
        <v>1.1349074844053395E-3</v>
      </c>
      <c r="K70" s="2"/>
      <c r="L70" s="6">
        <f t="shared" si="38"/>
        <v>-550</v>
      </c>
      <c r="M70" s="2"/>
      <c r="N70" s="7">
        <f t="shared" si="39"/>
        <v>-1</v>
      </c>
      <c r="O70" s="11"/>
      <c r="P70" s="6"/>
      <c r="Q70" s="2"/>
      <c r="R70" s="7">
        <f t="shared" si="40"/>
        <v>0</v>
      </c>
      <c r="S70" s="2"/>
      <c r="T70" s="6">
        <v>4900</v>
      </c>
      <c r="U70" s="2"/>
      <c r="V70" s="7">
        <f t="shared" si="41"/>
        <v>1.3109666372368035E-3</v>
      </c>
      <c r="W70" s="2"/>
      <c r="X70" s="6">
        <f t="shared" si="42"/>
        <v>-4900</v>
      </c>
      <c r="Y70" s="2"/>
      <c r="Z70" s="7">
        <f t="shared" si="43"/>
        <v>-1</v>
      </c>
    </row>
    <row r="71" spans="1:26" s="24" customFormat="1" hidden="1" outlineLevel="2" x14ac:dyDescent="0.25">
      <c r="A71" s="25"/>
      <c r="B71" s="11" t="str">
        <f>CONCATENATE("          ", "6285", " - ", "JANITORIAL SERVICES")</f>
        <v xml:space="preserve">          6285 - JANITORIAL SERVICES</v>
      </c>
      <c r="C71" s="11"/>
      <c r="D71" s="6">
        <v>6046.45</v>
      </c>
      <c r="E71" s="2"/>
      <c r="F71" s="7">
        <f t="shared" si="36"/>
        <v>1.5924768836761933E-2</v>
      </c>
      <c r="G71" s="2"/>
      <c r="H71" s="6">
        <v>4500</v>
      </c>
      <c r="I71" s="2"/>
      <c r="J71" s="7">
        <f t="shared" si="37"/>
        <v>9.2856066905891415E-3</v>
      </c>
      <c r="K71" s="2"/>
      <c r="L71" s="6">
        <f t="shared" si="38"/>
        <v>1546.4499999999998</v>
      </c>
      <c r="M71" s="2"/>
      <c r="N71" s="7">
        <f t="shared" si="39"/>
        <v>0.34365555555555549</v>
      </c>
      <c r="O71" s="11"/>
      <c r="P71" s="6">
        <v>38909.93</v>
      </c>
      <c r="Q71" s="2"/>
      <c r="R71" s="7">
        <f t="shared" si="40"/>
        <v>1.0633332681923251E-2</v>
      </c>
      <c r="S71" s="2"/>
      <c r="T71" s="6">
        <v>36376</v>
      </c>
      <c r="U71" s="2"/>
      <c r="V71" s="7">
        <f t="shared" si="41"/>
        <v>9.7321882441073395E-3</v>
      </c>
      <c r="W71" s="2"/>
      <c r="X71" s="6">
        <f t="shared" si="42"/>
        <v>2533.9300000000003</v>
      </c>
      <c r="Y71" s="2"/>
      <c r="Z71" s="7">
        <f t="shared" si="43"/>
        <v>6.965939080712559E-2</v>
      </c>
    </row>
    <row r="72" spans="1:26" s="24" customFormat="1" hidden="1" outlineLevel="2" x14ac:dyDescent="0.25">
      <c r="A72" s="25"/>
      <c r="B72" s="11" t="str">
        <f>CONCATENATE("          ", "6286", " - ", "LAUNDRY EXPENSE")</f>
        <v xml:space="preserve">          6286 - LAUNDRY EXPENSE</v>
      </c>
      <c r="C72" s="11"/>
      <c r="D72" s="6">
        <v>1938.75</v>
      </c>
      <c r="E72" s="2"/>
      <c r="F72" s="7">
        <f t="shared" si="36"/>
        <v>5.1061607360140572E-3</v>
      </c>
      <c r="G72" s="2"/>
      <c r="H72" s="6">
        <v>1600</v>
      </c>
      <c r="I72" s="2"/>
      <c r="J72" s="7">
        <f t="shared" si="37"/>
        <v>3.3015490455428056E-3</v>
      </c>
      <c r="K72" s="2"/>
      <c r="L72" s="6">
        <f t="shared" si="38"/>
        <v>338.75</v>
      </c>
      <c r="M72" s="2"/>
      <c r="N72" s="7">
        <f t="shared" si="39"/>
        <v>0.21171875000000001</v>
      </c>
      <c r="O72" s="11"/>
      <c r="P72" s="6">
        <v>16010.489999999998</v>
      </c>
      <c r="Q72" s="2"/>
      <c r="R72" s="7">
        <f t="shared" si="40"/>
        <v>4.3753578217849629E-3</v>
      </c>
      <c r="S72" s="2"/>
      <c r="T72" s="6">
        <v>14400</v>
      </c>
      <c r="U72" s="2"/>
      <c r="V72" s="7">
        <f t="shared" si="41"/>
        <v>3.8526366482061159E-3</v>
      </c>
      <c r="W72" s="2"/>
      <c r="X72" s="6">
        <f t="shared" si="42"/>
        <v>1610.489999999998</v>
      </c>
      <c r="Y72" s="2"/>
      <c r="Z72" s="7">
        <f t="shared" si="43"/>
        <v>0.11183958333333319</v>
      </c>
    </row>
    <row r="73" spans="1:26" s="27" customFormat="1" outlineLevel="1" collapsed="1" x14ac:dyDescent="0.25">
      <c r="A73" s="26"/>
      <c r="B73" s="13" t="str">
        <f>CONCATENATE("     ","Supplies                                          ")</f>
        <v xml:space="preserve">     Supplies                                          </v>
      </c>
      <c r="C73" s="13"/>
      <c r="D73" s="1">
        <f>SUM(OSRRefD22_12x_0)</f>
        <v>6807.9199999999992</v>
      </c>
      <c r="E73" s="1"/>
      <c r="F73" s="5">
        <f t="shared" ref="F73:F81" si="44">IF(D$12=0,0,D73/D$12)</f>
        <v>1.7930281778426729E-2</v>
      </c>
      <c r="G73" s="1"/>
      <c r="H73" s="1">
        <f>SUM(OSRRefH22_12x_0)</f>
        <v>8335</v>
      </c>
      <c r="I73" s="1"/>
      <c r="J73" s="5">
        <f t="shared" ref="J73:J81" si="45">IF(H$12=0,0,H73/H$12)</f>
        <v>1.7199007059124551E-2</v>
      </c>
      <c r="K73" s="1"/>
      <c r="L73" s="1">
        <f t="shared" ref="L73:L81" si="46">+D73-H73</f>
        <v>-1527.0800000000008</v>
      </c>
      <c r="M73" s="1"/>
      <c r="N73" s="5">
        <f t="shared" ref="N73:N81" si="47">IF(H73=0,0,L73/H73)</f>
        <v>-0.1832129574085184</v>
      </c>
      <c r="O73" s="13"/>
      <c r="P73" s="1">
        <f>SUM(OSRRefP22_12x_0)</f>
        <v>60364.38</v>
      </c>
      <c r="Q73" s="1"/>
      <c r="R73" s="5">
        <f t="shared" ref="R73:R81" si="48">IF(P$12=0,0,P73/P$12)</f>
        <v>1.6496419671740203E-2</v>
      </c>
      <c r="S73" s="1"/>
      <c r="T73" s="1">
        <f>SUM(OSRRefT22_12x_0)</f>
        <v>82005</v>
      </c>
      <c r="U73" s="1"/>
      <c r="V73" s="5">
        <f t="shared" ref="V73:V81" si="49">IF(T$12=0,0,T73/T$12)</f>
        <v>2.1939963078898787E-2</v>
      </c>
      <c r="W73" s="1"/>
      <c r="X73" s="1">
        <f t="shared" ref="X73:X81" si="50">+P73-T73</f>
        <v>-21640.620000000003</v>
      </c>
      <c r="Y73" s="1"/>
      <c r="Z73" s="5">
        <f t="shared" ref="Z73:Z81" si="51">IF(T73=0,0,X73/T73)</f>
        <v>-0.26389390890799347</v>
      </c>
    </row>
    <row r="74" spans="1:26" s="24" customFormat="1" hidden="1" outlineLevel="2" x14ac:dyDescent="0.25">
      <c r="A74" s="25"/>
      <c r="B74" s="11" t="str">
        <f>CONCATENATE("          ", "6237", " - ", "JANITORIAL SUPPLIES")</f>
        <v xml:space="preserve">          6237 - JANITORIAL SUPPLIES</v>
      </c>
      <c r="C74" s="11"/>
      <c r="D74" s="6">
        <v>1538.79</v>
      </c>
      <c r="E74" s="2"/>
      <c r="F74" s="7">
        <f t="shared" si="44"/>
        <v>4.0527706403461362E-3</v>
      </c>
      <c r="G74" s="2"/>
      <c r="H74" s="6">
        <v>3850</v>
      </c>
      <c r="I74" s="2"/>
      <c r="J74" s="7">
        <f t="shared" si="45"/>
        <v>7.9443523908373764E-3</v>
      </c>
      <c r="K74" s="2"/>
      <c r="L74" s="6">
        <f t="shared" si="46"/>
        <v>-2311.21</v>
      </c>
      <c r="M74" s="2"/>
      <c r="N74" s="7">
        <f t="shared" si="47"/>
        <v>-0.60031428571428569</v>
      </c>
      <c r="O74" s="11"/>
      <c r="P74" s="6">
        <v>25189.96</v>
      </c>
      <c r="Q74" s="2"/>
      <c r="R74" s="7">
        <f t="shared" si="48"/>
        <v>6.8839297558319799E-3</v>
      </c>
      <c r="S74" s="2"/>
      <c r="T74" s="6">
        <v>35500</v>
      </c>
      <c r="U74" s="2"/>
      <c r="V74" s="7">
        <f t="shared" si="49"/>
        <v>9.4978195146748004E-3</v>
      </c>
      <c r="W74" s="2"/>
      <c r="X74" s="6">
        <f t="shared" si="50"/>
        <v>-10310.040000000001</v>
      </c>
      <c r="Y74" s="2"/>
      <c r="Z74" s="7">
        <f t="shared" si="51"/>
        <v>-0.290423661971831</v>
      </c>
    </row>
    <row r="75" spans="1:26" s="24" customFormat="1" hidden="1" outlineLevel="2" x14ac:dyDescent="0.25">
      <c r="A75" s="25"/>
      <c r="B75" s="11" t="str">
        <f>CONCATENATE("          ", "6239", " - ", "KITCHEN SUPPLIES")</f>
        <v xml:space="preserve">          6239 - KITCHEN SUPPLIES</v>
      </c>
      <c r="C75" s="11"/>
      <c r="D75" s="6">
        <v>50</v>
      </c>
      <c r="E75" s="2"/>
      <c r="F75" s="7">
        <f t="shared" si="44"/>
        <v>1.3168693065155533E-4</v>
      </c>
      <c r="G75" s="2"/>
      <c r="H75" s="6">
        <v>1850</v>
      </c>
      <c r="I75" s="2"/>
      <c r="J75" s="7">
        <f t="shared" si="45"/>
        <v>3.8174160839088691E-3</v>
      </c>
      <c r="K75" s="2"/>
      <c r="L75" s="6">
        <f t="shared" si="46"/>
        <v>-1800</v>
      </c>
      <c r="M75" s="2"/>
      <c r="N75" s="7">
        <f t="shared" si="47"/>
        <v>-0.97297297297297303</v>
      </c>
      <c r="O75" s="11"/>
      <c r="P75" s="6">
        <v>5675.04</v>
      </c>
      <c r="Q75" s="2"/>
      <c r="R75" s="7">
        <f t="shared" si="48"/>
        <v>1.5508788708492082E-3</v>
      </c>
      <c r="S75" s="2"/>
      <c r="T75" s="6">
        <v>16550</v>
      </c>
      <c r="U75" s="2"/>
      <c r="V75" s="7">
        <f t="shared" si="49"/>
        <v>4.4278567033202241E-3</v>
      </c>
      <c r="W75" s="2"/>
      <c r="X75" s="6">
        <f t="shared" si="50"/>
        <v>-10874.96</v>
      </c>
      <c r="Y75" s="2"/>
      <c r="Z75" s="7">
        <f t="shared" si="51"/>
        <v>-0.65709728096676734</v>
      </c>
    </row>
    <row r="76" spans="1:26" s="24" customFormat="1" hidden="1" outlineLevel="2" x14ac:dyDescent="0.25">
      <c r="A76" s="25"/>
      <c r="B76" s="11" t="str">
        <f>CONCATENATE("          ", "6241", " - ", "OFFICE EXPENSE")</f>
        <v xml:space="preserve">          6241 - OFFICE EXPENSE</v>
      </c>
      <c r="C76" s="11"/>
      <c r="D76" s="6">
        <v>417.14</v>
      </c>
      <c r="E76" s="2"/>
      <c r="F76" s="7">
        <f t="shared" si="44"/>
        <v>1.0986377250397957E-3</v>
      </c>
      <c r="G76" s="2"/>
      <c r="H76" s="6">
        <v>500</v>
      </c>
      <c r="I76" s="2"/>
      <c r="J76" s="7">
        <f t="shared" si="45"/>
        <v>1.0317340767321268E-3</v>
      </c>
      <c r="K76" s="2"/>
      <c r="L76" s="6">
        <f t="shared" si="46"/>
        <v>-82.860000000000014</v>
      </c>
      <c r="M76" s="2"/>
      <c r="N76" s="7">
        <f t="shared" si="47"/>
        <v>-0.16572000000000003</v>
      </c>
      <c r="O76" s="11"/>
      <c r="P76" s="6">
        <v>2449.29</v>
      </c>
      <c r="Q76" s="2"/>
      <c r="R76" s="7">
        <f t="shared" si="48"/>
        <v>6.693436715128452E-4</v>
      </c>
      <c r="S76" s="2"/>
      <c r="T76" s="6">
        <v>4250</v>
      </c>
      <c r="U76" s="2"/>
      <c r="V76" s="7">
        <f t="shared" si="49"/>
        <v>1.1370628996441661E-3</v>
      </c>
      <c r="W76" s="2"/>
      <c r="X76" s="6">
        <f t="shared" si="50"/>
        <v>-1800.71</v>
      </c>
      <c r="Y76" s="2"/>
      <c r="Z76" s="7">
        <f t="shared" si="51"/>
        <v>-0.42369647058823529</v>
      </c>
    </row>
    <row r="77" spans="1:26" s="24" customFormat="1" hidden="1" outlineLevel="2" x14ac:dyDescent="0.25">
      <c r="A77" s="25"/>
      <c r="B77" s="11" t="str">
        <f>CONCATENATE("          ", "6243", " - ", "PAPER SUPPLIES")</f>
        <v xml:space="preserve">          6243 - PAPER SUPPLIES</v>
      </c>
      <c r="C77" s="11"/>
      <c r="D77" s="6">
        <v>3232.45</v>
      </c>
      <c r="E77" s="2"/>
      <c r="F77" s="7">
        <f t="shared" si="44"/>
        <v>8.513428379692399E-3</v>
      </c>
      <c r="G77" s="2"/>
      <c r="H77" s="6">
        <v>1850</v>
      </c>
      <c r="I77" s="2"/>
      <c r="J77" s="7">
        <f t="shared" si="45"/>
        <v>3.8174160839088691E-3</v>
      </c>
      <c r="K77" s="2"/>
      <c r="L77" s="6">
        <f t="shared" si="46"/>
        <v>1382.4499999999998</v>
      </c>
      <c r="M77" s="2"/>
      <c r="N77" s="7">
        <f t="shared" si="47"/>
        <v>0.74727027027027015</v>
      </c>
      <c r="O77" s="11"/>
      <c r="P77" s="6">
        <v>23004.959999999999</v>
      </c>
      <c r="Q77" s="2"/>
      <c r="R77" s="7">
        <f t="shared" si="48"/>
        <v>6.2868114389909493E-3</v>
      </c>
      <c r="S77" s="2"/>
      <c r="T77" s="6">
        <v>16650</v>
      </c>
      <c r="U77" s="2"/>
      <c r="V77" s="7">
        <f t="shared" si="49"/>
        <v>4.4546111244883214E-3</v>
      </c>
      <c r="W77" s="2"/>
      <c r="X77" s="6">
        <f t="shared" si="50"/>
        <v>6354.9599999999991</v>
      </c>
      <c r="Y77" s="2"/>
      <c r="Z77" s="7">
        <f t="shared" si="51"/>
        <v>0.38167927927927925</v>
      </c>
    </row>
    <row r="78" spans="1:26" s="24" customFormat="1" hidden="1" outlineLevel="2" x14ac:dyDescent="0.25">
      <c r="A78" s="25"/>
      <c r="B78" s="11" t="str">
        <f>CONCATENATE("          ", "6244", " - ", "SAFETY SUPPLY EXPENSE")</f>
        <v xml:space="preserve">          6244 - SAFETY SUPPLY EXPENSE</v>
      </c>
      <c r="C78" s="11"/>
      <c r="D78" s="6"/>
      <c r="E78" s="2"/>
      <c r="F78" s="7">
        <f t="shared" si="44"/>
        <v>0</v>
      </c>
      <c r="G78" s="2"/>
      <c r="H78" s="6">
        <v>125</v>
      </c>
      <c r="I78" s="2"/>
      <c r="J78" s="7">
        <f t="shared" si="45"/>
        <v>2.579335191830317E-4</v>
      </c>
      <c r="K78" s="2"/>
      <c r="L78" s="6">
        <f t="shared" si="46"/>
        <v>-125</v>
      </c>
      <c r="M78" s="2"/>
      <c r="N78" s="7">
        <f t="shared" si="47"/>
        <v>-1</v>
      </c>
      <c r="O78" s="11"/>
      <c r="P78" s="6"/>
      <c r="Q78" s="2"/>
      <c r="R78" s="7">
        <f t="shared" si="48"/>
        <v>0</v>
      </c>
      <c r="S78" s="2"/>
      <c r="T78" s="6">
        <v>1125</v>
      </c>
      <c r="U78" s="2"/>
      <c r="V78" s="7">
        <f t="shared" si="49"/>
        <v>3.0098723814110282E-4</v>
      </c>
      <c r="W78" s="2"/>
      <c r="X78" s="6">
        <f t="shared" si="50"/>
        <v>-1125</v>
      </c>
      <c r="Y78" s="2"/>
      <c r="Z78" s="7">
        <f t="shared" si="51"/>
        <v>-1</v>
      </c>
    </row>
    <row r="79" spans="1:26" s="24" customFormat="1" hidden="1" outlineLevel="2" x14ac:dyDescent="0.25">
      <c r="A79" s="25"/>
      <c r="B79" s="11" t="str">
        <f>CONCATENATE("          ", "6245", " - ", "PRINTING")</f>
        <v xml:space="preserve">          6245 - PRINTING</v>
      </c>
      <c r="C79" s="11"/>
      <c r="D79" s="6"/>
      <c r="E79" s="2"/>
      <c r="F79" s="7">
        <f t="shared" si="44"/>
        <v>0</v>
      </c>
      <c r="G79" s="2"/>
      <c r="H79" s="6">
        <v>160</v>
      </c>
      <c r="I79" s="2"/>
      <c r="J79" s="7">
        <f t="shared" si="45"/>
        <v>3.3015490455428058E-4</v>
      </c>
      <c r="K79" s="2"/>
      <c r="L79" s="6">
        <f t="shared" si="46"/>
        <v>-160</v>
      </c>
      <c r="M79" s="2"/>
      <c r="N79" s="7">
        <f t="shared" si="47"/>
        <v>-1</v>
      </c>
      <c r="O79" s="11"/>
      <c r="P79" s="6">
        <v>441</v>
      </c>
      <c r="Q79" s="2"/>
      <c r="R79" s="7">
        <f t="shared" si="48"/>
        <v>1.2051678614503172E-4</v>
      </c>
      <c r="S79" s="2"/>
      <c r="T79" s="6">
        <v>1430</v>
      </c>
      <c r="U79" s="2"/>
      <c r="V79" s="7">
        <f t="shared" si="49"/>
        <v>3.825882227038018E-4</v>
      </c>
      <c r="W79" s="2"/>
      <c r="X79" s="6">
        <f t="shared" si="50"/>
        <v>-989</v>
      </c>
      <c r="Y79" s="2"/>
      <c r="Z79" s="7">
        <f t="shared" si="51"/>
        <v>-0.6916083916083916</v>
      </c>
    </row>
    <row r="80" spans="1:26" s="24" customFormat="1" hidden="1" outlineLevel="2" x14ac:dyDescent="0.25">
      <c r="A80" s="25"/>
      <c r="B80" s="11" t="str">
        <f>CONCATENATE("          ", "6247", " - ", "STORE SUPPLIES")</f>
        <v xml:space="preserve">          6247 - STORE SUPPLIES</v>
      </c>
      <c r="C80" s="11"/>
      <c r="D80" s="6"/>
      <c r="E80" s="2"/>
      <c r="F80" s="7">
        <f t="shared" si="44"/>
        <v>0</v>
      </c>
      <c r="G80" s="2"/>
      <c r="H80" s="6"/>
      <c r="I80" s="2"/>
      <c r="J80" s="7">
        <f t="shared" si="45"/>
        <v>0</v>
      </c>
      <c r="K80" s="2"/>
      <c r="L80" s="6">
        <f t="shared" si="46"/>
        <v>0</v>
      </c>
      <c r="M80" s="2"/>
      <c r="N80" s="7">
        <f t="shared" si="47"/>
        <v>0</v>
      </c>
      <c r="O80" s="11"/>
      <c r="P80" s="6">
        <v>82.5</v>
      </c>
      <c r="Q80" s="2"/>
      <c r="R80" s="7">
        <f t="shared" si="48"/>
        <v>2.2545657272029743E-5</v>
      </c>
      <c r="S80" s="2"/>
      <c r="T80" s="6"/>
      <c r="U80" s="2"/>
      <c r="V80" s="7">
        <f t="shared" si="49"/>
        <v>0</v>
      </c>
      <c r="W80" s="2"/>
      <c r="X80" s="6">
        <f t="shared" si="50"/>
        <v>82.5</v>
      </c>
      <c r="Y80" s="2"/>
      <c r="Z80" s="7">
        <f t="shared" si="51"/>
        <v>0</v>
      </c>
    </row>
    <row r="81" spans="1:26" s="24" customFormat="1" hidden="1" outlineLevel="2" x14ac:dyDescent="0.25">
      <c r="A81" s="25"/>
      <c r="B81" s="11" t="str">
        <f>CONCATENATE("          ", "6248", " - ", "UNIFORMS")</f>
        <v xml:space="preserve">          6248 - UNIFORMS</v>
      </c>
      <c r="C81" s="11"/>
      <c r="D81" s="6">
        <v>1569.54</v>
      </c>
      <c r="E81" s="2"/>
      <c r="F81" s="7">
        <f t="shared" si="44"/>
        <v>4.1337581026968427E-3</v>
      </c>
      <c r="G81" s="2"/>
      <c r="H81" s="6"/>
      <c r="I81" s="2"/>
      <c r="J81" s="7">
        <f t="shared" si="45"/>
        <v>0</v>
      </c>
      <c r="K81" s="2"/>
      <c r="L81" s="6">
        <f t="shared" si="46"/>
        <v>1569.54</v>
      </c>
      <c r="M81" s="2"/>
      <c r="N81" s="7">
        <f t="shared" si="47"/>
        <v>0</v>
      </c>
      <c r="O81" s="11"/>
      <c r="P81" s="6">
        <v>3521.63</v>
      </c>
      <c r="Q81" s="2"/>
      <c r="R81" s="7">
        <f t="shared" si="48"/>
        <v>9.6239349113815887E-4</v>
      </c>
      <c r="S81" s="2"/>
      <c r="T81" s="6">
        <v>6500</v>
      </c>
      <c r="U81" s="2"/>
      <c r="V81" s="7">
        <f t="shared" si="49"/>
        <v>1.7390373759263718E-3</v>
      </c>
      <c r="W81" s="2"/>
      <c r="X81" s="6">
        <f t="shared" si="50"/>
        <v>-2978.37</v>
      </c>
      <c r="Y81" s="2"/>
      <c r="Z81" s="7">
        <f t="shared" si="51"/>
        <v>-0.4582107692307692</v>
      </c>
    </row>
    <row r="82" spans="1:26" s="27" customFormat="1" outlineLevel="1" collapsed="1" x14ac:dyDescent="0.25">
      <c r="A82" s="26"/>
      <c r="B82" s="13" t="str">
        <f>CONCATENATE("     ","Telephone/Data Lines                              ")</f>
        <v xml:space="preserve">     Telephone/Data Lines                              </v>
      </c>
      <c r="C82" s="13"/>
      <c r="D82" s="1">
        <f>SUM(OSRRefD22_13x_0)</f>
        <v>189</v>
      </c>
      <c r="E82" s="1"/>
      <c r="F82" s="5">
        <f t="shared" ref="F82:F88" si="52">IF(D$12=0,0,D82/D$12)</f>
        <v>4.9777659786287912E-4</v>
      </c>
      <c r="G82" s="1"/>
      <c r="H82" s="1">
        <f>SUM(OSRRefH22_13x_0)</f>
        <v>185</v>
      </c>
      <c r="I82" s="1"/>
      <c r="J82" s="5">
        <f t="shared" ref="J82:J88" si="53">IF(H$12=0,0,H82/H$12)</f>
        <v>3.8174160839088688E-4</v>
      </c>
      <c r="K82" s="1"/>
      <c r="L82" s="1">
        <f t="shared" ref="L82:L88" si="54">+D82-H82</f>
        <v>4</v>
      </c>
      <c r="M82" s="1"/>
      <c r="N82" s="5">
        <f t="shared" ref="N82:N88" si="55">IF(H82=0,0,L82/H82)</f>
        <v>2.1621621621621623E-2</v>
      </c>
      <c r="O82" s="13"/>
      <c r="P82" s="1">
        <f>SUM(OSRRefP22_13x_0)</f>
        <v>1694.8</v>
      </c>
      <c r="Q82" s="1"/>
      <c r="R82" s="5">
        <f t="shared" ref="R82:R88" si="56">IF(P$12=0,0,P82/P$12)</f>
        <v>4.6315612054104253E-4</v>
      </c>
      <c r="S82" s="1"/>
      <c r="T82" s="1">
        <f>SUM(OSRRefT22_13x_0)</f>
        <v>1665</v>
      </c>
      <c r="U82" s="1"/>
      <c r="V82" s="5">
        <f t="shared" ref="V82:V88" si="57">IF(T$12=0,0,T82/T$12)</f>
        <v>4.4546111244883217E-4</v>
      </c>
      <c r="W82" s="1"/>
      <c r="X82" s="1">
        <f t="shared" ref="X82:X88" si="58">+P82-T82</f>
        <v>29.799999999999955</v>
      </c>
      <c r="Y82" s="1"/>
      <c r="Z82" s="5">
        <f t="shared" ref="Z82:Z88" si="59">IF(T82=0,0,X82/T82)</f>
        <v>1.789789789789787E-2</v>
      </c>
    </row>
    <row r="83" spans="1:26" s="24" customFormat="1" hidden="1" outlineLevel="2" x14ac:dyDescent="0.25">
      <c r="A83" s="25"/>
      <c r="B83" s="11" t="str">
        <f>CONCATENATE("          ", "6309", " - ", "TELEPHONE")</f>
        <v xml:space="preserve">          6309 - TELEPHONE</v>
      </c>
      <c r="C83" s="11"/>
      <c r="D83" s="6">
        <v>189</v>
      </c>
      <c r="E83" s="2"/>
      <c r="F83" s="7">
        <f t="shared" si="52"/>
        <v>4.9777659786287912E-4</v>
      </c>
      <c r="G83" s="2"/>
      <c r="H83" s="6">
        <v>185</v>
      </c>
      <c r="I83" s="2"/>
      <c r="J83" s="7">
        <f t="shared" si="53"/>
        <v>3.8174160839088688E-4</v>
      </c>
      <c r="K83" s="2"/>
      <c r="L83" s="6">
        <f t="shared" si="54"/>
        <v>4</v>
      </c>
      <c r="M83" s="2"/>
      <c r="N83" s="7">
        <f t="shared" si="55"/>
        <v>2.1621621621621623E-2</v>
      </c>
      <c r="O83" s="11"/>
      <c r="P83" s="6">
        <v>1694.8</v>
      </c>
      <c r="Q83" s="2"/>
      <c r="R83" s="7">
        <f t="shared" si="56"/>
        <v>4.6315612054104253E-4</v>
      </c>
      <c r="S83" s="2"/>
      <c r="T83" s="6">
        <v>1665</v>
      </c>
      <c r="U83" s="2"/>
      <c r="V83" s="7">
        <f t="shared" si="57"/>
        <v>4.4546111244883217E-4</v>
      </c>
      <c r="W83" s="2"/>
      <c r="X83" s="6">
        <f t="shared" si="58"/>
        <v>29.799999999999955</v>
      </c>
      <c r="Y83" s="2"/>
      <c r="Z83" s="7">
        <f t="shared" si="59"/>
        <v>1.789789789789787E-2</v>
      </c>
    </row>
    <row r="84" spans="1:26" s="27" customFormat="1" outlineLevel="1" collapsed="1" x14ac:dyDescent="0.25">
      <c r="A84" s="26"/>
      <c r="B84" s="13" t="str">
        <f>CONCATENATE("     ","Training                                          ")</f>
        <v xml:space="preserve">     Training                                          </v>
      </c>
      <c r="C84" s="13"/>
      <c r="D84" s="1">
        <f>SUM(OSRRefD22_14x_0)</f>
        <v>0</v>
      </c>
      <c r="E84" s="1"/>
      <c r="F84" s="5">
        <f t="shared" si="52"/>
        <v>0</v>
      </c>
      <c r="G84" s="1"/>
      <c r="H84" s="1">
        <f>SUM(OSRRefH22_14x_0)</f>
        <v>0</v>
      </c>
      <c r="I84" s="1"/>
      <c r="J84" s="5">
        <f t="shared" si="53"/>
        <v>0</v>
      </c>
      <c r="K84" s="1"/>
      <c r="L84" s="1">
        <f t="shared" si="54"/>
        <v>0</v>
      </c>
      <c r="M84" s="1"/>
      <c r="N84" s="5">
        <f t="shared" si="55"/>
        <v>0</v>
      </c>
      <c r="O84" s="13"/>
      <c r="P84" s="1">
        <f>SUM(OSRRefP22_14x_0)</f>
        <v>678.48</v>
      </c>
      <c r="Q84" s="1"/>
      <c r="R84" s="5">
        <f t="shared" si="56"/>
        <v>1.8541548540517263E-4</v>
      </c>
      <c r="S84" s="1"/>
      <c r="T84" s="1">
        <f>SUM(OSRRefT22_14x_0)</f>
        <v>2000</v>
      </c>
      <c r="U84" s="1"/>
      <c r="V84" s="5">
        <f t="shared" si="57"/>
        <v>5.3508842336196058E-4</v>
      </c>
      <c r="W84" s="1"/>
      <c r="X84" s="1">
        <f t="shared" si="58"/>
        <v>-1321.52</v>
      </c>
      <c r="Y84" s="1"/>
      <c r="Z84" s="5">
        <f t="shared" si="59"/>
        <v>-0.66076000000000001</v>
      </c>
    </row>
    <row r="85" spans="1:26" s="24" customFormat="1" hidden="1" outlineLevel="2" x14ac:dyDescent="0.25">
      <c r="A85" s="25"/>
      <c r="B85" s="11" t="str">
        <f>CONCATENATE("          ", "6376", " - ", "TRAINING")</f>
        <v xml:space="preserve">          6376 - TRAINING</v>
      </c>
      <c r="C85" s="11"/>
      <c r="D85" s="6"/>
      <c r="E85" s="2"/>
      <c r="F85" s="7">
        <f t="shared" si="52"/>
        <v>0</v>
      </c>
      <c r="G85" s="2"/>
      <c r="H85" s="6"/>
      <c r="I85" s="2"/>
      <c r="J85" s="7">
        <f t="shared" si="53"/>
        <v>0</v>
      </c>
      <c r="K85" s="2"/>
      <c r="L85" s="6">
        <f t="shared" si="54"/>
        <v>0</v>
      </c>
      <c r="M85" s="2"/>
      <c r="N85" s="7">
        <f t="shared" si="55"/>
        <v>0</v>
      </c>
      <c r="O85" s="11"/>
      <c r="P85" s="6">
        <v>678.48</v>
      </c>
      <c r="Q85" s="2"/>
      <c r="R85" s="7">
        <f t="shared" si="56"/>
        <v>1.8541548540517263E-4</v>
      </c>
      <c r="S85" s="2"/>
      <c r="T85" s="6">
        <v>2000</v>
      </c>
      <c r="U85" s="2"/>
      <c r="V85" s="7">
        <f t="shared" si="57"/>
        <v>5.3508842336196058E-4</v>
      </c>
      <c r="W85" s="2"/>
      <c r="X85" s="6">
        <f t="shared" si="58"/>
        <v>-1321.52</v>
      </c>
      <c r="Y85" s="2"/>
      <c r="Z85" s="7">
        <f t="shared" si="59"/>
        <v>-0.66076000000000001</v>
      </c>
    </row>
    <row r="86" spans="1:26" s="27" customFormat="1" outlineLevel="1" collapsed="1" x14ac:dyDescent="0.25">
      <c r="A86" s="26"/>
      <c r="B86" s="13" t="str">
        <f>CONCATENATE("     ","Travel                                            ")</f>
        <v xml:space="preserve">     Travel                                            </v>
      </c>
      <c r="C86" s="13"/>
      <c r="D86" s="1">
        <f>SUM(OSRRefD22_15x_0)</f>
        <v>0</v>
      </c>
      <c r="E86" s="1"/>
      <c r="F86" s="5">
        <f t="shared" si="52"/>
        <v>0</v>
      </c>
      <c r="G86" s="1"/>
      <c r="H86" s="1">
        <f>SUM(OSRRefH22_15x_0)</f>
        <v>60</v>
      </c>
      <c r="I86" s="1"/>
      <c r="J86" s="5">
        <f t="shared" si="53"/>
        <v>1.2380808920785521E-4</v>
      </c>
      <c r="K86" s="1"/>
      <c r="L86" s="1">
        <f t="shared" si="54"/>
        <v>-60</v>
      </c>
      <c r="M86" s="1"/>
      <c r="N86" s="5">
        <f t="shared" si="55"/>
        <v>-1</v>
      </c>
      <c r="O86" s="13"/>
      <c r="P86" s="1">
        <f>SUM(OSRRefP22_15x_0)</f>
        <v>1429.86</v>
      </c>
      <c r="Q86" s="1"/>
      <c r="R86" s="5">
        <f t="shared" si="56"/>
        <v>3.9075313341799332E-4</v>
      </c>
      <c r="S86" s="1"/>
      <c r="T86" s="1">
        <f>SUM(OSRRefT22_15x_0)</f>
        <v>540</v>
      </c>
      <c r="U86" s="1"/>
      <c r="V86" s="5">
        <f t="shared" si="57"/>
        <v>1.4447387430772935E-4</v>
      </c>
      <c r="W86" s="1"/>
      <c r="X86" s="1">
        <f t="shared" si="58"/>
        <v>889.8599999999999</v>
      </c>
      <c r="Y86" s="1"/>
      <c r="Z86" s="5">
        <f t="shared" si="59"/>
        <v>1.6478888888888887</v>
      </c>
    </row>
    <row r="87" spans="1:26" s="24" customFormat="1" hidden="1" outlineLevel="2" x14ac:dyDescent="0.25">
      <c r="A87" s="25"/>
      <c r="B87" s="11" t="str">
        <f>CONCATENATE("          ", "6292", " - ", "TRAVEL/CONFERENCE")</f>
        <v xml:space="preserve">          6292 - TRAVEL/CONFERENCE</v>
      </c>
      <c r="C87" s="11"/>
      <c r="D87" s="6"/>
      <c r="E87" s="2"/>
      <c r="F87" s="7">
        <f t="shared" si="52"/>
        <v>0</v>
      </c>
      <c r="G87" s="2"/>
      <c r="H87" s="6"/>
      <c r="I87" s="2"/>
      <c r="J87" s="7">
        <f t="shared" si="53"/>
        <v>0</v>
      </c>
      <c r="K87" s="2"/>
      <c r="L87" s="6">
        <f t="shared" si="54"/>
        <v>0</v>
      </c>
      <c r="M87" s="2"/>
      <c r="N87" s="7">
        <f t="shared" si="55"/>
        <v>0</v>
      </c>
      <c r="O87" s="11"/>
      <c r="P87" s="6">
        <v>1429.86</v>
      </c>
      <c r="Q87" s="2"/>
      <c r="R87" s="7">
        <f t="shared" si="56"/>
        <v>3.9075313341799332E-4</v>
      </c>
      <c r="S87" s="2"/>
      <c r="T87" s="6"/>
      <c r="U87" s="2"/>
      <c r="V87" s="7">
        <f t="shared" si="57"/>
        <v>0</v>
      </c>
      <c r="W87" s="2"/>
      <c r="X87" s="6">
        <f t="shared" si="58"/>
        <v>1429.86</v>
      </c>
      <c r="Y87" s="2"/>
      <c r="Z87" s="7">
        <f t="shared" si="59"/>
        <v>0</v>
      </c>
    </row>
    <row r="88" spans="1:26" s="24" customFormat="1" hidden="1" outlineLevel="2" x14ac:dyDescent="0.25">
      <c r="A88" s="25"/>
      <c r="B88" s="11" t="str">
        <f>CONCATENATE("          ", "6298", " - ", "VEHICLE MILEAGE")</f>
        <v xml:space="preserve">          6298 - VEHICLE MILEAGE</v>
      </c>
      <c r="C88" s="11"/>
      <c r="D88" s="6"/>
      <c r="E88" s="2"/>
      <c r="F88" s="7">
        <f t="shared" si="52"/>
        <v>0</v>
      </c>
      <c r="G88" s="2"/>
      <c r="H88" s="6">
        <v>60</v>
      </c>
      <c r="I88" s="2"/>
      <c r="J88" s="7">
        <f t="shared" si="53"/>
        <v>1.2380808920785521E-4</v>
      </c>
      <c r="K88" s="2"/>
      <c r="L88" s="6">
        <f t="shared" si="54"/>
        <v>-60</v>
      </c>
      <c r="M88" s="2"/>
      <c r="N88" s="7">
        <f t="shared" si="55"/>
        <v>-1</v>
      </c>
      <c r="O88" s="11"/>
      <c r="P88" s="6"/>
      <c r="Q88" s="2"/>
      <c r="R88" s="7">
        <f t="shared" si="56"/>
        <v>0</v>
      </c>
      <c r="S88" s="2"/>
      <c r="T88" s="6">
        <v>540</v>
      </c>
      <c r="U88" s="2"/>
      <c r="V88" s="7">
        <f t="shared" si="57"/>
        <v>1.4447387430772935E-4</v>
      </c>
      <c r="W88" s="2"/>
      <c r="X88" s="6">
        <f t="shared" si="58"/>
        <v>-540</v>
      </c>
      <c r="Y88" s="2"/>
      <c r="Z88" s="7">
        <f t="shared" si="59"/>
        <v>-1</v>
      </c>
    </row>
    <row r="89" spans="1:26" s="56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9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8" t="s">
        <v>3</v>
      </c>
      <c r="C92" s="28"/>
      <c r="D92" s="20">
        <f>+D23-D25+D90</f>
        <v>75315.069999999949</v>
      </c>
      <c r="E92" s="14"/>
      <c r="F92" s="22">
        <f>IF(D$12=0,0,D92/D$12)</f>
        <v>0.19836020800214055</v>
      </c>
      <c r="G92" s="14"/>
      <c r="H92" s="20">
        <f>+H23-H25+H90</f>
        <v>167014.39942651664</v>
      </c>
      <c r="I92" s="14"/>
      <c r="J92" s="22">
        <f>IF(H$12=0,0,H92/H$12)</f>
        <v>0.34462889438657557</v>
      </c>
      <c r="K92" s="16"/>
      <c r="L92" s="20">
        <f>+D92-H92</f>
        <v>-91699.329426516691</v>
      </c>
      <c r="M92" s="16"/>
      <c r="N92" s="22">
        <f>IF(H92=0,0,L92/H92)</f>
        <v>-0.54905043961112321</v>
      </c>
      <c r="O92" s="29"/>
      <c r="P92" s="20">
        <f>+P23-P25+P90</f>
        <v>1216997.3500000001</v>
      </c>
      <c r="Q92" s="14"/>
      <c r="R92" s="22">
        <f>IF(P$12=0,0,P92/P$12)</f>
        <v>0.33258188065537492</v>
      </c>
      <c r="S92" s="14"/>
      <c r="T92" s="20">
        <f>+T23-T25+T90</f>
        <v>1083440.8421208835</v>
      </c>
      <c r="U92" s="14"/>
      <c r="V92" s="22">
        <f>IF(T$12=0,0,T92/T$12)</f>
        <v>0.28986832600820922</v>
      </c>
      <c r="W92" s="16"/>
      <c r="X92" s="20">
        <f>+P92-T92</f>
        <v>133556.50787911657</v>
      </c>
      <c r="Y92" s="16"/>
      <c r="Z92" s="22">
        <f>IF(T92=0,0,X92/T92)</f>
        <v>0.12327069710393582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14</v>
      </c>
      <c r="C94" s="10"/>
      <c r="D94" s="4">
        <v>57845.279999999999</v>
      </c>
      <c r="E94" s="4"/>
      <c r="F94" s="12">
        <f>IF(D$12=0,0,D94/D$12)</f>
        <v>0.15234934751759599</v>
      </c>
      <c r="G94" s="4"/>
      <c r="H94" s="4">
        <v>45717</v>
      </c>
      <c r="I94" s="4"/>
      <c r="J94" s="12">
        <f>IF(H$12=0,0,H94/H$12)</f>
        <v>9.4335573571925277E-2</v>
      </c>
      <c r="K94" s="4"/>
      <c r="L94" s="4">
        <f>+D94-H94</f>
        <v>12128.279999999999</v>
      </c>
      <c r="M94" s="4"/>
      <c r="N94" s="12">
        <f>IF(H94=0,0,L94/H94)</f>
        <v>0.26529037338408029</v>
      </c>
      <c r="O94" s="10"/>
      <c r="P94" s="4">
        <v>392096.57</v>
      </c>
      <c r="Q94" s="4"/>
      <c r="R94" s="12">
        <f>IF(P$12=0,0,P94/P$12)</f>
        <v>0.10715242284555659</v>
      </c>
      <c r="S94" s="4"/>
      <c r="T94" s="4">
        <v>436903</v>
      </c>
      <c r="U94" s="4"/>
      <c r="V94" s="12">
        <f>IF(T$12=0,0,T94/T$12)</f>
        <v>0.11689086871605534</v>
      </c>
      <c r="W94" s="4"/>
      <c r="X94" s="4">
        <f>+P94-T94</f>
        <v>-44806.429999999993</v>
      </c>
      <c r="Y94" s="4"/>
      <c r="Z94" s="12">
        <f>IF(T94=0,0,X94/T94)</f>
        <v>-0.10255464027484359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8" t="s">
        <v>4</v>
      </c>
      <c r="C96" s="28"/>
      <c r="D96" s="31">
        <f>+D92-D94</f>
        <v>17469.78999999995</v>
      </c>
      <c r="E96" s="14"/>
      <c r="F96" s="34">
        <f>IF(D$12=0,0,D96/D$12)</f>
        <v>4.6010860484544558E-2</v>
      </c>
      <c r="G96" s="14"/>
      <c r="H96" s="31">
        <f>+H92-H94</f>
        <v>121297.39942651664</v>
      </c>
      <c r="I96" s="14"/>
      <c r="J96" s="34">
        <f>IF(H$12=0,0,H96/H$12)</f>
        <v>0.25029332081465028</v>
      </c>
      <c r="K96" s="16"/>
      <c r="L96" s="31">
        <f>D96-H96</f>
        <v>-103827.60942651669</v>
      </c>
      <c r="M96" s="16"/>
      <c r="N96" s="34">
        <f>IF(H96=0,0,L96/H96)</f>
        <v>-0.85597556021319854</v>
      </c>
      <c r="O96" s="29"/>
      <c r="P96" s="31">
        <f>+P92-P94</f>
        <v>824900.78</v>
      </c>
      <c r="Q96" s="14"/>
      <c r="R96" s="34">
        <f>IF(P$12=0,0,P96/P$12)</f>
        <v>0.22542945780981827</v>
      </c>
      <c r="S96" s="14"/>
      <c r="T96" s="31">
        <f>+T92-T94</f>
        <v>646537.84212088352</v>
      </c>
      <c r="U96" s="14"/>
      <c r="V96" s="34">
        <f>IF(T$12=0,0,T96/T$12)</f>
        <v>0.17297745729215386</v>
      </c>
      <c r="W96" s="16"/>
      <c r="X96" s="31">
        <f>P96-T96</f>
        <v>178362.93787911651</v>
      </c>
      <c r="Y96" s="16"/>
      <c r="Z96" s="34">
        <f>IF(T96=0,0,X96/T96)</f>
        <v>0.27587393383505598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8" t="s">
        <v>5</v>
      </c>
      <c r="C99" s="28"/>
      <c r="D99" s="32">
        <f>SUM(D96:D98)</f>
        <v>17469.78999999995</v>
      </c>
      <c r="E99" s="14"/>
      <c r="F99" s="35">
        <f>IF(D$12=0,0,D99/D$12)</f>
        <v>4.6010860484544558E-2</v>
      </c>
      <c r="G99" s="14"/>
      <c r="H99" s="32">
        <f>SUM(H96:H98)</f>
        <v>121297.39942651664</v>
      </c>
      <c r="I99" s="14"/>
      <c r="J99" s="35">
        <f>IF(H$12=0,0,H99/H$12)</f>
        <v>0.25029332081465028</v>
      </c>
      <c r="K99" s="16"/>
      <c r="L99" s="32">
        <f>+D99-H99</f>
        <v>-103827.60942651669</v>
      </c>
      <c r="M99" s="16"/>
      <c r="N99" s="35">
        <f>IF(H99=0,0,L99/H99)</f>
        <v>-0.85597556021319854</v>
      </c>
      <c r="O99" s="29"/>
      <c r="P99" s="32">
        <f>SUM(P96:P98)</f>
        <v>824900.78</v>
      </c>
      <c r="Q99" s="14"/>
      <c r="R99" s="35">
        <f>IF(P$12=0,0,P99/P$12)</f>
        <v>0.22542945780981827</v>
      </c>
      <c r="S99" s="14"/>
      <c r="T99" s="32">
        <f>SUM(T96:T98)</f>
        <v>646537.84212088352</v>
      </c>
      <c r="U99" s="14"/>
      <c r="V99" s="35">
        <f>IF(T$12=0,0,T99/T$12)</f>
        <v>0.17297745729215386</v>
      </c>
      <c r="W99" s="16"/>
      <c r="X99" s="32">
        <f>+P99-T99</f>
        <v>178362.93787911651</v>
      </c>
      <c r="Y99" s="16"/>
      <c r="Z99" s="35">
        <f>IF(T99=0,0,X99/T99)</f>
        <v>0.27587393383505598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57">
        <v>43934.466921261577</v>
      </c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A102" s="9"/>
      <c r="B102" s="62" t="s">
        <v>314</v>
      </c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A103" s="9"/>
      <c r="B103" s="60"/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","435", " - ", "Ground Floor Coffee House")</f>
        <v>Department 435 - Ground Floor Coffee House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1501</v>
      </c>
      <c r="I12" s="4"/>
      <c r="J12" s="12"/>
      <c r="K12" s="4"/>
      <c r="L12" s="4">
        <f t="shared" ref="L12:L16" si="0">+D12-H12</f>
        <v>-1501</v>
      </c>
      <c r="M12" s="4"/>
      <c r="N12" s="12">
        <f t="shared" ref="N12:N16" si="1">IF(H12=0,0,L12/H12)</f>
        <v>-1</v>
      </c>
      <c r="O12" s="10"/>
      <c r="P12" s="4">
        <f>SUM(OSRRefP13x_0)</f>
        <v>5179.0200000000004</v>
      </c>
      <c r="Q12" s="4"/>
      <c r="R12" s="12"/>
      <c r="S12" s="4"/>
      <c r="T12" s="4">
        <f>SUM(OSRRefT13x_0)</f>
        <v>9006</v>
      </c>
      <c r="U12" s="4"/>
      <c r="V12" s="12"/>
      <c r="W12" s="4"/>
      <c r="X12" s="4">
        <f t="shared" ref="X12:X16" si="2">+P12-T12</f>
        <v>-3826.9799999999996</v>
      </c>
      <c r="Y12" s="4"/>
      <c r="Z12" s="12">
        <f t="shared" ref="Z12:Z16" si="3">IF(T12=0,0,X12/T12)</f>
        <v>-0.42493670886075946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 t="shared" ref="D13:D16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--973.49</f>
        <v>973.49</v>
      </c>
      <c r="Q13" s="2"/>
      <c r="R13" s="19"/>
      <c r="S13" s="2"/>
      <c r="T13" s="2"/>
      <c r="U13" s="2"/>
      <c r="V13" s="19"/>
      <c r="W13" s="2"/>
      <c r="X13" s="2">
        <f t="shared" si="2"/>
        <v>973.49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1501</v>
      </c>
      <c r="I14" s="2"/>
      <c r="J14" s="19"/>
      <c r="K14" s="2"/>
      <c r="L14" s="2">
        <f t="shared" si="0"/>
        <v>-1501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9006</v>
      </c>
      <c r="U14" s="2"/>
      <c r="V14" s="19"/>
      <c r="W14" s="2"/>
      <c r="X14" s="2">
        <f t="shared" si="2"/>
        <v>-9006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--471.63</f>
        <v>471.63</v>
      </c>
      <c r="Q15" s="2"/>
      <c r="R15" s="19"/>
      <c r="S15" s="2"/>
      <c r="T15" s="2"/>
      <c r="U15" s="2"/>
      <c r="V15" s="19"/>
      <c r="W15" s="2"/>
      <c r="X15" s="2">
        <f t="shared" si="2"/>
        <v>471.63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"4155", " - ", "NON-TAXABLE SALES-FOOD")</f>
        <v xml:space="preserve">          4155 - NON-TAXABLE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--3733.9</f>
        <v>3733.9</v>
      </c>
      <c r="Q16" s="2"/>
      <c r="R16" s="19"/>
      <c r="S16" s="2"/>
      <c r="T16" s="2"/>
      <c r="U16" s="2"/>
      <c r="V16" s="19"/>
      <c r="W16" s="2"/>
      <c r="X16" s="2">
        <f t="shared" si="2"/>
        <v>3733.9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0</v>
      </c>
      <c r="E18" s="4"/>
      <c r="F18" s="12">
        <f t="shared" ref="F18:F21" si="5">IF(D$12=0,0,D18/D$12)</f>
        <v>0</v>
      </c>
      <c r="G18" s="4"/>
      <c r="H18" s="4">
        <f>SUM(OSRRefH16x_0)</f>
        <v>800.16</v>
      </c>
      <c r="I18" s="4"/>
      <c r="J18" s="12">
        <f t="shared" ref="J18:J21" si="6">IF(H$12=0,0,H18/H$12)</f>
        <v>0.53308461025982679</v>
      </c>
      <c r="K18" s="4"/>
      <c r="L18" s="4">
        <f t="shared" ref="L18:L21" si="7">+D18-H18</f>
        <v>-800.16</v>
      </c>
      <c r="M18" s="4"/>
      <c r="N18" s="12">
        <f t="shared" ref="N18:N21" si="8">IF(H18=0,0,L18/H18)</f>
        <v>-1</v>
      </c>
      <c r="O18" s="10"/>
      <c r="P18" s="4">
        <f>SUM(OSRRefP16x_0)</f>
        <v>1954.47</v>
      </c>
      <c r="Q18" s="4"/>
      <c r="R18" s="12">
        <f t="shared" ref="R18:R21" si="9">IF(P$12=0,0,P18/P$12)</f>
        <v>0.37738220744465167</v>
      </c>
      <c r="S18" s="4"/>
      <c r="T18" s="4">
        <f>SUM(OSRRefT16x_0)</f>
        <v>4800.96</v>
      </c>
      <c r="U18" s="4"/>
      <c r="V18" s="12">
        <f t="shared" ref="V18:V21" si="10">IF(T$12=0,0,T18/T$12)</f>
        <v>0.53308461025982679</v>
      </c>
      <c r="W18" s="4"/>
      <c r="X18" s="4">
        <f t="shared" ref="X18:X21" si="11">+P18-T18</f>
        <v>-2846.49</v>
      </c>
      <c r="Y18" s="4"/>
      <c r="Z18" s="12">
        <f t="shared" ref="Z18:Z21" si="12">IF(T18=0,0,X18/T18)</f>
        <v>-0.5929001699660067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800.16</v>
      </c>
      <c r="I19" s="2"/>
      <c r="J19" s="19">
        <f t="shared" si="6"/>
        <v>0.53308461025982679</v>
      </c>
      <c r="K19" s="2"/>
      <c r="L19" s="2">
        <f t="shared" si="7"/>
        <v>-800.16</v>
      </c>
      <c r="M19" s="2"/>
      <c r="N19" s="19">
        <f t="shared" si="8"/>
        <v>-1</v>
      </c>
      <c r="O19" s="11"/>
      <c r="P19" s="2"/>
      <c r="Q19" s="2"/>
      <c r="R19" s="19">
        <f t="shared" si="9"/>
        <v>0</v>
      </c>
      <c r="S19" s="2"/>
      <c r="T19" s="2">
        <v>4800.96</v>
      </c>
      <c r="U19" s="2"/>
      <c r="V19" s="19">
        <f t="shared" si="10"/>
        <v>0.53308461025982679</v>
      </c>
      <c r="W19" s="2"/>
      <c r="X19" s="2">
        <f t="shared" si="11"/>
        <v>-4800.96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3948.48</v>
      </c>
      <c r="Q20" s="2"/>
      <c r="R20" s="19">
        <f t="shared" si="9"/>
        <v>0.762399063915567</v>
      </c>
      <c r="S20" s="2"/>
      <c r="T20" s="2"/>
      <c r="U20" s="2"/>
      <c r="V20" s="19">
        <f t="shared" si="10"/>
        <v>0</v>
      </c>
      <c r="W20" s="2"/>
      <c r="X20" s="2">
        <f t="shared" si="11"/>
        <v>3948.48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/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0</v>
      </c>
      <c r="M21" s="2"/>
      <c r="N21" s="19">
        <f t="shared" si="8"/>
        <v>0</v>
      </c>
      <c r="O21" s="11"/>
      <c r="P21" s="2">
        <v>-1994.01</v>
      </c>
      <c r="Q21" s="2"/>
      <c r="R21" s="19">
        <f t="shared" si="9"/>
        <v>-0.38501685647091533</v>
      </c>
      <c r="S21" s="2"/>
      <c r="T21" s="2"/>
      <c r="U21" s="2"/>
      <c r="V21" s="19">
        <f t="shared" si="10"/>
        <v>0</v>
      </c>
      <c r="W21" s="2"/>
      <c r="X21" s="2">
        <f t="shared" si="11"/>
        <v>-1994.01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0">
        <f>D12-D18</f>
        <v>0</v>
      </c>
      <c r="E23" s="14"/>
      <c r="F23" s="22">
        <f>IF(D$12=0,0,D23/D$12)</f>
        <v>0</v>
      </c>
      <c r="G23" s="14"/>
      <c r="H23" s="20">
        <f>H12-H18</f>
        <v>700.84</v>
      </c>
      <c r="I23" s="14"/>
      <c r="J23" s="22">
        <f>IF(H$12=0,0,H23/H$12)</f>
        <v>0.46691538974017321</v>
      </c>
      <c r="K23" s="16"/>
      <c r="L23" s="20">
        <f>+D23-H23</f>
        <v>-700.84</v>
      </c>
      <c r="M23" s="16"/>
      <c r="N23" s="22">
        <f>IF(H23=0,0,L23/H23)</f>
        <v>-1</v>
      </c>
      <c r="O23" s="29"/>
      <c r="P23" s="20">
        <f>P12-P18</f>
        <v>3224.55</v>
      </c>
      <c r="Q23" s="14"/>
      <c r="R23" s="22">
        <f>IF(P$12=0,0,P23/P$12)</f>
        <v>0.62261779255534833</v>
      </c>
      <c r="S23" s="14"/>
      <c r="T23" s="20">
        <f>T12-T18</f>
        <v>4205.04</v>
      </c>
      <c r="U23" s="14"/>
      <c r="V23" s="22">
        <f>IF(T$12=0,0,T23/T$12)</f>
        <v>0.46691538974017321</v>
      </c>
      <c r="W23" s="16"/>
      <c r="X23" s="20">
        <f>+P23-T23</f>
        <v>-980.48999999999978</v>
      </c>
      <c r="Y23" s="16"/>
      <c r="Z23" s="22">
        <f>IF(T23=0,0,X23/T23)</f>
        <v>-0.23317019576508186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1">
        <f>SUM(OSRRefD22x_0)</f>
        <v>75.5</v>
      </c>
      <c r="E25" s="21"/>
      <c r="F25" s="30">
        <f t="shared" ref="F25:F34" si="13">IF(D$12=0,0,D25/D$12)</f>
        <v>0</v>
      </c>
      <c r="G25" s="21"/>
      <c r="H25" s="21">
        <f>SUM(OSRRefH22x_0)</f>
        <v>2887.2896639999999</v>
      </c>
      <c r="I25" s="21"/>
      <c r="J25" s="30">
        <f t="shared" ref="J25:J34" si="14">IF(H$12=0,0,H25/H$12)</f>
        <v>1.9235773910726182</v>
      </c>
      <c r="K25" s="4"/>
      <c r="L25" s="21">
        <f t="shared" ref="L25:L34" si="15">+D25-H25</f>
        <v>-2811.7896639999999</v>
      </c>
      <c r="M25" s="4"/>
      <c r="N25" s="30">
        <f t="shared" ref="N25:N34" si="16">IF(H25=0,0,L25/H25)</f>
        <v>-0.97385090905794203</v>
      </c>
      <c r="O25" s="10"/>
      <c r="P25" s="21">
        <f>SUM(OSRRefP22x_0)</f>
        <v>15738.219999999998</v>
      </c>
      <c r="Q25" s="21"/>
      <c r="R25" s="30">
        <f t="shared" ref="R25:R34" si="17">IF(P$12=0,0,P25/P$12)</f>
        <v>3.0388413251927964</v>
      </c>
      <c r="S25" s="21"/>
      <c r="T25" s="21">
        <f>SUM(OSRRefT22x_0)</f>
        <v>19036.612560000001</v>
      </c>
      <c r="U25" s="21"/>
      <c r="V25" s="30">
        <f t="shared" ref="V25:V34" si="18">IF(T$12=0,0,T25/T$12)</f>
        <v>2.1137699933377752</v>
      </c>
      <c r="W25" s="4"/>
      <c r="X25" s="21">
        <f t="shared" ref="X25:X34" si="19">+P25-T25</f>
        <v>-3298.3925600000039</v>
      </c>
      <c r="Y25" s="4"/>
      <c r="Z25" s="30">
        <f t="shared" ref="Z25:Z34" si="20">IF(T25=0,0,X25/T25)</f>
        <v>-0.17326572937302054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0</v>
      </c>
      <c r="E26" s="1"/>
      <c r="F26" s="5">
        <f t="shared" si="13"/>
        <v>0</v>
      </c>
      <c r="G26" s="1"/>
      <c r="H26" s="1">
        <f>SUM(OSRRefH22_0x_0)</f>
        <v>119.249664</v>
      </c>
      <c r="I26" s="1"/>
      <c r="J26" s="5">
        <f t="shared" si="14"/>
        <v>7.9446811459027308E-2</v>
      </c>
      <c r="K26" s="1"/>
      <c r="L26" s="1">
        <f t="shared" si="15"/>
        <v>-119.249664</v>
      </c>
      <c r="M26" s="1"/>
      <c r="N26" s="5">
        <f t="shared" si="16"/>
        <v>-1</v>
      </c>
      <c r="O26" s="13"/>
      <c r="P26" s="1">
        <f>SUM(OSRRefP22_0x_0)</f>
        <v>858.58</v>
      </c>
      <c r="Q26" s="1"/>
      <c r="R26" s="5">
        <f t="shared" si="17"/>
        <v>0.16578039860823091</v>
      </c>
      <c r="S26" s="1"/>
      <c r="T26" s="1">
        <f>SUM(OSRRefT22_0x_0)</f>
        <v>796.01256000000001</v>
      </c>
      <c r="U26" s="1"/>
      <c r="V26" s="5">
        <f t="shared" si="18"/>
        <v>8.8386915389740167E-2</v>
      </c>
      <c r="W26" s="1"/>
      <c r="X26" s="1">
        <f t="shared" si="19"/>
        <v>62.567440000000033</v>
      </c>
      <c r="Y26" s="1"/>
      <c r="Z26" s="5">
        <f t="shared" si="20"/>
        <v>7.8601071319779212E-2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6"/>
      <c r="E27" s="2"/>
      <c r="F27" s="7">
        <f t="shared" si="13"/>
        <v>0</v>
      </c>
      <c r="G27" s="2"/>
      <c r="H27" s="6">
        <v>0</v>
      </c>
      <c r="I27" s="2"/>
      <c r="J27" s="7">
        <f t="shared" si="14"/>
        <v>0</v>
      </c>
      <c r="K27" s="2"/>
      <c r="L27" s="6">
        <f t="shared" si="15"/>
        <v>0</v>
      </c>
      <c r="M27" s="2"/>
      <c r="N27" s="7">
        <f t="shared" si="16"/>
        <v>0</v>
      </c>
      <c r="O27" s="11"/>
      <c r="P27" s="6">
        <v>602.38</v>
      </c>
      <c r="Q27" s="2"/>
      <c r="R27" s="7">
        <f t="shared" si="17"/>
        <v>0.11631158018312343</v>
      </c>
      <c r="S27" s="2"/>
      <c r="T27" s="6">
        <v>0</v>
      </c>
      <c r="U27" s="2"/>
      <c r="V27" s="7">
        <f t="shared" si="18"/>
        <v>0</v>
      </c>
      <c r="W27" s="2"/>
      <c r="X27" s="6">
        <f t="shared" si="19"/>
        <v>602.38</v>
      </c>
      <c r="Y27" s="2"/>
      <c r="Z27" s="7">
        <f t="shared" si="20"/>
        <v>0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6"/>
      <c r="E28" s="2"/>
      <c r="F28" s="7">
        <f t="shared" si="13"/>
        <v>0</v>
      </c>
      <c r="G28" s="2"/>
      <c r="H28" s="6">
        <v>43.909759999999999</v>
      </c>
      <c r="I28" s="2"/>
      <c r="J28" s="7">
        <f t="shared" si="14"/>
        <v>2.9253670886075948E-2</v>
      </c>
      <c r="K28" s="2"/>
      <c r="L28" s="6">
        <f t="shared" si="15"/>
        <v>-43.909759999999999</v>
      </c>
      <c r="M28" s="2"/>
      <c r="N28" s="7">
        <f t="shared" si="16"/>
        <v>-1</v>
      </c>
      <c r="O28" s="11"/>
      <c r="P28" s="6">
        <v>221.3</v>
      </c>
      <c r="Q28" s="2"/>
      <c r="R28" s="7">
        <f t="shared" si="17"/>
        <v>4.2730091793428099E-2</v>
      </c>
      <c r="S28" s="2"/>
      <c r="T28" s="6">
        <v>293.10539999999997</v>
      </c>
      <c r="U28" s="2"/>
      <c r="V28" s="7">
        <f t="shared" si="18"/>
        <v>3.2545569620253165E-2</v>
      </c>
      <c r="W28" s="2"/>
      <c r="X28" s="6">
        <f t="shared" si="19"/>
        <v>-71.805399999999963</v>
      </c>
      <c r="Y28" s="2"/>
      <c r="Z28" s="7">
        <f t="shared" si="20"/>
        <v>-0.24498149812320064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6"/>
      <c r="E29" s="2"/>
      <c r="F29" s="7">
        <f t="shared" si="13"/>
        <v>0</v>
      </c>
      <c r="G29" s="2"/>
      <c r="H29" s="6">
        <v>0</v>
      </c>
      <c r="I29" s="2"/>
      <c r="J29" s="7">
        <f t="shared" si="14"/>
        <v>0</v>
      </c>
      <c r="K29" s="2"/>
      <c r="L29" s="6">
        <f t="shared" si="15"/>
        <v>0</v>
      </c>
      <c r="M29" s="2"/>
      <c r="N29" s="7">
        <f t="shared" si="16"/>
        <v>0</v>
      </c>
      <c r="O29" s="11"/>
      <c r="P29" s="6"/>
      <c r="Q29" s="2"/>
      <c r="R29" s="7">
        <f t="shared" si="17"/>
        <v>0</v>
      </c>
      <c r="S29" s="2"/>
      <c r="T29" s="6">
        <v>0</v>
      </c>
      <c r="U29" s="2"/>
      <c r="V29" s="7">
        <f t="shared" si="18"/>
        <v>0</v>
      </c>
      <c r="W29" s="2"/>
      <c r="X29" s="6">
        <f t="shared" si="19"/>
        <v>0</v>
      </c>
      <c r="Y29" s="2"/>
      <c r="Z29" s="7">
        <f t="shared" si="20"/>
        <v>0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6"/>
      <c r="E30" s="2"/>
      <c r="F30" s="7">
        <f t="shared" si="13"/>
        <v>0</v>
      </c>
      <c r="G30" s="2"/>
      <c r="H30" s="6">
        <v>6.0087039999999998</v>
      </c>
      <c r="I30" s="2"/>
      <c r="J30" s="7">
        <f t="shared" si="14"/>
        <v>4.0031339107261827E-3</v>
      </c>
      <c r="K30" s="2"/>
      <c r="L30" s="6">
        <f t="shared" si="15"/>
        <v>-6.0087039999999998</v>
      </c>
      <c r="M30" s="2"/>
      <c r="N30" s="7">
        <f t="shared" si="16"/>
        <v>-1</v>
      </c>
      <c r="O30" s="11"/>
      <c r="P30" s="6">
        <v>34.9</v>
      </c>
      <c r="Q30" s="2"/>
      <c r="R30" s="7">
        <f t="shared" si="17"/>
        <v>6.7387266316793516E-3</v>
      </c>
      <c r="S30" s="2"/>
      <c r="T30" s="6">
        <v>40.109160000000003</v>
      </c>
      <c r="U30" s="2"/>
      <c r="V30" s="7">
        <f t="shared" si="18"/>
        <v>4.4536042638241178E-3</v>
      </c>
      <c r="W30" s="2"/>
      <c r="X30" s="6">
        <f t="shared" si="19"/>
        <v>-5.2091600000000042</v>
      </c>
      <c r="Y30" s="2"/>
      <c r="Z30" s="7">
        <f t="shared" si="20"/>
        <v>-0.12987457229221464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6"/>
      <c r="E31" s="2"/>
      <c r="F31" s="7">
        <f t="shared" si="13"/>
        <v>0</v>
      </c>
      <c r="G31" s="2"/>
      <c r="H31" s="6">
        <v>0</v>
      </c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/>
      <c r="Q31" s="2"/>
      <c r="R31" s="7">
        <f t="shared" si="17"/>
        <v>0</v>
      </c>
      <c r="S31" s="2"/>
      <c r="T31" s="6">
        <v>0</v>
      </c>
      <c r="U31" s="2"/>
      <c r="V31" s="7">
        <f t="shared" si="18"/>
        <v>0</v>
      </c>
      <c r="W31" s="2"/>
      <c r="X31" s="6">
        <f t="shared" si="19"/>
        <v>0</v>
      </c>
      <c r="Y31" s="2"/>
      <c r="Z31" s="7">
        <f t="shared" si="20"/>
        <v>0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/>
      <c r="Q32" s="2"/>
      <c r="R32" s="7">
        <f t="shared" si="17"/>
        <v>0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0</v>
      </c>
      <c r="Y32" s="2"/>
      <c r="Z32" s="7">
        <f t="shared" si="20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6"/>
      <c r="E33" s="2"/>
      <c r="F33" s="7">
        <f t="shared" si="13"/>
        <v>0</v>
      </c>
      <c r="G33" s="2"/>
      <c r="H33" s="6">
        <v>0</v>
      </c>
      <c r="I33" s="2"/>
      <c r="J33" s="7">
        <f t="shared" si="14"/>
        <v>0</v>
      </c>
      <c r="K33" s="2"/>
      <c r="L33" s="6">
        <f t="shared" si="15"/>
        <v>0</v>
      </c>
      <c r="M33" s="2"/>
      <c r="N33" s="7">
        <f t="shared" si="16"/>
        <v>0</v>
      </c>
      <c r="O33" s="11"/>
      <c r="P33" s="6"/>
      <c r="Q33" s="2"/>
      <c r="R33" s="7">
        <f t="shared" si="17"/>
        <v>0</v>
      </c>
      <c r="S33" s="2"/>
      <c r="T33" s="6">
        <v>0</v>
      </c>
      <c r="U33" s="2"/>
      <c r="V33" s="7">
        <f t="shared" si="18"/>
        <v>0</v>
      </c>
      <c r="W33" s="2"/>
      <c r="X33" s="6">
        <f t="shared" si="19"/>
        <v>0</v>
      </c>
      <c r="Y33" s="2"/>
      <c r="Z33" s="7">
        <f t="shared" si="20"/>
        <v>0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6"/>
      <c r="E34" s="2"/>
      <c r="F34" s="7">
        <f t="shared" si="13"/>
        <v>0</v>
      </c>
      <c r="G34" s="2"/>
      <c r="H34" s="6">
        <v>69.331199999999995</v>
      </c>
      <c r="I34" s="2"/>
      <c r="J34" s="7">
        <f t="shared" si="14"/>
        <v>4.6190006662225183E-2</v>
      </c>
      <c r="K34" s="2"/>
      <c r="L34" s="6">
        <f t="shared" si="15"/>
        <v>-69.331199999999995</v>
      </c>
      <c r="M34" s="2"/>
      <c r="N34" s="7">
        <f t="shared" si="16"/>
        <v>-1</v>
      </c>
      <c r="O34" s="11"/>
      <c r="P34" s="6"/>
      <c r="Q34" s="2"/>
      <c r="R34" s="7">
        <f t="shared" si="17"/>
        <v>0</v>
      </c>
      <c r="S34" s="2"/>
      <c r="T34" s="6">
        <v>462.798</v>
      </c>
      <c r="U34" s="2"/>
      <c r="V34" s="7">
        <f t="shared" si="18"/>
        <v>5.1387741505662894E-2</v>
      </c>
      <c r="W34" s="2"/>
      <c r="X34" s="6">
        <f t="shared" si="19"/>
        <v>-462.798</v>
      </c>
      <c r="Y34" s="2"/>
      <c r="Z34" s="7">
        <f t="shared" si="20"/>
        <v>-1</v>
      </c>
    </row>
    <row r="35" spans="1:26" s="27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0</v>
      </c>
      <c r="E35" s="1"/>
      <c r="F35" s="5">
        <f t="shared" ref="F35:F45" si="21">IF(D$12=0,0,D35/D$12)</f>
        <v>0</v>
      </c>
      <c r="G35" s="1"/>
      <c r="H35" s="1">
        <f>SUM(OSRRefH22_1x_0)</f>
        <v>2311.04</v>
      </c>
      <c r="I35" s="1"/>
      <c r="J35" s="5">
        <f t="shared" ref="J35:J45" si="22">IF(H$12=0,0,H35/H$12)</f>
        <v>1.5396668887408393</v>
      </c>
      <c r="K35" s="1"/>
      <c r="L35" s="1">
        <f t="shared" ref="L35:L45" si="23">+D35-H35</f>
        <v>-2311.04</v>
      </c>
      <c r="M35" s="1"/>
      <c r="N35" s="5">
        <f t="shared" ref="N35:N45" si="24">IF(H35=0,0,L35/H35)</f>
        <v>-1</v>
      </c>
      <c r="O35" s="13"/>
      <c r="P35" s="1">
        <f>SUM(OSRRefP22_1x_0)</f>
        <v>10914.98</v>
      </c>
      <c r="Q35" s="1"/>
      <c r="R35" s="5">
        <f t="shared" ref="R35:R45" si="25">IF(P$12=0,0,P35/P$12)</f>
        <v>2.1075377194913321</v>
      </c>
      <c r="S35" s="1"/>
      <c r="T35" s="1">
        <f>SUM(OSRRefT22_1x_0)</f>
        <v>15426.6</v>
      </c>
      <c r="U35" s="1"/>
      <c r="V35" s="5">
        <f t="shared" ref="V35:V45" si="26">IF(T$12=0,0,T35/T$12)</f>
        <v>1.7129247168554298</v>
      </c>
      <c r="W35" s="1"/>
      <c r="X35" s="1">
        <f t="shared" ref="X35:X45" si="27">+P35-T35</f>
        <v>-4511.6200000000008</v>
      </c>
      <c r="Y35" s="1"/>
      <c r="Z35" s="5">
        <f t="shared" ref="Z35:Z45" si="28">IF(T35=0,0,X35/T35)</f>
        <v>-0.29245718434392548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1"/>
        <v>0</v>
      </c>
      <c r="G36" s="2"/>
      <c r="H36" s="6">
        <v>0</v>
      </c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/>
      <c r="Q36" s="2"/>
      <c r="R36" s="7">
        <f t="shared" si="25"/>
        <v>0</v>
      </c>
      <c r="S36" s="2"/>
      <c r="T36" s="6">
        <v>0</v>
      </c>
      <c r="U36" s="2"/>
      <c r="V36" s="7">
        <f t="shared" si="26"/>
        <v>0</v>
      </c>
      <c r="W36" s="2"/>
      <c r="X36" s="6">
        <f t="shared" si="27"/>
        <v>0</v>
      </c>
      <c r="Y36" s="2"/>
      <c r="Z36" s="7">
        <f t="shared" si="28"/>
        <v>0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6"/>
      <c r="E37" s="2"/>
      <c r="F37" s="7">
        <f t="shared" si="21"/>
        <v>0</v>
      </c>
      <c r="G37" s="2"/>
      <c r="H37" s="6">
        <v>0</v>
      </c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/>
      <c r="Q37" s="2"/>
      <c r="R37" s="7">
        <f t="shared" si="25"/>
        <v>0</v>
      </c>
      <c r="S37" s="2"/>
      <c r="T37" s="6">
        <v>0</v>
      </c>
      <c r="U37" s="2"/>
      <c r="V37" s="7">
        <f t="shared" si="26"/>
        <v>0</v>
      </c>
      <c r="W37" s="2"/>
      <c r="X37" s="6">
        <f t="shared" si="27"/>
        <v>0</v>
      </c>
      <c r="Y37" s="2"/>
      <c r="Z37" s="7">
        <f t="shared" si="28"/>
        <v>0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/>
      <c r="Q39" s="2"/>
      <c r="R39" s="7">
        <f t="shared" si="25"/>
        <v>0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0</v>
      </c>
      <c r="Y39" s="2"/>
      <c r="Z39" s="7">
        <f t="shared" si="28"/>
        <v>0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>
        <v>7765.17</v>
      </c>
      <c r="Q40" s="2"/>
      <c r="R40" s="7">
        <f t="shared" si="25"/>
        <v>1.4993512286108182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7765.17</v>
      </c>
      <c r="Y40" s="2"/>
      <c r="Z40" s="7">
        <f t="shared" si="28"/>
        <v>0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>
        <v>73.31</v>
      </c>
      <c r="Q41" s="2"/>
      <c r="R41" s="7">
        <f t="shared" si="25"/>
        <v>1.4155187660986054E-2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73.31</v>
      </c>
      <c r="Y41" s="2"/>
      <c r="Z41" s="7">
        <f t="shared" si="28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>
        <v>3076.5</v>
      </c>
      <c r="Q42" s="2"/>
      <c r="R42" s="7">
        <f t="shared" si="25"/>
        <v>0.59403130321952802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3076.5</v>
      </c>
      <c r="Y42" s="2"/>
      <c r="Z42" s="7">
        <f t="shared" si="28"/>
        <v>0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1"/>
        <v>0</v>
      </c>
      <c r="G43" s="2"/>
      <c r="H43" s="6">
        <v>2311.04</v>
      </c>
      <c r="I43" s="2"/>
      <c r="J43" s="7">
        <f t="shared" si="22"/>
        <v>1.5396668887408393</v>
      </c>
      <c r="K43" s="2"/>
      <c r="L43" s="6">
        <f t="shared" si="23"/>
        <v>-2311.04</v>
      </c>
      <c r="M43" s="2"/>
      <c r="N43" s="7">
        <f t="shared" si="24"/>
        <v>-1</v>
      </c>
      <c r="O43" s="11"/>
      <c r="P43" s="6"/>
      <c r="Q43" s="2"/>
      <c r="R43" s="7">
        <f t="shared" si="25"/>
        <v>0</v>
      </c>
      <c r="S43" s="2"/>
      <c r="T43" s="6">
        <v>15426.6</v>
      </c>
      <c r="U43" s="2"/>
      <c r="V43" s="7">
        <f t="shared" si="26"/>
        <v>1.7129247168554298</v>
      </c>
      <c r="W43" s="2"/>
      <c r="X43" s="6">
        <f t="shared" si="27"/>
        <v>-15426.6</v>
      </c>
      <c r="Y43" s="2"/>
      <c r="Z43" s="7">
        <f t="shared" si="28"/>
        <v>-1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/>
      <c r="Q44" s="2"/>
      <c r="R44" s="7">
        <f t="shared" si="25"/>
        <v>0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0</v>
      </c>
      <c r="Y44" s="2"/>
      <c r="Z44" s="7">
        <f t="shared" si="28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0</v>
      </c>
      <c r="Y45" s="2"/>
      <c r="Z45" s="7">
        <f t="shared" si="28"/>
        <v>0</v>
      </c>
    </row>
    <row r="46" spans="1:26" s="27" customFormat="1" outlineLevel="1" collapsed="1" x14ac:dyDescent="0.25">
      <c r="A46" s="26"/>
      <c r="B46" s="13" t="str">
        <f>CONCATENATE("     ","Bad Debts/Over/Short                              ")</f>
        <v xml:space="preserve">     Bad Debts/Over/Short                              </v>
      </c>
      <c r="C46" s="13"/>
      <c r="D46" s="1">
        <f>SUM(OSRRefD22_2x_0)</f>
        <v>0</v>
      </c>
      <c r="E46" s="1"/>
      <c r="F46" s="5">
        <f t="shared" ref="F46:F59" si="29">IF(D$12=0,0,D46/D$12)</f>
        <v>0</v>
      </c>
      <c r="G46" s="1"/>
      <c r="H46" s="1">
        <f>SUM(OSRRefH22_2x_0)</f>
        <v>25</v>
      </c>
      <c r="I46" s="1"/>
      <c r="J46" s="5">
        <f t="shared" ref="J46:J59" si="30">IF(H$12=0,0,H46/H$12)</f>
        <v>1.6655562958027982E-2</v>
      </c>
      <c r="K46" s="1"/>
      <c r="L46" s="1">
        <f t="shared" ref="L46:L59" si="31">+D46-H46</f>
        <v>-25</v>
      </c>
      <c r="M46" s="1"/>
      <c r="N46" s="5">
        <f t="shared" ref="N46:N59" si="32">IF(H46=0,0,L46/H46)</f>
        <v>-1</v>
      </c>
      <c r="O46" s="13"/>
      <c r="P46" s="1">
        <f>SUM(OSRRefP22_2x_0)</f>
        <v>-1.41</v>
      </c>
      <c r="Q46" s="1"/>
      <c r="R46" s="5">
        <f t="shared" ref="R46:R59" si="33">IF(P$12=0,0,P46/P$12)</f>
        <v>-2.7225227938876463E-4</v>
      </c>
      <c r="S46" s="1"/>
      <c r="T46" s="1">
        <f>SUM(OSRRefT22_2x_0)</f>
        <v>225</v>
      </c>
      <c r="U46" s="1"/>
      <c r="V46" s="5">
        <f t="shared" ref="V46:V59" si="34">IF(T$12=0,0,T46/T$12)</f>
        <v>2.4983344437041973E-2</v>
      </c>
      <c r="W46" s="1"/>
      <c r="X46" s="1">
        <f t="shared" ref="X46:X59" si="35">+P46-T46</f>
        <v>-226.41</v>
      </c>
      <c r="Y46" s="1"/>
      <c r="Z46" s="5">
        <f t="shared" ref="Z46:Z59" si="36">IF(T46=0,0,X46/T46)</f>
        <v>-1.0062666666666666</v>
      </c>
    </row>
    <row r="47" spans="1:26" s="24" customFormat="1" hidden="1" outlineLevel="2" x14ac:dyDescent="0.25">
      <c r="A47" s="25"/>
      <c r="B47" s="11" t="str">
        <f>CONCATENATE("          ", "6272", " - ", "CASH (OVER/SHORT)")</f>
        <v xml:space="preserve">          6272 - CASH (OVER/SHORT)</v>
      </c>
      <c r="C47" s="11"/>
      <c r="D47" s="6"/>
      <c r="E47" s="2"/>
      <c r="F47" s="7">
        <f t="shared" si="29"/>
        <v>0</v>
      </c>
      <c r="G47" s="2"/>
      <c r="H47" s="6">
        <v>25</v>
      </c>
      <c r="I47" s="2"/>
      <c r="J47" s="7">
        <f t="shared" si="30"/>
        <v>1.6655562958027982E-2</v>
      </c>
      <c r="K47" s="2"/>
      <c r="L47" s="6">
        <f t="shared" si="31"/>
        <v>-25</v>
      </c>
      <c r="M47" s="2"/>
      <c r="N47" s="7">
        <f t="shared" si="32"/>
        <v>-1</v>
      </c>
      <c r="O47" s="11"/>
      <c r="P47" s="6">
        <v>-1.41</v>
      </c>
      <c r="Q47" s="2"/>
      <c r="R47" s="7">
        <f t="shared" si="33"/>
        <v>-2.7225227938876463E-4</v>
      </c>
      <c r="S47" s="2"/>
      <c r="T47" s="6">
        <v>225</v>
      </c>
      <c r="U47" s="2"/>
      <c r="V47" s="7">
        <f t="shared" si="34"/>
        <v>2.4983344437041973E-2</v>
      </c>
      <c r="W47" s="2"/>
      <c r="X47" s="6">
        <f t="shared" si="35"/>
        <v>-226.41</v>
      </c>
      <c r="Y47" s="2"/>
      <c r="Z47" s="7">
        <f t="shared" si="36"/>
        <v>-1.0062666666666666</v>
      </c>
    </row>
    <row r="48" spans="1:26" s="27" customFormat="1" outlineLevel="1" collapsed="1" x14ac:dyDescent="0.25">
      <c r="A48" s="26"/>
      <c r="B48" s="13" t="str">
        <f>CONCATENATE("     ","Bank/card Fees                                    ")</f>
        <v xml:space="preserve">     Bank/card Fees                                    </v>
      </c>
      <c r="C48" s="13"/>
      <c r="D48" s="1">
        <f>SUM(OSRRefD22_3x_0)</f>
        <v>0</v>
      </c>
      <c r="E48" s="1"/>
      <c r="F48" s="5">
        <f t="shared" si="29"/>
        <v>0</v>
      </c>
      <c r="G48" s="1"/>
      <c r="H48" s="1">
        <f>SUM(OSRRefH22_3x_0)</f>
        <v>32</v>
      </c>
      <c r="I48" s="1"/>
      <c r="J48" s="5">
        <f t="shared" si="30"/>
        <v>2.1319120586275817E-2</v>
      </c>
      <c r="K48" s="1"/>
      <c r="L48" s="1">
        <f t="shared" si="31"/>
        <v>-32</v>
      </c>
      <c r="M48" s="1"/>
      <c r="N48" s="5">
        <f t="shared" si="32"/>
        <v>-1</v>
      </c>
      <c r="O48" s="13"/>
      <c r="P48" s="1">
        <f>SUM(OSRRefP22_3x_0)</f>
        <v>125.26</v>
      </c>
      <c r="Q48" s="1"/>
      <c r="R48" s="5">
        <f t="shared" si="33"/>
        <v>2.418604291931678E-2</v>
      </c>
      <c r="S48" s="1"/>
      <c r="T48" s="1">
        <f>SUM(OSRRefT22_3x_0)</f>
        <v>191</v>
      </c>
      <c r="U48" s="1"/>
      <c r="V48" s="5">
        <f t="shared" si="34"/>
        <v>2.1208083499888963E-2</v>
      </c>
      <c r="W48" s="1"/>
      <c r="X48" s="1">
        <f t="shared" si="35"/>
        <v>-65.739999999999995</v>
      </c>
      <c r="Y48" s="1"/>
      <c r="Z48" s="5">
        <f t="shared" si="36"/>
        <v>-0.34418848167539262</v>
      </c>
    </row>
    <row r="49" spans="1:26" s="24" customFormat="1" hidden="1" outlineLevel="2" x14ac:dyDescent="0.25">
      <c r="A49" s="25"/>
      <c r="B49" s="11" t="str">
        <f>CONCATENATE("          ", "6381", " - ", "BANK/CREDIT CARD FEES")</f>
        <v xml:space="preserve">          6381 - BANK/CREDIT CARD FEES</v>
      </c>
      <c r="C49" s="11"/>
      <c r="D49" s="6"/>
      <c r="E49" s="2"/>
      <c r="F49" s="7">
        <f t="shared" si="29"/>
        <v>0</v>
      </c>
      <c r="G49" s="2"/>
      <c r="H49" s="6">
        <v>32</v>
      </c>
      <c r="I49" s="2"/>
      <c r="J49" s="7">
        <f t="shared" si="30"/>
        <v>2.1319120586275817E-2</v>
      </c>
      <c r="K49" s="2"/>
      <c r="L49" s="6">
        <f t="shared" si="31"/>
        <v>-32</v>
      </c>
      <c r="M49" s="2"/>
      <c r="N49" s="7">
        <f t="shared" si="32"/>
        <v>-1</v>
      </c>
      <c r="O49" s="11"/>
      <c r="P49" s="6">
        <v>125.26</v>
      </c>
      <c r="Q49" s="2"/>
      <c r="R49" s="7">
        <f t="shared" si="33"/>
        <v>2.418604291931678E-2</v>
      </c>
      <c r="S49" s="2"/>
      <c r="T49" s="6">
        <v>191</v>
      </c>
      <c r="U49" s="2"/>
      <c r="V49" s="7">
        <f t="shared" si="34"/>
        <v>2.1208083499888963E-2</v>
      </c>
      <c r="W49" s="2"/>
      <c r="X49" s="6">
        <f t="shared" si="35"/>
        <v>-65.739999999999995</v>
      </c>
      <c r="Y49" s="2"/>
      <c r="Z49" s="7">
        <f t="shared" si="36"/>
        <v>-0.34418848167539262</v>
      </c>
    </row>
    <row r="50" spans="1:26" s="27" customFormat="1" outlineLevel="1" collapsed="1" x14ac:dyDescent="0.25">
      <c r="A50" s="26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SUM(OSRRefD22_4x_0)</f>
        <v>0</v>
      </c>
      <c r="E50" s="1"/>
      <c r="F50" s="5">
        <f t="shared" si="29"/>
        <v>0</v>
      </c>
      <c r="G50" s="1"/>
      <c r="H50" s="1">
        <f>SUM(OSRRefH22_4x_0)</f>
        <v>0</v>
      </c>
      <c r="I50" s="1"/>
      <c r="J50" s="5">
        <f t="shared" si="30"/>
        <v>0</v>
      </c>
      <c r="K50" s="1"/>
      <c r="L50" s="1">
        <f t="shared" si="31"/>
        <v>0</v>
      </c>
      <c r="M50" s="1"/>
      <c r="N50" s="5">
        <f t="shared" si="32"/>
        <v>0</v>
      </c>
      <c r="O50" s="13"/>
      <c r="P50" s="1">
        <f>SUM(OSRRefP22_4x_0)</f>
        <v>40.799999999999997</v>
      </c>
      <c r="Q50" s="1"/>
      <c r="R50" s="5">
        <f t="shared" si="33"/>
        <v>7.877938297206807E-3</v>
      </c>
      <c r="S50" s="1"/>
      <c r="T50" s="1">
        <f>SUM(OSRRefT22_4x_0)</f>
        <v>0</v>
      </c>
      <c r="U50" s="1"/>
      <c r="V50" s="5">
        <f t="shared" si="34"/>
        <v>0</v>
      </c>
      <c r="W50" s="1"/>
      <c r="X50" s="1">
        <f t="shared" si="35"/>
        <v>40.799999999999997</v>
      </c>
      <c r="Y50" s="1"/>
      <c r="Z50" s="5">
        <f t="shared" si="36"/>
        <v>0</v>
      </c>
    </row>
    <row r="51" spans="1:26" s="24" customFormat="1" hidden="1" outlineLevel="2" x14ac:dyDescent="0.25">
      <c r="A51" s="25"/>
      <c r="B51" s="11" t="str">
        <f>CONCATENATE("          ", "6277", " - ", "EMPLOYEE APPRECIATION")</f>
        <v xml:space="preserve">          6277 - EMPLOYEE APPRECIATION</v>
      </c>
      <c r="C51" s="11"/>
      <c r="D51" s="6"/>
      <c r="E51" s="2"/>
      <c r="F51" s="7">
        <f t="shared" si="29"/>
        <v>0</v>
      </c>
      <c r="G51" s="2"/>
      <c r="H51" s="6"/>
      <c r="I51" s="2"/>
      <c r="J51" s="7">
        <f t="shared" si="30"/>
        <v>0</v>
      </c>
      <c r="K51" s="2"/>
      <c r="L51" s="6">
        <f t="shared" si="31"/>
        <v>0</v>
      </c>
      <c r="M51" s="2"/>
      <c r="N51" s="7">
        <f t="shared" si="32"/>
        <v>0</v>
      </c>
      <c r="O51" s="11"/>
      <c r="P51" s="6">
        <v>40.799999999999997</v>
      </c>
      <c r="Q51" s="2"/>
      <c r="R51" s="7">
        <f t="shared" si="33"/>
        <v>7.877938297206807E-3</v>
      </c>
      <c r="S51" s="2"/>
      <c r="T51" s="6"/>
      <c r="U51" s="2"/>
      <c r="V51" s="7">
        <f t="shared" si="34"/>
        <v>0</v>
      </c>
      <c r="W51" s="2"/>
      <c r="X51" s="6">
        <f t="shared" si="35"/>
        <v>40.799999999999997</v>
      </c>
      <c r="Y51" s="2"/>
      <c r="Z51" s="7">
        <f t="shared" si="36"/>
        <v>0</v>
      </c>
    </row>
    <row r="52" spans="1:26" s="27" customFormat="1" outlineLevel="1" collapsed="1" x14ac:dyDescent="0.25">
      <c r="A52" s="26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SUM(OSRRefD22_5x_0)</f>
        <v>0</v>
      </c>
      <c r="E52" s="1"/>
      <c r="F52" s="5">
        <f t="shared" si="29"/>
        <v>0</v>
      </c>
      <c r="G52" s="1"/>
      <c r="H52" s="1">
        <f>SUM(OSRRefH22_5x_0)</f>
        <v>275</v>
      </c>
      <c r="I52" s="1"/>
      <c r="J52" s="5">
        <f t="shared" si="30"/>
        <v>0.18321119253830778</v>
      </c>
      <c r="K52" s="1"/>
      <c r="L52" s="1">
        <f t="shared" si="31"/>
        <v>-275</v>
      </c>
      <c r="M52" s="1"/>
      <c r="N52" s="5">
        <f t="shared" si="32"/>
        <v>-1</v>
      </c>
      <c r="O52" s="13"/>
      <c r="P52" s="1">
        <f>SUM(OSRRefP22_5x_0)</f>
        <v>1154.05</v>
      </c>
      <c r="Q52" s="1"/>
      <c r="R52" s="5">
        <f t="shared" si="33"/>
        <v>0.22283173264439987</v>
      </c>
      <c r="S52" s="1"/>
      <c r="T52" s="1">
        <f>SUM(OSRRefT22_5x_0)</f>
        <v>1649</v>
      </c>
      <c r="U52" s="1"/>
      <c r="V52" s="5">
        <f t="shared" si="34"/>
        <v>0.18310015545192093</v>
      </c>
      <c r="W52" s="1"/>
      <c r="X52" s="1">
        <f t="shared" si="35"/>
        <v>-494.95000000000005</v>
      </c>
      <c r="Y52" s="1"/>
      <c r="Z52" s="5">
        <f t="shared" si="36"/>
        <v>-0.30015160703456645</v>
      </c>
    </row>
    <row r="53" spans="1:26" s="24" customFormat="1" hidden="1" outlineLevel="2" x14ac:dyDescent="0.25">
      <c r="A53" s="25"/>
      <c r="B53" s="11" t="str">
        <f>CONCATENATE("          ", "6279", " - ", "GENERAL EXPENSE")</f>
        <v xml:space="preserve">          6279 - GENERAL EXPENSE</v>
      </c>
      <c r="C53" s="11"/>
      <c r="D53" s="6"/>
      <c r="E53" s="2"/>
      <c r="F53" s="7">
        <f t="shared" si="29"/>
        <v>0</v>
      </c>
      <c r="G53" s="2"/>
      <c r="H53" s="6">
        <v>275</v>
      </c>
      <c r="I53" s="2"/>
      <c r="J53" s="7">
        <f t="shared" si="30"/>
        <v>0.18321119253830778</v>
      </c>
      <c r="K53" s="2"/>
      <c r="L53" s="6">
        <f t="shared" si="31"/>
        <v>-275</v>
      </c>
      <c r="M53" s="2"/>
      <c r="N53" s="7">
        <f t="shared" si="32"/>
        <v>-1</v>
      </c>
      <c r="O53" s="11"/>
      <c r="P53" s="6">
        <v>1154.05</v>
      </c>
      <c r="Q53" s="2"/>
      <c r="R53" s="7">
        <f t="shared" si="33"/>
        <v>0.22283173264439987</v>
      </c>
      <c r="S53" s="2"/>
      <c r="T53" s="6">
        <v>1649</v>
      </c>
      <c r="U53" s="2"/>
      <c r="V53" s="7">
        <f t="shared" si="34"/>
        <v>0.18310015545192093</v>
      </c>
      <c r="W53" s="2"/>
      <c r="X53" s="6">
        <f t="shared" si="35"/>
        <v>-494.95000000000005</v>
      </c>
      <c r="Y53" s="2"/>
      <c r="Z53" s="7">
        <f t="shared" si="36"/>
        <v>-0.30015160703456645</v>
      </c>
    </row>
    <row r="54" spans="1:26" s="27" customFormat="1" outlineLevel="1" collapsed="1" x14ac:dyDescent="0.25">
      <c r="A54" s="26"/>
      <c r="B54" s="13" t="str">
        <f>CONCATENATE("     ","R/H Commissions                                   ")</f>
        <v xml:space="preserve">     R/H Commissions                                   </v>
      </c>
      <c r="C54" s="13"/>
      <c r="D54" s="1">
        <f>SUM(OSRRefD22_6x_0)</f>
        <v>0</v>
      </c>
      <c r="E54" s="1"/>
      <c r="F54" s="5">
        <f t="shared" si="29"/>
        <v>0</v>
      </c>
      <c r="G54" s="1"/>
      <c r="H54" s="1">
        <f>SUM(OSRRefH22_6x_0)</f>
        <v>95</v>
      </c>
      <c r="I54" s="1"/>
      <c r="J54" s="5">
        <f t="shared" si="30"/>
        <v>6.3291139240506333E-2</v>
      </c>
      <c r="K54" s="1"/>
      <c r="L54" s="1">
        <f t="shared" si="31"/>
        <v>-95</v>
      </c>
      <c r="M54" s="1"/>
      <c r="N54" s="5">
        <f t="shared" si="32"/>
        <v>-1</v>
      </c>
      <c r="O54" s="13"/>
      <c r="P54" s="1">
        <f>SUM(OSRRefP22_6x_0)</f>
        <v>414.32</v>
      </c>
      <c r="Q54" s="1"/>
      <c r="R54" s="5">
        <f t="shared" si="33"/>
        <v>7.9999691061243244E-2</v>
      </c>
      <c r="S54" s="1"/>
      <c r="T54" s="1">
        <f>SUM(OSRRefT22_6x_0)</f>
        <v>568</v>
      </c>
      <c r="U54" s="1"/>
      <c r="V54" s="5">
        <f t="shared" si="34"/>
        <v>6.3069065067732619E-2</v>
      </c>
      <c r="W54" s="1"/>
      <c r="X54" s="1">
        <f t="shared" si="35"/>
        <v>-153.68</v>
      </c>
      <c r="Y54" s="1"/>
      <c r="Z54" s="5">
        <f t="shared" si="36"/>
        <v>-0.27056338028169014</v>
      </c>
    </row>
    <row r="55" spans="1:26" s="24" customFormat="1" hidden="1" outlineLevel="2" x14ac:dyDescent="0.25">
      <c r="A55" s="25"/>
      <c r="B55" s="11" t="str">
        <f>CONCATENATE("          ", "6387", " - ", "COMMISSION DUE HOUSING")</f>
        <v xml:space="preserve">          6387 - COMMISSION DUE HOUSING</v>
      </c>
      <c r="C55" s="11"/>
      <c r="D55" s="6"/>
      <c r="E55" s="2"/>
      <c r="F55" s="7">
        <f t="shared" si="29"/>
        <v>0</v>
      </c>
      <c r="G55" s="2"/>
      <c r="H55" s="6">
        <v>95</v>
      </c>
      <c r="I55" s="2"/>
      <c r="J55" s="7">
        <f t="shared" si="30"/>
        <v>6.3291139240506333E-2</v>
      </c>
      <c r="K55" s="2"/>
      <c r="L55" s="6">
        <f t="shared" si="31"/>
        <v>-95</v>
      </c>
      <c r="M55" s="2"/>
      <c r="N55" s="7">
        <f t="shared" si="32"/>
        <v>-1</v>
      </c>
      <c r="O55" s="11"/>
      <c r="P55" s="6">
        <v>414.32</v>
      </c>
      <c r="Q55" s="2"/>
      <c r="R55" s="7">
        <f t="shared" si="33"/>
        <v>7.9999691061243244E-2</v>
      </c>
      <c r="S55" s="2"/>
      <c r="T55" s="6">
        <v>568</v>
      </c>
      <c r="U55" s="2"/>
      <c r="V55" s="7">
        <f t="shared" si="34"/>
        <v>6.3069065067732619E-2</v>
      </c>
      <c r="W55" s="2"/>
      <c r="X55" s="6">
        <f t="shared" si="35"/>
        <v>-153.68</v>
      </c>
      <c r="Y55" s="2"/>
      <c r="Z55" s="7">
        <f t="shared" si="36"/>
        <v>-0.27056338028169014</v>
      </c>
    </row>
    <row r="56" spans="1:26" s="27" customFormat="1" outlineLevel="1" collapsed="1" x14ac:dyDescent="0.25">
      <c r="A56" s="26"/>
      <c r="B56" s="13" t="str">
        <f>CONCATENATE("     ","Supplies                                          ")</f>
        <v xml:space="preserve">     Supplies                                          </v>
      </c>
      <c r="C56" s="13"/>
      <c r="D56" s="1">
        <f>SUM(OSRRefD22_7x_0)</f>
        <v>0</v>
      </c>
      <c r="E56" s="1"/>
      <c r="F56" s="5">
        <f t="shared" si="29"/>
        <v>0</v>
      </c>
      <c r="G56" s="1"/>
      <c r="H56" s="1">
        <f>SUM(OSRRefH22_7x_0)</f>
        <v>30</v>
      </c>
      <c r="I56" s="1"/>
      <c r="J56" s="5">
        <f t="shared" si="30"/>
        <v>1.9986675549633577E-2</v>
      </c>
      <c r="K56" s="1"/>
      <c r="L56" s="1">
        <f t="shared" si="31"/>
        <v>-30</v>
      </c>
      <c r="M56" s="1"/>
      <c r="N56" s="5">
        <f t="shared" si="32"/>
        <v>-1</v>
      </c>
      <c r="O56" s="13"/>
      <c r="P56" s="1">
        <f>SUM(OSRRefP22_7x_0)</f>
        <v>1592.1399999999999</v>
      </c>
      <c r="Q56" s="1"/>
      <c r="R56" s="5">
        <f t="shared" si="33"/>
        <v>0.30742109511065796</v>
      </c>
      <c r="S56" s="1"/>
      <c r="T56" s="1">
        <f>SUM(OSRRefT22_7x_0)</f>
        <v>181</v>
      </c>
      <c r="U56" s="1"/>
      <c r="V56" s="5">
        <f t="shared" si="34"/>
        <v>2.0097712636020431E-2</v>
      </c>
      <c r="W56" s="1"/>
      <c r="X56" s="1">
        <f t="shared" si="35"/>
        <v>1411.1399999999999</v>
      </c>
      <c r="Y56" s="1"/>
      <c r="Z56" s="5">
        <f t="shared" si="36"/>
        <v>7.7963535911602202</v>
      </c>
    </row>
    <row r="57" spans="1:26" s="24" customFormat="1" hidden="1" outlineLevel="2" x14ac:dyDescent="0.25">
      <c r="A57" s="25"/>
      <c r="B57" s="11" t="str">
        <f>CONCATENATE("          ", "6237", " - ", "JANITORIAL SUPPLIES")</f>
        <v xml:space="preserve">          6237 - JANITORIAL SUPPLIES</v>
      </c>
      <c r="C57" s="11"/>
      <c r="D57" s="6"/>
      <c r="E57" s="2"/>
      <c r="F57" s="7">
        <f t="shared" si="29"/>
        <v>0</v>
      </c>
      <c r="G57" s="2"/>
      <c r="H57" s="6"/>
      <c r="I57" s="2"/>
      <c r="J57" s="7">
        <f t="shared" si="30"/>
        <v>0</v>
      </c>
      <c r="K57" s="2"/>
      <c r="L57" s="6">
        <f t="shared" si="31"/>
        <v>0</v>
      </c>
      <c r="M57" s="2"/>
      <c r="N57" s="7">
        <f t="shared" si="32"/>
        <v>0</v>
      </c>
      <c r="O57" s="11"/>
      <c r="P57" s="6">
        <v>47.13</v>
      </c>
      <c r="Q57" s="2"/>
      <c r="R57" s="7">
        <f t="shared" si="33"/>
        <v>9.1001772536116864E-3</v>
      </c>
      <c r="S57" s="2"/>
      <c r="T57" s="6"/>
      <c r="U57" s="2"/>
      <c r="V57" s="7">
        <f t="shared" si="34"/>
        <v>0</v>
      </c>
      <c r="W57" s="2"/>
      <c r="X57" s="6">
        <f t="shared" si="35"/>
        <v>47.13</v>
      </c>
      <c r="Y57" s="2"/>
      <c r="Z57" s="7">
        <f t="shared" si="36"/>
        <v>0</v>
      </c>
    </row>
    <row r="58" spans="1:26" s="24" customFormat="1" hidden="1" outlineLevel="2" x14ac:dyDescent="0.25">
      <c r="A58" s="25"/>
      <c r="B58" s="11" t="str">
        <f>CONCATENATE("          ", "6247", " - ", "STORE SUPPLIES")</f>
        <v xml:space="preserve">          6247 - STORE SUPPLIES</v>
      </c>
      <c r="C58" s="11"/>
      <c r="D58" s="6"/>
      <c r="E58" s="2"/>
      <c r="F58" s="7">
        <f t="shared" si="29"/>
        <v>0</v>
      </c>
      <c r="G58" s="2"/>
      <c r="H58" s="6">
        <v>30</v>
      </c>
      <c r="I58" s="2"/>
      <c r="J58" s="7">
        <f t="shared" si="30"/>
        <v>1.9986675549633577E-2</v>
      </c>
      <c r="K58" s="2"/>
      <c r="L58" s="6">
        <f t="shared" si="31"/>
        <v>-30</v>
      </c>
      <c r="M58" s="2"/>
      <c r="N58" s="7">
        <f t="shared" si="32"/>
        <v>-1</v>
      </c>
      <c r="O58" s="11"/>
      <c r="P58" s="6">
        <v>431.41</v>
      </c>
      <c r="Q58" s="2"/>
      <c r="R58" s="7">
        <f t="shared" si="33"/>
        <v>8.3299543156813455E-2</v>
      </c>
      <c r="S58" s="2"/>
      <c r="T58" s="6">
        <v>181</v>
      </c>
      <c r="U58" s="2"/>
      <c r="V58" s="7">
        <f t="shared" si="34"/>
        <v>2.0097712636020431E-2</v>
      </c>
      <c r="W58" s="2"/>
      <c r="X58" s="6">
        <f t="shared" si="35"/>
        <v>250.41000000000003</v>
      </c>
      <c r="Y58" s="2"/>
      <c r="Z58" s="7">
        <f t="shared" si="36"/>
        <v>1.3834806629834255</v>
      </c>
    </row>
    <row r="59" spans="1:26" s="24" customFormat="1" hidden="1" outlineLevel="2" x14ac:dyDescent="0.25">
      <c r="A59" s="25"/>
      <c r="B59" s="11" t="str">
        <f>CONCATENATE("          ", "6248", " - ", "UNIFORMS")</f>
        <v xml:space="preserve">          6248 - UNIFORMS</v>
      </c>
      <c r="C59" s="11"/>
      <c r="D59" s="6"/>
      <c r="E59" s="2"/>
      <c r="F59" s="7">
        <f t="shared" si="29"/>
        <v>0</v>
      </c>
      <c r="G59" s="2"/>
      <c r="H59" s="6"/>
      <c r="I59" s="2"/>
      <c r="J59" s="7">
        <f t="shared" si="30"/>
        <v>0</v>
      </c>
      <c r="K59" s="2"/>
      <c r="L59" s="6">
        <f t="shared" si="31"/>
        <v>0</v>
      </c>
      <c r="M59" s="2"/>
      <c r="N59" s="7">
        <f t="shared" si="32"/>
        <v>0</v>
      </c>
      <c r="O59" s="11"/>
      <c r="P59" s="6">
        <v>1113.5999999999999</v>
      </c>
      <c r="Q59" s="2"/>
      <c r="R59" s="7">
        <f t="shared" si="33"/>
        <v>0.21502137470023283</v>
      </c>
      <c r="S59" s="2"/>
      <c r="T59" s="6"/>
      <c r="U59" s="2"/>
      <c r="V59" s="7">
        <f t="shared" si="34"/>
        <v>0</v>
      </c>
      <c r="W59" s="2"/>
      <c r="X59" s="6">
        <f t="shared" si="35"/>
        <v>1113.5999999999999</v>
      </c>
      <c r="Y59" s="2"/>
      <c r="Z59" s="7">
        <f t="shared" si="36"/>
        <v>0</v>
      </c>
    </row>
    <row r="60" spans="1:26" s="27" customFormat="1" outlineLevel="1" collapsed="1" x14ac:dyDescent="0.25">
      <c r="A60" s="26"/>
      <c r="B60" s="13" t="str">
        <f>CONCATENATE("     ","Telephone/Data Lines                              ")</f>
        <v xml:space="preserve">     Telephone/Data Lines                              </v>
      </c>
      <c r="C60" s="13"/>
      <c r="D60" s="1">
        <f>SUM(OSRRefD22_8x_0)</f>
        <v>75.5</v>
      </c>
      <c r="E60" s="1"/>
      <c r="F60" s="5">
        <f t="shared" ref="F60:F61" si="37">IF(D$12=0,0,D60/D$12)</f>
        <v>0</v>
      </c>
      <c r="G60" s="1"/>
      <c r="H60" s="1">
        <f>SUM(OSRRefH22_8x_0)</f>
        <v>0</v>
      </c>
      <c r="I60" s="1"/>
      <c r="J60" s="5">
        <f t="shared" ref="J60:J61" si="38">IF(H$12=0,0,H60/H$12)</f>
        <v>0</v>
      </c>
      <c r="K60" s="1"/>
      <c r="L60" s="1">
        <f t="shared" ref="L60:L61" si="39">+D60-H60</f>
        <v>75.5</v>
      </c>
      <c r="M60" s="1"/>
      <c r="N60" s="5">
        <f t="shared" ref="N60:N61" si="40">IF(H60=0,0,L60/H60)</f>
        <v>0</v>
      </c>
      <c r="O60" s="13"/>
      <c r="P60" s="1">
        <f>SUM(OSRRefP22_8x_0)</f>
        <v>639.5</v>
      </c>
      <c r="Q60" s="1"/>
      <c r="R60" s="5">
        <f t="shared" ref="R60:R61" si="41">IF(P$12=0,0,P60/P$12)</f>
        <v>0.12347895933979787</v>
      </c>
      <c r="S60" s="1"/>
      <c r="T60" s="1">
        <f>SUM(OSRRefT22_8x_0)</f>
        <v>0</v>
      </c>
      <c r="U60" s="1"/>
      <c r="V60" s="5">
        <f t="shared" ref="V60:V61" si="42">IF(T$12=0,0,T60/T$12)</f>
        <v>0</v>
      </c>
      <c r="W60" s="1"/>
      <c r="X60" s="1">
        <f t="shared" ref="X60:X61" si="43">+P60-T60</f>
        <v>639.5</v>
      </c>
      <c r="Y60" s="1"/>
      <c r="Z60" s="5">
        <f t="shared" ref="Z60:Z61" si="44">IF(T60=0,0,X60/T60)</f>
        <v>0</v>
      </c>
    </row>
    <row r="61" spans="1:26" s="24" customFormat="1" hidden="1" outlineLevel="2" x14ac:dyDescent="0.25">
      <c r="A61" s="25"/>
      <c r="B61" s="11" t="str">
        <f>CONCATENATE("          ", "6309", " - ", "TELEPHONE")</f>
        <v xml:space="preserve">          6309 - TELEPHONE</v>
      </c>
      <c r="C61" s="11"/>
      <c r="D61" s="6">
        <v>75.5</v>
      </c>
      <c r="E61" s="2"/>
      <c r="F61" s="7">
        <f t="shared" si="37"/>
        <v>0</v>
      </c>
      <c r="G61" s="2"/>
      <c r="H61" s="6"/>
      <c r="I61" s="2"/>
      <c r="J61" s="7">
        <f t="shared" si="38"/>
        <v>0</v>
      </c>
      <c r="K61" s="2"/>
      <c r="L61" s="6">
        <f t="shared" si="39"/>
        <v>75.5</v>
      </c>
      <c r="M61" s="2"/>
      <c r="N61" s="7">
        <f t="shared" si="40"/>
        <v>0</v>
      </c>
      <c r="O61" s="11"/>
      <c r="P61" s="6">
        <v>639.5</v>
      </c>
      <c r="Q61" s="2"/>
      <c r="R61" s="7">
        <f t="shared" si="41"/>
        <v>0.12347895933979787</v>
      </c>
      <c r="S61" s="2"/>
      <c r="T61" s="6"/>
      <c r="U61" s="2"/>
      <c r="V61" s="7">
        <f t="shared" si="42"/>
        <v>0</v>
      </c>
      <c r="W61" s="2"/>
      <c r="X61" s="6">
        <f t="shared" si="43"/>
        <v>639.5</v>
      </c>
      <c r="Y61" s="2"/>
      <c r="Z61" s="7">
        <f t="shared" si="44"/>
        <v>0</v>
      </c>
    </row>
    <row r="62" spans="1:26" s="56" customFormat="1" x14ac:dyDescent="0.25">
      <c r="A62" s="36"/>
      <c r="B62" s="36"/>
      <c r="C62" s="36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6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9" t="s">
        <v>0</v>
      </c>
      <c r="C63" s="10"/>
      <c r="D63" s="4">
        <f>SUM(0)</f>
        <v>0</v>
      </c>
      <c r="E63" s="4"/>
      <c r="F63" s="12">
        <f>IF(D$12=0,0,D63/D$12)</f>
        <v>0</v>
      </c>
      <c r="G63" s="4"/>
      <c r="H63" s="4">
        <f>SUM(0)</f>
        <v>0</v>
      </c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>
        <f>SUM(0)</f>
        <v>0</v>
      </c>
      <c r="Q63" s="4"/>
      <c r="R63" s="12">
        <f>IF(P$12=0,0,P63/P$12)</f>
        <v>0</v>
      </c>
      <c r="S63" s="4"/>
      <c r="T63" s="4">
        <f>SUM(0)</f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8" t="s">
        <v>3</v>
      </c>
      <c r="C65" s="28"/>
      <c r="D65" s="20">
        <f>+D23-D25+D63</f>
        <v>-75.5</v>
      </c>
      <c r="E65" s="14"/>
      <c r="F65" s="22">
        <f>IF(D$12=0,0,D65/D$12)</f>
        <v>0</v>
      </c>
      <c r="G65" s="14"/>
      <c r="H65" s="20">
        <f>+H23-H25+H63</f>
        <v>-2186.4496639999998</v>
      </c>
      <c r="I65" s="14"/>
      <c r="J65" s="22">
        <f>IF(H$12=0,0,H65/H$12)</f>
        <v>-1.4566620013324449</v>
      </c>
      <c r="K65" s="16"/>
      <c r="L65" s="20">
        <f>+D65-H65</f>
        <v>2110.9496639999998</v>
      </c>
      <c r="M65" s="16"/>
      <c r="N65" s="22">
        <f>IF(H65=0,0,L65/H65)</f>
        <v>-0.96546913416617308</v>
      </c>
      <c r="O65" s="29"/>
      <c r="P65" s="20">
        <f>+P23-P25+P63</f>
        <v>-12513.669999999998</v>
      </c>
      <c r="Q65" s="14"/>
      <c r="R65" s="22">
        <f>IF(P$12=0,0,P65/P$12)</f>
        <v>-2.4162235326374484</v>
      </c>
      <c r="S65" s="14"/>
      <c r="T65" s="20">
        <f>+T23-T25+T63</f>
        <v>-14831.572560000001</v>
      </c>
      <c r="U65" s="14"/>
      <c r="V65" s="22">
        <f>IF(T$12=0,0,T65/T$12)</f>
        <v>-1.6468546035976017</v>
      </c>
      <c r="W65" s="16"/>
      <c r="X65" s="20">
        <f>+P65-T65</f>
        <v>2317.9025600000023</v>
      </c>
      <c r="Y65" s="16"/>
      <c r="Z65" s="22">
        <f>IF(T65=0,0,X65/T65)</f>
        <v>-0.15628164516089602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2"/>
      <c r="B67" s="10" t="s">
        <v>14</v>
      </c>
      <c r="C67" s="10"/>
      <c r="D67" s="4">
        <v>27.1</v>
      </c>
      <c r="E67" s="4"/>
      <c r="F67" s="12">
        <f>IF(D$12=0,0,D67/D$12)</f>
        <v>0</v>
      </c>
      <c r="G67" s="4"/>
      <c r="H67" s="4">
        <v>150</v>
      </c>
      <c r="I67" s="4"/>
      <c r="J67" s="12">
        <f>IF(H$12=0,0,H67/H$12)</f>
        <v>9.9933377748167893E-2</v>
      </c>
      <c r="K67" s="4"/>
      <c r="L67" s="4">
        <f>+D67-H67</f>
        <v>-122.9</v>
      </c>
      <c r="M67" s="4"/>
      <c r="N67" s="12">
        <f>IF(H67=0,0,L67/H67)</f>
        <v>-0.81933333333333336</v>
      </c>
      <c r="O67" s="10"/>
      <c r="P67" s="4">
        <v>554.94000000000005</v>
      </c>
      <c r="Q67" s="4"/>
      <c r="R67" s="12">
        <f>IF(P$12=0,0,P67/P$12)</f>
        <v>0.10715154604539083</v>
      </c>
      <c r="S67" s="4"/>
      <c r="T67" s="4">
        <v>1052</v>
      </c>
      <c r="U67" s="4"/>
      <c r="V67" s="12">
        <f>IF(T$12=0,0,T67/T$12)</f>
        <v>0.11681101487896958</v>
      </c>
      <c r="W67" s="4"/>
      <c r="X67" s="4">
        <f>+P67-T67</f>
        <v>-497.05999999999995</v>
      </c>
      <c r="Y67" s="4"/>
      <c r="Z67" s="12">
        <f>IF(T67=0,0,X67/T67)</f>
        <v>-0.47249049429657791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8" t="s">
        <v>4</v>
      </c>
      <c r="C69" s="28"/>
      <c r="D69" s="31">
        <f>+D65-D67</f>
        <v>-102.6</v>
      </c>
      <c r="E69" s="14"/>
      <c r="F69" s="34">
        <f>IF(D$12=0,0,D69/D$12)</f>
        <v>0</v>
      </c>
      <c r="G69" s="14"/>
      <c r="H69" s="31">
        <f>+H65-H67</f>
        <v>-2336.4496639999998</v>
      </c>
      <c r="I69" s="14"/>
      <c r="J69" s="34">
        <f>IF(H$12=0,0,H69/H$12)</f>
        <v>-1.5565953790806129</v>
      </c>
      <c r="K69" s="16"/>
      <c r="L69" s="31">
        <f>D69-H69</f>
        <v>2233.8496639999998</v>
      </c>
      <c r="M69" s="16"/>
      <c r="N69" s="34">
        <f>IF(H69=0,0,L69/H69)</f>
        <v>-0.956087220032659</v>
      </c>
      <c r="O69" s="29"/>
      <c r="P69" s="31">
        <f>+P65-P67</f>
        <v>-13068.609999999999</v>
      </c>
      <c r="Q69" s="14"/>
      <c r="R69" s="34">
        <f>IF(P$12=0,0,P69/P$12)</f>
        <v>-2.5233750786828391</v>
      </c>
      <c r="S69" s="14"/>
      <c r="T69" s="31">
        <f>+T65-T67</f>
        <v>-15883.572560000001</v>
      </c>
      <c r="U69" s="14"/>
      <c r="V69" s="34">
        <f>IF(T$12=0,0,T69/T$12)</f>
        <v>-1.7636656184765713</v>
      </c>
      <c r="W69" s="16"/>
      <c r="X69" s="31">
        <f>P69-T69</f>
        <v>2814.9625600000018</v>
      </c>
      <c r="Y69" s="16"/>
      <c r="Z69" s="34">
        <f>IF(T69=0,0,X69/T69)</f>
        <v>-0.17722477417259344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8" t="s">
        <v>5</v>
      </c>
      <c r="C72" s="28"/>
      <c r="D72" s="32">
        <f>SUM(D69:D71)</f>
        <v>-102.6</v>
      </c>
      <c r="E72" s="14"/>
      <c r="F72" s="35">
        <f>IF(D$12=0,0,D72/D$12)</f>
        <v>0</v>
      </c>
      <c r="G72" s="14"/>
      <c r="H72" s="32">
        <f>SUM(H69:H71)</f>
        <v>-2336.4496639999998</v>
      </c>
      <c r="I72" s="14"/>
      <c r="J72" s="35">
        <f>IF(H$12=0,0,H72/H$12)</f>
        <v>-1.5565953790806129</v>
      </c>
      <c r="K72" s="16"/>
      <c r="L72" s="32">
        <f>+D72-H72</f>
        <v>2233.8496639999998</v>
      </c>
      <c r="M72" s="16"/>
      <c r="N72" s="35">
        <f>IF(H72=0,0,L72/H72)</f>
        <v>-0.956087220032659</v>
      </c>
      <c r="O72" s="29"/>
      <c r="P72" s="32">
        <f>SUM(P69:P71)</f>
        <v>-13068.609999999999</v>
      </c>
      <c r="Q72" s="14"/>
      <c r="R72" s="35">
        <f>IF(P$12=0,0,P72/P$12)</f>
        <v>-2.5233750786828391</v>
      </c>
      <c r="S72" s="14"/>
      <c r="T72" s="32">
        <f>SUM(T69:T71)</f>
        <v>-15883.572560000001</v>
      </c>
      <c r="U72" s="14"/>
      <c r="V72" s="35">
        <f>IF(T$12=0,0,T72/T$12)</f>
        <v>-1.7636656184765713</v>
      </c>
      <c r="W72" s="16"/>
      <c r="X72" s="32">
        <f>+P72-T72</f>
        <v>2814.9625600000018</v>
      </c>
      <c r="Y72" s="16"/>
      <c r="Z72" s="35">
        <f>IF(T72=0,0,X72/T72)</f>
        <v>-0.17722477417259344</v>
      </c>
    </row>
    <row r="73" spans="1:26" ht="15.75" thickTop="1" x14ac:dyDescent="0.25">
      <c r="A73" s="9"/>
      <c r="C73" s="9"/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  <row r="74" spans="1:26" x14ac:dyDescent="0.25">
      <c r="A74" s="9"/>
      <c r="B74" s="57">
        <v>43934.466936307872</v>
      </c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  <row r="75" spans="1:26" x14ac:dyDescent="0.25">
      <c r="A75" s="9"/>
      <c r="B75" s="62" t="s">
        <v>314</v>
      </c>
      <c r="D75" s="18"/>
      <c r="E75" s="18"/>
      <c r="G75" s="18"/>
      <c r="H75" s="18"/>
      <c r="I75" s="18"/>
      <c r="J75" s="42"/>
      <c r="K75" s="18"/>
      <c r="L75" s="18"/>
      <c r="M75" s="18"/>
      <c r="P75" s="18"/>
      <c r="Q75" s="18"/>
      <c r="R75" s="42"/>
      <c r="S75" s="18"/>
      <c r="T75" s="18"/>
      <c r="U75" s="18"/>
      <c r="V75" s="42"/>
      <c r="W75" s="18"/>
      <c r="X75" s="18"/>
    </row>
    <row r="76" spans="1:26" x14ac:dyDescent="0.25">
      <c r="A76" s="9"/>
      <c r="B76" s="60"/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  <row r="77" spans="1:26" x14ac:dyDescent="0.25"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","444", " - ", "Parkside Dining Hall")</f>
        <v>Department 444 - Parkside Dining Hall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369908.71</v>
      </c>
      <c r="E12" s="4"/>
      <c r="F12" s="12"/>
      <c r="G12" s="4"/>
      <c r="H12" s="4">
        <f>SUM(OSRRefH13x_0)</f>
        <v>464162</v>
      </c>
      <c r="I12" s="4"/>
      <c r="J12" s="12"/>
      <c r="K12" s="4"/>
      <c r="L12" s="4">
        <f t="shared" ref="L12:L16" si="0">+D12-H12</f>
        <v>-94253.289999999979</v>
      </c>
      <c r="M12" s="4"/>
      <c r="N12" s="12">
        <f t="shared" ref="N12:N16" si="1">IF(H12=0,0,L12/H12)</f>
        <v>-0.20306119415204169</v>
      </c>
      <c r="O12" s="10"/>
      <c r="P12" s="4">
        <f>SUM(OSRRefP13x_0)</f>
        <v>3384443.28</v>
      </c>
      <c r="Q12" s="4"/>
      <c r="R12" s="12"/>
      <c r="S12" s="4"/>
      <c r="T12" s="4">
        <f>SUM(OSRRefT13x_0)</f>
        <v>3443570</v>
      </c>
      <c r="U12" s="4"/>
      <c r="V12" s="12"/>
      <c r="W12" s="4"/>
      <c r="X12" s="4">
        <f t="shared" ref="X12:X16" si="2">+P12-T12</f>
        <v>-59126.720000000205</v>
      </c>
      <c r="Y12" s="4"/>
      <c r="Z12" s="12">
        <f t="shared" ref="Z12:Z16" si="3">IF(T12=0,0,X12/T12)</f>
        <v>-1.7170180945936978E-2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--1174.46</f>
        <v>1174.46</v>
      </c>
      <c r="E13" s="2"/>
      <c r="F13" s="19"/>
      <c r="G13" s="2"/>
      <c r="H13" s="2"/>
      <c r="I13" s="2"/>
      <c r="J13" s="19"/>
      <c r="K13" s="2"/>
      <c r="L13" s="2">
        <f t="shared" si="0"/>
        <v>1174.46</v>
      </c>
      <c r="M13" s="2"/>
      <c r="N13" s="19">
        <f t="shared" si="1"/>
        <v>0</v>
      </c>
      <c r="O13" s="11"/>
      <c r="P13" s="2">
        <f>--4314.79</f>
        <v>4314.79</v>
      </c>
      <c r="Q13" s="2"/>
      <c r="R13" s="19"/>
      <c r="S13" s="2"/>
      <c r="T13" s="2"/>
      <c r="U13" s="2"/>
      <c r="V13" s="19"/>
      <c r="W13" s="2"/>
      <c r="X13" s="2">
        <f t="shared" si="2"/>
        <v>4314.79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464162</v>
      </c>
      <c r="I14" s="2"/>
      <c r="J14" s="19"/>
      <c r="K14" s="2"/>
      <c r="L14" s="2">
        <f t="shared" si="0"/>
        <v>-464162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3443570</v>
      </c>
      <c r="U14" s="2"/>
      <c r="V14" s="19"/>
      <c r="W14" s="2"/>
      <c r="X14" s="2">
        <f t="shared" si="2"/>
        <v>-3443570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--365188.74</f>
        <v>365188.74</v>
      </c>
      <c r="E15" s="2"/>
      <c r="F15" s="19"/>
      <c r="G15" s="2"/>
      <c r="H15" s="2"/>
      <c r="I15" s="2"/>
      <c r="J15" s="19"/>
      <c r="K15" s="2"/>
      <c r="L15" s="2">
        <f t="shared" si="0"/>
        <v>365188.74</v>
      </c>
      <c r="M15" s="2"/>
      <c r="N15" s="19">
        <f t="shared" si="1"/>
        <v>0</v>
      </c>
      <c r="O15" s="11"/>
      <c r="P15" s="2">
        <f>--3334016.05</f>
        <v>3334016.05</v>
      </c>
      <c r="Q15" s="2"/>
      <c r="R15" s="19"/>
      <c r="S15" s="2"/>
      <c r="T15" s="2"/>
      <c r="U15" s="2"/>
      <c r="V15" s="19"/>
      <c r="W15" s="2"/>
      <c r="X15" s="2">
        <f t="shared" si="2"/>
        <v>3334016.05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--3545.51</f>
        <v>3545.51</v>
      </c>
      <c r="E16" s="2"/>
      <c r="F16" s="19"/>
      <c r="G16" s="2"/>
      <c r="H16" s="2"/>
      <c r="I16" s="2"/>
      <c r="J16" s="19"/>
      <c r="K16" s="2"/>
      <c r="L16" s="2">
        <f t="shared" si="0"/>
        <v>3545.51</v>
      </c>
      <c r="M16" s="2"/>
      <c r="N16" s="19">
        <f t="shared" si="1"/>
        <v>0</v>
      </c>
      <c r="O16" s="11"/>
      <c r="P16" s="2">
        <f>--46112.44</f>
        <v>46112.44</v>
      </c>
      <c r="Q16" s="2"/>
      <c r="R16" s="19"/>
      <c r="S16" s="2"/>
      <c r="T16" s="2"/>
      <c r="U16" s="2"/>
      <c r="V16" s="19"/>
      <c r="W16" s="2"/>
      <c r="X16" s="2">
        <f t="shared" si="2"/>
        <v>46112.44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78444.97</v>
      </c>
      <c r="E18" s="4"/>
      <c r="F18" s="12">
        <f t="shared" ref="F18:F21" si="4">IF(D$12=0,0,D18/D$12)</f>
        <v>0.21206575535893707</v>
      </c>
      <c r="G18" s="4"/>
      <c r="H18" s="4">
        <f>SUM(OSRRefH16x_0)</f>
        <v>129965</v>
      </c>
      <c r="I18" s="4"/>
      <c r="J18" s="12">
        <f t="shared" ref="J18:J21" si="5">IF(H$12=0,0,H18/H$12)</f>
        <v>0.27999922440871938</v>
      </c>
      <c r="K18" s="4"/>
      <c r="L18" s="4">
        <f t="shared" ref="L18:L21" si="6">+D18-H18</f>
        <v>-51520.03</v>
      </c>
      <c r="M18" s="4"/>
      <c r="N18" s="12">
        <f t="shared" ref="N18:N21" si="7">IF(H18=0,0,L18/H18)</f>
        <v>-0.39641465009810334</v>
      </c>
      <c r="O18" s="10"/>
      <c r="P18" s="4">
        <f>SUM(OSRRefP16x_0)</f>
        <v>834754.54999999993</v>
      </c>
      <c r="Q18" s="4"/>
      <c r="R18" s="12">
        <f t="shared" ref="R18:R21" si="8">IF(P$12=0,0,P18/P$12)</f>
        <v>0.24664456778841334</v>
      </c>
      <c r="S18" s="4"/>
      <c r="T18" s="4">
        <f>SUM(OSRRefT16x_0)</f>
        <v>937943</v>
      </c>
      <c r="U18" s="4"/>
      <c r="V18" s="12">
        <f t="shared" ref="V18:V21" si="9">IF(T$12=0,0,T18/T$12)</f>
        <v>0.27237518040870373</v>
      </c>
      <c r="W18" s="4"/>
      <c r="X18" s="4">
        <f t="shared" ref="X18:X21" si="10">+P18-T18</f>
        <v>-103188.45000000007</v>
      </c>
      <c r="Y18" s="4"/>
      <c r="Z18" s="12">
        <f t="shared" ref="Z18:Z21" si="11">IF(T18=0,0,X18/T18)</f>
        <v>-0.11001569391743429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129965</v>
      </c>
      <c r="I19" s="2"/>
      <c r="J19" s="19">
        <f t="shared" si="5"/>
        <v>0.27999922440871938</v>
      </c>
      <c r="K19" s="2"/>
      <c r="L19" s="2">
        <f t="shared" si="6"/>
        <v>-129965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937943</v>
      </c>
      <c r="U19" s="2"/>
      <c r="V19" s="19">
        <f t="shared" si="9"/>
        <v>0.27237518040870373</v>
      </c>
      <c r="W19" s="2"/>
      <c r="X19" s="2">
        <f t="shared" si="10"/>
        <v>-937943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63368.97</v>
      </c>
      <c r="E20" s="2"/>
      <c r="F20" s="19">
        <f t="shared" si="4"/>
        <v>0.17130975369571588</v>
      </c>
      <c r="G20" s="2"/>
      <c r="H20" s="2"/>
      <c r="I20" s="2"/>
      <c r="J20" s="19">
        <f t="shared" si="5"/>
        <v>0</v>
      </c>
      <c r="K20" s="2"/>
      <c r="L20" s="2">
        <f t="shared" si="6"/>
        <v>63368.97</v>
      </c>
      <c r="M20" s="2"/>
      <c r="N20" s="19">
        <f t="shared" si="7"/>
        <v>0</v>
      </c>
      <c r="O20" s="11"/>
      <c r="P20" s="2">
        <v>830847.79999999993</v>
      </c>
      <c r="Q20" s="2"/>
      <c r="R20" s="19">
        <f t="shared" si="8"/>
        <v>0.24549024204654421</v>
      </c>
      <c r="S20" s="2"/>
      <c r="T20" s="2"/>
      <c r="U20" s="2"/>
      <c r="V20" s="19">
        <f t="shared" si="9"/>
        <v>0</v>
      </c>
      <c r="W20" s="2"/>
      <c r="X20" s="2">
        <f t="shared" si="10"/>
        <v>830847.79999999993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15076</v>
      </c>
      <c r="E21" s="2"/>
      <c r="F21" s="19">
        <f t="shared" si="4"/>
        <v>4.0756001663221172E-2</v>
      </c>
      <c r="G21" s="2"/>
      <c r="H21" s="2"/>
      <c r="I21" s="2"/>
      <c r="J21" s="19">
        <f t="shared" si="5"/>
        <v>0</v>
      </c>
      <c r="K21" s="2"/>
      <c r="L21" s="2">
        <f t="shared" si="6"/>
        <v>15076</v>
      </c>
      <c r="M21" s="2"/>
      <c r="N21" s="19">
        <f t="shared" si="7"/>
        <v>0</v>
      </c>
      <c r="O21" s="11"/>
      <c r="P21" s="2">
        <v>3906.75</v>
      </c>
      <c r="Q21" s="2"/>
      <c r="R21" s="19">
        <f t="shared" si="8"/>
        <v>1.1543257418691326E-3</v>
      </c>
      <c r="S21" s="2"/>
      <c r="T21" s="2"/>
      <c r="U21" s="2"/>
      <c r="V21" s="19">
        <f t="shared" si="9"/>
        <v>0</v>
      </c>
      <c r="W21" s="2"/>
      <c r="X21" s="2">
        <f t="shared" si="10"/>
        <v>3906.75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0">
        <f>D12-D18</f>
        <v>291463.74</v>
      </c>
      <c r="E23" s="14"/>
      <c r="F23" s="22">
        <f>IF(D$12=0,0,D23/D$12)</f>
        <v>0.78793424464106288</v>
      </c>
      <c r="G23" s="14"/>
      <c r="H23" s="20">
        <f>H12-H18</f>
        <v>334197</v>
      </c>
      <c r="I23" s="14"/>
      <c r="J23" s="22">
        <f>IF(H$12=0,0,H23/H$12)</f>
        <v>0.72000077559128062</v>
      </c>
      <c r="K23" s="16"/>
      <c r="L23" s="20">
        <f>+D23-H23</f>
        <v>-42733.260000000009</v>
      </c>
      <c r="M23" s="16"/>
      <c r="N23" s="22">
        <f>IF(H23=0,0,L23/H23)</f>
        <v>-0.12786847278700889</v>
      </c>
      <c r="O23" s="29"/>
      <c r="P23" s="20">
        <f>P12-P18</f>
        <v>2549688.73</v>
      </c>
      <c r="Q23" s="14"/>
      <c r="R23" s="22">
        <f>IF(P$12=0,0,P23/P$12)</f>
        <v>0.75335543221158674</v>
      </c>
      <c r="S23" s="14"/>
      <c r="T23" s="20">
        <f>T12-T18</f>
        <v>2505627</v>
      </c>
      <c r="U23" s="14"/>
      <c r="V23" s="22">
        <f>IF(T$12=0,0,T23/T$12)</f>
        <v>0.72762481959129621</v>
      </c>
      <c r="W23" s="16"/>
      <c r="X23" s="20">
        <f>+P23-T23</f>
        <v>44061.729999999981</v>
      </c>
      <c r="Y23" s="16"/>
      <c r="Z23" s="22">
        <f>IF(T23=0,0,X23/T23)</f>
        <v>1.7585111431190667E-2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1">
        <f>SUM(OSRRefD22x_0)</f>
        <v>204782.17</v>
      </c>
      <c r="E25" s="21"/>
      <c r="F25" s="30">
        <f t="shared" ref="F25:F36" si="12">IF(D$12=0,0,D25/D$12)</f>
        <v>0.55360191437503592</v>
      </c>
      <c r="G25" s="21"/>
      <c r="H25" s="21">
        <f>SUM(OSRRefH22x_0)</f>
        <v>200377.90283518465</v>
      </c>
      <c r="I25" s="21"/>
      <c r="J25" s="30">
        <f t="shared" ref="J25:J36" si="13">IF(H$12=0,0,H25/H$12)</f>
        <v>0.43169820630552402</v>
      </c>
      <c r="K25" s="4"/>
      <c r="L25" s="21">
        <f t="shared" ref="L25:L36" si="14">+D25-H25</f>
        <v>4404.2671648153628</v>
      </c>
      <c r="M25" s="4"/>
      <c r="N25" s="30">
        <f t="shared" ref="N25:N36" si="15">IF(H25=0,0,L25/H25)</f>
        <v>2.1979804671565868E-2</v>
      </c>
      <c r="O25" s="10"/>
      <c r="P25" s="21">
        <f>SUM(OSRRefP22x_0)</f>
        <v>1620069.47</v>
      </c>
      <c r="Q25" s="21"/>
      <c r="R25" s="30">
        <f t="shared" ref="R25:R36" si="16">IF(P$12=0,0,P25/P$12)</f>
        <v>0.47868122936898505</v>
      </c>
      <c r="S25" s="21"/>
      <c r="T25" s="21">
        <f>SUM(OSRRefT22x_0)</f>
        <v>1660934.4253696902</v>
      </c>
      <c r="U25" s="21"/>
      <c r="V25" s="30">
        <f t="shared" ref="V25:V36" si="17">IF(T$12=0,0,T25/T$12)</f>
        <v>0.48232921804107082</v>
      </c>
      <c r="W25" s="4"/>
      <c r="X25" s="21">
        <f t="shared" ref="X25:X36" si="18">+P25-T25</f>
        <v>-40864.9553696902</v>
      </c>
      <c r="Y25" s="4"/>
      <c r="Z25" s="30">
        <f t="shared" ref="Z25:Z36" si="19">IF(T25=0,0,X25/T25)</f>
        <v>-2.4603593462514027E-2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36679.61</v>
      </c>
      <c r="E26" s="1"/>
      <c r="F26" s="5">
        <f t="shared" si="12"/>
        <v>9.915854644244522E-2</v>
      </c>
      <c r="G26" s="1"/>
      <c r="H26" s="1">
        <f>SUM(OSRRefH22_0x_0)</f>
        <v>31392.544350261531</v>
      </c>
      <c r="I26" s="1"/>
      <c r="J26" s="5">
        <f t="shared" si="13"/>
        <v>6.7632732430189316E-2</v>
      </c>
      <c r="K26" s="1"/>
      <c r="L26" s="1">
        <f t="shared" si="14"/>
        <v>5287.0656497384698</v>
      </c>
      <c r="M26" s="1"/>
      <c r="N26" s="5">
        <f t="shared" si="15"/>
        <v>0.16841787625584492</v>
      </c>
      <c r="O26" s="13"/>
      <c r="P26" s="1">
        <f>SUM(OSRRefP22_0x_0)</f>
        <v>309770.71000000002</v>
      </c>
      <c r="Q26" s="1"/>
      <c r="R26" s="5">
        <f t="shared" si="16"/>
        <v>9.1527818424541607E-2</v>
      </c>
      <c r="S26" s="1"/>
      <c r="T26" s="1">
        <f>SUM(OSRRefT22_0x_0)</f>
        <v>293240.42616969004</v>
      </c>
      <c r="U26" s="1"/>
      <c r="V26" s="5">
        <f t="shared" si="17"/>
        <v>8.5155935894925913E-2</v>
      </c>
      <c r="W26" s="1"/>
      <c r="X26" s="1">
        <f t="shared" si="18"/>
        <v>16530.283830309985</v>
      </c>
      <c r="Y26" s="1"/>
      <c r="Z26" s="5">
        <f t="shared" si="19"/>
        <v>5.6371094689189861E-2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6">
        <v>5069.4399999999996</v>
      </c>
      <c r="E27" s="2"/>
      <c r="F27" s="7">
        <f t="shared" si="12"/>
        <v>1.3704570514168211E-2</v>
      </c>
      <c r="G27" s="2"/>
      <c r="H27" s="6">
        <v>2868.6248765630799</v>
      </c>
      <c r="I27" s="2"/>
      <c r="J27" s="7">
        <f t="shared" si="13"/>
        <v>6.1802234490610604E-3</v>
      </c>
      <c r="K27" s="2"/>
      <c r="L27" s="6">
        <f t="shared" si="14"/>
        <v>2200.8151234369197</v>
      </c>
      <c r="M27" s="2"/>
      <c r="N27" s="7">
        <f t="shared" si="15"/>
        <v>0.76720213277719751</v>
      </c>
      <c r="O27" s="11"/>
      <c r="P27" s="6">
        <v>42469.97</v>
      </c>
      <c r="Q27" s="2"/>
      <c r="R27" s="7">
        <f t="shared" si="16"/>
        <v>1.2548583765894876E-2</v>
      </c>
      <c r="S27" s="2"/>
      <c r="T27" s="6">
        <v>33205.58126649003</v>
      </c>
      <c r="U27" s="2"/>
      <c r="V27" s="7">
        <f t="shared" si="17"/>
        <v>9.6427780665094744E-3</v>
      </c>
      <c r="W27" s="2"/>
      <c r="X27" s="6">
        <f t="shared" si="18"/>
        <v>9264.3887335099716</v>
      </c>
      <c r="Y27" s="2"/>
      <c r="Z27" s="7">
        <f t="shared" si="19"/>
        <v>0.27900095044742629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6">
        <v>5078.2700000000004</v>
      </c>
      <c r="E28" s="2"/>
      <c r="F28" s="7">
        <f t="shared" si="12"/>
        <v>1.3728441268657882E-2</v>
      </c>
      <c r="G28" s="2"/>
      <c r="H28" s="6">
        <v>4373.5612713353794</v>
      </c>
      <c r="I28" s="2"/>
      <c r="J28" s="7">
        <f t="shared" si="13"/>
        <v>9.4224888537523099E-3</v>
      </c>
      <c r="K28" s="2"/>
      <c r="L28" s="6">
        <f t="shared" si="14"/>
        <v>704.70872866462105</v>
      </c>
      <c r="M28" s="2"/>
      <c r="N28" s="7">
        <f t="shared" si="15"/>
        <v>0.16112926856274551</v>
      </c>
      <c r="O28" s="11"/>
      <c r="P28" s="6">
        <v>29035.69</v>
      </c>
      <c r="Q28" s="2"/>
      <c r="R28" s="7">
        <f t="shared" si="16"/>
        <v>8.579162833539938E-3</v>
      </c>
      <c r="S28" s="2"/>
      <c r="T28" s="6">
        <v>35606.532554399979</v>
      </c>
      <c r="U28" s="2"/>
      <c r="V28" s="7">
        <f t="shared" si="17"/>
        <v>1.0340005446208434E-2</v>
      </c>
      <c r="W28" s="2"/>
      <c r="X28" s="6">
        <f t="shared" si="18"/>
        <v>-6570.8425543999801</v>
      </c>
      <c r="Y28" s="2"/>
      <c r="Z28" s="7">
        <f t="shared" si="19"/>
        <v>-0.18454036613537103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6">
        <v>19108.37</v>
      </c>
      <c r="E29" s="2"/>
      <c r="F29" s="7">
        <f t="shared" si="12"/>
        <v>5.1656988558068821E-2</v>
      </c>
      <c r="G29" s="2"/>
      <c r="H29" s="6">
        <v>16958.384615384599</v>
      </c>
      <c r="I29" s="2"/>
      <c r="J29" s="7">
        <f t="shared" si="13"/>
        <v>3.6535486781306095E-2</v>
      </c>
      <c r="K29" s="2"/>
      <c r="L29" s="6">
        <f t="shared" si="14"/>
        <v>2149.9853846154001</v>
      </c>
      <c r="M29" s="2"/>
      <c r="N29" s="7">
        <f t="shared" si="15"/>
        <v>0.12678008155711595</v>
      </c>
      <c r="O29" s="11"/>
      <c r="P29" s="6">
        <v>160605.75</v>
      </c>
      <c r="Q29" s="2"/>
      <c r="R29" s="7">
        <f t="shared" si="16"/>
        <v>4.7454111862084453E-2</v>
      </c>
      <c r="S29" s="2"/>
      <c r="T29" s="6">
        <v>161343</v>
      </c>
      <c r="U29" s="2"/>
      <c r="V29" s="7">
        <f t="shared" si="17"/>
        <v>4.6853410849786704E-2</v>
      </c>
      <c r="W29" s="2"/>
      <c r="X29" s="6">
        <f t="shared" si="18"/>
        <v>-737.25</v>
      </c>
      <c r="Y29" s="2"/>
      <c r="Z29" s="7">
        <f t="shared" si="19"/>
        <v>-4.5694576151428939E-3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6">
        <v>340.3</v>
      </c>
      <c r="E30" s="2"/>
      <c r="F30" s="7">
        <f t="shared" si="12"/>
        <v>9.1995671040024979E-4</v>
      </c>
      <c r="G30" s="2"/>
      <c r="H30" s="6">
        <v>293.07369344</v>
      </c>
      <c r="I30" s="2"/>
      <c r="J30" s="7">
        <f t="shared" si="13"/>
        <v>6.3140389226175341E-4</v>
      </c>
      <c r="K30" s="2"/>
      <c r="L30" s="6">
        <f t="shared" si="14"/>
        <v>47.226306560000012</v>
      </c>
      <c r="M30" s="2"/>
      <c r="N30" s="7">
        <f t="shared" si="15"/>
        <v>0.16114140442178068</v>
      </c>
      <c r="O30" s="11"/>
      <c r="P30" s="6">
        <v>2323.98</v>
      </c>
      <c r="Q30" s="2"/>
      <c r="R30" s="7">
        <f t="shared" si="16"/>
        <v>6.8666537085532132E-4</v>
      </c>
      <c r="S30" s="2"/>
      <c r="T30" s="6">
        <v>2386.0047587999998</v>
      </c>
      <c r="U30" s="2"/>
      <c r="V30" s="7">
        <f t="shared" si="17"/>
        <v>6.9288696289025622E-4</v>
      </c>
      <c r="W30" s="2"/>
      <c r="X30" s="6">
        <f t="shared" si="18"/>
        <v>-62.024758799999745</v>
      </c>
      <c r="Y30" s="2"/>
      <c r="Z30" s="7">
        <f t="shared" si="19"/>
        <v>-2.5995236837328871E-2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6">
        <v>1317.71</v>
      </c>
      <c r="E31" s="2"/>
      <c r="F31" s="7">
        <f t="shared" si="12"/>
        <v>3.5622572931575469E-3</v>
      </c>
      <c r="G31" s="2"/>
      <c r="H31" s="6">
        <v>1267.60705538462</v>
      </c>
      <c r="I31" s="2"/>
      <c r="J31" s="7">
        <f t="shared" si="13"/>
        <v>2.7309582761721554E-3</v>
      </c>
      <c r="K31" s="2"/>
      <c r="L31" s="6">
        <f t="shared" si="14"/>
        <v>50.102944615380011</v>
      </c>
      <c r="M31" s="2"/>
      <c r="N31" s="7">
        <f t="shared" si="15"/>
        <v>3.9525611980897081E-2</v>
      </c>
      <c r="O31" s="11"/>
      <c r="P31" s="6">
        <v>12450.16</v>
      </c>
      <c r="Q31" s="2"/>
      <c r="R31" s="7">
        <f t="shared" si="16"/>
        <v>3.6786434193100143E-3</v>
      </c>
      <c r="S31" s="2"/>
      <c r="T31" s="6">
        <v>12359.168790000031</v>
      </c>
      <c r="U31" s="2"/>
      <c r="V31" s="7">
        <f t="shared" si="17"/>
        <v>3.5890569350993389E-3</v>
      </c>
      <c r="W31" s="2"/>
      <c r="X31" s="6">
        <f t="shared" si="18"/>
        <v>90.991209999969215</v>
      </c>
      <c r="Y31" s="2"/>
      <c r="Z31" s="7">
        <f t="shared" si="19"/>
        <v>7.3622434927494013E-3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5"/>
      <c r="B33" s="11" t="str">
        <f>CONCATENATE("          ", "6117", " - ", "RETIREMENT STAFF HOURLY")</f>
        <v xml:space="preserve">          6117 - RETIREMENT STAFF HOURLY</v>
      </c>
      <c r="C33" s="11"/>
      <c r="D33" s="6">
        <v>314.27</v>
      </c>
      <c r="E33" s="2"/>
      <c r="F33" s="7">
        <f t="shared" si="12"/>
        <v>8.4958799699525855E-4</v>
      </c>
      <c r="G33" s="2"/>
      <c r="H33" s="6"/>
      <c r="I33" s="2"/>
      <c r="J33" s="7">
        <f t="shared" si="13"/>
        <v>0</v>
      </c>
      <c r="K33" s="2"/>
      <c r="L33" s="6">
        <f t="shared" si="14"/>
        <v>314.27</v>
      </c>
      <c r="M33" s="2"/>
      <c r="N33" s="7">
        <f t="shared" si="15"/>
        <v>0</v>
      </c>
      <c r="O33" s="11"/>
      <c r="P33" s="6">
        <v>6126.47</v>
      </c>
      <c r="Q33" s="2"/>
      <c r="R33" s="7">
        <f t="shared" si="16"/>
        <v>1.810185455375692E-3</v>
      </c>
      <c r="S33" s="2"/>
      <c r="T33" s="6"/>
      <c r="U33" s="2"/>
      <c r="V33" s="7">
        <f t="shared" si="17"/>
        <v>0</v>
      </c>
      <c r="W33" s="2"/>
      <c r="X33" s="6">
        <f t="shared" si="18"/>
        <v>6126.47</v>
      </c>
      <c r="Y33" s="2"/>
      <c r="Z33" s="7">
        <f t="shared" si="19"/>
        <v>0</v>
      </c>
    </row>
    <row r="34" spans="1:26" s="24" customFormat="1" hidden="1" outlineLevel="2" x14ac:dyDescent="0.25">
      <c r="A34" s="25"/>
      <c r="B34" s="11" t="str">
        <f>CONCATENATE("          ", "6118", " - ", "VACATION")</f>
        <v xml:space="preserve">          6118 - VACATION</v>
      </c>
      <c r="C34" s="11"/>
      <c r="D34" s="6">
        <v>2671.07</v>
      </c>
      <c r="E34" s="2"/>
      <c r="F34" s="7">
        <f t="shared" si="12"/>
        <v>7.2208897162762131E-3</v>
      </c>
      <c r="G34" s="2"/>
      <c r="H34" s="6">
        <v>1124.5099476923101</v>
      </c>
      <c r="I34" s="2"/>
      <c r="J34" s="7">
        <f t="shared" si="13"/>
        <v>2.4226669733677254E-3</v>
      </c>
      <c r="K34" s="2"/>
      <c r="L34" s="6">
        <f t="shared" si="14"/>
        <v>1546.5600523076901</v>
      </c>
      <c r="M34" s="2"/>
      <c r="N34" s="7">
        <f t="shared" si="15"/>
        <v>1.375319138333547</v>
      </c>
      <c r="O34" s="11"/>
      <c r="P34" s="6">
        <v>26293.14</v>
      </c>
      <c r="Q34" s="2"/>
      <c r="R34" s="7">
        <f t="shared" si="16"/>
        <v>7.7688227648477536E-3</v>
      </c>
      <c r="S34" s="2"/>
      <c r="T34" s="6">
        <v>10963.97199</v>
      </c>
      <c r="U34" s="2"/>
      <c r="V34" s="7">
        <f t="shared" si="17"/>
        <v>3.1838969412557316E-3</v>
      </c>
      <c r="W34" s="2"/>
      <c r="X34" s="6">
        <f t="shared" si="18"/>
        <v>15329.168009999999</v>
      </c>
      <c r="Y34" s="2"/>
      <c r="Z34" s="7">
        <f t="shared" si="19"/>
        <v>1.398140019327065</v>
      </c>
    </row>
    <row r="35" spans="1:26" s="24" customFormat="1" hidden="1" outlineLevel="2" x14ac:dyDescent="0.25">
      <c r="A35" s="25"/>
      <c r="B35" s="11" t="str">
        <f>CONCATENATE("          ", "6119", " - ", "SICK LEAVE")</f>
        <v xml:space="preserve">          6119 - SICK LEAVE</v>
      </c>
      <c r="C35" s="11"/>
      <c r="D35" s="6">
        <v>1751.41</v>
      </c>
      <c r="E35" s="2"/>
      <c r="F35" s="7">
        <f t="shared" si="12"/>
        <v>4.7347087339468163E-3</v>
      </c>
      <c r="G35" s="2"/>
      <c r="H35" s="6">
        <v>3006.7828904615399</v>
      </c>
      <c r="I35" s="2"/>
      <c r="J35" s="7">
        <f t="shared" si="13"/>
        <v>6.4778738683079181E-3</v>
      </c>
      <c r="K35" s="2"/>
      <c r="L35" s="6">
        <f t="shared" si="14"/>
        <v>-1255.3728904615398</v>
      </c>
      <c r="M35" s="2"/>
      <c r="N35" s="7">
        <f t="shared" si="15"/>
        <v>-0.41751364704248417</v>
      </c>
      <c r="O35" s="11"/>
      <c r="P35" s="6">
        <v>18233.849999999999</v>
      </c>
      <c r="Q35" s="2"/>
      <c r="R35" s="7">
        <f t="shared" si="16"/>
        <v>5.3875478155450129E-3</v>
      </c>
      <c r="S35" s="2"/>
      <c r="T35" s="6">
        <v>23876.166809999999</v>
      </c>
      <c r="U35" s="2"/>
      <c r="V35" s="7">
        <f t="shared" si="17"/>
        <v>6.9335505913920726E-3</v>
      </c>
      <c r="W35" s="2"/>
      <c r="X35" s="6">
        <f t="shared" si="18"/>
        <v>-5642.3168100000003</v>
      </c>
      <c r="Y35" s="2"/>
      <c r="Z35" s="7">
        <f t="shared" si="19"/>
        <v>-0.23631585651499309</v>
      </c>
    </row>
    <row r="36" spans="1:26" s="24" customFormat="1" hidden="1" outlineLevel="2" x14ac:dyDescent="0.25">
      <c r="A36" s="25"/>
      <c r="B36" s="11" t="str">
        <f>CONCATENATE("          ", "6156", " - ", "EMPLOYEE MEALS")</f>
        <v xml:space="preserve">          6156 - EMPLOYEE MEALS</v>
      </c>
      <c r="C36" s="11"/>
      <c r="D36" s="6">
        <v>1028.77</v>
      </c>
      <c r="E36" s="2"/>
      <c r="F36" s="7">
        <f t="shared" si="12"/>
        <v>2.7811456507742137E-3</v>
      </c>
      <c r="G36" s="2"/>
      <c r="H36" s="6">
        <v>1500</v>
      </c>
      <c r="I36" s="2"/>
      <c r="J36" s="7">
        <f t="shared" si="13"/>
        <v>3.2316303359602896E-3</v>
      </c>
      <c r="K36" s="2"/>
      <c r="L36" s="6">
        <f t="shared" si="14"/>
        <v>-471.23</v>
      </c>
      <c r="M36" s="2"/>
      <c r="N36" s="7">
        <f t="shared" si="15"/>
        <v>-0.31415333333333334</v>
      </c>
      <c r="O36" s="11"/>
      <c r="P36" s="6">
        <v>12231.7</v>
      </c>
      <c r="Q36" s="2"/>
      <c r="R36" s="7">
        <f t="shared" si="16"/>
        <v>3.614095137088544E-3</v>
      </c>
      <c r="S36" s="2"/>
      <c r="T36" s="6">
        <v>13500</v>
      </c>
      <c r="U36" s="2"/>
      <c r="V36" s="7">
        <f t="shared" si="17"/>
        <v>3.9203501017839046E-3</v>
      </c>
      <c r="W36" s="2"/>
      <c r="X36" s="6">
        <f t="shared" si="18"/>
        <v>-1268.2999999999993</v>
      </c>
      <c r="Y36" s="2"/>
      <c r="Z36" s="7">
        <f t="shared" si="19"/>
        <v>-9.39481481481481E-2</v>
      </c>
    </row>
    <row r="37" spans="1:26" s="27" customFormat="1" outlineLevel="1" collapsed="1" x14ac:dyDescent="0.25">
      <c r="A37" s="26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123498.88</v>
      </c>
      <c r="E37" s="1"/>
      <c r="F37" s="5">
        <f t="shared" ref="F37:F47" si="20">IF(D$12=0,0,D37/D$12)</f>
        <v>0.33386313071676521</v>
      </c>
      <c r="G37" s="1"/>
      <c r="H37" s="1">
        <f>SUM(OSRRefH22_1x_0)</f>
        <v>108589.3584849231</v>
      </c>
      <c r="I37" s="1"/>
      <c r="J37" s="5">
        <f t="shared" ref="J37:J47" si="21">IF(H$12=0,0,H37/H$12)</f>
        <v>0.23394711002822957</v>
      </c>
      <c r="K37" s="1"/>
      <c r="L37" s="1">
        <f t="shared" ref="L37:L47" si="22">+D37-H37</f>
        <v>14909.521515076907</v>
      </c>
      <c r="M37" s="1"/>
      <c r="N37" s="5">
        <f t="shared" ref="N37:N47" si="23">IF(H37=0,0,L37/H37)</f>
        <v>0.13730186569936312</v>
      </c>
      <c r="O37" s="13"/>
      <c r="P37" s="1">
        <f>SUM(OSRRefP22_1x_0)</f>
        <v>861799.24</v>
      </c>
      <c r="Q37" s="1"/>
      <c r="R37" s="5">
        <f t="shared" ref="R37:R47" si="24">IF(P$12=0,0,P37/P$12)</f>
        <v>0.2546354507084545</v>
      </c>
      <c r="S37" s="1"/>
      <c r="T37" s="1">
        <f>SUM(OSRRefT22_1x_0)</f>
        <v>882853.99920000008</v>
      </c>
      <c r="U37" s="1"/>
      <c r="V37" s="5">
        <f t="shared" ref="V37:V47" si="25">IF(T$12=0,0,T37/T$12)</f>
        <v>0.25637753819437387</v>
      </c>
      <c r="W37" s="1"/>
      <c r="X37" s="1">
        <f t="shared" ref="X37:X47" si="26">+P37-T37</f>
        <v>-21054.759200000088</v>
      </c>
      <c r="Y37" s="1"/>
      <c r="Z37" s="5">
        <f t="shared" ref="Z37:Z47" si="27">IF(T37=0,0,X37/T37)</f>
        <v>-2.3848517670055185E-2</v>
      </c>
    </row>
    <row r="38" spans="1:26" s="24" customFormat="1" hidden="1" outlineLevel="2" x14ac:dyDescent="0.25">
      <c r="A38" s="25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"6002", " - ", "STAFF SALARIES")</f>
        <v xml:space="preserve">          6002 - STAFF SALARIES</v>
      </c>
      <c r="C39" s="11"/>
      <c r="D39" s="6">
        <v>15241.04</v>
      </c>
      <c r="E39" s="2"/>
      <c r="F39" s="7">
        <f t="shared" si="20"/>
        <v>4.1202165799231923E-2</v>
      </c>
      <c r="G39" s="2"/>
      <c r="H39" s="6">
        <v>14002.6360769231</v>
      </c>
      <c r="I39" s="2"/>
      <c r="J39" s="7">
        <f t="shared" si="21"/>
        <v>3.0167562353064448E-2</v>
      </c>
      <c r="K39" s="2"/>
      <c r="L39" s="6">
        <f t="shared" si="22"/>
        <v>1238.4039230769013</v>
      </c>
      <c r="M39" s="2"/>
      <c r="N39" s="7">
        <f t="shared" si="23"/>
        <v>8.8440770457345538E-2</v>
      </c>
      <c r="O39" s="11"/>
      <c r="P39" s="6">
        <v>136899.88</v>
      </c>
      <c r="Q39" s="2"/>
      <c r="R39" s="7">
        <f t="shared" si="24"/>
        <v>4.0449748651128235E-2</v>
      </c>
      <c r="S39" s="2"/>
      <c r="T39" s="6">
        <v>136525.70175000001</v>
      </c>
      <c r="U39" s="2"/>
      <c r="V39" s="7">
        <f t="shared" si="25"/>
        <v>3.964655916679493E-2</v>
      </c>
      <c r="W39" s="2"/>
      <c r="X39" s="6">
        <f t="shared" si="26"/>
        <v>374.17824999999721</v>
      </c>
      <c r="Y39" s="2"/>
      <c r="Z39" s="7">
        <f t="shared" si="27"/>
        <v>2.7407165479008217E-3</v>
      </c>
    </row>
    <row r="40" spans="1:26" s="24" customFormat="1" hidden="1" outlineLevel="2" x14ac:dyDescent="0.25">
      <c r="A40" s="25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5"/>
      <c r="B41" s="11" t="str">
        <f>CONCATENATE("          ", "6004", " - ", "STAFF HOURLY")</f>
        <v xml:space="preserve">          6004 - STAFF HOURLY</v>
      </c>
      <c r="C41" s="11"/>
      <c r="D41" s="6">
        <v>28516.59</v>
      </c>
      <c r="E41" s="2"/>
      <c r="F41" s="7">
        <f t="shared" si="20"/>
        <v>7.709088547820353E-2</v>
      </c>
      <c r="G41" s="2"/>
      <c r="H41" s="6">
        <v>21606.845600000001</v>
      </c>
      <c r="I41" s="2"/>
      <c r="J41" s="7">
        <f t="shared" si="21"/>
        <v>4.6550225136913405E-2</v>
      </c>
      <c r="K41" s="2"/>
      <c r="L41" s="6">
        <f t="shared" si="22"/>
        <v>6909.7443999999996</v>
      </c>
      <c r="M41" s="2"/>
      <c r="N41" s="7">
        <f t="shared" si="23"/>
        <v>0.31979422299384597</v>
      </c>
      <c r="O41" s="11"/>
      <c r="P41" s="6">
        <v>189184.4</v>
      </c>
      <c r="Q41" s="2"/>
      <c r="R41" s="7">
        <f t="shared" si="24"/>
        <v>5.58982332834368E-2</v>
      </c>
      <c r="S41" s="2"/>
      <c r="T41" s="6">
        <v>210666.74460000001</v>
      </c>
      <c r="U41" s="2"/>
      <c r="V41" s="7">
        <f t="shared" si="25"/>
        <v>6.1176843972969915E-2</v>
      </c>
      <c r="W41" s="2"/>
      <c r="X41" s="6">
        <f t="shared" si="26"/>
        <v>-21482.344600000011</v>
      </c>
      <c r="Y41" s="2"/>
      <c r="Z41" s="7">
        <f t="shared" si="27"/>
        <v>-0.10197311702323619</v>
      </c>
    </row>
    <row r="42" spans="1:26" s="24" customFormat="1" hidden="1" outlineLevel="2" x14ac:dyDescent="0.25">
      <c r="A42" s="25"/>
      <c r="B42" s="11" t="str">
        <f>CONCATENATE("          ", "6005", " - ", "TEMPORARY WAGES-HOURLY")</f>
        <v xml:space="preserve">          6005 - TEMPORARY WAGES-HOURLY</v>
      </c>
      <c r="C42" s="11"/>
      <c r="D42" s="6">
        <v>17534.670000000002</v>
      </c>
      <c r="E42" s="2"/>
      <c r="F42" s="7">
        <f t="shared" si="20"/>
        <v>4.7402695654287244E-2</v>
      </c>
      <c r="G42" s="2"/>
      <c r="H42" s="6">
        <v>23443.761608000001</v>
      </c>
      <c r="I42" s="2"/>
      <c r="J42" s="7">
        <f t="shared" si="21"/>
        <v>5.0507714134289325E-2</v>
      </c>
      <c r="K42" s="2"/>
      <c r="L42" s="6">
        <f t="shared" si="22"/>
        <v>-5909.0916079999988</v>
      </c>
      <c r="M42" s="2"/>
      <c r="N42" s="7">
        <f t="shared" si="23"/>
        <v>-0.25205390273135891</v>
      </c>
      <c r="O42" s="11"/>
      <c r="P42" s="6">
        <v>146126.22999999998</v>
      </c>
      <c r="Q42" s="2"/>
      <c r="R42" s="7">
        <f t="shared" si="24"/>
        <v>4.3175854316577583E-2</v>
      </c>
      <c r="S42" s="2"/>
      <c r="T42" s="6">
        <v>175925.02485000002</v>
      </c>
      <c r="U42" s="2"/>
      <c r="V42" s="7">
        <f t="shared" si="25"/>
        <v>5.1087976968669145E-2</v>
      </c>
      <c r="W42" s="2"/>
      <c r="X42" s="6">
        <f t="shared" si="26"/>
        <v>-29798.794850000035</v>
      </c>
      <c r="Y42" s="2"/>
      <c r="Z42" s="7">
        <f t="shared" si="27"/>
        <v>-0.16938349092408858</v>
      </c>
    </row>
    <row r="43" spans="1:26" s="24" customFormat="1" hidden="1" outlineLevel="2" x14ac:dyDescent="0.25">
      <c r="A43" s="25"/>
      <c r="B43" s="11" t="str">
        <f>CONCATENATE("          ", "6006", " - ", "TEMPORARY PART TIME")</f>
        <v xml:space="preserve">          6006 - TEMPORARY PART TIME</v>
      </c>
      <c r="C43" s="11"/>
      <c r="D43" s="6">
        <v>2129.79</v>
      </c>
      <c r="E43" s="2"/>
      <c r="F43" s="7">
        <f t="shared" si="20"/>
        <v>5.7576097626898266E-3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2129.79</v>
      </c>
      <c r="M43" s="2"/>
      <c r="N43" s="7">
        <f t="shared" si="23"/>
        <v>0</v>
      </c>
      <c r="O43" s="11"/>
      <c r="P43" s="6">
        <v>13546.1</v>
      </c>
      <c r="Q43" s="2"/>
      <c r="R43" s="7">
        <f t="shared" si="24"/>
        <v>4.0024603396514894E-3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13546.1</v>
      </c>
      <c r="Y43" s="2"/>
      <c r="Z43" s="7">
        <f t="shared" si="27"/>
        <v>0</v>
      </c>
    </row>
    <row r="44" spans="1:26" s="24" customFormat="1" hidden="1" outlineLevel="2" x14ac:dyDescent="0.25">
      <c r="A44" s="25"/>
      <c r="B44" s="11" t="str">
        <f>CONCATENATE("          ", "6007", " - ", "STUDENT HOURLY")</f>
        <v xml:space="preserve">          6007 - STUDENT HOURLY</v>
      </c>
      <c r="C44" s="11"/>
      <c r="D44" s="6">
        <v>49271.24</v>
      </c>
      <c r="E44" s="2"/>
      <c r="F44" s="7">
        <f t="shared" si="20"/>
        <v>0.13319837751319777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49271.24</v>
      </c>
      <c r="M44" s="2"/>
      <c r="N44" s="7">
        <f t="shared" si="23"/>
        <v>0</v>
      </c>
      <c r="O44" s="11"/>
      <c r="P44" s="6">
        <v>295501.51</v>
      </c>
      <c r="Q44" s="2"/>
      <c r="R44" s="7">
        <f t="shared" si="24"/>
        <v>8.7311704038957924E-2</v>
      </c>
      <c r="S44" s="2"/>
      <c r="T44" s="6">
        <v>66371.28</v>
      </c>
      <c r="U44" s="2"/>
      <c r="V44" s="7">
        <f t="shared" si="25"/>
        <v>1.9273974392853926E-2</v>
      </c>
      <c r="W44" s="2"/>
      <c r="X44" s="6">
        <f t="shared" si="26"/>
        <v>229130.23</v>
      </c>
      <c r="Y44" s="2"/>
      <c r="Z44" s="7">
        <f t="shared" si="27"/>
        <v>3.4522496778727185</v>
      </c>
    </row>
    <row r="45" spans="1:26" s="24" customFormat="1" hidden="1" outlineLevel="2" x14ac:dyDescent="0.25">
      <c r="A45" s="25"/>
      <c r="B45" s="11" t="str">
        <f>CONCATENATE("          ", "6008", " - ", "STUDENT HOURLY-FICA EXEMPT")</f>
        <v xml:space="preserve">          6008 - STUDENT HOURLY-FICA EXEMPT</v>
      </c>
      <c r="C45" s="11"/>
      <c r="D45" s="6">
        <v>10805.55</v>
      </c>
      <c r="E45" s="2"/>
      <c r="F45" s="7">
        <f t="shared" si="20"/>
        <v>2.9211396509154917E-2</v>
      </c>
      <c r="G45" s="2"/>
      <c r="H45" s="6">
        <v>49536.1152</v>
      </c>
      <c r="I45" s="2"/>
      <c r="J45" s="7">
        <f t="shared" si="21"/>
        <v>0.10672160840396241</v>
      </c>
      <c r="K45" s="2"/>
      <c r="L45" s="6">
        <f t="shared" si="22"/>
        <v>-38730.565199999997</v>
      </c>
      <c r="M45" s="2"/>
      <c r="N45" s="7">
        <f t="shared" si="23"/>
        <v>-0.78186521174756951</v>
      </c>
      <c r="O45" s="11"/>
      <c r="P45" s="6">
        <v>80541.119999999995</v>
      </c>
      <c r="Q45" s="2"/>
      <c r="R45" s="7">
        <f t="shared" si="24"/>
        <v>2.3797450078702456E-2</v>
      </c>
      <c r="S45" s="2"/>
      <c r="T45" s="6">
        <v>293365.24800000002</v>
      </c>
      <c r="U45" s="2"/>
      <c r="V45" s="7">
        <f t="shared" si="25"/>
        <v>8.5192183693085954E-2</v>
      </c>
      <c r="W45" s="2"/>
      <c r="X45" s="6">
        <f t="shared" si="26"/>
        <v>-212824.12800000003</v>
      </c>
      <c r="Y45" s="2"/>
      <c r="Z45" s="7">
        <f t="shared" si="27"/>
        <v>-0.7254578701837241</v>
      </c>
    </row>
    <row r="46" spans="1:26" s="24" customFormat="1" hidden="1" outlineLevel="2" x14ac:dyDescent="0.25">
      <c r="A46" s="25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25">
      <c r="A47" s="25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7" customFormat="1" outlineLevel="1" collapsed="1" x14ac:dyDescent="0.25">
      <c r="A48" s="26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44.51</v>
      </c>
      <c r="E48" s="1"/>
      <c r="F48" s="5">
        <f t="shared" ref="F48:F69" si="28">IF(D$12=0,0,D48/D$12)</f>
        <v>1.2032698554191923E-4</v>
      </c>
      <c r="G48" s="1"/>
      <c r="H48" s="1">
        <f>SUM(OSRRefH22_2x_0)</f>
        <v>100</v>
      </c>
      <c r="I48" s="1"/>
      <c r="J48" s="5">
        <f t="shared" ref="J48:J69" si="29">IF(H$12=0,0,H48/H$12)</f>
        <v>2.1544202239735265E-4</v>
      </c>
      <c r="K48" s="1"/>
      <c r="L48" s="1">
        <f t="shared" ref="L48:L69" si="30">+D48-H48</f>
        <v>-55.49</v>
      </c>
      <c r="M48" s="1"/>
      <c r="N48" s="5">
        <f t="shared" ref="N48:N69" si="31">IF(H48=0,0,L48/H48)</f>
        <v>-0.55490000000000006</v>
      </c>
      <c r="O48" s="13"/>
      <c r="P48" s="1">
        <f>SUM(OSRRefP22_2x_0)</f>
        <v>2628.74</v>
      </c>
      <c r="Q48" s="1"/>
      <c r="R48" s="5">
        <f t="shared" ref="R48:R69" si="32">IF(P$12=0,0,P48/P$12)</f>
        <v>7.7671267695170231E-4</v>
      </c>
      <c r="S48" s="1"/>
      <c r="T48" s="1">
        <f>SUM(OSRRefT22_2x_0)</f>
        <v>3600</v>
      </c>
      <c r="U48" s="1"/>
      <c r="V48" s="5">
        <f t="shared" ref="V48:V69" si="33">IF(T$12=0,0,T48/T$12)</f>
        <v>1.0454266938090412E-3</v>
      </c>
      <c r="W48" s="1"/>
      <c r="X48" s="1">
        <f t="shared" ref="X48:X69" si="34">+P48-T48</f>
        <v>-971.26000000000022</v>
      </c>
      <c r="Y48" s="1"/>
      <c r="Z48" s="5">
        <f t="shared" ref="Z48:Z69" si="35">IF(T48=0,0,X48/T48)</f>
        <v>-0.2697944444444445</v>
      </c>
    </row>
    <row r="49" spans="1:26" s="24" customFormat="1" hidden="1" outlineLevel="2" x14ac:dyDescent="0.25">
      <c r="A49" s="25"/>
      <c r="B49" s="11" t="str">
        <f>CONCATENATE("          ", "6362", " - ", "ADVERTISING EXPENSE")</f>
        <v xml:space="preserve">          6362 - ADVERTISING EXPENSE</v>
      </c>
      <c r="C49" s="11"/>
      <c r="D49" s="6">
        <v>44.51</v>
      </c>
      <c r="E49" s="2"/>
      <c r="F49" s="7">
        <f t="shared" si="28"/>
        <v>1.2032698554191923E-4</v>
      </c>
      <c r="G49" s="2"/>
      <c r="H49" s="6">
        <v>100</v>
      </c>
      <c r="I49" s="2"/>
      <c r="J49" s="7">
        <f t="shared" si="29"/>
        <v>2.1544202239735265E-4</v>
      </c>
      <c r="K49" s="2"/>
      <c r="L49" s="6">
        <f t="shared" si="30"/>
        <v>-55.49</v>
      </c>
      <c r="M49" s="2"/>
      <c r="N49" s="7">
        <f t="shared" si="31"/>
        <v>-0.55490000000000006</v>
      </c>
      <c r="O49" s="11"/>
      <c r="P49" s="6">
        <v>2628.74</v>
      </c>
      <c r="Q49" s="2"/>
      <c r="R49" s="7">
        <f t="shared" si="32"/>
        <v>7.7671267695170231E-4</v>
      </c>
      <c r="S49" s="2"/>
      <c r="T49" s="6">
        <v>3600</v>
      </c>
      <c r="U49" s="2"/>
      <c r="V49" s="7">
        <f t="shared" si="33"/>
        <v>1.0454266938090412E-3</v>
      </c>
      <c r="W49" s="2"/>
      <c r="X49" s="6">
        <f t="shared" si="34"/>
        <v>-971.26000000000022</v>
      </c>
      <c r="Y49" s="2"/>
      <c r="Z49" s="7">
        <f t="shared" si="35"/>
        <v>-0.2697944444444445</v>
      </c>
    </row>
    <row r="50" spans="1:26" s="27" customFormat="1" outlineLevel="1" collapsed="1" x14ac:dyDescent="0.25">
      <c r="A50" s="26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0.35</v>
      </c>
      <c r="E50" s="1"/>
      <c r="F50" s="5">
        <f t="shared" si="28"/>
        <v>9.4617939653272819E-7</v>
      </c>
      <c r="G50" s="1"/>
      <c r="H50" s="1">
        <f>SUM(OSRRefH22_3x_0)</f>
        <v>8</v>
      </c>
      <c r="I50" s="1"/>
      <c r="J50" s="5">
        <f t="shared" si="29"/>
        <v>1.7235361791788213E-5</v>
      </c>
      <c r="K50" s="1"/>
      <c r="L50" s="1">
        <f t="shared" si="30"/>
        <v>-7.65</v>
      </c>
      <c r="M50" s="1"/>
      <c r="N50" s="5">
        <f t="shared" si="31"/>
        <v>-0.95625000000000004</v>
      </c>
      <c r="O50" s="13"/>
      <c r="P50" s="1">
        <f>SUM(OSRRefP22_3x_0)</f>
        <v>16.690000000000001</v>
      </c>
      <c r="Q50" s="1"/>
      <c r="R50" s="5">
        <f t="shared" si="32"/>
        <v>4.9313871201883469E-6</v>
      </c>
      <c r="S50" s="1"/>
      <c r="T50" s="1">
        <f>SUM(OSRRefT22_3x_0)</f>
        <v>72</v>
      </c>
      <c r="U50" s="1"/>
      <c r="V50" s="5">
        <f t="shared" si="33"/>
        <v>2.0908533876180823E-5</v>
      </c>
      <c r="W50" s="1"/>
      <c r="X50" s="1">
        <f t="shared" si="34"/>
        <v>-55.31</v>
      </c>
      <c r="Y50" s="1"/>
      <c r="Z50" s="5">
        <f t="shared" si="35"/>
        <v>-0.76819444444444451</v>
      </c>
    </row>
    <row r="51" spans="1:26" s="24" customFormat="1" hidden="1" outlineLevel="2" x14ac:dyDescent="0.25">
      <c r="A51" s="25"/>
      <c r="B51" s="11" t="str">
        <f>CONCATENATE("          ", "6272", " - ", "CASH (OVER/SHORT)")</f>
        <v xml:space="preserve">          6272 - CASH (OVER/SHORT)</v>
      </c>
      <c r="C51" s="11"/>
      <c r="D51" s="6">
        <v>0.35</v>
      </c>
      <c r="E51" s="2"/>
      <c r="F51" s="7">
        <f t="shared" si="28"/>
        <v>9.4617939653272819E-7</v>
      </c>
      <c r="G51" s="2"/>
      <c r="H51" s="6">
        <v>8</v>
      </c>
      <c r="I51" s="2"/>
      <c r="J51" s="7">
        <f t="shared" si="29"/>
        <v>1.7235361791788213E-5</v>
      </c>
      <c r="K51" s="2"/>
      <c r="L51" s="6">
        <f t="shared" si="30"/>
        <v>-7.65</v>
      </c>
      <c r="M51" s="2"/>
      <c r="N51" s="7">
        <f t="shared" si="31"/>
        <v>-0.95625000000000004</v>
      </c>
      <c r="O51" s="11"/>
      <c r="P51" s="6">
        <v>16.690000000000001</v>
      </c>
      <c r="Q51" s="2"/>
      <c r="R51" s="7">
        <f t="shared" si="32"/>
        <v>4.9313871201883469E-6</v>
      </c>
      <c r="S51" s="2"/>
      <c r="T51" s="6">
        <v>72</v>
      </c>
      <c r="U51" s="2"/>
      <c r="V51" s="7">
        <f t="shared" si="33"/>
        <v>2.0908533876180823E-5</v>
      </c>
      <c r="W51" s="2"/>
      <c r="X51" s="6">
        <f t="shared" si="34"/>
        <v>-55.31</v>
      </c>
      <c r="Y51" s="2"/>
      <c r="Z51" s="7">
        <f t="shared" si="35"/>
        <v>-0.76819444444444451</v>
      </c>
    </row>
    <row r="52" spans="1:26" s="27" customFormat="1" outlineLevel="1" collapsed="1" x14ac:dyDescent="0.25">
      <c r="A52" s="26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47.8</v>
      </c>
      <c r="E52" s="1"/>
      <c r="F52" s="5">
        <f t="shared" si="28"/>
        <v>1.2922107186932687E-4</v>
      </c>
      <c r="G52" s="1"/>
      <c r="H52" s="1">
        <f>SUM(OSRRefH22_4x_0)</f>
        <v>170</v>
      </c>
      <c r="I52" s="1"/>
      <c r="J52" s="5">
        <f t="shared" si="29"/>
        <v>3.6625143807549949E-4</v>
      </c>
      <c r="K52" s="1"/>
      <c r="L52" s="1">
        <f t="shared" si="30"/>
        <v>-122.2</v>
      </c>
      <c r="M52" s="1"/>
      <c r="N52" s="5">
        <f t="shared" si="31"/>
        <v>-0.71882352941176475</v>
      </c>
      <c r="O52" s="13"/>
      <c r="P52" s="1">
        <f>SUM(OSRRefP22_4x_0)</f>
        <v>1125.75</v>
      </c>
      <c r="Q52" s="1"/>
      <c r="R52" s="5">
        <f t="shared" si="32"/>
        <v>3.3262486821761716E-4</v>
      </c>
      <c r="S52" s="1"/>
      <c r="T52" s="1">
        <f>SUM(OSRRefT22_4x_0)</f>
        <v>1530</v>
      </c>
      <c r="U52" s="1"/>
      <c r="V52" s="5">
        <f t="shared" si="33"/>
        <v>4.4430634486884252E-4</v>
      </c>
      <c r="W52" s="1"/>
      <c r="X52" s="1">
        <f t="shared" si="34"/>
        <v>-404.25</v>
      </c>
      <c r="Y52" s="1"/>
      <c r="Z52" s="5">
        <f t="shared" si="35"/>
        <v>-0.26421568627450981</v>
      </c>
    </row>
    <row r="53" spans="1:26" s="24" customFormat="1" hidden="1" outlineLevel="2" x14ac:dyDescent="0.25">
      <c r="A53" s="25"/>
      <c r="B53" s="11" t="str">
        <f>CONCATENATE("          ", "6381", " - ", "BANK/CREDIT CARD FEES")</f>
        <v xml:space="preserve">          6381 - BANK/CREDIT CARD FEES</v>
      </c>
      <c r="C53" s="11"/>
      <c r="D53" s="6">
        <v>47.8</v>
      </c>
      <c r="E53" s="2"/>
      <c r="F53" s="7">
        <f t="shared" si="28"/>
        <v>1.2922107186932687E-4</v>
      </c>
      <c r="G53" s="2"/>
      <c r="H53" s="6">
        <v>170</v>
      </c>
      <c r="I53" s="2"/>
      <c r="J53" s="7">
        <f t="shared" si="29"/>
        <v>3.6625143807549949E-4</v>
      </c>
      <c r="K53" s="2"/>
      <c r="L53" s="6">
        <f t="shared" si="30"/>
        <v>-122.2</v>
      </c>
      <c r="M53" s="2"/>
      <c r="N53" s="7">
        <f t="shared" si="31"/>
        <v>-0.71882352941176475</v>
      </c>
      <c r="O53" s="11"/>
      <c r="P53" s="6">
        <v>1125.75</v>
      </c>
      <c r="Q53" s="2"/>
      <c r="R53" s="7">
        <f t="shared" si="32"/>
        <v>3.3262486821761716E-4</v>
      </c>
      <c r="S53" s="2"/>
      <c r="T53" s="6">
        <v>1530</v>
      </c>
      <c r="U53" s="2"/>
      <c r="V53" s="7">
        <f t="shared" si="33"/>
        <v>4.4430634486884252E-4</v>
      </c>
      <c r="W53" s="2"/>
      <c r="X53" s="6">
        <f t="shared" si="34"/>
        <v>-404.25</v>
      </c>
      <c r="Y53" s="2"/>
      <c r="Z53" s="7">
        <f t="shared" si="35"/>
        <v>-0.26421568627450981</v>
      </c>
    </row>
    <row r="54" spans="1:26" s="27" customFormat="1" outlineLevel="1" collapsed="1" x14ac:dyDescent="0.25">
      <c r="A54" s="26"/>
      <c r="B54" s="13" t="str">
        <f>CONCATENATE("     ","Donations                                         ")</f>
        <v xml:space="preserve">     Donations                                         </v>
      </c>
      <c r="C54" s="13"/>
      <c r="D54" s="1">
        <f>SUM(OSRRefD22_5x_0)</f>
        <v>3123.96</v>
      </c>
      <c r="E54" s="1"/>
      <c r="F54" s="5">
        <f t="shared" si="28"/>
        <v>8.4452188216925187E-3</v>
      </c>
      <c r="G54" s="1"/>
      <c r="H54" s="1">
        <f>SUM(OSRRefH22_5x_0)</f>
        <v>3100</v>
      </c>
      <c r="I54" s="1"/>
      <c r="J54" s="5">
        <f t="shared" si="29"/>
        <v>6.678702694317932E-3</v>
      </c>
      <c r="K54" s="1"/>
      <c r="L54" s="1">
        <f t="shared" si="30"/>
        <v>23.960000000000036</v>
      </c>
      <c r="M54" s="1"/>
      <c r="N54" s="5">
        <f t="shared" si="31"/>
        <v>7.7290322580645275E-3</v>
      </c>
      <c r="O54" s="13"/>
      <c r="P54" s="1">
        <f>SUM(OSRRefP22_5x_0)</f>
        <v>26858.9</v>
      </c>
      <c r="Q54" s="1"/>
      <c r="R54" s="5">
        <f t="shared" si="32"/>
        <v>7.9359876286654758E-3</v>
      </c>
      <c r="S54" s="1"/>
      <c r="T54" s="1">
        <f>SUM(OSRRefT22_5x_0)</f>
        <v>26800</v>
      </c>
      <c r="U54" s="1"/>
      <c r="V54" s="5">
        <f t="shared" si="33"/>
        <v>7.7826209428006402E-3</v>
      </c>
      <c r="W54" s="1"/>
      <c r="X54" s="1">
        <f t="shared" si="34"/>
        <v>58.900000000001455</v>
      </c>
      <c r="Y54" s="1"/>
      <c r="Z54" s="5">
        <f t="shared" si="35"/>
        <v>2.1977611940299049E-3</v>
      </c>
    </row>
    <row r="55" spans="1:26" s="24" customFormat="1" hidden="1" outlineLevel="2" x14ac:dyDescent="0.25">
      <c r="A55" s="25"/>
      <c r="B55" s="11" t="str">
        <f>CONCATENATE("          ", "6399", " - ", "DONATION-ON CAMPUS")</f>
        <v xml:space="preserve">          6399 - DONATION-ON CAMPUS</v>
      </c>
      <c r="C55" s="11"/>
      <c r="D55" s="6">
        <v>3123.96</v>
      </c>
      <c r="E55" s="2"/>
      <c r="F55" s="7">
        <f t="shared" si="28"/>
        <v>8.4452188216925187E-3</v>
      </c>
      <c r="G55" s="2"/>
      <c r="H55" s="6">
        <v>3100</v>
      </c>
      <c r="I55" s="2"/>
      <c r="J55" s="7">
        <f t="shared" si="29"/>
        <v>6.678702694317932E-3</v>
      </c>
      <c r="K55" s="2"/>
      <c r="L55" s="6">
        <f t="shared" si="30"/>
        <v>23.960000000000036</v>
      </c>
      <c r="M55" s="2"/>
      <c r="N55" s="7">
        <f t="shared" si="31"/>
        <v>7.7290322580645275E-3</v>
      </c>
      <c r="O55" s="11"/>
      <c r="P55" s="6">
        <v>26858.9</v>
      </c>
      <c r="Q55" s="2"/>
      <c r="R55" s="7">
        <f t="shared" si="32"/>
        <v>7.9359876286654758E-3</v>
      </c>
      <c r="S55" s="2"/>
      <c r="T55" s="6">
        <v>26800</v>
      </c>
      <c r="U55" s="2"/>
      <c r="V55" s="7">
        <f t="shared" si="33"/>
        <v>7.7826209428006402E-3</v>
      </c>
      <c r="W55" s="2"/>
      <c r="X55" s="6">
        <f t="shared" si="34"/>
        <v>58.900000000001455</v>
      </c>
      <c r="Y55" s="2"/>
      <c r="Z55" s="7">
        <f t="shared" si="35"/>
        <v>2.1977611940299049E-3</v>
      </c>
    </row>
    <row r="56" spans="1:26" s="27" customFormat="1" outlineLevel="1" collapsed="1" x14ac:dyDescent="0.25">
      <c r="A56" s="26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si="28"/>
        <v>0</v>
      </c>
      <c r="G56" s="1"/>
      <c r="H56" s="1">
        <f>SUM(OSRRefH22_6x_0)</f>
        <v>145</v>
      </c>
      <c r="I56" s="1"/>
      <c r="J56" s="5">
        <f t="shared" si="29"/>
        <v>3.1239093247616135E-4</v>
      </c>
      <c r="K56" s="1"/>
      <c r="L56" s="1">
        <f t="shared" si="30"/>
        <v>-145</v>
      </c>
      <c r="M56" s="1"/>
      <c r="N56" s="5">
        <f t="shared" si="31"/>
        <v>-1</v>
      </c>
      <c r="O56" s="13"/>
      <c r="P56" s="1">
        <f>SUM(OSRRefP22_6x_0)</f>
        <v>1564</v>
      </c>
      <c r="Q56" s="1"/>
      <c r="R56" s="5">
        <f t="shared" si="32"/>
        <v>4.6211440718841066E-4</v>
      </c>
      <c r="S56" s="1"/>
      <c r="T56" s="1">
        <f>SUM(OSRRefT22_6x_0)</f>
        <v>1305</v>
      </c>
      <c r="U56" s="1"/>
      <c r="V56" s="5">
        <f t="shared" si="33"/>
        <v>3.7896717650577746E-4</v>
      </c>
      <c r="W56" s="1"/>
      <c r="X56" s="1">
        <f t="shared" si="34"/>
        <v>259</v>
      </c>
      <c r="Y56" s="1"/>
      <c r="Z56" s="5">
        <f t="shared" si="35"/>
        <v>0.19846743295019156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28"/>
        <v>0</v>
      </c>
      <c r="G57" s="2"/>
      <c r="H57" s="6">
        <v>145</v>
      </c>
      <c r="I57" s="2"/>
      <c r="J57" s="7">
        <f t="shared" si="29"/>
        <v>3.1239093247616135E-4</v>
      </c>
      <c r="K57" s="2"/>
      <c r="L57" s="6">
        <f t="shared" si="30"/>
        <v>-145</v>
      </c>
      <c r="M57" s="2"/>
      <c r="N57" s="7">
        <f t="shared" si="31"/>
        <v>-1</v>
      </c>
      <c r="O57" s="11"/>
      <c r="P57" s="6">
        <v>1564</v>
      </c>
      <c r="Q57" s="2"/>
      <c r="R57" s="7">
        <f t="shared" si="32"/>
        <v>4.6211440718841066E-4</v>
      </c>
      <c r="S57" s="2"/>
      <c r="T57" s="6">
        <v>1305</v>
      </c>
      <c r="U57" s="2"/>
      <c r="V57" s="7">
        <f t="shared" si="33"/>
        <v>3.7896717650577746E-4</v>
      </c>
      <c r="W57" s="2"/>
      <c r="X57" s="6">
        <f t="shared" si="34"/>
        <v>259</v>
      </c>
      <c r="Y57" s="2"/>
      <c r="Z57" s="7">
        <f t="shared" si="35"/>
        <v>0.19846743295019156</v>
      </c>
    </row>
    <row r="58" spans="1:26" s="27" customFormat="1" outlineLevel="1" collapsed="1" x14ac:dyDescent="0.25">
      <c r="A58" s="26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207.6</v>
      </c>
      <c r="E58" s="1"/>
      <c r="F58" s="5">
        <f t="shared" si="28"/>
        <v>5.6121955062912678E-4</v>
      </c>
      <c r="G58" s="1"/>
      <c r="H58" s="1">
        <f>SUM(OSRRefH22_7x_0)</f>
        <v>270</v>
      </c>
      <c r="I58" s="1"/>
      <c r="J58" s="5">
        <f t="shared" si="29"/>
        <v>5.8169346047285211E-4</v>
      </c>
      <c r="K58" s="1"/>
      <c r="L58" s="1">
        <f t="shared" si="30"/>
        <v>-62.400000000000006</v>
      </c>
      <c r="M58" s="1"/>
      <c r="N58" s="5">
        <f t="shared" si="31"/>
        <v>-0.23111111111111113</v>
      </c>
      <c r="O58" s="13"/>
      <c r="P58" s="1">
        <f>SUM(OSRRefP22_7x_0)</f>
        <v>2574.71</v>
      </c>
      <c r="Q58" s="1"/>
      <c r="R58" s="5">
        <f t="shared" si="32"/>
        <v>7.607484560946757E-4</v>
      </c>
      <c r="S58" s="1"/>
      <c r="T58" s="1">
        <f>SUM(OSRRefT22_7x_0)</f>
        <v>2430</v>
      </c>
      <c r="U58" s="1"/>
      <c r="V58" s="5">
        <f t="shared" si="33"/>
        <v>7.0566301832110281E-4</v>
      </c>
      <c r="W58" s="1"/>
      <c r="X58" s="1">
        <f t="shared" si="34"/>
        <v>144.71000000000004</v>
      </c>
      <c r="Y58" s="1"/>
      <c r="Z58" s="5">
        <f t="shared" si="35"/>
        <v>5.9551440329218122E-2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6">
        <v>207.6</v>
      </c>
      <c r="E59" s="2"/>
      <c r="F59" s="7">
        <f t="shared" si="28"/>
        <v>5.6121955062912678E-4</v>
      </c>
      <c r="G59" s="2"/>
      <c r="H59" s="6">
        <v>270</v>
      </c>
      <c r="I59" s="2"/>
      <c r="J59" s="7">
        <f t="shared" si="29"/>
        <v>5.8169346047285211E-4</v>
      </c>
      <c r="K59" s="2"/>
      <c r="L59" s="6">
        <f t="shared" si="30"/>
        <v>-62.400000000000006</v>
      </c>
      <c r="M59" s="2"/>
      <c r="N59" s="7">
        <f t="shared" si="31"/>
        <v>-0.23111111111111113</v>
      </c>
      <c r="O59" s="11"/>
      <c r="P59" s="6">
        <v>2574.71</v>
      </c>
      <c r="Q59" s="2"/>
      <c r="R59" s="7">
        <f t="shared" si="32"/>
        <v>7.607484560946757E-4</v>
      </c>
      <c r="S59" s="2"/>
      <c r="T59" s="6">
        <v>2430</v>
      </c>
      <c r="U59" s="2"/>
      <c r="V59" s="7">
        <f t="shared" si="33"/>
        <v>7.0566301832110281E-4</v>
      </c>
      <c r="W59" s="2"/>
      <c r="X59" s="6">
        <f t="shared" si="34"/>
        <v>144.71000000000004</v>
      </c>
      <c r="Y59" s="2"/>
      <c r="Z59" s="7">
        <f t="shared" si="35"/>
        <v>5.9551440329218122E-2</v>
      </c>
    </row>
    <row r="60" spans="1:26" s="27" customFormat="1" outlineLevel="1" collapsed="1" x14ac:dyDescent="0.25">
      <c r="A60" s="26"/>
      <c r="B60" s="13" t="str">
        <f>CONCATENATE("     ","Freight out/Postage                               ")</f>
        <v xml:space="preserve">     Freight out/Postage                               </v>
      </c>
      <c r="C60" s="13"/>
      <c r="D60" s="1">
        <f>SUM(OSRRefD22_8x_0)</f>
        <v>0</v>
      </c>
      <c r="E60" s="1"/>
      <c r="F60" s="5">
        <f t="shared" si="28"/>
        <v>0</v>
      </c>
      <c r="G60" s="1"/>
      <c r="H60" s="1">
        <f>SUM(OSRRefH22_8x_0)</f>
        <v>1</v>
      </c>
      <c r="I60" s="1"/>
      <c r="J60" s="5">
        <f t="shared" si="29"/>
        <v>2.1544202239735266E-6</v>
      </c>
      <c r="K60" s="1"/>
      <c r="L60" s="1">
        <f t="shared" si="30"/>
        <v>-1</v>
      </c>
      <c r="M60" s="1"/>
      <c r="N60" s="5">
        <f t="shared" si="31"/>
        <v>-1</v>
      </c>
      <c r="O60" s="13"/>
      <c r="P60" s="1">
        <f>SUM(OSRRefP22_8x_0)</f>
        <v>0</v>
      </c>
      <c r="Q60" s="1"/>
      <c r="R60" s="5">
        <f t="shared" si="32"/>
        <v>0</v>
      </c>
      <c r="S60" s="1"/>
      <c r="T60" s="1">
        <f>SUM(OSRRefT22_8x_0)</f>
        <v>9</v>
      </c>
      <c r="U60" s="1"/>
      <c r="V60" s="5">
        <f t="shared" si="33"/>
        <v>2.6135667345226029E-6</v>
      </c>
      <c r="W60" s="1"/>
      <c r="X60" s="1">
        <f t="shared" si="34"/>
        <v>-9</v>
      </c>
      <c r="Y60" s="1"/>
      <c r="Z60" s="5">
        <f t="shared" si="35"/>
        <v>-1</v>
      </c>
    </row>
    <row r="61" spans="1:26" s="24" customFormat="1" hidden="1" outlineLevel="2" x14ac:dyDescent="0.25">
      <c r="A61" s="25"/>
      <c r="B61" s="11" t="str">
        <f>CONCATENATE("          ", "6307", " - ", "POSTAGE")</f>
        <v xml:space="preserve">          6307 - POSTAGE</v>
      </c>
      <c r="C61" s="11"/>
      <c r="D61" s="6"/>
      <c r="E61" s="2"/>
      <c r="F61" s="7">
        <f t="shared" si="28"/>
        <v>0</v>
      </c>
      <c r="G61" s="2"/>
      <c r="H61" s="6">
        <v>1</v>
      </c>
      <c r="I61" s="2"/>
      <c r="J61" s="7">
        <f t="shared" si="29"/>
        <v>2.1544202239735266E-6</v>
      </c>
      <c r="K61" s="2"/>
      <c r="L61" s="6">
        <f t="shared" si="30"/>
        <v>-1</v>
      </c>
      <c r="M61" s="2"/>
      <c r="N61" s="7">
        <f t="shared" si="31"/>
        <v>-1</v>
      </c>
      <c r="O61" s="11"/>
      <c r="P61" s="6"/>
      <c r="Q61" s="2"/>
      <c r="R61" s="7">
        <f t="shared" si="32"/>
        <v>0</v>
      </c>
      <c r="S61" s="2"/>
      <c r="T61" s="6">
        <v>9</v>
      </c>
      <c r="U61" s="2"/>
      <c r="V61" s="7">
        <f t="shared" si="33"/>
        <v>2.6135667345226029E-6</v>
      </c>
      <c r="W61" s="2"/>
      <c r="X61" s="6">
        <f t="shared" si="34"/>
        <v>-9</v>
      </c>
      <c r="Y61" s="2"/>
      <c r="Z61" s="7">
        <f t="shared" si="35"/>
        <v>-1</v>
      </c>
    </row>
    <row r="62" spans="1:26" s="27" customFormat="1" outlineLevel="1" collapsed="1" x14ac:dyDescent="0.25">
      <c r="A62" s="26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SUM(OSRRefD22_9x_0)</f>
        <v>0</v>
      </c>
      <c r="E62" s="1"/>
      <c r="F62" s="5">
        <f t="shared" si="28"/>
        <v>0</v>
      </c>
      <c r="G62" s="1"/>
      <c r="H62" s="1">
        <f>SUM(OSRRefH22_9x_0)</f>
        <v>100</v>
      </c>
      <c r="I62" s="1"/>
      <c r="J62" s="5">
        <f t="shared" si="29"/>
        <v>2.1544202239735265E-4</v>
      </c>
      <c r="K62" s="1"/>
      <c r="L62" s="1">
        <f t="shared" si="30"/>
        <v>-100</v>
      </c>
      <c r="M62" s="1"/>
      <c r="N62" s="5">
        <f t="shared" si="31"/>
        <v>-1</v>
      </c>
      <c r="O62" s="13"/>
      <c r="P62" s="1">
        <f>SUM(OSRRefP22_9x_0)</f>
        <v>3224.62</v>
      </c>
      <c r="Q62" s="1"/>
      <c r="R62" s="5">
        <f t="shared" si="32"/>
        <v>9.5277708421220755E-4</v>
      </c>
      <c r="S62" s="1"/>
      <c r="T62" s="1">
        <f>SUM(OSRRefT22_9x_0)</f>
        <v>3150</v>
      </c>
      <c r="U62" s="1"/>
      <c r="V62" s="5">
        <f t="shared" si="33"/>
        <v>9.1474835708291104E-4</v>
      </c>
      <c r="W62" s="1"/>
      <c r="X62" s="1">
        <f t="shared" si="34"/>
        <v>74.619999999999891</v>
      </c>
      <c r="Y62" s="1"/>
      <c r="Z62" s="5">
        <f t="shared" si="35"/>
        <v>2.3688888888888853E-2</v>
      </c>
    </row>
    <row r="63" spans="1:26" s="24" customFormat="1" hidden="1" outlineLevel="2" x14ac:dyDescent="0.25">
      <c r="A63" s="25"/>
      <c r="B63" s="11" t="str">
        <f>CONCATENATE("          ", "6279", " - ", "GENERAL EXPENSE")</f>
        <v xml:space="preserve">          6279 - GENERAL EXPENSE</v>
      </c>
      <c r="C63" s="11"/>
      <c r="D63" s="6"/>
      <c r="E63" s="2"/>
      <c r="F63" s="7">
        <f t="shared" si="28"/>
        <v>0</v>
      </c>
      <c r="G63" s="2"/>
      <c r="H63" s="6">
        <v>100</v>
      </c>
      <c r="I63" s="2"/>
      <c r="J63" s="7">
        <f t="shared" si="29"/>
        <v>2.1544202239735265E-4</v>
      </c>
      <c r="K63" s="2"/>
      <c r="L63" s="6">
        <f t="shared" si="30"/>
        <v>-100</v>
      </c>
      <c r="M63" s="2"/>
      <c r="N63" s="7">
        <f t="shared" si="31"/>
        <v>-1</v>
      </c>
      <c r="O63" s="11"/>
      <c r="P63" s="6">
        <v>3224.62</v>
      </c>
      <c r="Q63" s="2"/>
      <c r="R63" s="7">
        <f t="shared" si="32"/>
        <v>9.5277708421220755E-4</v>
      </c>
      <c r="S63" s="2"/>
      <c r="T63" s="6">
        <v>3150</v>
      </c>
      <c r="U63" s="2"/>
      <c r="V63" s="7">
        <f t="shared" si="33"/>
        <v>9.1474835708291104E-4</v>
      </c>
      <c r="W63" s="2"/>
      <c r="X63" s="6">
        <f t="shared" si="34"/>
        <v>74.619999999999891</v>
      </c>
      <c r="Y63" s="2"/>
      <c r="Z63" s="7">
        <f t="shared" si="35"/>
        <v>2.3688888888888853E-2</v>
      </c>
    </row>
    <row r="64" spans="1:26" s="27" customFormat="1" outlineLevel="1" collapsed="1" x14ac:dyDescent="0.25">
      <c r="A64" s="26"/>
      <c r="B64" s="13" t="str">
        <f>CONCATENATE("     ","R/H Commissions                                   ")</f>
        <v xml:space="preserve">     R/H Commissions                                   </v>
      </c>
      <c r="C64" s="13"/>
      <c r="D64" s="1">
        <f>SUM(OSRRefD22_10x_0)</f>
        <v>28965.18</v>
      </c>
      <c r="E64" s="1"/>
      <c r="F64" s="5">
        <f t="shared" si="28"/>
        <v>7.8303590093890998E-2</v>
      </c>
      <c r="G64" s="1"/>
      <c r="H64" s="1">
        <f>SUM(OSRRefH22_10x_0)</f>
        <v>37132</v>
      </c>
      <c r="I64" s="1"/>
      <c r="J64" s="5">
        <f t="shared" si="29"/>
        <v>7.9997931756584983E-2</v>
      </c>
      <c r="K64" s="1"/>
      <c r="L64" s="1">
        <f t="shared" si="30"/>
        <v>-8166.82</v>
      </c>
      <c r="M64" s="1"/>
      <c r="N64" s="5">
        <f t="shared" si="31"/>
        <v>-0.21994021329311644</v>
      </c>
      <c r="O64" s="13"/>
      <c r="P64" s="1">
        <f>SUM(OSRRefP22_10x_0)</f>
        <v>264596.75</v>
      </c>
      <c r="Q64" s="1"/>
      <c r="R64" s="5">
        <f t="shared" si="32"/>
        <v>7.8180287896566558E-2</v>
      </c>
      <c r="S64" s="1"/>
      <c r="T64" s="1">
        <f>SUM(OSRRefT22_10x_0)</f>
        <v>275482</v>
      </c>
      <c r="U64" s="1"/>
      <c r="V64" s="5">
        <f t="shared" si="33"/>
        <v>7.9998954573306191E-2</v>
      </c>
      <c r="W64" s="1"/>
      <c r="X64" s="1">
        <f t="shared" si="34"/>
        <v>-10885.25</v>
      </c>
      <c r="Y64" s="1"/>
      <c r="Z64" s="5">
        <f t="shared" si="35"/>
        <v>-3.9513470934580117E-2</v>
      </c>
    </row>
    <row r="65" spans="1:26" s="24" customFormat="1" hidden="1" outlineLevel="2" x14ac:dyDescent="0.25">
      <c r="A65" s="25"/>
      <c r="B65" s="11" t="str">
        <f>CONCATENATE("          ", "6387", " - ", "COMMISSION DUE HOUSING")</f>
        <v xml:space="preserve">          6387 - COMMISSION DUE HOUSING</v>
      </c>
      <c r="C65" s="11"/>
      <c r="D65" s="6">
        <v>28965.18</v>
      </c>
      <c r="E65" s="2"/>
      <c r="F65" s="7">
        <f t="shared" si="28"/>
        <v>7.8303590093890998E-2</v>
      </c>
      <c r="G65" s="2"/>
      <c r="H65" s="6">
        <v>37132</v>
      </c>
      <c r="I65" s="2"/>
      <c r="J65" s="7">
        <f t="shared" si="29"/>
        <v>7.9997931756584983E-2</v>
      </c>
      <c r="K65" s="2"/>
      <c r="L65" s="6">
        <f t="shared" si="30"/>
        <v>-8166.82</v>
      </c>
      <c r="M65" s="2"/>
      <c r="N65" s="7">
        <f t="shared" si="31"/>
        <v>-0.21994021329311644</v>
      </c>
      <c r="O65" s="11"/>
      <c r="P65" s="6">
        <v>264596.75</v>
      </c>
      <c r="Q65" s="2"/>
      <c r="R65" s="7">
        <f t="shared" si="32"/>
        <v>7.8180287896566558E-2</v>
      </c>
      <c r="S65" s="2"/>
      <c r="T65" s="6">
        <v>275482</v>
      </c>
      <c r="U65" s="2"/>
      <c r="V65" s="7">
        <f t="shared" si="33"/>
        <v>7.9998954573306191E-2</v>
      </c>
      <c r="W65" s="2"/>
      <c r="X65" s="6">
        <f t="shared" si="34"/>
        <v>-10885.25</v>
      </c>
      <c r="Y65" s="2"/>
      <c r="Z65" s="7">
        <f t="shared" si="35"/>
        <v>-3.9513470934580117E-2</v>
      </c>
    </row>
    <row r="66" spans="1:26" s="27" customFormat="1" outlineLevel="1" collapsed="1" x14ac:dyDescent="0.25">
      <c r="A66" s="26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76.95</v>
      </c>
      <c r="E66" s="1"/>
      <c r="F66" s="5">
        <f t="shared" si="28"/>
        <v>2.0802429875198126E-4</v>
      </c>
      <c r="G66" s="1"/>
      <c r="H66" s="1">
        <f>SUM(OSRRefH22_11x_0)</f>
        <v>1290</v>
      </c>
      <c r="I66" s="1"/>
      <c r="J66" s="5">
        <f t="shared" si="29"/>
        <v>2.779202088925849E-3</v>
      </c>
      <c r="K66" s="1"/>
      <c r="L66" s="1">
        <f t="shared" si="30"/>
        <v>-1213.05</v>
      </c>
      <c r="M66" s="1"/>
      <c r="N66" s="5">
        <f t="shared" si="31"/>
        <v>-0.94034883720930229</v>
      </c>
      <c r="O66" s="13"/>
      <c r="P66" s="1">
        <f>SUM(OSRRefP22_11x_0)</f>
        <v>9393.09</v>
      </c>
      <c r="Q66" s="1"/>
      <c r="R66" s="5">
        <f t="shared" si="32"/>
        <v>2.775372261520069E-3</v>
      </c>
      <c r="S66" s="1"/>
      <c r="T66" s="1">
        <f>SUM(OSRRefT22_11x_0)</f>
        <v>11610</v>
      </c>
      <c r="U66" s="1"/>
      <c r="V66" s="5">
        <f t="shared" si="33"/>
        <v>3.3715010875341577E-3</v>
      </c>
      <c r="W66" s="1"/>
      <c r="X66" s="1">
        <f t="shared" si="34"/>
        <v>-2216.91</v>
      </c>
      <c r="Y66" s="1"/>
      <c r="Z66" s="5">
        <f t="shared" si="35"/>
        <v>-0.19094832041343668</v>
      </c>
    </row>
    <row r="67" spans="1:26" s="24" customFormat="1" hidden="1" outlineLevel="2" x14ac:dyDescent="0.25">
      <c r="A67" s="25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28"/>
        <v>0</v>
      </c>
      <c r="G67" s="2"/>
      <c r="H67" s="6">
        <v>1000</v>
      </c>
      <c r="I67" s="2"/>
      <c r="J67" s="7">
        <f t="shared" si="29"/>
        <v>2.1544202239735266E-3</v>
      </c>
      <c r="K67" s="2"/>
      <c r="L67" s="6">
        <f t="shared" si="30"/>
        <v>-1000</v>
      </c>
      <c r="M67" s="2"/>
      <c r="N67" s="7">
        <f t="shared" si="31"/>
        <v>-1</v>
      </c>
      <c r="O67" s="11"/>
      <c r="P67" s="6">
        <v>8238.75</v>
      </c>
      <c r="Q67" s="2"/>
      <c r="R67" s="7">
        <f t="shared" si="32"/>
        <v>2.4342999183014822E-3</v>
      </c>
      <c r="S67" s="2"/>
      <c r="T67" s="6">
        <v>9000</v>
      </c>
      <c r="U67" s="2"/>
      <c r="V67" s="7">
        <f t="shared" si="33"/>
        <v>2.6135667345226028E-3</v>
      </c>
      <c r="W67" s="2"/>
      <c r="X67" s="6">
        <f t="shared" si="34"/>
        <v>-761.25</v>
      </c>
      <c r="Y67" s="2"/>
      <c r="Z67" s="7">
        <f t="shared" si="35"/>
        <v>-8.458333333333333E-2</v>
      </c>
    </row>
    <row r="68" spans="1:26" s="24" customFormat="1" hidden="1" outlineLevel="2" x14ac:dyDescent="0.25">
      <c r="A68" s="25"/>
      <c r="B68" s="11" t="str">
        <f>CONCATENATE("          ", "6373", " - ", "MAINTENANCE CONTRACTS")</f>
        <v xml:space="preserve">          6373 - MAINTENANCE CONTRACTS</v>
      </c>
      <c r="C68" s="11"/>
      <c r="D68" s="6">
        <v>76.95</v>
      </c>
      <c r="E68" s="2"/>
      <c r="F68" s="7">
        <f t="shared" si="28"/>
        <v>2.0802429875198126E-4</v>
      </c>
      <c r="G68" s="2"/>
      <c r="H68" s="6">
        <v>30</v>
      </c>
      <c r="I68" s="2"/>
      <c r="J68" s="7">
        <f t="shared" si="29"/>
        <v>6.4632606719205801E-5</v>
      </c>
      <c r="K68" s="2"/>
      <c r="L68" s="6">
        <f t="shared" si="30"/>
        <v>46.95</v>
      </c>
      <c r="M68" s="2"/>
      <c r="N68" s="7">
        <f t="shared" si="31"/>
        <v>1.5650000000000002</v>
      </c>
      <c r="O68" s="11"/>
      <c r="P68" s="6">
        <v>296.93</v>
      </c>
      <c r="Q68" s="2"/>
      <c r="R68" s="7">
        <f t="shared" si="32"/>
        <v>8.7733779364740911E-5</v>
      </c>
      <c r="S68" s="2"/>
      <c r="T68" s="6">
        <v>270</v>
      </c>
      <c r="U68" s="2"/>
      <c r="V68" s="7">
        <f t="shared" si="33"/>
        <v>7.8407002035678087E-5</v>
      </c>
      <c r="W68" s="2"/>
      <c r="X68" s="6">
        <f t="shared" si="34"/>
        <v>26.930000000000007</v>
      </c>
      <c r="Y68" s="2"/>
      <c r="Z68" s="7">
        <f t="shared" si="35"/>
        <v>9.9740740740740769E-2</v>
      </c>
    </row>
    <row r="69" spans="1:26" s="24" customFormat="1" hidden="1" outlineLevel="2" x14ac:dyDescent="0.25">
      <c r="A69" s="25"/>
      <c r="B69" s="11" t="str">
        <f>CONCATENATE("          ", "6375", " - ", "OUTSIDE REPAIRS &amp; MAINTENANCE")</f>
        <v xml:space="preserve">          6375 - OUTSIDE REPAIRS &amp; MAINTENANCE</v>
      </c>
      <c r="C69" s="11"/>
      <c r="D69" s="6"/>
      <c r="E69" s="2"/>
      <c r="F69" s="7">
        <f t="shared" si="28"/>
        <v>0</v>
      </c>
      <c r="G69" s="2"/>
      <c r="H69" s="6">
        <v>260</v>
      </c>
      <c r="I69" s="2"/>
      <c r="J69" s="7">
        <f t="shared" si="29"/>
        <v>5.6014925823311688E-4</v>
      </c>
      <c r="K69" s="2"/>
      <c r="L69" s="6">
        <f t="shared" si="30"/>
        <v>-260</v>
      </c>
      <c r="M69" s="2"/>
      <c r="N69" s="7">
        <f t="shared" si="31"/>
        <v>-1</v>
      </c>
      <c r="O69" s="11"/>
      <c r="P69" s="6">
        <v>857.41</v>
      </c>
      <c r="Q69" s="2"/>
      <c r="R69" s="7">
        <f t="shared" si="32"/>
        <v>2.5333856385384603E-4</v>
      </c>
      <c r="S69" s="2"/>
      <c r="T69" s="6">
        <v>2340</v>
      </c>
      <c r="U69" s="2"/>
      <c r="V69" s="7">
        <f t="shared" si="33"/>
        <v>6.7952735097587681E-4</v>
      </c>
      <c r="W69" s="2"/>
      <c r="X69" s="6">
        <f t="shared" si="34"/>
        <v>-1482.5900000000001</v>
      </c>
      <c r="Y69" s="2"/>
      <c r="Z69" s="7">
        <f t="shared" si="35"/>
        <v>-0.63358547008547017</v>
      </c>
    </row>
    <row r="70" spans="1:26" s="27" customFormat="1" outlineLevel="1" collapsed="1" x14ac:dyDescent="0.25">
      <c r="A70" s="26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SUM(OSRRefD22_12x_0)</f>
        <v>6592.59</v>
      </c>
      <c r="E70" s="1"/>
      <c r="F70" s="5">
        <f t="shared" ref="F70:F74" si="36">IF(D$12=0,0,D70/D$12)</f>
        <v>1.7822208079393425E-2</v>
      </c>
      <c r="G70" s="1"/>
      <c r="H70" s="1">
        <f>SUM(OSRRefH22_12x_0)</f>
        <v>6225</v>
      </c>
      <c r="I70" s="1"/>
      <c r="J70" s="5">
        <f t="shared" ref="J70:J74" si="37">IF(H$12=0,0,H70/H$12)</f>
        <v>1.3411265894235202E-2</v>
      </c>
      <c r="K70" s="1"/>
      <c r="L70" s="1">
        <f t="shared" ref="L70:L74" si="38">+D70-H70</f>
        <v>367.59000000000015</v>
      </c>
      <c r="M70" s="1"/>
      <c r="N70" s="5">
        <f t="shared" ref="N70:N74" si="39">IF(H70=0,0,L70/H70)</f>
        <v>5.9050602409638581E-2</v>
      </c>
      <c r="O70" s="13"/>
      <c r="P70" s="1">
        <f>SUM(OSRRefP22_12x_0)</f>
        <v>55540.79</v>
      </c>
      <c r="Q70" s="1"/>
      <c r="R70" s="5">
        <f t="shared" ref="R70:R74" si="40">IF(P$12=0,0,P70/P$12)</f>
        <v>1.6410613328405373E-2</v>
      </c>
      <c r="S70" s="1"/>
      <c r="T70" s="1">
        <f>SUM(OSRRefT22_12x_0)</f>
        <v>62157</v>
      </c>
      <c r="U70" s="1"/>
      <c r="V70" s="5">
        <f t="shared" ref="V70:V74" si="41">IF(T$12=0,0,T70/T$12)</f>
        <v>1.8050163057524604E-2</v>
      </c>
      <c r="W70" s="1"/>
      <c r="X70" s="1">
        <f t="shared" ref="X70:X74" si="42">+P70-T70</f>
        <v>-6616.2099999999991</v>
      </c>
      <c r="Y70" s="1"/>
      <c r="Z70" s="5">
        <f t="shared" ref="Z70:Z74" si="43">IF(T70=0,0,X70/T70)</f>
        <v>-0.10644352204900492</v>
      </c>
    </row>
    <row r="71" spans="1:26" s="24" customFormat="1" hidden="1" outlineLevel="2" x14ac:dyDescent="0.25">
      <c r="A71" s="25"/>
      <c r="B71" s="11" t="str">
        <f>CONCATENATE("          ", "6282", " - ", "JANITORIAL/EXTERMINATOR EXPENS")</f>
        <v xml:space="preserve">          6282 - JANITORIAL/EXTERMINATOR EXPENS</v>
      </c>
      <c r="C71" s="11"/>
      <c r="D71" s="6">
        <v>421.34</v>
      </c>
      <c r="E71" s="2"/>
      <c r="F71" s="7">
        <f t="shared" si="36"/>
        <v>1.139037791243142E-3</v>
      </c>
      <c r="G71" s="2"/>
      <c r="H71" s="6">
        <v>430</v>
      </c>
      <c r="I71" s="2"/>
      <c r="J71" s="7">
        <f t="shared" si="37"/>
        <v>9.2640069630861642E-4</v>
      </c>
      <c r="K71" s="2"/>
      <c r="L71" s="6">
        <f t="shared" si="38"/>
        <v>-8.660000000000025</v>
      </c>
      <c r="M71" s="2"/>
      <c r="N71" s="7">
        <f t="shared" si="39"/>
        <v>-2.0139534883720989E-2</v>
      </c>
      <c r="O71" s="11"/>
      <c r="P71" s="6">
        <v>4213.3999999999996</v>
      </c>
      <c r="Q71" s="2"/>
      <c r="R71" s="7">
        <f t="shared" si="40"/>
        <v>1.2449314854524611E-3</v>
      </c>
      <c r="S71" s="2"/>
      <c r="T71" s="6">
        <v>3870</v>
      </c>
      <c r="U71" s="2"/>
      <c r="V71" s="7">
        <f t="shared" si="41"/>
        <v>1.1238336958447194E-3</v>
      </c>
      <c r="W71" s="2"/>
      <c r="X71" s="6">
        <f t="shared" si="42"/>
        <v>343.39999999999964</v>
      </c>
      <c r="Y71" s="2"/>
      <c r="Z71" s="7">
        <f t="shared" si="43"/>
        <v>8.8733850129198877E-2</v>
      </c>
    </row>
    <row r="72" spans="1:26" s="24" customFormat="1" hidden="1" outlineLevel="2" x14ac:dyDescent="0.25">
      <c r="A72" s="25"/>
      <c r="B72" s="11" t="str">
        <f>CONCATENATE("          ", "6284", " - ", "TRASH REMOVAL EXPENSE")</f>
        <v xml:space="preserve">          6284 - TRASH REMOVAL EXPENSE</v>
      </c>
      <c r="C72" s="11"/>
      <c r="D72" s="6"/>
      <c r="E72" s="2"/>
      <c r="F72" s="7">
        <f t="shared" si="36"/>
        <v>0</v>
      </c>
      <c r="G72" s="2"/>
      <c r="H72" s="6"/>
      <c r="I72" s="2"/>
      <c r="J72" s="7">
        <f t="shared" si="37"/>
        <v>0</v>
      </c>
      <c r="K72" s="2"/>
      <c r="L72" s="6">
        <f t="shared" si="38"/>
        <v>0</v>
      </c>
      <c r="M72" s="2"/>
      <c r="N72" s="7">
        <f t="shared" si="39"/>
        <v>0</v>
      </c>
      <c r="O72" s="11"/>
      <c r="P72" s="6"/>
      <c r="Q72" s="2"/>
      <c r="R72" s="7">
        <f t="shared" si="40"/>
        <v>0</v>
      </c>
      <c r="S72" s="2"/>
      <c r="T72" s="6">
        <v>0</v>
      </c>
      <c r="U72" s="2"/>
      <c r="V72" s="7">
        <f t="shared" si="41"/>
        <v>0</v>
      </c>
      <c r="W72" s="2"/>
      <c r="X72" s="6">
        <f t="shared" si="42"/>
        <v>0</v>
      </c>
      <c r="Y72" s="2"/>
      <c r="Z72" s="7">
        <f t="shared" si="43"/>
        <v>0</v>
      </c>
    </row>
    <row r="73" spans="1:26" s="24" customFormat="1" hidden="1" outlineLevel="2" x14ac:dyDescent="0.25">
      <c r="A73" s="25"/>
      <c r="B73" s="11" t="str">
        <f>CONCATENATE("          ", "6285", " - ", "JANITORIAL SERVICES")</f>
        <v xml:space="preserve">          6285 - JANITORIAL SERVICES</v>
      </c>
      <c r="C73" s="11"/>
      <c r="D73" s="6">
        <v>5270.8</v>
      </c>
      <c r="E73" s="2"/>
      <c r="F73" s="7">
        <f t="shared" si="36"/>
        <v>1.4248921037842012E-2</v>
      </c>
      <c r="G73" s="2"/>
      <c r="H73" s="6">
        <v>4195</v>
      </c>
      <c r="I73" s="2"/>
      <c r="J73" s="7">
        <f t="shared" si="37"/>
        <v>9.0377928395689432E-3</v>
      </c>
      <c r="K73" s="2"/>
      <c r="L73" s="6">
        <f t="shared" si="38"/>
        <v>1075.8000000000002</v>
      </c>
      <c r="M73" s="2"/>
      <c r="N73" s="7">
        <f t="shared" si="39"/>
        <v>0.25644815256257453</v>
      </c>
      <c r="O73" s="11"/>
      <c r="P73" s="6">
        <v>39813.519999999997</v>
      </c>
      <c r="Q73" s="2"/>
      <c r="R73" s="7">
        <f t="shared" si="40"/>
        <v>1.1763683627163637E-2</v>
      </c>
      <c r="S73" s="2"/>
      <c r="T73" s="6">
        <v>43887</v>
      </c>
      <c r="U73" s="2"/>
      <c r="V73" s="7">
        <f t="shared" si="41"/>
        <v>1.2744622586443721E-2</v>
      </c>
      <c r="W73" s="2"/>
      <c r="X73" s="6">
        <f t="shared" si="42"/>
        <v>-4073.4800000000032</v>
      </c>
      <c r="Y73" s="2"/>
      <c r="Z73" s="7">
        <f t="shared" si="43"/>
        <v>-9.2817463030054531E-2</v>
      </c>
    </row>
    <row r="74" spans="1:26" s="24" customFormat="1" hidden="1" outlineLevel="2" x14ac:dyDescent="0.25">
      <c r="A74" s="25"/>
      <c r="B74" s="11" t="str">
        <f>CONCATENATE("          ", "6286", " - ", "LAUNDRY EXPENSE")</f>
        <v xml:space="preserve">          6286 - LAUNDRY EXPENSE</v>
      </c>
      <c r="C74" s="11"/>
      <c r="D74" s="6">
        <v>900.45</v>
      </c>
      <c r="E74" s="2"/>
      <c r="F74" s="7">
        <f t="shared" si="36"/>
        <v>2.4342492503082718E-3</v>
      </c>
      <c r="G74" s="2"/>
      <c r="H74" s="6">
        <v>1600</v>
      </c>
      <c r="I74" s="2"/>
      <c r="J74" s="7">
        <f t="shared" si="37"/>
        <v>3.4470723583576424E-3</v>
      </c>
      <c r="K74" s="2"/>
      <c r="L74" s="6">
        <f t="shared" si="38"/>
        <v>-699.55</v>
      </c>
      <c r="M74" s="2"/>
      <c r="N74" s="7">
        <f t="shared" si="39"/>
        <v>-0.43721874999999999</v>
      </c>
      <c r="O74" s="11"/>
      <c r="P74" s="6">
        <v>11513.87</v>
      </c>
      <c r="Q74" s="2"/>
      <c r="R74" s="7">
        <f t="shared" si="40"/>
        <v>3.4019982157892752E-3</v>
      </c>
      <c r="S74" s="2"/>
      <c r="T74" s="6">
        <v>14400</v>
      </c>
      <c r="U74" s="2"/>
      <c r="V74" s="7">
        <f t="shared" si="41"/>
        <v>4.1817067752361646E-3</v>
      </c>
      <c r="W74" s="2"/>
      <c r="X74" s="6">
        <f t="shared" si="42"/>
        <v>-2886.1299999999992</v>
      </c>
      <c r="Y74" s="2"/>
      <c r="Z74" s="7">
        <f t="shared" si="43"/>
        <v>-0.20042569444444439</v>
      </c>
    </row>
    <row r="75" spans="1:26" s="27" customFormat="1" outlineLevel="1" collapsed="1" x14ac:dyDescent="0.25">
      <c r="A75" s="26"/>
      <c r="B75" s="13" t="str">
        <f>CONCATENATE("     ","Supplies                                          ")</f>
        <v xml:space="preserve">     Supplies                                          </v>
      </c>
      <c r="C75" s="13"/>
      <c r="D75" s="1">
        <f>SUM(OSRRefD22_13x_0)</f>
        <v>5275.29</v>
      </c>
      <c r="E75" s="1"/>
      <c r="F75" s="5">
        <f t="shared" ref="F75:F83" si="44">IF(D$12=0,0,D75/D$12)</f>
        <v>1.4261059167814675E-2</v>
      </c>
      <c r="G75" s="1"/>
      <c r="H75" s="1">
        <f>SUM(OSRRefH22_13x_0)</f>
        <v>10880</v>
      </c>
      <c r="I75" s="1"/>
      <c r="J75" s="5">
        <f t="shared" ref="J75:J83" si="45">IF(H$12=0,0,H75/H$12)</f>
        <v>2.3440092036831967E-2</v>
      </c>
      <c r="K75" s="1"/>
      <c r="L75" s="1">
        <f t="shared" ref="L75:L83" si="46">+D75-H75</f>
        <v>-5604.71</v>
      </c>
      <c r="M75" s="1"/>
      <c r="N75" s="5">
        <f t="shared" ref="N75:N83" si="47">IF(H75=0,0,L75/H75)</f>
        <v>-0.51513878676470592</v>
      </c>
      <c r="O75" s="13"/>
      <c r="P75" s="1">
        <f>SUM(OSRRefP22_13x_0)</f>
        <v>77045.25999999998</v>
      </c>
      <c r="Q75" s="1"/>
      <c r="R75" s="5">
        <f t="shared" ref="R75:R83" si="48">IF(P$12=0,0,P75/P$12)</f>
        <v>2.2764529828374014E-2</v>
      </c>
      <c r="S75" s="1"/>
      <c r="T75" s="1">
        <f>SUM(OSRRefT22_13x_0)</f>
        <v>87920</v>
      </c>
      <c r="U75" s="1"/>
      <c r="V75" s="5">
        <f t="shared" ref="V75:V83" si="49">IF(T$12=0,0,T75/T$12)</f>
        <v>2.5531643033247474E-2</v>
      </c>
      <c r="W75" s="1"/>
      <c r="X75" s="1">
        <f t="shared" ref="X75:X83" si="50">+P75-T75</f>
        <v>-10874.74000000002</v>
      </c>
      <c r="Y75" s="1"/>
      <c r="Z75" s="5">
        <f t="shared" ref="Z75:Z83" si="51">IF(T75=0,0,X75/T75)</f>
        <v>-0.12368903548680642</v>
      </c>
    </row>
    <row r="76" spans="1:26" s="24" customFormat="1" hidden="1" outlineLevel="2" x14ac:dyDescent="0.25">
      <c r="A76" s="25"/>
      <c r="B76" s="11" t="str">
        <f>CONCATENATE("          ", "6234", " - ", "EXPENDABLE SUPPLIES &amp; EQUIPMEN")</f>
        <v xml:space="preserve">          6234 - EXPENDABLE SUPPLIES &amp; EQUIPMEN</v>
      </c>
      <c r="C76" s="11"/>
      <c r="D76" s="6"/>
      <c r="E76" s="2"/>
      <c r="F76" s="7">
        <f t="shared" si="44"/>
        <v>0</v>
      </c>
      <c r="G76" s="2"/>
      <c r="H76" s="6"/>
      <c r="I76" s="2"/>
      <c r="J76" s="7">
        <f t="shared" si="45"/>
        <v>0</v>
      </c>
      <c r="K76" s="2"/>
      <c r="L76" s="6">
        <f t="shared" si="46"/>
        <v>0</v>
      </c>
      <c r="M76" s="2"/>
      <c r="N76" s="7">
        <f t="shared" si="47"/>
        <v>0</v>
      </c>
      <c r="O76" s="11"/>
      <c r="P76" s="6">
        <v>118.34</v>
      </c>
      <c r="Q76" s="2"/>
      <c r="R76" s="7">
        <f t="shared" si="48"/>
        <v>3.4965868891736903E-5</v>
      </c>
      <c r="S76" s="2"/>
      <c r="T76" s="6"/>
      <c r="U76" s="2"/>
      <c r="V76" s="7">
        <f t="shared" si="49"/>
        <v>0</v>
      </c>
      <c r="W76" s="2"/>
      <c r="X76" s="6">
        <f t="shared" si="50"/>
        <v>118.34</v>
      </c>
      <c r="Y76" s="2"/>
      <c r="Z76" s="7">
        <f t="shared" si="51"/>
        <v>0</v>
      </c>
    </row>
    <row r="77" spans="1:26" s="24" customFormat="1" hidden="1" outlineLevel="2" x14ac:dyDescent="0.25">
      <c r="A77" s="25"/>
      <c r="B77" s="11" t="str">
        <f>CONCATENATE("          ", "6237", " - ", "JANITORIAL SUPPLIES")</f>
        <v xml:space="preserve">          6237 - JANITORIAL SUPPLIES</v>
      </c>
      <c r="C77" s="11"/>
      <c r="D77" s="6">
        <v>3606.17</v>
      </c>
      <c r="E77" s="2"/>
      <c r="F77" s="7">
        <f t="shared" si="44"/>
        <v>9.7488107268412245E-3</v>
      </c>
      <c r="G77" s="2"/>
      <c r="H77" s="6">
        <v>4000</v>
      </c>
      <c r="I77" s="2"/>
      <c r="J77" s="7">
        <f t="shared" si="45"/>
        <v>8.6176808958941063E-3</v>
      </c>
      <c r="K77" s="2"/>
      <c r="L77" s="6">
        <f t="shared" si="46"/>
        <v>-393.82999999999993</v>
      </c>
      <c r="M77" s="2"/>
      <c r="N77" s="7">
        <f t="shared" si="47"/>
        <v>-9.8457499999999976E-2</v>
      </c>
      <c r="O77" s="11"/>
      <c r="P77" s="6">
        <v>34490.579999999994</v>
      </c>
      <c r="Q77" s="2"/>
      <c r="R77" s="7">
        <f t="shared" si="48"/>
        <v>1.0190916835220236E-2</v>
      </c>
      <c r="S77" s="2"/>
      <c r="T77" s="6">
        <v>36000</v>
      </c>
      <c r="U77" s="2"/>
      <c r="V77" s="7">
        <f t="shared" si="49"/>
        <v>1.0454266938090411E-2</v>
      </c>
      <c r="W77" s="2"/>
      <c r="X77" s="6">
        <f t="shared" si="50"/>
        <v>-1509.4200000000055</v>
      </c>
      <c r="Y77" s="2"/>
      <c r="Z77" s="7">
        <f t="shared" si="51"/>
        <v>-4.1928333333333484E-2</v>
      </c>
    </row>
    <row r="78" spans="1:26" s="24" customFormat="1" hidden="1" outlineLevel="2" x14ac:dyDescent="0.25">
      <c r="A78" s="25"/>
      <c r="B78" s="11" t="str">
        <f>CONCATENATE("          ", "6239", " - ", "KITCHEN SUPPLIES")</f>
        <v xml:space="preserve">          6239 - KITCHEN SUPPLIES</v>
      </c>
      <c r="C78" s="11"/>
      <c r="D78" s="6">
        <v>19</v>
      </c>
      <c r="E78" s="2"/>
      <c r="F78" s="7">
        <f t="shared" si="44"/>
        <v>5.1364024383205251E-5</v>
      </c>
      <c r="G78" s="2"/>
      <c r="H78" s="6">
        <v>3000</v>
      </c>
      <c r="I78" s="2"/>
      <c r="J78" s="7">
        <f t="shared" si="45"/>
        <v>6.4632606719205793E-3</v>
      </c>
      <c r="K78" s="2"/>
      <c r="L78" s="6">
        <f t="shared" si="46"/>
        <v>-2981</v>
      </c>
      <c r="M78" s="2"/>
      <c r="N78" s="7">
        <f t="shared" si="47"/>
        <v>-0.9936666666666667</v>
      </c>
      <c r="O78" s="11"/>
      <c r="P78" s="6">
        <v>16573.400000000001</v>
      </c>
      <c r="Q78" s="2"/>
      <c r="R78" s="7">
        <f t="shared" si="48"/>
        <v>4.8969353683480854E-3</v>
      </c>
      <c r="S78" s="2"/>
      <c r="T78" s="6">
        <v>17000</v>
      </c>
      <c r="U78" s="2"/>
      <c r="V78" s="7">
        <f t="shared" si="49"/>
        <v>4.936737165209361E-3</v>
      </c>
      <c r="W78" s="2"/>
      <c r="X78" s="6">
        <f t="shared" si="50"/>
        <v>-426.59999999999854</v>
      </c>
      <c r="Y78" s="2"/>
      <c r="Z78" s="7">
        <f t="shared" si="51"/>
        <v>-2.5094117647058739E-2</v>
      </c>
    </row>
    <row r="79" spans="1:26" s="24" customFormat="1" hidden="1" outlineLevel="2" x14ac:dyDescent="0.25">
      <c r="A79" s="25"/>
      <c r="B79" s="11" t="str">
        <f>CONCATENATE("          ", "6241", " - ", "OFFICE EXPENSE")</f>
        <v xml:space="preserve">          6241 - OFFICE EXPENSE</v>
      </c>
      <c r="C79" s="11"/>
      <c r="D79" s="6">
        <v>195.05</v>
      </c>
      <c r="E79" s="2"/>
      <c r="F79" s="7">
        <f t="shared" si="44"/>
        <v>5.272922608391676E-4</v>
      </c>
      <c r="G79" s="2"/>
      <c r="H79" s="6">
        <v>305</v>
      </c>
      <c r="I79" s="2"/>
      <c r="J79" s="7">
        <f t="shared" si="45"/>
        <v>6.5709816831192554E-4</v>
      </c>
      <c r="K79" s="2"/>
      <c r="L79" s="6">
        <f t="shared" si="46"/>
        <v>-109.94999999999999</v>
      </c>
      <c r="M79" s="2"/>
      <c r="N79" s="7">
        <f t="shared" si="47"/>
        <v>-0.36049180327868846</v>
      </c>
      <c r="O79" s="11"/>
      <c r="P79" s="6">
        <v>3279.53</v>
      </c>
      <c r="Q79" s="2"/>
      <c r="R79" s="7">
        <f t="shared" si="48"/>
        <v>9.6900131829067034E-4</v>
      </c>
      <c r="S79" s="2"/>
      <c r="T79" s="6">
        <v>2745</v>
      </c>
      <c r="U79" s="2"/>
      <c r="V79" s="7">
        <f t="shared" si="49"/>
        <v>7.9713785402939392E-4</v>
      </c>
      <c r="W79" s="2"/>
      <c r="X79" s="6">
        <f t="shared" si="50"/>
        <v>534.5300000000002</v>
      </c>
      <c r="Y79" s="2"/>
      <c r="Z79" s="7">
        <f t="shared" si="51"/>
        <v>0.194728597449909</v>
      </c>
    </row>
    <row r="80" spans="1:26" s="24" customFormat="1" hidden="1" outlineLevel="2" x14ac:dyDescent="0.25">
      <c r="A80" s="25"/>
      <c r="B80" s="11" t="str">
        <f>CONCATENATE("          ", "6243", " - ", "PAPER SUPPLIES")</f>
        <v xml:space="preserve">          6243 - PAPER SUPPLIES</v>
      </c>
      <c r="C80" s="11"/>
      <c r="D80" s="6">
        <v>1455.07</v>
      </c>
      <c r="E80" s="2"/>
      <c r="F80" s="7">
        <f t="shared" si="44"/>
        <v>3.9335921557510766E-3</v>
      </c>
      <c r="G80" s="2"/>
      <c r="H80" s="6">
        <v>3200</v>
      </c>
      <c r="I80" s="2"/>
      <c r="J80" s="7">
        <f t="shared" si="45"/>
        <v>6.8941447167152848E-3</v>
      </c>
      <c r="K80" s="2"/>
      <c r="L80" s="6">
        <f t="shared" si="46"/>
        <v>-1744.93</v>
      </c>
      <c r="M80" s="2"/>
      <c r="N80" s="7">
        <f t="shared" si="47"/>
        <v>-0.54529062500000003</v>
      </c>
      <c r="O80" s="11"/>
      <c r="P80" s="6">
        <v>19420.62</v>
      </c>
      <c r="Q80" s="2"/>
      <c r="R80" s="7">
        <f t="shared" si="48"/>
        <v>5.738202236912654E-3</v>
      </c>
      <c r="S80" s="2"/>
      <c r="T80" s="6">
        <v>28800</v>
      </c>
      <c r="U80" s="2"/>
      <c r="V80" s="7">
        <f t="shared" si="49"/>
        <v>8.3634135504723293E-3</v>
      </c>
      <c r="W80" s="2"/>
      <c r="X80" s="6">
        <f t="shared" si="50"/>
        <v>-9379.380000000001</v>
      </c>
      <c r="Y80" s="2"/>
      <c r="Z80" s="7">
        <f t="shared" si="51"/>
        <v>-0.3256729166666667</v>
      </c>
    </row>
    <row r="81" spans="1:26" s="24" customFormat="1" hidden="1" outlineLevel="2" x14ac:dyDescent="0.25">
      <c r="A81" s="25"/>
      <c r="B81" s="11" t="str">
        <f>CONCATENATE("          ", "6245", " - ", "PRINTING")</f>
        <v xml:space="preserve">          6245 - PRINTING</v>
      </c>
      <c r="C81" s="11"/>
      <c r="D81" s="6"/>
      <c r="E81" s="2"/>
      <c r="F81" s="7">
        <f t="shared" si="44"/>
        <v>0</v>
      </c>
      <c r="G81" s="2"/>
      <c r="H81" s="6"/>
      <c r="I81" s="2"/>
      <c r="J81" s="7">
        <f t="shared" si="45"/>
        <v>0</v>
      </c>
      <c r="K81" s="2"/>
      <c r="L81" s="6">
        <f t="shared" si="46"/>
        <v>0</v>
      </c>
      <c r="M81" s="2"/>
      <c r="N81" s="7">
        <f t="shared" si="47"/>
        <v>0</v>
      </c>
      <c r="O81" s="11"/>
      <c r="P81" s="6">
        <v>441</v>
      </c>
      <c r="Q81" s="2"/>
      <c r="R81" s="7">
        <f t="shared" si="48"/>
        <v>1.3030208028778074E-4</v>
      </c>
      <c r="S81" s="2"/>
      <c r="T81" s="6"/>
      <c r="U81" s="2"/>
      <c r="V81" s="7">
        <f t="shared" si="49"/>
        <v>0</v>
      </c>
      <c r="W81" s="2"/>
      <c r="X81" s="6">
        <f t="shared" si="50"/>
        <v>441</v>
      </c>
      <c r="Y81" s="2"/>
      <c r="Z81" s="7">
        <f t="shared" si="51"/>
        <v>0</v>
      </c>
    </row>
    <row r="82" spans="1:26" s="24" customFormat="1" hidden="1" outlineLevel="2" x14ac:dyDescent="0.25">
      <c r="A82" s="25"/>
      <c r="B82" s="11" t="str">
        <f>CONCATENATE("          ", "6247", " - ", "STORE SUPPLIES")</f>
        <v xml:space="preserve">          6247 - STORE SUPPLIES</v>
      </c>
      <c r="C82" s="11"/>
      <c r="D82" s="6"/>
      <c r="E82" s="2"/>
      <c r="F82" s="7">
        <f t="shared" si="44"/>
        <v>0</v>
      </c>
      <c r="G82" s="2"/>
      <c r="H82" s="6"/>
      <c r="I82" s="2"/>
      <c r="J82" s="7">
        <f t="shared" si="45"/>
        <v>0</v>
      </c>
      <c r="K82" s="2"/>
      <c r="L82" s="6">
        <f t="shared" si="46"/>
        <v>0</v>
      </c>
      <c r="M82" s="2"/>
      <c r="N82" s="7">
        <f t="shared" si="47"/>
        <v>0</v>
      </c>
      <c r="O82" s="11"/>
      <c r="P82" s="6">
        <v>153.87</v>
      </c>
      <c r="Q82" s="2"/>
      <c r="R82" s="7">
        <f t="shared" si="48"/>
        <v>4.5463902707212753E-5</v>
      </c>
      <c r="S82" s="2"/>
      <c r="T82" s="6"/>
      <c r="U82" s="2"/>
      <c r="V82" s="7">
        <f t="shared" si="49"/>
        <v>0</v>
      </c>
      <c r="W82" s="2"/>
      <c r="X82" s="6">
        <f t="shared" si="50"/>
        <v>153.87</v>
      </c>
      <c r="Y82" s="2"/>
      <c r="Z82" s="7">
        <f t="shared" si="51"/>
        <v>0</v>
      </c>
    </row>
    <row r="83" spans="1:26" s="24" customFormat="1" hidden="1" outlineLevel="2" x14ac:dyDescent="0.25">
      <c r="A83" s="25"/>
      <c r="B83" s="11" t="str">
        <f>CONCATENATE("          ", "6248", " - ", "UNIFORMS")</f>
        <v xml:space="preserve">          6248 - UNIFORMS</v>
      </c>
      <c r="C83" s="11"/>
      <c r="D83" s="6"/>
      <c r="E83" s="2"/>
      <c r="F83" s="7">
        <f t="shared" si="44"/>
        <v>0</v>
      </c>
      <c r="G83" s="2"/>
      <c r="H83" s="6">
        <v>375</v>
      </c>
      <c r="I83" s="2"/>
      <c r="J83" s="7">
        <f t="shared" si="45"/>
        <v>8.0790758399007241E-4</v>
      </c>
      <c r="K83" s="2"/>
      <c r="L83" s="6">
        <f t="shared" si="46"/>
        <v>-375</v>
      </c>
      <c r="M83" s="2"/>
      <c r="N83" s="7">
        <f t="shared" si="47"/>
        <v>-1</v>
      </c>
      <c r="O83" s="11"/>
      <c r="P83" s="6">
        <v>2567.92</v>
      </c>
      <c r="Q83" s="2"/>
      <c r="R83" s="7">
        <f t="shared" si="48"/>
        <v>7.587422177156416E-4</v>
      </c>
      <c r="S83" s="2"/>
      <c r="T83" s="6">
        <v>3375</v>
      </c>
      <c r="U83" s="2"/>
      <c r="V83" s="7">
        <f t="shared" si="49"/>
        <v>9.8008752544597615E-4</v>
      </c>
      <c r="W83" s="2"/>
      <c r="X83" s="6">
        <f t="shared" si="50"/>
        <v>-807.07999999999993</v>
      </c>
      <c r="Y83" s="2"/>
      <c r="Z83" s="7">
        <f t="shared" si="51"/>
        <v>-0.2391348148148148</v>
      </c>
    </row>
    <row r="84" spans="1:26" s="27" customFormat="1" outlineLevel="1" collapsed="1" x14ac:dyDescent="0.25">
      <c r="A84" s="26"/>
      <c r="B84" s="13" t="str">
        <f>CONCATENATE("     ","Telephone/Data Lines                              ")</f>
        <v xml:space="preserve">     Telephone/Data Lines                              </v>
      </c>
      <c r="C84" s="13"/>
      <c r="D84" s="1">
        <f>SUM(OSRRefD22_14x_0)</f>
        <v>269.45</v>
      </c>
      <c r="E84" s="1"/>
      <c r="F84" s="5">
        <f t="shared" ref="F84:F89" si="52">IF(D$12=0,0,D84/D$12)</f>
        <v>7.2842296684498173E-4</v>
      </c>
      <c r="G84" s="1"/>
      <c r="H84" s="1">
        <f>SUM(OSRRefH22_14x_0)</f>
        <v>275</v>
      </c>
      <c r="I84" s="1"/>
      <c r="J84" s="5">
        <f t="shared" ref="J84:J89" si="53">IF(H$12=0,0,H84/H$12)</f>
        <v>5.9246556159271973E-4</v>
      </c>
      <c r="K84" s="1"/>
      <c r="L84" s="1">
        <f t="shared" ref="L84:L89" si="54">+D84-H84</f>
        <v>-5.5500000000000114</v>
      </c>
      <c r="M84" s="1"/>
      <c r="N84" s="5">
        <f t="shared" ref="N84:N89" si="55">IF(H84=0,0,L84/H84)</f>
        <v>-2.0181818181818224E-2</v>
      </c>
      <c r="O84" s="13"/>
      <c r="P84" s="1">
        <f>SUM(OSRRefP22_14x_0)</f>
        <v>2758.65</v>
      </c>
      <c r="Q84" s="1"/>
      <c r="R84" s="5">
        <f t="shared" ref="R84:R89" si="56">IF(P$12=0,0,P84/P$12)</f>
        <v>8.1509712876618227E-4</v>
      </c>
      <c r="S84" s="1"/>
      <c r="T84" s="1">
        <f>SUM(OSRRefT22_14x_0)</f>
        <v>2475</v>
      </c>
      <c r="U84" s="1"/>
      <c r="V84" s="5">
        <f t="shared" ref="V84:V89" si="57">IF(T$12=0,0,T84/T$12)</f>
        <v>7.1873085199371581E-4</v>
      </c>
      <c r="W84" s="1"/>
      <c r="X84" s="1">
        <f t="shared" ref="X84:X89" si="58">+P84-T84</f>
        <v>283.65000000000009</v>
      </c>
      <c r="Y84" s="1"/>
      <c r="Z84" s="5">
        <f t="shared" ref="Z84:Z89" si="59">IF(T84=0,0,X84/T84)</f>
        <v>0.11460606060606064</v>
      </c>
    </row>
    <row r="85" spans="1:26" s="24" customFormat="1" hidden="1" outlineLevel="2" x14ac:dyDescent="0.25">
      <c r="A85" s="25"/>
      <c r="B85" s="11" t="str">
        <f>CONCATENATE("          ", "6309", " - ", "TELEPHONE")</f>
        <v xml:space="preserve">          6309 - TELEPHONE</v>
      </c>
      <c r="C85" s="11"/>
      <c r="D85" s="6">
        <v>269.45</v>
      </c>
      <c r="E85" s="2"/>
      <c r="F85" s="7">
        <f t="shared" si="52"/>
        <v>7.2842296684498173E-4</v>
      </c>
      <c r="G85" s="2"/>
      <c r="H85" s="6">
        <v>275</v>
      </c>
      <c r="I85" s="2"/>
      <c r="J85" s="7">
        <f t="shared" si="53"/>
        <v>5.9246556159271973E-4</v>
      </c>
      <c r="K85" s="2"/>
      <c r="L85" s="6">
        <f t="shared" si="54"/>
        <v>-5.5500000000000114</v>
      </c>
      <c r="M85" s="2"/>
      <c r="N85" s="7">
        <f t="shared" si="55"/>
        <v>-2.0181818181818224E-2</v>
      </c>
      <c r="O85" s="11"/>
      <c r="P85" s="6">
        <v>2758.65</v>
      </c>
      <c r="Q85" s="2"/>
      <c r="R85" s="7">
        <f t="shared" si="56"/>
        <v>8.1509712876618227E-4</v>
      </c>
      <c r="S85" s="2"/>
      <c r="T85" s="6">
        <v>2475</v>
      </c>
      <c r="U85" s="2"/>
      <c r="V85" s="7">
        <f t="shared" si="57"/>
        <v>7.1873085199371581E-4</v>
      </c>
      <c r="W85" s="2"/>
      <c r="X85" s="6">
        <f t="shared" si="58"/>
        <v>283.65000000000009</v>
      </c>
      <c r="Y85" s="2"/>
      <c r="Z85" s="7">
        <f t="shared" si="59"/>
        <v>0.11460606060606064</v>
      </c>
    </row>
    <row r="86" spans="1:26" s="27" customFormat="1" outlineLevel="1" collapsed="1" x14ac:dyDescent="0.25">
      <c r="A86" s="26"/>
      <c r="B86" s="13" t="str">
        <f>CONCATENATE("     ","Training                                          ")</f>
        <v xml:space="preserve">     Training                                          </v>
      </c>
      <c r="C86" s="13"/>
      <c r="D86" s="1">
        <f>SUM(OSRRefD22_15x_0)</f>
        <v>0</v>
      </c>
      <c r="E86" s="1"/>
      <c r="F86" s="5">
        <f t="shared" si="52"/>
        <v>0</v>
      </c>
      <c r="G86" s="1"/>
      <c r="H86" s="1">
        <f>SUM(OSRRefH22_15x_0)</f>
        <v>700</v>
      </c>
      <c r="I86" s="1"/>
      <c r="J86" s="5">
        <f t="shared" si="53"/>
        <v>1.5080941567814686E-3</v>
      </c>
      <c r="K86" s="1"/>
      <c r="L86" s="1">
        <f t="shared" si="54"/>
        <v>-700</v>
      </c>
      <c r="M86" s="1"/>
      <c r="N86" s="5">
        <f t="shared" si="55"/>
        <v>-1</v>
      </c>
      <c r="O86" s="13"/>
      <c r="P86" s="1">
        <f>SUM(OSRRefP22_15x_0)</f>
        <v>1112.43</v>
      </c>
      <c r="Q86" s="1"/>
      <c r="R86" s="5">
        <f t="shared" si="56"/>
        <v>3.2868921354770058E-4</v>
      </c>
      <c r="S86" s="1"/>
      <c r="T86" s="1">
        <f>SUM(OSRRefT22_15x_0)</f>
        <v>6300</v>
      </c>
      <c r="U86" s="1"/>
      <c r="V86" s="5">
        <f t="shared" si="57"/>
        <v>1.8294967141658221E-3</v>
      </c>
      <c r="W86" s="1"/>
      <c r="X86" s="1">
        <f t="shared" si="58"/>
        <v>-5187.57</v>
      </c>
      <c r="Y86" s="1"/>
      <c r="Z86" s="5">
        <f t="shared" si="59"/>
        <v>-0.82342380952380945</v>
      </c>
    </row>
    <row r="87" spans="1:26" s="24" customFormat="1" hidden="1" outlineLevel="2" x14ac:dyDescent="0.25">
      <c r="A87" s="25"/>
      <c r="B87" s="11" t="str">
        <f>CONCATENATE("          ", "6376", " - ", "TRAINING")</f>
        <v xml:space="preserve">          6376 - TRAINING</v>
      </c>
      <c r="C87" s="11"/>
      <c r="D87" s="6"/>
      <c r="E87" s="2"/>
      <c r="F87" s="7">
        <f t="shared" si="52"/>
        <v>0</v>
      </c>
      <c r="G87" s="2"/>
      <c r="H87" s="6">
        <v>700</v>
      </c>
      <c r="I87" s="2"/>
      <c r="J87" s="7">
        <f t="shared" si="53"/>
        <v>1.5080941567814686E-3</v>
      </c>
      <c r="K87" s="2"/>
      <c r="L87" s="6">
        <f t="shared" si="54"/>
        <v>-700</v>
      </c>
      <c r="M87" s="2"/>
      <c r="N87" s="7">
        <f t="shared" si="55"/>
        <v>-1</v>
      </c>
      <c r="O87" s="11"/>
      <c r="P87" s="6">
        <v>1112.43</v>
      </c>
      <c r="Q87" s="2"/>
      <c r="R87" s="7">
        <f t="shared" si="56"/>
        <v>3.2868921354770058E-4</v>
      </c>
      <c r="S87" s="2"/>
      <c r="T87" s="6">
        <v>6300</v>
      </c>
      <c r="U87" s="2"/>
      <c r="V87" s="7">
        <f t="shared" si="57"/>
        <v>1.8294967141658221E-3</v>
      </c>
      <c r="W87" s="2"/>
      <c r="X87" s="6">
        <f t="shared" si="58"/>
        <v>-5187.57</v>
      </c>
      <c r="Y87" s="2"/>
      <c r="Z87" s="7">
        <f t="shared" si="59"/>
        <v>-0.82342380952380945</v>
      </c>
    </row>
    <row r="88" spans="1:26" s="27" customFormat="1" outlineLevel="1" collapsed="1" x14ac:dyDescent="0.25">
      <c r="A88" s="26"/>
      <c r="B88" s="13" t="str">
        <f>CONCATENATE("     ","Travel                                            ")</f>
        <v xml:space="preserve">     Travel                                            </v>
      </c>
      <c r="C88" s="13"/>
      <c r="D88" s="1">
        <f>SUM(OSRRefD22_16x_0)</f>
        <v>0</v>
      </c>
      <c r="E88" s="1"/>
      <c r="F88" s="5">
        <f t="shared" si="52"/>
        <v>0</v>
      </c>
      <c r="G88" s="1"/>
      <c r="H88" s="1">
        <f>SUM(OSRRefH22_16x_0)</f>
        <v>0</v>
      </c>
      <c r="I88" s="1"/>
      <c r="J88" s="5">
        <f t="shared" si="53"/>
        <v>0</v>
      </c>
      <c r="K88" s="1"/>
      <c r="L88" s="1">
        <f t="shared" si="54"/>
        <v>0</v>
      </c>
      <c r="M88" s="1"/>
      <c r="N88" s="5">
        <f t="shared" si="55"/>
        <v>0</v>
      </c>
      <c r="O88" s="13"/>
      <c r="P88" s="1">
        <f>SUM(OSRRefP22_16x_0)</f>
        <v>59.14</v>
      </c>
      <c r="Q88" s="1"/>
      <c r="R88" s="5">
        <f t="shared" si="56"/>
        <v>1.7474070358774046E-5</v>
      </c>
      <c r="S88" s="1"/>
      <c r="T88" s="1">
        <f>SUM(OSRRefT22_16x_0)</f>
        <v>0</v>
      </c>
      <c r="U88" s="1"/>
      <c r="V88" s="5">
        <f t="shared" si="57"/>
        <v>0</v>
      </c>
      <c r="W88" s="1"/>
      <c r="X88" s="1">
        <f t="shared" si="58"/>
        <v>59.14</v>
      </c>
      <c r="Y88" s="1"/>
      <c r="Z88" s="5">
        <f t="shared" si="59"/>
        <v>0</v>
      </c>
    </row>
    <row r="89" spans="1:26" s="24" customFormat="1" hidden="1" outlineLevel="2" x14ac:dyDescent="0.25">
      <c r="A89" s="25"/>
      <c r="B89" s="11" t="str">
        <f>CONCATENATE("          ", "6292", " - ", "TRAVEL/CONFERENCE")</f>
        <v xml:space="preserve">          6292 - TRAVEL/CONFERENCE</v>
      </c>
      <c r="C89" s="11"/>
      <c r="D89" s="6"/>
      <c r="E89" s="2"/>
      <c r="F89" s="7">
        <f t="shared" si="52"/>
        <v>0</v>
      </c>
      <c r="G89" s="2"/>
      <c r="H89" s="6"/>
      <c r="I89" s="2"/>
      <c r="J89" s="7">
        <f t="shared" si="53"/>
        <v>0</v>
      </c>
      <c r="K89" s="2"/>
      <c r="L89" s="6">
        <f t="shared" si="54"/>
        <v>0</v>
      </c>
      <c r="M89" s="2"/>
      <c r="N89" s="7">
        <f t="shared" si="55"/>
        <v>0</v>
      </c>
      <c r="O89" s="11"/>
      <c r="P89" s="6">
        <v>59.14</v>
      </c>
      <c r="Q89" s="2"/>
      <c r="R89" s="7">
        <f t="shared" si="56"/>
        <v>1.7474070358774046E-5</v>
      </c>
      <c r="S89" s="2"/>
      <c r="T89" s="6"/>
      <c r="U89" s="2"/>
      <c r="V89" s="7">
        <f t="shared" si="57"/>
        <v>0</v>
      </c>
      <c r="W89" s="2"/>
      <c r="X89" s="6">
        <f t="shared" si="58"/>
        <v>59.14</v>
      </c>
      <c r="Y89" s="2"/>
      <c r="Z89" s="7">
        <f t="shared" si="59"/>
        <v>0</v>
      </c>
    </row>
    <row r="90" spans="1:26" s="56" customFormat="1" x14ac:dyDescent="0.25">
      <c r="A90" s="36"/>
      <c r="B90" s="36"/>
      <c r="C90" s="36"/>
      <c r="D90" s="1"/>
      <c r="E90" s="1"/>
      <c r="F90" s="5"/>
      <c r="G90" s="1"/>
      <c r="H90" s="1"/>
      <c r="I90" s="1"/>
      <c r="J90" s="5"/>
      <c r="K90" s="1"/>
      <c r="L90" s="1"/>
      <c r="M90" s="1"/>
      <c r="N90" s="5"/>
      <c r="O90" s="36"/>
      <c r="P90" s="1"/>
      <c r="Q90" s="1"/>
      <c r="R90" s="5"/>
      <c r="S90" s="1"/>
      <c r="T90" s="1"/>
      <c r="U90" s="1"/>
      <c r="V90" s="5"/>
      <c r="W90" s="1"/>
      <c r="X90" s="1"/>
      <c r="Y90" s="1"/>
      <c r="Z90" s="5"/>
    </row>
    <row r="91" spans="1:26" s="23" customFormat="1" x14ac:dyDescent="0.25">
      <c r="A91" s="10"/>
      <c r="B91" s="29" t="s">
        <v>0</v>
      </c>
      <c r="C91" s="10"/>
      <c r="D91" s="4">
        <f>SUM(0)</f>
        <v>0</v>
      </c>
      <c r="E91" s="4"/>
      <c r="F91" s="12">
        <f>IF(D$12=0,0,D91/D$12)</f>
        <v>0</v>
      </c>
      <c r="G91" s="4"/>
      <c r="H91" s="4">
        <f>SUM(0)</f>
        <v>0</v>
      </c>
      <c r="I91" s="4"/>
      <c r="J91" s="12">
        <f>IF(H$12=0,0,H91/H$12)</f>
        <v>0</v>
      </c>
      <c r="K91" s="4"/>
      <c r="L91" s="4">
        <f>+D91-H91</f>
        <v>0</v>
      </c>
      <c r="M91" s="4"/>
      <c r="N91" s="12">
        <f>IF(H91=0,0,L91/H91)</f>
        <v>0</v>
      </c>
      <c r="O91" s="10"/>
      <c r="P91" s="4">
        <f>SUM(0)</f>
        <v>0</v>
      </c>
      <c r="Q91" s="4"/>
      <c r="R91" s="12">
        <f>IF(P$12=0,0,P91/P$12)</f>
        <v>0</v>
      </c>
      <c r="S91" s="4"/>
      <c r="T91" s="4">
        <f>SUM(0)</f>
        <v>0</v>
      </c>
      <c r="U91" s="4"/>
      <c r="V91" s="12">
        <f>IF(T$12=0,0,T91/T$12)</f>
        <v>0</v>
      </c>
      <c r="W91" s="4"/>
      <c r="X91" s="4">
        <f>+P91-T91</f>
        <v>0</v>
      </c>
      <c r="Y91" s="4"/>
      <c r="Z91" s="12">
        <f>IF(T91=0,0,X91/T91)</f>
        <v>0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10"/>
      <c r="B93" s="28" t="s">
        <v>3</v>
      </c>
      <c r="C93" s="28"/>
      <c r="D93" s="20">
        <f>+D23-D25+D91</f>
        <v>86681.569999999978</v>
      </c>
      <c r="E93" s="14"/>
      <c r="F93" s="22">
        <f>IF(D$12=0,0,D93/D$12)</f>
        <v>0.23433233026602693</v>
      </c>
      <c r="G93" s="14"/>
      <c r="H93" s="20">
        <f>+H23-H25+H91</f>
        <v>133819.09716481535</v>
      </c>
      <c r="I93" s="14"/>
      <c r="J93" s="22">
        <f>IF(H$12=0,0,H93/H$12)</f>
        <v>0.28830256928575659</v>
      </c>
      <c r="K93" s="16"/>
      <c r="L93" s="20">
        <f>+D93-H93</f>
        <v>-47137.527164815372</v>
      </c>
      <c r="M93" s="16"/>
      <c r="N93" s="22">
        <f>IF(H93=0,0,L93/H93)</f>
        <v>-0.35224813321494369</v>
      </c>
      <c r="O93" s="29"/>
      <c r="P93" s="20">
        <f>+P23-P25+P91</f>
        <v>929619.26</v>
      </c>
      <c r="Q93" s="14"/>
      <c r="R93" s="22">
        <f>IF(P$12=0,0,P93/P$12)</f>
        <v>0.27467420284260163</v>
      </c>
      <c r="S93" s="14"/>
      <c r="T93" s="20">
        <f>+T23-T25+T91</f>
        <v>844692.57463030983</v>
      </c>
      <c r="U93" s="14"/>
      <c r="V93" s="22">
        <f>IF(T$12=0,0,T93/T$12)</f>
        <v>0.24529560155022545</v>
      </c>
      <c r="W93" s="16"/>
      <c r="X93" s="20">
        <f>+P93-T93</f>
        <v>84926.685369690182</v>
      </c>
      <c r="Y93" s="16"/>
      <c r="Z93" s="22">
        <f>IF(T93=0,0,X93/T93)</f>
        <v>0.10054153181926501</v>
      </c>
    </row>
    <row r="94" spans="1:26" x14ac:dyDescent="0.25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52"/>
      <c r="B95" s="10" t="s">
        <v>14</v>
      </c>
      <c r="C95" s="10"/>
      <c r="D95" s="4">
        <v>55410.62</v>
      </c>
      <c r="E95" s="4"/>
      <c r="F95" s="12">
        <f>IF(D$12=0,0,D95/D$12)</f>
        <v>0.14979539140886949</v>
      </c>
      <c r="G95" s="4"/>
      <c r="H95" s="4">
        <v>44245</v>
      </c>
      <c r="I95" s="4"/>
      <c r="J95" s="12">
        <f>IF(H$12=0,0,H95/H$12)</f>
        <v>9.5322322809708676E-2</v>
      </c>
      <c r="K95" s="4"/>
      <c r="L95" s="4">
        <f>+D95-H95</f>
        <v>11165.620000000003</v>
      </c>
      <c r="M95" s="4"/>
      <c r="N95" s="12">
        <f>IF(H95=0,0,L95/H95)</f>
        <v>0.25235891061136856</v>
      </c>
      <c r="O95" s="10"/>
      <c r="P95" s="4">
        <v>362651.3</v>
      </c>
      <c r="Q95" s="4"/>
      <c r="R95" s="12">
        <f>IF(P$12=0,0,P95/P$12)</f>
        <v>0.10715242360332894</v>
      </c>
      <c r="S95" s="4"/>
      <c r="T95" s="4">
        <v>402522</v>
      </c>
      <c r="U95" s="4"/>
      <c r="V95" s="12">
        <f>IF(T$12=0,0,T95/T$12)</f>
        <v>0.11689090101261192</v>
      </c>
      <c r="W95" s="4"/>
      <c r="X95" s="4">
        <f>+P95-T95</f>
        <v>-39870.700000000012</v>
      </c>
      <c r="Y95" s="4"/>
      <c r="Z95" s="12">
        <f>IF(T95=0,0,X95/T95)</f>
        <v>-9.9052225716855263E-2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8" t="s">
        <v>4</v>
      </c>
      <c r="C97" s="28"/>
      <c r="D97" s="31">
        <f>+D93-D95</f>
        <v>31270.949999999975</v>
      </c>
      <c r="E97" s="14"/>
      <c r="F97" s="34">
        <f>IF(D$12=0,0,D97/D$12)</f>
        <v>8.453693885715742E-2</v>
      </c>
      <c r="G97" s="14"/>
      <c r="H97" s="31">
        <f>+H93-H95</f>
        <v>89574.09716481535</v>
      </c>
      <c r="I97" s="14"/>
      <c r="J97" s="34">
        <f>IF(H$12=0,0,H97/H$12)</f>
        <v>0.19298024647604792</v>
      </c>
      <c r="K97" s="16"/>
      <c r="L97" s="31">
        <f>D97-H97</f>
        <v>-58303.147164815375</v>
      </c>
      <c r="M97" s="16"/>
      <c r="N97" s="34">
        <f>IF(H97=0,0,L97/H97)</f>
        <v>-0.65089293680000171</v>
      </c>
      <c r="O97" s="29"/>
      <c r="P97" s="31">
        <f>+P93-P95</f>
        <v>566967.96</v>
      </c>
      <c r="Q97" s="14"/>
      <c r="R97" s="34">
        <f>IF(P$12=0,0,P97/P$12)</f>
        <v>0.16752177923927269</v>
      </c>
      <c r="S97" s="14"/>
      <c r="T97" s="31">
        <f>+T93-T95</f>
        <v>442170.57463030983</v>
      </c>
      <c r="U97" s="14"/>
      <c r="V97" s="34">
        <f>IF(T$12=0,0,T97/T$12)</f>
        <v>0.12840470053761352</v>
      </c>
      <c r="W97" s="16"/>
      <c r="X97" s="31">
        <f>P97-T97</f>
        <v>124797.38536969014</v>
      </c>
      <c r="Y97" s="16"/>
      <c r="Z97" s="34">
        <f>IF(T97=0,0,X97/T97)</f>
        <v>0.28223810567682117</v>
      </c>
    </row>
    <row r="98" spans="1:26" ht="15.75" thickTop="1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8" t="s">
        <v>5</v>
      </c>
      <c r="C100" s="28"/>
      <c r="D100" s="32">
        <f>SUM(D97:D99)</f>
        <v>31270.949999999975</v>
      </c>
      <c r="E100" s="14"/>
      <c r="F100" s="35">
        <f>IF(D$12=0,0,D100/D$12)</f>
        <v>8.453693885715742E-2</v>
      </c>
      <c r="G100" s="14"/>
      <c r="H100" s="32">
        <f>SUM(H97:H99)</f>
        <v>89574.09716481535</v>
      </c>
      <c r="I100" s="14"/>
      <c r="J100" s="35">
        <f>IF(H$12=0,0,H100/H$12)</f>
        <v>0.19298024647604792</v>
      </c>
      <c r="K100" s="16"/>
      <c r="L100" s="32">
        <f>+D100-H100</f>
        <v>-58303.147164815375</v>
      </c>
      <c r="M100" s="16"/>
      <c r="N100" s="35">
        <f>IF(H100=0,0,L100/H100)</f>
        <v>-0.65089293680000171</v>
      </c>
      <c r="O100" s="29"/>
      <c r="P100" s="32">
        <f>SUM(P97:P99)</f>
        <v>566967.96</v>
      </c>
      <c r="Q100" s="14"/>
      <c r="R100" s="35">
        <f>IF(P$12=0,0,P100/P$12)</f>
        <v>0.16752177923927269</v>
      </c>
      <c r="S100" s="14"/>
      <c r="T100" s="32">
        <f>SUM(T97:T99)</f>
        <v>442170.57463030983</v>
      </c>
      <c r="U100" s="14"/>
      <c r="V100" s="35">
        <f>IF(T$12=0,0,T100/T$12)</f>
        <v>0.12840470053761352</v>
      </c>
      <c r="W100" s="16"/>
      <c r="X100" s="32">
        <f>+P100-T100</f>
        <v>124797.38536969014</v>
      </c>
      <c r="Y100" s="16"/>
      <c r="Z100" s="35">
        <f>IF(T100=0,0,X100/T100)</f>
        <v>0.28223810567682117</v>
      </c>
    </row>
    <row r="101" spans="1:26" ht="15.75" thickTop="1" x14ac:dyDescent="0.25">
      <c r="A101" s="9"/>
      <c r="C101" s="9"/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A102" s="9"/>
      <c r="B102" s="57">
        <v>43934.466950925926</v>
      </c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A103" s="9"/>
      <c r="B103" s="62" t="s">
        <v>314</v>
      </c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  <row r="104" spans="1:26" x14ac:dyDescent="0.25">
      <c r="A104" s="9"/>
      <c r="B104" s="60"/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  <row r="105" spans="1:26" x14ac:dyDescent="0.25">
      <c r="D105" s="18"/>
      <c r="E105" s="18"/>
      <c r="G105" s="18"/>
      <c r="H105" s="18"/>
      <c r="I105" s="18"/>
      <c r="J105" s="42"/>
      <c r="K105" s="18"/>
      <c r="L105" s="18"/>
      <c r="M105" s="18"/>
      <c r="P105" s="18"/>
      <c r="Q105" s="18"/>
      <c r="R105" s="42"/>
      <c r="S105" s="18"/>
      <c r="T105" s="18"/>
      <c r="U105" s="18"/>
      <c r="V105" s="42"/>
      <c r="W105" s="18"/>
      <c r="X105" s="18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","450", " - ", "Beachside Dining Hall")</f>
        <v>Department 450 - Beachside Dining Hall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236483.46000000002</v>
      </c>
      <c r="E12" s="4"/>
      <c r="F12" s="12"/>
      <c r="G12" s="4"/>
      <c r="H12" s="4">
        <f>SUM(OSRRefH13x_0)</f>
        <v>303237</v>
      </c>
      <c r="I12" s="4"/>
      <c r="J12" s="12"/>
      <c r="K12" s="4"/>
      <c r="L12" s="4">
        <f t="shared" ref="L12:L16" si="0">+D12-H12</f>
        <v>-66753.539999999979</v>
      </c>
      <c r="M12" s="4"/>
      <c r="N12" s="12">
        <f t="shared" ref="N12:N16" si="1">IF(H12=0,0,L12/H12)</f>
        <v>-0.22013652687501847</v>
      </c>
      <c r="O12" s="10"/>
      <c r="P12" s="4">
        <f>SUM(OSRRefP13x_0)</f>
        <v>1996380.34</v>
      </c>
      <c r="Q12" s="4"/>
      <c r="R12" s="12"/>
      <c r="S12" s="4"/>
      <c r="T12" s="4">
        <f>SUM(OSRRefT13x_0)</f>
        <v>2009349</v>
      </c>
      <c r="U12" s="4"/>
      <c r="V12" s="12"/>
      <c r="W12" s="4"/>
      <c r="X12" s="4">
        <f t="shared" ref="X12:X16" si="2">+P12-T12</f>
        <v>-12968.659999999916</v>
      </c>
      <c r="Y12" s="4"/>
      <c r="Z12" s="12">
        <f t="shared" ref="Z12:Z16" si="3">IF(T12=0,0,X12/T12)</f>
        <v>-6.4541600289446562E-3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--752.2</f>
        <v>752.2</v>
      </c>
      <c r="E13" s="2"/>
      <c r="F13" s="19"/>
      <c r="G13" s="2"/>
      <c r="H13" s="2"/>
      <c r="I13" s="2"/>
      <c r="J13" s="19"/>
      <c r="K13" s="2"/>
      <c r="L13" s="2">
        <f t="shared" si="0"/>
        <v>752.2</v>
      </c>
      <c r="M13" s="2"/>
      <c r="N13" s="19">
        <f t="shared" si="1"/>
        <v>0</v>
      </c>
      <c r="O13" s="11"/>
      <c r="P13" s="2">
        <f>--959.82</f>
        <v>959.82</v>
      </c>
      <c r="Q13" s="2"/>
      <c r="R13" s="19"/>
      <c r="S13" s="2"/>
      <c r="T13" s="2"/>
      <c r="U13" s="2"/>
      <c r="V13" s="19"/>
      <c r="W13" s="2"/>
      <c r="X13" s="2">
        <f t="shared" si="2"/>
        <v>959.82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303237</v>
      </c>
      <c r="I14" s="2"/>
      <c r="J14" s="19"/>
      <c r="K14" s="2"/>
      <c r="L14" s="2">
        <f t="shared" si="0"/>
        <v>-303237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2009349</v>
      </c>
      <c r="U14" s="2"/>
      <c r="V14" s="19"/>
      <c r="W14" s="2"/>
      <c r="X14" s="2">
        <f t="shared" si="2"/>
        <v>-2009349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--234766.56</f>
        <v>234766.56</v>
      </c>
      <c r="E15" s="2"/>
      <c r="F15" s="19"/>
      <c r="G15" s="2"/>
      <c r="H15" s="2"/>
      <c r="I15" s="2"/>
      <c r="J15" s="19"/>
      <c r="K15" s="2"/>
      <c r="L15" s="2">
        <f t="shared" si="0"/>
        <v>234766.56</v>
      </c>
      <c r="M15" s="2"/>
      <c r="N15" s="19">
        <f t="shared" si="1"/>
        <v>0</v>
      </c>
      <c r="O15" s="11"/>
      <c r="P15" s="2">
        <f>--1986254.12</f>
        <v>1986254.12</v>
      </c>
      <c r="Q15" s="2"/>
      <c r="R15" s="19"/>
      <c r="S15" s="2"/>
      <c r="T15" s="2"/>
      <c r="U15" s="2"/>
      <c r="V15" s="19"/>
      <c r="W15" s="2"/>
      <c r="X15" s="2">
        <f t="shared" si="2"/>
        <v>1986254.12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--964.7</f>
        <v>964.7</v>
      </c>
      <c r="E16" s="2"/>
      <c r="F16" s="19"/>
      <c r="G16" s="2"/>
      <c r="H16" s="2"/>
      <c r="I16" s="2"/>
      <c r="J16" s="19"/>
      <c r="K16" s="2"/>
      <c r="L16" s="2">
        <f t="shared" si="0"/>
        <v>964.7</v>
      </c>
      <c r="M16" s="2"/>
      <c r="N16" s="19">
        <f t="shared" si="1"/>
        <v>0</v>
      </c>
      <c r="O16" s="11"/>
      <c r="P16" s="2">
        <f>--9166.4</f>
        <v>9166.4</v>
      </c>
      <c r="Q16" s="2"/>
      <c r="R16" s="19"/>
      <c r="S16" s="2"/>
      <c r="T16" s="2"/>
      <c r="U16" s="2"/>
      <c r="V16" s="19"/>
      <c r="W16" s="2"/>
      <c r="X16" s="2">
        <f t="shared" si="2"/>
        <v>9166.4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54863.55</v>
      </c>
      <c r="E18" s="4"/>
      <c r="F18" s="12">
        <f t="shared" ref="F18:F21" si="4">IF(D$12=0,0,D18/D$12)</f>
        <v>0.23199740903655586</v>
      </c>
      <c r="G18" s="4"/>
      <c r="H18" s="4">
        <f>SUM(OSRRefH16x_0)</f>
        <v>70398</v>
      </c>
      <c r="I18" s="4"/>
      <c r="J18" s="12">
        <f t="shared" ref="J18:J21" si="5">IF(H$12=0,0,H18/H$12)</f>
        <v>0.23215504704241238</v>
      </c>
      <c r="K18" s="4"/>
      <c r="L18" s="4">
        <f t="shared" ref="L18:L21" si="6">+D18-H18</f>
        <v>-15534.449999999997</v>
      </c>
      <c r="M18" s="4"/>
      <c r="N18" s="12">
        <f t="shared" ref="N18:N21" si="7">IF(H18=0,0,L18/H18)</f>
        <v>-0.22066607005880845</v>
      </c>
      <c r="O18" s="10"/>
      <c r="P18" s="4">
        <f>SUM(OSRRefP16x_0)</f>
        <v>454831.54</v>
      </c>
      <c r="Q18" s="4"/>
      <c r="R18" s="12">
        <f t="shared" ref="R18:R21" si="8">IF(P$12=0,0,P18/P$12)</f>
        <v>0.22782810013045909</v>
      </c>
      <c r="S18" s="4"/>
      <c r="T18" s="4">
        <f>SUM(OSRRefT16x_0)</f>
        <v>483992.00000000006</v>
      </c>
      <c r="U18" s="4"/>
      <c r="V18" s="12">
        <f t="shared" ref="V18:V21" si="9">IF(T$12=0,0,T18/T$12)</f>
        <v>0.24087005293754349</v>
      </c>
      <c r="W18" s="4"/>
      <c r="X18" s="4">
        <f t="shared" ref="X18:X21" si="10">+P18-T18</f>
        <v>-29160.460000000079</v>
      </c>
      <c r="Y18" s="4"/>
      <c r="Z18" s="12">
        <f t="shared" ref="Z18:Z21" si="11">IF(T18=0,0,X18/T18)</f>
        <v>-6.0249880163308643E-2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70398</v>
      </c>
      <c r="I19" s="2"/>
      <c r="J19" s="19">
        <f t="shared" si="5"/>
        <v>0.23215504704241238</v>
      </c>
      <c r="K19" s="2"/>
      <c r="L19" s="2">
        <f t="shared" si="6"/>
        <v>-70398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483992.00000000006</v>
      </c>
      <c r="U19" s="2"/>
      <c r="V19" s="19">
        <f t="shared" si="9"/>
        <v>0.24087005293754349</v>
      </c>
      <c r="W19" s="2"/>
      <c r="X19" s="2">
        <f t="shared" si="10"/>
        <v>-483992.00000000006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35063.550000000003</v>
      </c>
      <c r="E20" s="2"/>
      <c r="F20" s="19">
        <f t="shared" si="4"/>
        <v>0.14827062323935888</v>
      </c>
      <c r="G20" s="2"/>
      <c r="H20" s="2"/>
      <c r="I20" s="2"/>
      <c r="J20" s="19">
        <f t="shared" si="5"/>
        <v>0</v>
      </c>
      <c r="K20" s="2"/>
      <c r="L20" s="2">
        <f t="shared" si="6"/>
        <v>35063.550000000003</v>
      </c>
      <c r="M20" s="2"/>
      <c r="N20" s="19">
        <f t="shared" si="7"/>
        <v>0</v>
      </c>
      <c r="O20" s="11"/>
      <c r="P20" s="2">
        <v>437174.54</v>
      </c>
      <c r="Q20" s="2"/>
      <c r="R20" s="19">
        <f t="shared" si="8"/>
        <v>0.21898359307625717</v>
      </c>
      <c r="S20" s="2"/>
      <c r="T20" s="2"/>
      <c r="U20" s="2"/>
      <c r="V20" s="19">
        <f t="shared" si="9"/>
        <v>0</v>
      </c>
      <c r="W20" s="2"/>
      <c r="X20" s="2">
        <f t="shared" si="10"/>
        <v>437174.54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19800</v>
      </c>
      <c r="E21" s="2"/>
      <c r="F21" s="19">
        <f t="shared" si="4"/>
        <v>8.3726785797196973E-2</v>
      </c>
      <c r="G21" s="2"/>
      <c r="H21" s="2"/>
      <c r="I21" s="2"/>
      <c r="J21" s="19">
        <f t="shared" si="5"/>
        <v>0</v>
      </c>
      <c r="K21" s="2"/>
      <c r="L21" s="2">
        <f t="shared" si="6"/>
        <v>19800</v>
      </c>
      <c r="M21" s="2"/>
      <c r="N21" s="19">
        <f t="shared" si="7"/>
        <v>0</v>
      </c>
      <c r="O21" s="11"/>
      <c r="P21" s="2">
        <v>17657</v>
      </c>
      <c r="Q21" s="2"/>
      <c r="R21" s="19">
        <f t="shared" si="8"/>
        <v>8.8445070542019066E-3</v>
      </c>
      <c r="S21" s="2"/>
      <c r="T21" s="2"/>
      <c r="U21" s="2"/>
      <c r="V21" s="19">
        <f t="shared" si="9"/>
        <v>0</v>
      </c>
      <c r="W21" s="2"/>
      <c r="X21" s="2">
        <f t="shared" si="10"/>
        <v>17657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0">
        <f>D12-D18</f>
        <v>181619.91000000003</v>
      </c>
      <c r="E23" s="14"/>
      <c r="F23" s="22">
        <f>IF(D$12=0,0,D23/D$12)</f>
        <v>0.76800259096344414</v>
      </c>
      <c r="G23" s="14"/>
      <c r="H23" s="20">
        <f>H12-H18</f>
        <v>232839</v>
      </c>
      <c r="I23" s="14"/>
      <c r="J23" s="22">
        <f>IF(H$12=0,0,H23/H$12)</f>
        <v>0.76784495295758759</v>
      </c>
      <c r="K23" s="16"/>
      <c r="L23" s="20">
        <f>+D23-H23</f>
        <v>-51219.089999999967</v>
      </c>
      <c r="M23" s="16"/>
      <c r="N23" s="22">
        <f>IF(H23=0,0,L23/H23)</f>
        <v>-0.21997642147578356</v>
      </c>
      <c r="O23" s="29"/>
      <c r="P23" s="20">
        <f>P12-P18</f>
        <v>1541548.8</v>
      </c>
      <c r="Q23" s="14"/>
      <c r="R23" s="22">
        <f>IF(P$12=0,0,P23/P$12)</f>
        <v>0.77217189986954093</v>
      </c>
      <c r="S23" s="14"/>
      <c r="T23" s="20">
        <f>T12-T18</f>
        <v>1525357</v>
      </c>
      <c r="U23" s="14"/>
      <c r="V23" s="22">
        <f>IF(T$12=0,0,T23/T$12)</f>
        <v>0.75912994706245651</v>
      </c>
      <c r="W23" s="16"/>
      <c r="X23" s="20">
        <f>+P23-T23</f>
        <v>16191.800000000047</v>
      </c>
      <c r="Y23" s="16"/>
      <c r="Z23" s="22">
        <f>IF(T23=0,0,X23/T23)</f>
        <v>1.0615088795606567E-2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1">
        <f>SUM(OSRRefD22x_0)</f>
        <v>165759.11999999997</v>
      </c>
      <c r="E25" s="21"/>
      <c r="F25" s="30">
        <f t="shared" ref="F25:F36" si="12">IF(D$12=0,0,D25/D$12)</f>
        <v>0.7009332492005993</v>
      </c>
      <c r="G25" s="21"/>
      <c r="H25" s="21">
        <f>SUM(OSRRefH22x_0)</f>
        <v>120493.25022583231</v>
      </c>
      <c r="I25" s="21"/>
      <c r="J25" s="30">
        <f t="shared" ref="J25:J36" si="13">IF(H$12=0,0,H25/H$12)</f>
        <v>0.39735668874785168</v>
      </c>
      <c r="K25" s="4"/>
      <c r="L25" s="21">
        <f t="shared" ref="L25:L36" si="14">+D25-H25</f>
        <v>45265.869774167659</v>
      </c>
      <c r="M25" s="4"/>
      <c r="N25" s="30">
        <f t="shared" ref="N25:N36" si="15">IF(H25=0,0,L25/H25)</f>
        <v>0.37567141470023357</v>
      </c>
      <c r="O25" s="10"/>
      <c r="P25" s="21">
        <f>SUM(OSRRefP22x_0)</f>
        <v>1163778.28</v>
      </c>
      <c r="Q25" s="21"/>
      <c r="R25" s="30">
        <f t="shared" ref="R25:R36" si="16">IF(P$12=0,0,P25/P$12)</f>
        <v>0.582944169846914</v>
      </c>
      <c r="S25" s="21"/>
      <c r="T25" s="21">
        <f>SUM(OSRRefT22x_0)</f>
        <v>919456.21799270052</v>
      </c>
      <c r="U25" s="21"/>
      <c r="V25" s="30">
        <f t="shared" ref="V25:V36" si="17">IF(T$12=0,0,T25/T$12)</f>
        <v>0.45758910870769615</v>
      </c>
      <c r="W25" s="4"/>
      <c r="X25" s="21">
        <f t="shared" ref="X25:X36" si="18">+P25-T25</f>
        <v>244322.06200729951</v>
      </c>
      <c r="Y25" s="4"/>
      <c r="Z25" s="30">
        <f t="shared" ref="Z25:Z36" si="19">IF(T25=0,0,X25/T25)</f>
        <v>0.26572451980442113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33592.120000000003</v>
      </c>
      <c r="E26" s="1"/>
      <c r="F26" s="5">
        <f t="shared" si="12"/>
        <v>0.14204849675321901</v>
      </c>
      <c r="G26" s="1"/>
      <c r="H26" s="1">
        <f>SUM(OSRRefH22_0x_0)</f>
        <v>20310.288554755374</v>
      </c>
      <c r="I26" s="1"/>
      <c r="J26" s="5">
        <f t="shared" si="13"/>
        <v>6.6978266355211841E-2</v>
      </c>
      <c r="K26" s="1"/>
      <c r="L26" s="1">
        <f t="shared" si="14"/>
        <v>13281.831445244628</v>
      </c>
      <c r="M26" s="1"/>
      <c r="N26" s="5">
        <f t="shared" si="15"/>
        <v>0.65394597469344529</v>
      </c>
      <c r="O26" s="13"/>
      <c r="P26" s="1">
        <f>SUM(OSRRefP22_0x_0)</f>
        <v>251684.70000000004</v>
      </c>
      <c r="Q26" s="1"/>
      <c r="R26" s="5">
        <f t="shared" si="16"/>
        <v>0.1260705162023385</v>
      </c>
      <c r="S26" s="1"/>
      <c r="T26" s="1">
        <f>SUM(OSRRefT22_0x_0)</f>
        <v>170504.7356027007</v>
      </c>
      <c r="U26" s="1"/>
      <c r="V26" s="5">
        <f t="shared" si="17"/>
        <v>8.4855709785955899E-2</v>
      </c>
      <c r="W26" s="1"/>
      <c r="X26" s="1">
        <f t="shared" si="18"/>
        <v>81179.964397299336</v>
      </c>
      <c r="Y26" s="1"/>
      <c r="Z26" s="5">
        <f t="shared" si="19"/>
        <v>0.47611559943097259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6">
        <v>6592.89</v>
      </c>
      <c r="E27" s="2"/>
      <c r="F27" s="7">
        <f t="shared" si="12"/>
        <v>2.7878863071438484E-2</v>
      </c>
      <c r="G27" s="2"/>
      <c r="H27" s="6">
        <v>4356.73420785692</v>
      </c>
      <c r="I27" s="2"/>
      <c r="J27" s="7">
        <f t="shared" si="13"/>
        <v>1.4367422866790398E-2</v>
      </c>
      <c r="K27" s="2"/>
      <c r="L27" s="6">
        <f t="shared" si="14"/>
        <v>2236.1557921430804</v>
      </c>
      <c r="M27" s="2"/>
      <c r="N27" s="7">
        <f t="shared" si="15"/>
        <v>0.51326422165263252</v>
      </c>
      <c r="O27" s="11"/>
      <c r="P27" s="6">
        <v>36156.140000000007</v>
      </c>
      <c r="Q27" s="2"/>
      <c r="R27" s="7">
        <f t="shared" si="16"/>
        <v>1.8110847555230885E-2</v>
      </c>
      <c r="S27" s="2"/>
      <c r="T27" s="6">
        <v>32922.965619269969</v>
      </c>
      <c r="U27" s="2"/>
      <c r="V27" s="7">
        <f t="shared" si="17"/>
        <v>1.6384891633693284E-2</v>
      </c>
      <c r="W27" s="2"/>
      <c r="X27" s="6">
        <f t="shared" si="18"/>
        <v>3233.1743807300372</v>
      </c>
      <c r="Y27" s="2"/>
      <c r="Z27" s="7">
        <f t="shared" si="19"/>
        <v>9.8204226743098894E-2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6">
        <v>4776.58</v>
      </c>
      <c r="E28" s="2"/>
      <c r="F28" s="7">
        <f t="shared" si="12"/>
        <v>2.0198368207231067E-2</v>
      </c>
      <c r="G28" s="2"/>
      <c r="H28" s="6">
        <v>2430.4993365046198</v>
      </c>
      <c r="I28" s="2"/>
      <c r="J28" s="7">
        <f t="shared" si="13"/>
        <v>8.0151806557399643E-3</v>
      </c>
      <c r="K28" s="2"/>
      <c r="L28" s="6">
        <f t="shared" si="14"/>
        <v>2346.0806634953801</v>
      </c>
      <c r="M28" s="2"/>
      <c r="N28" s="7">
        <f t="shared" si="15"/>
        <v>0.9652669425819943</v>
      </c>
      <c r="O28" s="11"/>
      <c r="P28" s="6">
        <v>22404.720000000001</v>
      </c>
      <c r="Q28" s="2"/>
      <c r="R28" s="7">
        <f t="shared" si="16"/>
        <v>1.1222671126885572E-2</v>
      </c>
      <c r="S28" s="2"/>
      <c r="T28" s="6">
        <v>18411.063776400028</v>
      </c>
      <c r="U28" s="2"/>
      <c r="V28" s="7">
        <f t="shared" si="17"/>
        <v>9.1627008431089015E-3</v>
      </c>
      <c r="W28" s="2"/>
      <c r="X28" s="6">
        <f t="shared" si="18"/>
        <v>3993.6562235999736</v>
      </c>
      <c r="Y28" s="2"/>
      <c r="Z28" s="7">
        <f t="shared" si="19"/>
        <v>0.21691610393089766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6">
        <v>15945.350000000002</v>
      </c>
      <c r="E29" s="2"/>
      <c r="F29" s="7">
        <f t="shared" si="12"/>
        <v>6.7426914338956312E-2</v>
      </c>
      <c r="G29" s="2"/>
      <c r="H29" s="6">
        <v>10500.692307692299</v>
      </c>
      <c r="I29" s="2"/>
      <c r="J29" s="7">
        <f t="shared" si="13"/>
        <v>3.4628664403395029E-2</v>
      </c>
      <c r="K29" s="2"/>
      <c r="L29" s="6">
        <f t="shared" si="14"/>
        <v>5444.6576923077027</v>
      </c>
      <c r="M29" s="2"/>
      <c r="N29" s="7">
        <f t="shared" si="15"/>
        <v>0.51850464071966096</v>
      </c>
      <c r="O29" s="11"/>
      <c r="P29" s="6">
        <v>129815.14000000001</v>
      </c>
      <c r="Q29" s="2"/>
      <c r="R29" s="7">
        <f t="shared" si="16"/>
        <v>6.5025254656635223E-2</v>
      </c>
      <c r="S29" s="2"/>
      <c r="T29" s="6">
        <v>94506.230769230708</v>
      </c>
      <c r="U29" s="2"/>
      <c r="V29" s="7">
        <f t="shared" si="17"/>
        <v>4.703325841813976E-2</v>
      </c>
      <c r="W29" s="2"/>
      <c r="X29" s="6">
        <f t="shared" si="18"/>
        <v>35308.909230769306</v>
      </c>
      <c r="Y29" s="2"/>
      <c r="Z29" s="7">
        <f t="shared" si="19"/>
        <v>0.37361461718844852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6">
        <v>327.67</v>
      </c>
      <c r="E30" s="2"/>
      <c r="F30" s="7">
        <f t="shared" si="12"/>
        <v>1.3855937324327037E-3</v>
      </c>
      <c r="G30" s="2"/>
      <c r="H30" s="6">
        <v>162.86851224</v>
      </c>
      <c r="I30" s="2"/>
      <c r="J30" s="7">
        <f t="shared" si="13"/>
        <v>5.3709973466298635E-4</v>
      </c>
      <c r="K30" s="2"/>
      <c r="L30" s="6">
        <f t="shared" si="14"/>
        <v>164.80148776000001</v>
      </c>
      <c r="M30" s="2"/>
      <c r="N30" s="7">
        <f t="shared" si="15"/>
        <v>1.0118683193787121</v>
      </c>
      <c r="O30" s="11"/>
      <c r="P30" s="6">
        <v>1762.31</v>
      </c>
      <c r="Q30" s="2"/>
      <c r="R30" s="7">
        <f t="shared" si="16"/>
        <v>8.8275263219632783E-4</v>
      </c>
      <c r="S30" s="2"/>
      <c r="T30" s="6">
        <v>1233.7310777999999</v>
      </c>
      <c r="U30" s="2"/>
      <c r="V30" s="7">
        <f t="shared" si="17"/>
        <v>6.1399541732172947E-4</v>
      </c>
      <c r="W30" s="2"/>
      <c r="X30" s="6">
        <f t="shared" si="18"/>
        <v>528.57892220000008</v>
      </c>
      <c r="Y30" s="2"/>
      <c r="Z30" s="7">
        <f t="shared" si="19"/>
        <v>0.42843933472322565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6">
        <v>959.64</v>
      </c>
      <c r="E31" s="2"/>
      <c r="F31" s="7">
        <f t="shared" si="12"/>
        <v>4.0579582183041469E-3</v>
      </c>
      <c r="G31" s="2"/>
      <c r="H31" s="6">
        <v>403.720384615385</v>
      </c>
      <c r="I31" s="2"/>
      <c r="J31" s="7">
        <f t="shared" si="13"/>
        <v>1.3313691423387812E-3</v>
      </c>
      <c r="K31" s="2"/>
      <c r="L31" s="6">
        <f t="shared" si="14"/>
        <v>555.91961538461499</v>
      </c>
      <c r="M31" s="2"/>
      <c r="N31" s="7">
        <f t="shared" si="15"/>
        <v>1.3769916916982694</v>
      </c>
      <c r="O31" s="11"/>
      <c r="P31" s="6">
        <v>10242.61</v>
      </c>
      <c r="Q31" s="2"/>
      <c r="R31" s="7">
        <f t="shared" si="16"/>
        <v>5.1305904965984585E-3</v>
      </c>
      <c r="S31" s="2"/>
      <c r="T31" s="6">
        <v>3936.2737500000026</v>
      </c>
      <c r="U31" s="2"/>
      <c r="V31" s="7">
        <f t="shared" si="17"/>
        <v>1.9589796247441349E-3</v>
      </c>
      <c r="W31" s="2"/>
      <c r="X31" s="6">
        <f t="shared" si="18"/>
        <v>6306.3362499999985</v>
      </c>
      <c r="Y31" s="2"/>
      <c r="Z31" s="7">
        <f t="shared" si="19"/>
        <v>1.6021081486011979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5"/>
      <c r="B33" s="11" t="str">
        <f>CONCATENATE("          ", "6117", " - ", "RETIREMENT STAFF HOURLY")</f>
        <v xml:space="preserve">          6117 - RETIREMENT STAFF HOURLY</v>
      </c>
      <c r="C33" s="11"/>
      <c r="D33" s="6">
        <v>291.72000000000003</v>
      </c>
      <c r="E33" s="2"/>
      <c r="F33" s="7">
        <f t="shared" si="12"/>
        <v>1.2335746440787021E-3</v>
      </c>
      <c r="G33" s="2"/>
      <c r="H33" s="6"/>
      <c r="I33" s="2"/>
      <c r="J33" s="7">
        <f t="shared" si="13"/>
        <v>0</v>
      </c>
      <c r="K33" s="2"/>
      <c r="L33" s="6">
        <f t="shared" si="14"/>
        <v>291.72000000000003</v>
      </c>
      <c r="M33" s="2"/>
      <c r="N33" s="7">
        <f t="shared" si="15"/>
        <v>0</v>
      </c>
      <c r="O33" s="11"/>
      <c r="P33" s="6">
        <v>4275.55</v>
      </c>
      <c r="Q33" s="2"/>
      <c r="R33" s="7">
        <f t="shared" si="16"/>
        <v>2.1416510242732605E-3</v>
      </c>
      <c r="S33" s="2"/>
      <c r="T33" s="6"/>
      <c r="U33" s="2"/>
      <c r="V33" s="7">
        <f t="shared" si="17"/>
        <v>0</v>
      </c>
      <c r="W33" s="2"/>
      <c r="X33" s="6">
        <f t="shared" si="18"/>
        <v>4275.55</v>
      </c>
      <c r="Y33" s="2"/>
      <c r="Z33" s="7">
        <f t="shared" si="19"/>
        <v>0</v>
      </c>
    </row>
    <row r="34" spans="1:26" s="24" customFormat="1" hidden="1" outlineLevel="2" x14ac:dyDescent="0.25">
      <c r="A34" s="25"/>
      <c r="B34" s="11" t="str">
        <f>CONCATENATE("          ", "6118", " - ", "VACATION")</f>
        <v xml:space="preserve">          6118 - VACATION</v>
      </c>
      <c r="C34" s="11"/>
      <c r="D34" s="6">
        <v>1950.28</v>
      </c>
      <c r="E34" s="2"/>
      <c r="F34" s="7">
        <f t="shared" si="12"/>
        <v>8.2470038285129953E-3</v>
      </c>
      <c r="G34" s="2"/>
      <c r="H34" s="6">
        <v>623.46597230769203</v>
      </c>
      <c r="I34" s="2"/>
      <c r="J34" s="7">
        <f t="shared" si="13"/>
        <v>2.0560352869461577E-3</v>
      </c>
      <c r="K34" s="2"/>
      <c r="L34" s="6">
        <f t="shared" si="14"/>
        <v>1326.8140276923079</v>
      </c>
      <c r="M34" s="2"/>
      <c r="N34" s="7">
        <f t="shared" si="15"/>
        <v>2.1281258105895482</v>
      </c>
      <c r="O34" s="11"/>
      <c r="P34" s="6">
        <v>20356.670000000002</v>
      </c>
      <c r="Q34" s="2"/>
      <c r="R34" s="7">
        <f t="shared" si="16"/>
        <v>1.0196789455460176E-2</v>
      </c>
      <c r="S34" s="2"/>
      <c r="T34" s="6">
        <v>5716.818269999997</v>
      </c>
      <c r="U34" s="2"/>
      <c r="V34" s="7">
        <f t="shared" si="17"/>
        <v>2.8451096698482925E-3</v>
      </c>
      <c r="W34" s="2"/>
      <c r="X34" s="6">
        <f t="shared" si="18"/>
        <v>14639.851730000006</v>
      </c>
      <c r="Y34" s="2"/>
      <c r="Z34" s="7">
        <f t="shared" si="19"/>
        <v>2.5608390959050049</v>
      </c>
    </row>
    <row r="35" spans="1:26" s="24" customFormat="1" hidden="1" outlineLevel="2" x14ac:dyDescent="0.25">
      <c r="A35" s="25"/>
      <c r="B35" s="11" t="str">
        <f>CONCATENATE("          ", "6119", " - ", "SICK LEAVE")</f>
        <v xml:space="preserve">          6119 - SICK LEAVE</v>
      </c>
      <c r="C35" s="11"/>
      <c r="D35" s="6">
        <v>1519.56</v>
      </c>
      <c r="E35" s="2"/>
      <c r="F35" s="7">
        <f t="shared" si="12"/>
        <v>6.4256502336357893E-3</v>
      </c>
      <c r="G35" s="2"/>
      <c r="H35" s="6">
        <v>1832.30783353846</v>
      </c>
      <c r="I35" s="2"/>
      <c r="J35" s="7">
        <f t="shared" si="13"/>
        <v>6.0424942653385305E-3</v>
      </c>
      <c r="K35" s="2"/>
      <c r="L35" s="6">
        <f t="shared" si="14"/>
        <v>-312.7478335384601</v>
      </c>
      <c r="M35" s="2"/>
      <c r="N35" s="7">
        <f t="shared" si="15"/>
        <v>-0.17068520246103916</v>
      </c>
      <c r="O35" s="11"/>
      <c r="P35" s="6">
        <v>15693.369999999999</v>
      </c>
      <c r="Q35" s="2"/>
      <c r="R35" s="7">
        <f t="shared" si="16"/>
        <v>7.860911914209694E-3</v>
      </c>
      <c r="S35" s="2"/>
      <c r="T35" s="6">
        <v>13777.652339999999</v>
      </c>
      <c r="U35" s="2"/>
      <c r="V35" s="7">
        <f t="shared" si="17"/>
        <v>6.856774179099797E-3</v>
      </c>
      <c r="W35" s="2"/>
      <c r="X35" s="6">
        <f t="shared" si="18"/>
        <v>1915.7176600000003</v>
      </c>
      <c r="Y35" s="2"/>
      <c r="Z35" s="7">
        <f t="shared" si="19"/>
        <v>0.13904528962733287</v>
      </c>
    </row>
    <row r="36" spans="1:26" s="24" customFormat="1" hidden="1" outlineLevel="2" x14ac:dyDescent="0.25">
      <c r="A36" s="25"/>
      <c r="B36" s="11" t="str">
        <f>CONCATENATE("          ", "6156", " - ", "EMPLOYEE MEALS")</f>
        <v xml:space="preserve">          6156 - EMPLOYEE MEALS</v>
      </c>
      <c r="C36" s="11"/>
      <c r="D36" s="6">
        <v>1228.43</v>
      </c>
      <c r="E36" s="2"/>
      <c r="F36" s="7">
        <f t="shared" si="12"/>
        <v>5.1945704786288223E-3</v>
      </c>
      <c r="G36" s="2"/>
      <c r="H36" s="6"/>
      <c r="I36" s="2"/>
      <c r="J36" s="7">
        <f t="shared" si="13"/>
        <v>0</v>
      </c>
      <c r="K36" s="2"/>
      <c r="L36" s="6">
        <f t="shared" si="14"/>
        <v>1228.43</v>
      </c>
      <c r="M36" s="2"/>
      <c r="N36" s="7">
        <f t="shared" si="15"/>
        <v>0</v>
      </c>
      <c r="O36" s="11"/>
      <c r="P36" s="6">
        <v>10978.19</v>
      </c>
      <c r="Q36" s="2"/>
      <c r="R36" s="7">
        <f t="shared" si="16"/>
        <v>5.4990473408488881E-3</v>
      </c>
      <c r="S36" s="2"/>
      <c r="T36" s="6"/>
      <c r="U36" s="2"/>
      <c r="V36" s="7">
        <f t="shared" si="17"/>
        <v>0</v>
      </c>
      <c r="W36" s="2"/>
      <c r="X36" s="6">
        <f t="shared" si="18"/>
        <v>10978.19</v>
      </c>
      <c r="Y36" s="2"/>
      <c r="Z36" s="7">
        <f t="shared" si="19"/>
        <v>0</v>
      </c>
    </row>
    <row r="37" spans="1:26" s="27" customFormat="1" outlineLevel="1" collapsed="1" x14ac:dyDescent="0.25">
      <c r="A37" s="26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97965.01</v>
      </c>
      <c r="E37" s="1"/>
      <c r="F37" s="5">
        <f t="shared" ref="F37:F47" si="20">IF(D$12=0,0,D37/D$12)</f>
        <v>0.41425734383284135</v>
      </c>
      <c r="G37" s="1"/>
      <c r="H37" s="1">
        <f>SUM(OSRRefH22_1x_0)</f>
        <v>60185.961671076919</v>
      </c>
      <c r="I37" s="1"/>
      <c r="J37" s="5">
        <f t="shared" ref="J37:J47" si="21">IF(H$12=0,0,H37/H$12)</f>
        <v>0.19847829147194082</v>
      </c>
      <c r="K37" s="1"/>
      <c r="L37" s="1">
        <f t="shared" ref="L37:L47" si="22">+D37-H37</f>
        <v>37779.048328923076</v>
      </c>
      <c r="M37" s="1"/>
      <c r="N37" s="5">
        <f t="shared" ref="N37:N47" si="23">IF(H37=0,0,L37/H37)</f>
        <v>0.62770531997793511</v>
      </c>
      <c r="O37" s="13"/>
      <c r="P37" s="1">
        <f>SUM(OSRRefP22_1x_0)</f>
        <v>627236.36999999988</v>
      </c>
      <c r="Q37" s="1"/>
      <c r="R37" s="5">
        <f t="shared" ref="R37:R47" si="24">IF(P$12=0,0,P37/P$12)</f>
        <v>0.31418680971382429</v>
      </c>
      <c r="S37" s="1"/>
      <c r="T37" s="1">
        <f>SUM(OSRRefT22_1x_0)</f>
        <v>455017.4823899999</v>
      </c>
      <c r="U37" s="1"/>
      <c r="V37" s="5">
        <f t="shared" ref="V37:V47" si="25">IF(T$12=0,0,T37/T$12)</f>
        <v>0.22645019973633246</v>
      </c>
      <c r="W37" s="1"/>
      <c r="X37" s="1">
        <f t="shared" ref="X37:X47" si="26">+P37-T37</f>
        <v>172218.88760999998</v>
      </c>
      <c r="Y37" s="1"/>
      <c r="Z37" s="5">
        <f t="shared" ref="Z37:Z47" si="27">IF(T37=0,0,X37/T37)</f>
        <v>0.37848850709078796</v>
      </c>
    </row>
    <row r="38" spans="1:26" s="24" customFormat="1" hidden="1" outlineLevel="2" x14ac:dyDescent="0.25">
      <c r="A38" s="25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"6002", " - ", "STAFF SALARIES")</f>
        <v xml:space="preserve">          6002 - STAFF SALARIES</v>
      </c>
      <c r="C39" s="11"/>
      <c r="D39" s="6">
        <v>14690.54</v>
      </c>
      <c r="E39" s="2"/>
      <c r="F39" s="7">
        <f t="shared" si="20"/>
        <v>6.2120792718442126E-2</v>
      </c>
      <c r="G39" s="2"/>
      <c r="H39" s="6">
        <v>4459.7019230769201</v>
      </c>
      <c r="I39" s="2"/>
      <c r="J39" s="7">
        <f t="shared" si="21"/>
        <v>1.4706984711881862E-2</v>
      </c>
      <c r="K39" s="2"/>
      <c r="L39" s="6">
        <f t="shared" si="22"/>
        <v>10230.838076923081</v>
      </c>
      <c r="M39" s="2"/>
      <c r="N39" s="7">
        <f t="shared" si="23"/>
        <v>2.2940632027407859</v>
      </c>
      <c r="O39" s="11"/>
      <c r="P39" s="6">
        <v>92498.71</v>
      </c>
      <c r="Q39" s="2"/>
      <c r="R39" s="7">
        <f t="shared" si="24"/>
        <v>4.6333210233877577E-2</v>
      </c>
      <c r="S39" s="2"/>
      <c r="T39" s="6">
        <v>43482.093749999971</v>
      </c>
      <c r="U39" s="2"/>
      <c r="V39" s="7">
        <f t="shared" si="25"/>
        <v>2.1639891203568903E-2</v>
      </c>
      <c r="W39" s="2"/>
      <c r="X39" s="6">
        <f t="shared" si="26"/>
        <v>49016.616250000036</v>
      </c>
      <c r="Y39" s="2"/>
      <c r="Z39" s="7">
        <f t="shared" si="27"/>
        <v>1.1272827967259527</v>
      </c>
    </row>
    <row r="40" spans="1:26" s="24" customFormat="1" hidden="1" outlineLevel="2" x14ac:dyDescent="0.25">
      <c r="A40" s="25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5"/>
      <c r="B41" s="11" t="str">
        <f>CONCATENATE("          ", "6004", " - ", "STAFF HOURLY")</f>
        <v xml:space="preserve">          6004 - STAFF HOURLY</v>
      </c>
      <c r="C41" s="11"/>
      <c r="D41" s="6">
        <v>32592.969999999998</v>
      </c>
      <c r="E41" s="2"/>
      <c r="F41" s="7">
        <f t="shared" si="20"/>
        <v>0.13782346553961952</v>
      </c>
      <c r="G41" s="2"/>
      <c r="H41" s="6">
        <v>15122.50944</v>
      </c>
      <c r="I41" s="2"/>
      <c r="J41" s="7">
        <f t="shared" si="21"/>
        <v>4.9870264644485997E-2</v>
      </c>
      <c r="K41" s="2"/>
      <c r="L41" s="6">
        <f t="shared" si="22"/>
        <v>17470.46056</v>
      </c>
      <c r="M41" s="2"/>
      <c r="N41" s="7">
        <f t="shared" si="23"/>
        <v>1.1552620039230737</v>
      </c>
      <c r="O41" s="11"/>
      <c r="P41" s="6">
        <v>203487.50999999998</v>
      </c>
      <c r="Q41" s="2"/>
      <c r="R41" s="7">
        <f t="shared" si="24"/>
        <v>0.10192822776445493</v>
      </c>
      <c r="S41" s="2"/>
      <c r="T41" s="6">
        <v>136102.58495999998</v>
      </c>
      <c r="U41" s="2"/>
      <c r="V41" s="7">
        <f t="shared" si="25"/>
        <v>6.7734666780136246E-2</v>
      </c>
      <c r="W41" s="2"/>
      <c r="X41" s="6">
        <f t="shared" si="26"/>
        <v>67384.925040000002</v>
      </c>
      <c r="Y41" s="2"/>
      <c r="Z41" s="7">
        <f t="shared" si="27"/>
        <v>0.49510393252122414</v>
      </c>
    </row>
    <row r="42" spans="1:26" s="24" customFormat="1" hidden="1" outlineLevel="2" x14ac:dyDescent="0.25">
      <c r="A42" s="25"/>
      <c r="B42" s="11" t="str">
        <f>CONCATENATE("          ", "6005", " - ", "TEMPORARY WAGES-HOURLY")</f>
        <v xml:space="preserve">          6005 - TEMPORARY WAGES-HOURLY</v>
      </c>
      <c r="C42" s="11"/>
      <c r="D42" s="6">
        <v>18129.390000000003</v>
      </c>
      <c r="E42" s="2"/>
      <c r="F42" s="7">
        <f t="shared" si="20"/>
        <v>7.6662401674941677E-2</v>
      </c>
      <c r="G42" s="2"/>
      <c r="H42" s="6">
        <v>5541.8878080000004</v>
      </c>
      <c r="I42" s="2"/>
      <c r="J42" s="7">
        <f t="shared" si="21"/>
        <v>1.8275763867865731E-2</v>
      </c>
      <c r="K42" s="2"/>
      <c r="L42" s="6">
        <f t="shared" si="22"/>
        <v>12587.502192000004</v>
      </c>
      <c r="M42" s="2"/>
      <c r="N42" s="7">
        <f t="shared" si="23"/>
        <v>2.2713383287603364</v>
      </c>
      <c r="O42" s="11"/>
      <c r="P42" s="6">
        <v>107403.49</v>
      </c>
      <c r="Q42" s="2"/>
      <c r="R42" s="7">
        <f t="shared" si="24"/>
        <v>5.3799112247318565E-2</v>
      </c>
      <c r="S42" s="2"/>
      <c r="T42" s="6">
        <v>38100.47868</v>
      </c>
      <c r="U42" s="2"/>
      <c r="V42" s="7">
        <f t="shared" si="25"/>
        <v>1.896160332525609E-2</v>
      </c>
      <c r="W42" s="2"/>
      <c r="X42" s="6">
        <f t="shared" si="26"/>
        <v>69303.011320000005</v>
      </c>
      <c r="Y42" s="2"/>
      <c r="Z42" s="7">
        <f t="shared" si="27"/>
        <v>1.8189538221308248</v>
      </c>
    </row>
    <row r="43" spans="1:26" s="24" customFormat="1" hidden="1" outlineLevel="2" x14ac:dyDescent="0.25">
      <c r="A43" s="25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>
        <v>10378.219999999999</v>
      </c>
      <c r="Q43" s="2"/>
      <c r="R43" s="7">
        <f t="shared" si="24"/>
        <v>5.1985184346185253E-3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10378.219999999999</v>
      </c>
      <c r="Y43" s="2"/>
      <c r="Z43" s="7">
        <f t="shared" si="27"/>
        <v>0</v>
      </c>
    </row>
    <row r="44" spans="1:26" s="24" customFormat="1" hidden="1" outlineLevel="2" x14ac:dyDescent="0.25">
      <c r="A44" s="25"/>
      <c r="B44" s="11" t="str">
        <f>CONCATENATE("          ", "6007", " - ", "STUDENT HOURLY")</f>
        <v xml:space="preserve">          6007 - STUDENT HOURLY</v>
      </c>
      <c r="C44" s="11"/>
      <c r="D44" s="6">
        <v>21016.28</v>
      </c>
      <c r="E44" s="2"/>
      <c r="F44" s="7">
        <f t="shared" si="20"/>
        <v>8.8869978475450237E-2</v>
      </c>
      <c r="G44" s="2"/>
      <c r="H44" s="6">
        <v>35061.862500000003</v>
      </c>
      <c r="I44" s="2"/>
      <c r="J44" s="7">
        <f t="shared" si="21"/>
        <v>0.11562527824770724</v>
      </c>
      <c r="K44" s="2"/>
      <c r="L44" s="6">
        <f t="shared" si="22"/>
        <v>-14045.582500000004</v>
      </c>
      <c r="M44" s="2"/>
      <c r="N44" s="7">
        <f t="shared" si="23"/>
        <v>-0.4005943067057548</v>
      </c>
      <c r="O44" s="11"/>
      <c r="P44" s="6">
        <v>151411.07999999999</v>
      </c>
      <c r="Q44" s="2"/>
      <c r="R44" s="7">
        <f t="shared" si="24"/>
        <v>7.5842802579392257E-2</v>
      </c>
      <c r="S44" s="2"/>
      <c r="T44" s="6">
        <v>232447.16249999998</v>
      </c>
      <c r="U44" s="2"/>
      <c r="V44" s="7">
        <f t="shared" si="25"/>
        <v>0.11568282189903296</v>
      </c>
      <c r="W44" s="2"/>
      <c r="X44" s="6">
        <f t="shared" si="26"/>
        <v>-81036.08249999999</v>
      </c>
      <c r="Y44" s="2"/>
      <c r="Z44" s="7">
        <f t="shared" si="27"/>
        <v>-0.34862151737386771</v>
      </c>
    </row>
    <row r="45" spans="1:26" s="24" customFormat="1" hidden="1" outlineLevel="2" x14ac:dyDescent="0.25">
      <c r="A45" s="25"/>
      <c r="B45" s="11" t="str">
        <f>CONCATENATE("          ", "6008", " - ", "STUDENT HOURLY-FICA EXEMPT")</f>
        <v xml:space="preserve">          6008 - STUDENT HOURLY-FICA EXEMPT</v>
      </c>
      <c r="C45" s="11"/>
      <c r="D45" s="6">
        <v>11535.83</v>
      </c>
      <c r="E45" s="2"/>
      <c r="F45" s="7">
        <f t="shared" si="20"/>
        <v>4.8780705424387817E-2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11535.83</v>
      </c>
      <c r="M45" s="2"/>
      <c r="N45" s="7">
        <f t="shared" si="23"/>
        <v>0</v>
      </c>
      <c r="O45" s="11"/>
      <c r="P45" s="6">
        <v>62057.36</v>
      </c>
      <c r="Q45" s="2"/>
      <c r="R45" s="7">
        <f t="shared" si="24"/>
        <v>3.1084938454162495E-2</v>
      </c>
      <c r="S45" s="2"/>
      <c r="T45" s="6">
        <v>4885.1624999999995</v>
      </c>
      <c r="U45" s="2"/>
      <c r="V45" s="7">
        <f t="shared" si="25"/>
        <v>2.4312165283382823E-3</v>
      </c>
      <c r="W45" s="2"/>
      <c r="X45" s="6">
        <f t="shared" si="26"/>
        <v>57172.197500000002</v>
      </c>
      <c r="Y45" s="2"/>
      <c r="Z45" s="7">
        <f t="shared" si="27"/>
        <v>11.70323351577353</v>
      </c>
    </row>
    <row r="46" spans="1:26" s="24" customFormat="1" hidden="1" outlineLevel="2" x14ac:dyDescent="0.25">
      <c r="A46" s="25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25">
      <c r="A47" s="25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7" customFormat="1" outlineLevel="1" collapsed="1" x14ac:dyDescent="0.25">
      <c r="A48" s="26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0</v>
      </c>
      <c r="E48" s="1"/>
      <c r="F48" s="5">
        <f t="shared" ref="F48:F52" si="28">IF(D$12=0,0,D48/D$12)</f>
        <v>0</v>
      </c>
      <c r="G48" s="1"/>
      <c r="H48" s="1">
        <f>SUM(OSRRefH22_2x_0)</f>
        <v>500</v>
      </c>
      <c r="I48" s="1"/>
      <c r="J48" s="5">
        <f t="shared" ref="J48:J52" si="29">IF(H$12=0,0,H48/H$12)</f>
        <v>1.648875302156399E-3</v>
      </c>
      <c r="K48" s="1"/>
      <c r="L48" s="1">
        <f t="shared" ref="L48:L52" si="30">+D48-H48</f>
        <v>-500</v>
      </c>
      <c r="M48" s="1"/>
      <c r="N48" s="5">
        <f t="shared" ref="N48:N52" si="31">IF(H48=0,0,L48/H48)</f>
        <v>-1</v>
      </c>
      <c r="O48" s="13"/>
      <c r="P48" s="1">
        <f>SUM(OSRRefP22_2x_0)</f>
        <v>3020.03</v>
      </c>
      <c r="Q48" s="1"/>
      <c r="R48" s="5">
        <f t="shared" ref="R48:R52" si="32">IF(P$12=0,0,P48/P$12)</f>
        <v>1.5127528254460772E-3</v>
      </c>
      <c r="S48" s="1"/>
      <c r="T48" s="1">
        <f>SUM(OSRRefT22_2x_0)</f>
        <v>4450</v>
      </c>
      <c r="U48" s="1"/>
      <c r="V48" s="5">
        <f t="shared" ref="V48:V52" si="33">IF(T$12=0,0,T48/T$12)</f>
        <v>2.2146476296551767E-3</v>
      </c>
      <c r="W48" s="1"/>
      <c r="X48" s="1">
        <f t="shared" ref="X48:X52" si="34">+P48-T48</f>
        <v>-1429.9699999999998</v>
      </c>
      <c r="Y48" s="1"/>
      <c r="Z48" s="5">
        <f t="shared" ref="Z48:Z52" si="35">IF(T48=0,0,X48/T48)</f>
        <v>-0.32134157303370781</v>
      </c>
    </row>
    <row r="49" spans="1:26" s="24" customFormat="1" hidden="1" outlineLevel="2" x14ac:dyDescent="0.25">
      <c r="A49" s="25"/>
      <c r="B49" s="11" t="str">
        <f>CONCATENATE("          ", "6362", " - ", "ADVERTISING EXPENSE")</f>
        <v xml:space="preserve">          6362 - ADVERTISING EXPENSE</v>
      </c>
      <c r="C49" s="11"/>
      <c r="D49" s="6"/>
      <c r="E49" s="2"/>
      <c r="F49" s="7">
        <f t="shared" si="28"/>
        <v>0</v>
      </c>
      <c r="G49" s="2"/>
      <c r="H49" s="6">
        <v>500</v>
      </c>
      <c r="I49" s="2"/>
      <c r="J49" s="7">
        <f t="shared" si="29"/>
        <v>1.648875302156399E-3</v>
      </c>
      <c r="K49" s="2"/>
      <c r="L49" s="6">
        <f t="shared" si="30"/>
        <v>-500</v>
      </c>
      <c r="M49" s="2"/>
      <c r="N49" s="7">
        <f t="shared" si="31"/>
        <v>-1</v>
      </c>
      <c r="O49" s="11"/>
      <c r="P49" s="6">
        <v>3020.03</v>
      </c>
      <c r="Q49" s="2"/>
      <c r="R49" s="7">
        <f t="shared" si="32"/>
        <v>1.5127528254460772E-3</v>
      </c>
      <c r="S49" s="2"/>
      <c r="T49" s="6">
        <v>4450</v>
      </c>
      <c r="U49" s="2"/>
      <c r="V49" s="7">
        <f t="shared" si="33"/>
        <v>2.2146476296551767E-3</v>
      </c>
      <c r="W49" s="2"/>
      <c r="X49" s="6">
        <f t="shared" si="34"/>
        <v>-1429.9699999999998</v>
      </c>
      <c r="Y49" s="2"/>
      <c r="Z49" s="7">
        <f t="shared" si="35"/>
        <v>-0.32134157303370781</v>
      </c>
    </row>
    <row r="50" spans="1:26" s="27" customFormat="1" outlineLevel="1" collapsed="1" x14ac:dyDescent="0.25">
      <c r="A50" s="26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33.44</v>
      </c>
      <c r="E50" s="1"/>
      <c r="F50" s="5">
        <f t="shared" si="28"/>
        <v>1.4140523823526598E-4</v>
      </c>
      <c r="G50" s="1"/>
      <c r="H50" s="1">
        <f>SUM(OSRRefH22_3x_0)</f>
        <v>70</v>
      </c>
      <c r="I50" s="1"/>
      <c r="J50" s="5">
        <f t="shared" si="29"/>
        <v>2.3084254230189586E-4</v>
      </c>
      <c r="K50" s="1"/>
      <c r="L50" s="1">
        <f t="shared" si="30"/>
        <v>-36.56</v>
      </c>
      <c r="M50" s="1"/>
      <c r="N50" s="5">
        <f t="shared" si="31"/>
        <v>-0.52228571428571435</v>
      </c>
      <c r="O50" s="13"/>
      <c r="P50" s="1">
        <f>SUM(OSRRefP22_3x_0)</f>
        <v>46.62</v>
      </c>
      <c r="Q50" s="1"/>
      <c r="R50" s="5">
        <f t="shared" si="32"/>
        <v>2.3352263627280558E-5</v>
      </c>
      <c r="S50" s="1"/>
      <c r="T50" s="1">
        <f>SUM(OSRRefT22_3x_0)</f>
        <v>560</v>
      </c>
      <c r="U50" s="1"/>
      <c r="V50" s="5">
        <f t="shared" si="33"/>
        <v>2.7869722979930318E-4</v>
      </c>
      <c r="W50" s="1"/>
      <c r="X50" s="1">
        <f t="shared" si="34"/>
        <v>-513.38</v>
      </c>
      <c r="Y50" s="1"/>
      <c r="Z50" s="5">
        <f t="shared" si="35"/>
        <v>-0.91674999999999995</v>
      </c>
    </row>
    <row r="51" spans="1:26" s="24" customFormat="1" hidden="1" outlineLevel="2" x14ac:dyDescent="0.25">
      <c r="A51" s="25"/>
      <c r="B51" s="11" t="str">
        <f>CONCATENATE("          ", "6272", " - ", "CASH (OVER/SHORT)")</f>
        <v xml:space="preserve">          6272 - CASH (OVER/SHORT)</v>
      </c>
      <c r="C51" s="11"/>
      <c r="D51" s="6">
        <v>33.44</v>
      </c>
      <c r="E51" s="2"/>
      <c r="F51" s="7">
        <f t="shared" si="28"/>
        <v>1.4140523823526598E-4</v>
      </c>
      <c r="G51" s="2"/>
      <c r="H51" s="6">
        <v>20</v>
      </c>
      <c r="I51" s="2"/>
      <c r="J51" s="7">
        <f t="shared" si="29"/>
        <v>6.5955012086255961E-5</v>
      </c>
      <c r="K51" s="2"/>
      <c r="L51" s="6">
        <f t="shared" si="30"/>
        <v>13.439999999999998</v>
      </c>
      <c r="M51" s="2"/>
      <c r="N51" s="7">
        <f t="shared" si="31"/>
        <v>0.67199999999999993</v>
      </c>
      <c r="O51" s="11"/>
      <c r="P51" s="6">
        <v>46.62</v>
      </c>
      <c r="Q51" s="2"/>
      <c r="R51" s="7">
        <f t="shared" si="32"/>
        <v>2.3352263627280558E-5</v>
      </c>
      <c r="S51" s="2"/>
      <c r="T51" s="6">
        <v>160</v>
      </c>
      <c r="U51" s="2"/>
      <c r="V51" s="7">
        <f t="shared" si="33"/>
        <v>7.962777994265804E-5</v>
      </c>
      <c r="W51" s="2"/>
      <c r="X51" s="6">
        <f t="shared" si="34"/>
        <v>-113.38</v>
      </c>
      <c r="Y51" s="2"/>
      <c r="Z51" s="7">
        <f t="shared" si="35"/>
        <v>-0.70862499999999995</v>
      </c>
    </row>
    <row r="52" spans="1:26" s="24" customFormat="1" hidden="1" outlineLevel="2" x14ac:dyDescent="0.25">
      <c r="A52" s="25"/>
      <c r="B52" s="11" t="str">
        <f>CONCATENATE("          ", "6342", " - ", "BAD DEBT")</f>
        <v xml:space="preserve">          6342 - BAD DEBT</v>
      </c>
      <c r="C52" s="11"/>
      <c r="D52" s="6"/>
      <c r="E52" s="2"/>
      <c r="F52" s="7">
        <f t="shared" si="28"/>
        <v>0</v>
      </c>
      <c r="G52" s="2"/>
      <c r="H52" s="6">
        <v>50</v>
      </c>
      <c r="I52" s="2"/>
      <c r="J52" s="7">
        <f t="shared" si="29"/>
        <v>1.648875302156399E-4</v>
      </c>
      <c r="K52" s="2"/>
      <c r="L52" s="6">
        <f t="shared" si="30"/>
        <v>-50</v>
      </c>
      <c r="M52" s="2"/>
      <c r="N52" s="7">
        <f t="shared" si="31"/>
        <v>-1</v>
      </c>
      <c r="O52" s="11"/>
      <c r="P52" s="6"/>
      <c r="Q52" s="2"/>
      <c r="R52" s="7">
        <f t="shared" si="32"/>
        <v>0</v>
      </c>
      <c r="S52" s="2"/>
      <c r="T52" s="6">
        <v>400</v>
      </c>
      <c r="U52" s="2"/>
      <c r="V52" s="7">
        <f t="shared" si="33"/>
        <v>1.9906944985664511E-4</v>
      </c>
      <c r="W52" s="2"/>
      <c r="X52" s="6">
        <f t="shared" si="34"/>
        <v>-400</v>
      </c>
      <c r="Y52" s="2"/>
      <c r="Z52" s="7">
        <f t="shared" si="35"/>
        <v>-1</v>
      </c>
    </row>
    <row r="53" spans="1:26" s="27" customFormat="1" outlineLevel="1" collapsed="1" x14ac:dyDescent="0.25">
      <c r="A53" s="26"/>
      <c r="B53" s="13" t="str">
        <f>CONCATENATE("     ","Bank/card Fees                                    ")</f>
        <v xml:space="preserve">     Bank/card Fees                                    </v>
      </c>
      <c r="C53" s="13"/>
      <c r="D53" s="1">
        <f>SUM(OSRRefD22_4x_0)</f>
        <v>4.1900000000000004</v>
      </c>
      <c r="E53" s="1"/>
      <c r="F53" s="5">
        <f t="shared" ref="F53:F73" si="36">IF(D$12=0,0,D53/D$12)</f>
        <v>1.771794103486138E-5</v>
      </c>
      <c r="G53" s="1"/>
      <c r="H53" s="1">
        <f>SUM(OSRRefH22_4x_0)</f>
        <v>20</v>
      </c>
      <c r="I53" s="1"/>
      <c r="J53" s="5">
        <f t="shared" ref="J53:J73" si="37">IF(H$12=0,0,H53/H$12)</f>
        <v>6.5955012086255961E-5</v>
      </c>
      <c r="K53" s="1"/>
      <c r="L53" s="1">
        <f t="shared" ref="L53:L73" si="38">+D53-H53</f>
        <v>-15.809999999999999</v>
      </c>
      <c r="M53" s="1"/>
      <c r="N53" s="5">
        <f t="shared" ref="N53:N73" si="39">IF(H53=0,0,L53/H53)</f>
        <v>-0.79049999999999998</v>
      </c>
      <c r="O53" s="13"/>
      <c r="P53" s="1">
        <f>SUM(OSRRefP22_4x_0)</f>
        <v>70.89</v>
      </c>
      <c r="Q53" s="1"/>
      <c r="R53" s="5">
        <f t="shared" ref="R53:R73" si="40">IF(P$12=0,0,P53/P$12)</f>
        <v>3.5509265734404094E-5</v>
      </c>
      <c r="S53" s="1"/>
      <c r="T53" s="1">
        <f>SUM(OSRRefT22_4x_0)</f>
        <v>180</v>
      </c>
      <c r="U53" s="1"/>
      <c r="V53" s="5">
        <f t="shared" ref="V53:V73" si="41">IF(T$12=0,0,T53/T$12)</f>
        <v>8.9581252435490298E-5</v>
      </c>
      <c r="W53" s="1"/>
      <c r="X53" s="1">
        <f t="shared" ref="X53:X73" si="42">+P53-T53</f>
        <v>-109.11</v>
      </c>
      <c r="Y53" s="1"/>
      <c r="Z53" s="5">
        <f t="shared" ref="Z53:Z73" si="43">IF(T53=0,0,X53/T53)</f>
        <v>-0.60616666666666663</v>
      </c>
    </row>
    <row r="54" spans="1:26" s="24" customFormat="1" hidden="1" outlineLevel="2" x14ac:dyDescent="0.25">
      <c r="A54" s="25"/>
      <c r="B54" s="11" t="str">
        <f>CONCATENATE("          ", "6381", " - ", "BANK/CREDIT CARD FEES")</f>
        <v xml:space="preserve">          6381 - BANK/CREDIT CARD FEES</v>
      </c>
      <c r="C54" s="11"/>
      <c r="D54" s="6">
        <v>4.1900000000000004</v>
      </c>
      <c r="E54" s="2"/>
      <c r="F54" s="7">
        <f t="shared" si="36"/>
        <v>1.771794103486138E-5</v>
      </c>
      <c r="G54" s="2"/>
      <c r="H54" s="6">
        <v>20</v>
      </c>
      <c r="I54" s="2"/>
      <c r="J54" s="7">
        <f t="shared" si="37"/>
        <v>6.5955012086255961E-5</v>
      </c>
      <c r="K54" s="2"/>
      <c r="L54" s="6">
        <f t="shared" si="38"/>
        <v>-15.809999999999999</v>
      </c>
      <c r="M54" s="2"/>
      <c r="N54" s="7">
        <f t="shared" si="39"/>
        <v>-0.79049999999999998</v>
      </c>
      <c r="O54" s="11"/>
      <c r="P54" s="6">
        <v>70.89</v>
      </c>
      <c r="Q54" s="2"/>
      <c r="R54" s="7">
        <f t="shared" si="40"/>
        <v>3.5509265734404094E-5</v>
      </c>
      <c r="S54" s="2"/>
      <c r="T54" s="6">
        <v>180</v>
      </c>
      <c r="U54" s="2"/>
      <c r="V54" s="7">
        <f t="shared" si="41"/>
        <v>8.9581252435490298E-5</v>
      </c>
      <c r="W54" s="2"/>
      <c r="X54" s="6">
        <f t="shared" si="42"/>
        <v>-109.11</v>
      </c>
      <c r="Y54" s="2"/>
      <c r="Z54" s="7">
        <f t="shared" si="43"/>
        <v>-0.60616666666666663</v>
      </c>
    </row>
    <row r="55" spans="1:26" s="27" customFormat="1" outlineLevel="1" collapsed="1" x14ac:dyDescent="0.25">
      <c r="A55" s="26"/>
      <c r="B55" s="13" t="str">
        <f>CONCATENATE("     ","Depreciation                                      ")</f>
        <v xml:space="preserve">     Depreciation                                      </v>
      </c>
      <c r="C55" s="13"/>
      <c r="D55" s="1">
        <f>SUM(OSRRefD22_5x_0)</f>
        <v>213.02</v>
      </c>
      <c r="E55" s="1"/>
      <c r="F55" s="5">
        <f t="shared" si="36"/>
        <v>9.0078181366257072E-4</v>
      </c>
      <c r="G55" s="1"/>
      <c r="H55" s="1">
        <f>SUM(OSRRefH22_5x_0)</f>
        <v>0</v>
      </c>
      <c r="I55" s="1"/>
      <c r="J55" s="5">
        <f t="shared" si="37"/>
        <v>0</v>
      </c>
      <c r="K55" s="1"/>
      <c r="L55" s="1">
        <f t="shared" si="38"/>
        <v>213.02</v>
      </c>
      <c r="M55" s="1"/>
      <c r="N55" s="5">
        <f t="shared" si="39"/>
        <v>0</v>
      </c>
      <c r="O55" s="13"/>
      <c r="P55" s="1">
        <f>SUM(OSRRefP22_5x_0)</f>
        <v>213.02</v>
      </c>
      <c r="Q55" s="1"/>
      <c r="R55" s="5">
        <f t="shared" si="40"/>
        <v>1.067031144977114E-4</v>
      </c>
      <c r="S55" s="1"/>
      <c r="T55" s="1">
        <f>SUM(OSRRefT22_5x_0)</f>
        <v>0</v>
      </c>
      <c r="U55" s="1"/>
      <c r="V55" s="5">
        <f t="shared" si="41"/>
        <v>0</v>
      </c>
      <c r="W55" s="1"/>
      <c r="X55" s="1">
        <f t="shared" si="42"/>
        <v>213.02</v>
      </c>
      <c r="Y55" s="1"/>
      <c r="Z55" s="5">
        <f t="shared" si="43"/>
        <v>0</v>
      </c>
    </row>
    <row r="56" spans="1:26" s="24" customFormat="1" hidden="1" outlineLevel="2" x14ac:dyDescent="0.25">
      <c r="A56" s="25"/>
      <c r="B56" s="11" t="str">
        <f>CONCATENATE("          ", "6322", " - ", "EQUIPMENT DEPRECIATION EXPENSE")</f>
        <v xml:space="preserve">          6322 - EQUIPMENT DEPRECIATION EXPENSE</v>
      </c>
      <c r="C56" s="11"/>
      <c r="D56" s="6">
        <v>213.02</v>
      </c>
      <c r="E56" s="2"/>
      <c r="F56" s="7">
        <f t="shared" si="36"/>
        <v>9.0078181366257072E-4</v>
      </c>
      <c r="G56" s="2"/>
      <c r="H56" s="6"/>
      <c r="I56" s="2"/>
      <c r="J56" s="7">
        <f t="shared" si="37"/>
        <v>0</v>
      </c>
      <c r="K56" s="2"/>
      <c r="L56" s="6">
        <f t="shared" si="38"/>
        <v>213.02</v>
      </c>
      <c r="M56" s="2"/>
      <c r="N56" s="7">
        <f t="shared" si="39"/>
        <v>0</v>
      </c>
      <c r="O56" s="11"/>
      <c r="P56" s="6">
        <v>213.02</v>
      </c>
      <c r="Q56" s="2"/>
      <c r="R56" s="7">
        <f t="shared" si="40"/>
        <v>1.067031144977114E-4</v>
      </c>
      <c r="S56" s="2"/>
      <c r="T56" s="6"/>
      <c r="U56" s="2"/>
      <c r="V56" s="7">
        <f t="shared" si="41"/>
        <v>0</v>
      </c>
      <c r="W56" s="2"/>
      <c r="X56" s="6">
        <f t="shared" si="42"/>
        <v>213.02</v>
      </c>
      <c r="Y56" s="2"/>
      <c r="Z56" s="7">
        <f t="shared" si="43"/>
        <v>0</v>
      </c>
    </row>
    <row r="57" spans="1:26" s="27" customFormat="1" outlineLevel="1" collapsed="1" x14ac:dyDescent="0.25">
      <c r="A57" s="26"/>
      <c r="B57" s="13" t="str">
        <f>CONCATENATE("     ","Donations                                         ")</f>
        <v xml:space="preserve">     Donations                                         </v>
      </c>
      <c r="C57" s="13"/>
      <c r="D57" s="1">
        <f>SUM(OSRRefD22_6x_0)</f>
        <v>2425.92</v>
      </c>
      <c r="E57" s="1"/>
      <c r="F57" s="5">
        <f t="shared" si="36"/>
        <v>1.0258307282885661E-2</v>
      </c>
      <c r="G57" s="1"/>
      <c r="H57" s="1">
        <f>SUM(OSRRefH22_6x_0)</f>
        <v>2729</v>
      </c>
      <c r="I57" s="1"/>
      <c r="J57" s="5">
        <f t="shared" si="37"/>
        <v>8.9995613991696258E-3</v>
      </c>
      <c r="K57" s="1"/>
      <c r="L57" s="1">
        <f t="shared" si="38"/>
        <v>-303.07999999999993</v>
      </c>
      <c r="M57" s="1"/>
      <c r="N57" s="5">
        <f t="shared" si="39"/>
        <v>-0.11105899596921946</v>
      </c>
      <c r="O57" s="13"/>
      <c r="P57" s="1">
        <f>SUM(OSRRefP22_6x_0)</f>
        <v>21140.82</v>
      </c>
      <c r="Q57" s="1"/>
      <c r="R57" s="5">
        <f t="shared" si="40"/>
        <v>1.0589575331121523E-2</v>
      </c>
      <c r="S57" s="1"/>
      <c r="T57" s="1">
        <f>SUM(OSRRefT22_6x_0)</f>
        <v>16363</v>
      </c>
      <c r="U57" s="1"/>
      <c r="V57" s="5">
        <f t="shared" si="41"/>
        <v>8.1434335200107101E-3</v>
      </c>
      <c r="W57" s="1"/>
      <c r="X57" s="1">
        <f t="shared" si="42"/>
        <v>4777.82</v>
      </c>
      <c r="Y57" s="1"/>
      <c r="Z57" s="5">
        <f t="shared" si="43"/>
        <v>0.29198924402615656</v>
      </c>
    </row>
    <row r="58" spans="1:26" s="24" customFormat="1" hidden="1" outlineLevel="2" x14ac:dyDescent="0.25">
      <c r="A58" s="25"/>
      <c r="B58" s="11" t="str">
        <f>CONCATENATE("          ", "6399", " - ", "DONATION-ON CAMPUS")</f>
        <v xml:space="preserve">          6399 - DONATION-ON CAMPUS</v>
      </c>
      <c r="C58" s="11"/>
      <c r="D58" s="6">
        <v>2425.92</v>
      </c>
      <c r="E58" s="2"/>
      <c r="F58" s="7">
        <f t="shared" si="36"/>
        <v>1.0258307282885661E-2</v>
      </c>
      <c r="G58" s="2"/>
      <c r="H58" s="6">
        <v>2729</v>
      </c>
      <c r="I58" s="2"/>
      <c r="J58" s="7">
        <f t="shared" si="37"/>
        <v>8.9995613991696258E-3</v>
      </c>
      <c r="K58" s="2"/>
      <c r="L58" s="6">
        <f t="shared" si="38"/>
        <v>-303.07999999999993</v>
      </c>
      <c r="M58" s="2"/>
      <c r="N58" s="7">
        <f t="shared" si="39"/>
        <v>-0.11105899596921946</v>
      </c>
      <c r="O58" s="11"/>
      <c r="P58" s="6">
        <v>21140.82</v>
      </c>
      <c r="Q58" s="2"/>
      <c r="R58" s="7">
        <f t="shared" si="40"/>
        <v>1.0589575331121523E-2</v>
      </c>
      <c r="S58" s="2"/>
      <c r="T58" s="6">
        <v>16363</v>
      </c>
      <c r="U58" s="2"/>
      <c r="V58" s="7">
        <f t="shared" si="41"/>
        <v>8.1434335200107101E-3</v>
      </c>
      <c r="W58" s="2"/>
      <c r="X58" s="6">
        <f t="shared" si="42"/>
        <v>4777.82</v>
      </c>
      <c r="Y58" s="2"/>
      <c r="Z58" s="7">
        <f t="shared" si="43"/>
        <v>0.29198924402615656</v>
      </c>
    </row>
    <row r="59" spans="1:26" s="27" customFormat="1" outlineLevel="1" collapsed="1" x14ac:dyDescent="0.25">
      <c r="A59" s="26"/>
      <c r="B59" s="13" t="str">
        <f>CONCATENATE("     ","Employees' Appreciation                           ")</f>
        <v xml:space="preserve">     Employees' Appreciation                           </v>
      </c>
      <c r="C59" s="13"/>
      <c r="D59" s="1">
        <f>SUM(OSRRefD22_7x_0)</f>
        <v>0</v>
      </c>
      <c r="E59" s="1"/>
      <c r="F59" s="5">
        <f t="shared" si="36"/>
        <v>0</v>
      </c>
      <c r="G59" s="1"/>
      <c r="H59" s="1">
        <f>SUM(OSRRefH22_7x_0)</f>
        <v>0</v>
      </c>
      <c r="I59" s="1"/>
      <c r="J59" s="5">
        <f t="shared" si="37"/>
        <v>0</v>
      </c>
      <c r="K59" s="1"/>
      <c r="L59" s="1">
        <f t="shared" si="38"/>
        <v>0</v>
      </c>
      <c r="M59" s="1"/>
      <c r="N59" s="5">
        <f t="shared" si="39"/>
        <v>0</v>
      </c>
      <c r="O59" s="13"/>
      <c r="P59" s="1">
        <f>SUM(OSRRefP22_7x_0)</f>
        <v>21.34</v>
      </c>
      <c r="Q59" s="1"/>
      <c r="R59" s="5">
        <f t="shared" si="40"/>
        <v>1.0689345898888185E-5</v>
      </c>
      <c r="S59" s="1"/>
      <c r="T59" s="1">
        <f>SUM(OSRRefT22_7x_0)</f>
        <v>600</v>
      </c>
      <c r="U59" s="1"/>
      <c r="V59" s="5">
        <f t="shared" si="41"/>
        <v>2.9860417478496764E-4</v>
      </c>
      <c r="W59" s="1"/>
      <c r="X59" s="1">
        <f t="shared" si="42"/>
        <v>-578.66</v>
      </c>
      <c r="Y59" s="1"/>
      <c r="Z59" s="5">
        <f t="shared" si="43"/>
        <v>-0.96443333333333325</v>
      </c>
    </row>
    <row r="60" spans="1:26" s="24" customFormat="1" hidden="1" outlineLevel="2" x14ac:dyDescent="0.25">
      <c r="A60" s="25"/>
      <c r="B60" s="11" t="str">
        <f>CONCATENATE("          ", "6277", " - ", "EMPLOYEE APPRECIATION")</f>
        <v xml:space="preserve">          6277 - EMPLOYEE APPRECIATION</v>
      </c>
      <c r="C60" s="11"/>
      <c r="D60" s="6"/>
      <c r="E60" s="2"/>
      <c r="F60" s="7">
        <f t="shared" si="36"/>
        <v>0</v>
      </c>
      <c r="G60" s="2"/>
      <c r="H60" s="6">
        <v>0</v>
      </c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1"/>
      <c r="P60" s="6">
        <v>21.34</v>
      </c>
      <c r="Q60" s="2"/>
      <c r="R60" s="7">
        <f t="shared" si="40"/>
        <v>1.0689345898888185E-5</v>
      </c>
      <c r="S60" s="2"/>
      <c r="T60" s="6">
        <v>600</v>
      </c>
      <c r="U60" s="2"/>
      <c r="V60" s="7">
        <f t="shared" si="41"/>
        <v>2.9860417478496764E-4</v>
      </c>
      <c r="W60" s="2"/>
      <c r="X60" s="6">
        <f t="shared" si="42"/>
        <v>-578.66</v>
      </c>
      <c r="Y60" s="2"/>
      <c r="Z60" s="7">
        <f t="shared" si="43"/>
        <v>-0.96443333333333325</v>
      </c>
    </row>
    <row r="61" spans="1:26" s="27" customFormat="1" outlineLevel="1" collapsed="1" x14ac:dyDescent="0.25">
      <c r="A61" s="26"/>
      <c r="B61" s="13" t="str">
        <f>CONCATENATE("     ","Equipment Rental                                  ")</f>
        <v xml:space="preserve">     Equipment Rental                                  </v>
      </c>
      <c r="C61" s="13"/>
      <c r="D61" s="1">
        <f>SUM(OSRRefD22_8x_0)</f>
        <v>0</v>
      </c>
      <c r="E61" s="1"/>
      <c r="F61" s="5">
        <f t="shared" si="36"/>
        <v>0</v>
      </c>
      <c r="G61" s="1"/>
      <c r="H61" s="1">
        <f>SUM(OSRRefH22_8x_0)</f>
        <v>0</v>
      </c>
      <c r="I61" s="1"/>
      <c r="J61" s="5">
        <f t="shared" si="37"/>
        <v>0</v>
      </c>
      <c r="K61" s="1"/>
      <c r="L61" s="1">
        <f t="shared" si="38"/>
        <v>0</v>
      </c>
      <c r="M61" s="1"/>
      <c r="N61" s="5">
        <f t="shared" si="39"/>
        <v>0</v>
      </c>
      <c r="O61" s="13"/>
      <c r="P61" s="1">
        <f>SUM(OSRRefP22_8x_0)</f>
        <v>0.01</v>
      </c>
      <c r="Q61" s="1"/>
      <c r="R61" s="5">
        <f t="shared" si="40"/>
        <v>5.0090655571172371E-9</v>
      </c>
      <c r="S61" s="1"/>
      <c r="T61" s="1">
        <f>SUM(OSRRefT22_8x_0)</f>
        <v>0</v>
      </c>
      <c r="U61" s="1"/>
      <c r="V61" s="5">
        <f t="shared" si="41"/>
        <v>0</v>
      </c>
      <c r="W61" s="1"/>
      <c r="X61" s="1">
        <f t="shared" si="42"/>
        <v>0.01</v>
      </c>
      <c r="Y61" s="1"/>
      <c r="Z61" s="5">
        <f t="shared" si="43"/>
        <v>0</v>
      </c>
    </row>
    <row r="62" spans="1:26" s="24" customFormat="1" hidden="1" outlineLevel="2" x14ac:dyDescent="0.25">
      <c r="A62" s="25"/>
      <c r="B62" s="11" t="str">
        <f>CONCATENATE("          ", "6351", " - ", "EQUIPMENT RENTAL")</f>
        <v xml:space="preserve">          6351 - EQUIPMENT RENTAL</v>
      </c>
      <c r="C62" s="11"/>
      <c r="D62" s="6"/>
      <c r="E62" s="2"/>
      <c r="F62" s="7">
        <f t="shared" si="36"/>
        <v>0</v>
      </c>
      <c r="G62" s="2"/>
      <c r="H62" s="6"/>
      <c r="I62" s="2"/>
      <c r="J62" s="7">
        <f t="shared" si="37"/>
        <v>0</v>
      </c>
      <c r="K62" s="2"/>
      <c r="L62" s="6">
        <f t="shared" si="38"/>
        <v>0</v>
      </c>
      <c r="M62" s="2"/>
      <c r="N62" s="7">
        <f t="shared" si="39"/>
        <v>0</v>
      </c>
      <c r="O62" s="11"/>
      <c r="P62" s="6">
        <v>0.01</v>
      </c>
      <c r="Q62" s="2"/>
      <c r="R62" s="7">
        <f t="shared" si="40"/>
        <v>5.0090655571172371E-9</v>
      </c>
      <c r="S62" s="2"/>
      <c r="T62" s="6"/>
      <c r="U62" s="2"/>
      <c r="V62" s="7">
        <f t="shared" si="41"/>
        <v>0</v>
      </c>
      <c r="W62" s="2"/>
      <c r="X62" s="6">
        <f t="shared" si="42"/>
        <v>0.01</v>
      </c>
      <c r="Y62" s="2"/>
      <c r="Z62" s="7">
        <f t="shared" si="43"/>
        <v>0</v>
      </c>
    </row>
    <row r="63" spans="1:26" s="27" customFormat="1" outlineLevel="1" collapsed="1" x14ac:dyDescent="0.25">
      <c r="A63" s="26"/>
      <c r="B63" s="13" t="str">
        <f>CONCATENATE("     ","General                                           ")</f>
        <v xml:space="preserve">     General                                           </v>
      </c>
      <c r="C63" s="13"/>
      <c r="D63" s="1">
        <f>SUM(OSRRefD22_9x_0)</f>
        <v>433.32</v>
      </c>
      <c r="E63" s="1"/>
      <c r="F63" s="5">
        <f t="shared" si="36"/>
        <v>1.8323480212950197E-3</v>
      </c>
      <c r="G63" s="1"/>
      <c r="H63" s="1">
        <f>SUM(OSRRefH22_9x_0)</f>
        <v>275</v>
      </c>
      <c r="I63" s="1"/>
      <c r="J63" s="5">
        <f t="shared" si="37"/>
        <v>9.0688141618601946E-4</v>
      </c>
      <c r="K63" s="1"/>
      <c r="L63" s="1">
        <f t="shared" si="38"/>
        <v>158.32</v>
      </c>
      <c r="M63" s="1"/>
      <c r="N63" s="5">
        <f t="shared" si="39"/>
        <v>0.57570909090909084</v>
      </c>
      <c r="O63" s="13"/>
      <c r="P63" s="1">
        <f>SUM(OSRRefP22_9x_0)</f>
        <v>1950.43</v>
      </c>
      <c r="Q63" s="1"/>
      <c r="R63" s="5">
        <f t="shared" si="40"/>
        <v>9.7698317345681733E-4</v>
      </c>
      <c r="S63" s="1"/>
      <c r="T63" s="1">
        <f>SUM(OSRRefT22_9x_0)</f>
        <v>2475</v>
      </c>
      <c r="U63" s="1"/>
      <c r="V63" s="5">
        <f t="shared" si="41"/>
        <v>1.2317422209879917E-3</v>
      </c>
      <c r="W63" s="1"/>
      <c r="X63" s="1">
        <f t="shared" si="42"/>
        <v>-524.56999999999994</v>
      </c>
      <c r="Y63" s="1"/>
      <c r="Z63" s="5">
        <f t="shared" si="43"/>
        <v>-0.21194747474747472</v>
      </c>
    </row>
    <row r="64" spans="1:26" s="24" customFormat="1" hidden="1" outlineLevel="2" x14ac:dyDescent="0.25">
      <c r="A64" s="25"/>
      <c r="B64" s="11" t="str">
        <f>CONCATENATE("          ", "6279", " - ", "GENERAL EXPENSE")</f>
        <v xml:space="preserve">          6279 - GENERAL EXPENSE</v>
      </c>
      <c r="C64" s="11"/>
      <c r="D64" s="6">
        <v>433.32</v>
      </c>
      <c r="E64" s="2"/>
      <c r="F64" s="7">
        <f t="shared" si="36"/>
        <v>1.8323480212950197E-3</v>
      </c>
      <c r="G64" s="2"/>
      <c r="H64" s="6">
        <v>275</v>
      </c>
      <c r="I64" s="2"/>
      <c r="J64" s="7">
        <f t="shared" si="37"/>
        <v>9.0688141618601946E-4</v>
      </c>
      <c r="K64" s="2"/>
      <c r="L64" s="6">
        <f t="shared" si="38"/>
        <v>158.32</v>
      </c>
      <c r="M64" s="2"/>
      <c r="N64" s="7">
        <f t="shared" si="39"/>
        <v>0.57570909090909084</v>
      </c>
      <c r="O64" s="11"/>
      <c r="P64" s="6">
        <v>1950.43</v>
      </c>
      <c r="Q64" s="2"/>
      <c r="R64" s="7">
        <f t="shared" si="40"/>
        <v>9.7698317345681733E-4</v>
      </c>
      <c r="S64" s="2"/>
      <c r="T64" s="6">
        <v>2475</v>
      </c>
      <c r="U64" s="2"/>
      <c r="V64" s="7">
        <f t="shared" si="41"/>
        <v>1.2317422209879917E-3</v>
      </c>
      <c r="W64" s="2"/>
      <c r="X64" s="6">
        <f t="shared" si="42"/>
        <v>-524.56999999999994</v>
      </c>
      <c r="Y64" s="2"/>
      <c r="Z64" s="7">
        <f t="shared" si="43"/>
        <v>-0.21194747474747472</v>
      </c>
    </row>
    <row r="65" spans="1:26" s="27" customFormat="1" outlineLevel="1" collapsed="1" x14ac:dyDescent="0.25">
      <c r="A65" s="26"/>
      <c r="B65" s="13" t="str">
        <f>CONCATENATE("     ","Insurance                                         ")</f>
        <v xml:space="preserve">     Insurance                                         </v>
      </c>
      <c r="C65" s="13"/>
      <c r="D65" s="1">
        <f>SUM(OSRRefD22_10x_0)</f>
        <v>5.9</v>
      </c>
      <c r="E65" s="1"/>
      <c r="F65" s="5">
        <f t="shared" si="36"/>
        <v>2.4948890717346576E-5</v>
      </c>
      <c r="G65" s="1"/>
      <c r="H65" s="1">
        <f>SUM(OSRRefH22_10x_0)</f>
        <v>5</v>
      </c>
      <c r="I65" s="1"/>
      <c r="J65" s="5">
        <f t="shared" si="37"/>
        <v>1.648875302156399E-5</v>
      </c>
      <c r="K65" s="1"/>
      <c r="L65" s="1">
        <f t="shared" si="38"/>
        <v>0.90000000000000036</v>
      </c>
      <c r="M65" s="1"/>
      <c r="N65" s="5">
        <f t="shared" si="39"/>
        <v>0.18000000000000008</v>
      </c>
      <c r="O65" s="13"/>
      <c r="P65" s="1">
        <f>SUM(OSRRefP22_10x_0)</f>
        <v>53.1</v>
      </c>
      <c r="Q65" s="1"/>
      <c r="R65" s="5">
        <f t="shared" si="40"/>
        <v>2.6598138108292531E-5</v>
      </c>
      <c r="S65" s="1"/>
      <c r="T65" s="1">
        <f>SUM(OSRRefT22_10x_0)</f>
        <v>45</v>
      </c>
      <c r="U65" s="1"/>
      <c r="V65" s="5">
        <f t="shared" si="41"/>
        <v>2.2395313108872575E-5</v>
      </c>
      <c r="W65" s="1"/>
      <c r="X65" s="1">
        <f t="shared" si="42"/>
        <v>8.1000000000000014</v>
      </c>
      <c r="Y65" s="1"/>
      <c r="Z65" s="5">
        <f t="shared" si="43"/>
        <v>0.18000000000000002</v>
      </c>
    </row>
    <row r="66" spans="1:26" s="24" customFormat="1" hidden="1" outlineLevel="2" x14ac:dyDescent="0.25">
      <c r="A66" s="25"/>
      <c r="B66" s="11" t="str">
        <f>CONCATENATE("          ", "6314", " - ", "LIABILITY INSURANCE")</f>
        <v xml:space="preserve">          6314 - LIABILITY INSURANCE</v>
      </c>
      <c r="C66" s="11"/>
      <c r="D66" s="6">
        <v>5.9</v>
      </c>
      <c r="E66" s="2"/>
      <c r="F66" s="7">
        <f t="shared" si="36"/>
        <v>2.4948890717346576E-5</v>
      </c>
      <c r="G66" s="2"/>
      <c r="H66" s="6">
        <v>5</v>
      </c>
      <c r="I66" s="2"/>
      <c r="J66" s="7">
        <f t="shared" si="37"/>
        <v>1.648875302156399E-5</v>
      </c>
      <c r="K66" s="2"/>
      <c r="L66" s="6">
        <f t="shared" si="38"/>
        <v>0.90000000000000036</v>
      </c>
      <c r="M66" s="2"/>
      <c r="N66" s="7">
        <f t="shared" si="39"/>
        <v>0.18000000000000008</v>
      </c>
      <c r="O66" s="11"/>
      <c r="P66" s="6">
        <v>53.1</v>
      </c>
      <c r="Q66" s="2"/>
      <c r="R66" s="7">
        <f t="shared" si="40"/>
        <v>2.6598138108292531E-5</v>
      </c>
      <c r="S66" s="2"/>
      <c r="T66" s="6">
        <v>45</v>
      </c>
      <c r="U66" s="2"/>
      <c r="V66" s="7">
        <f t="shared" si="41"/>
        <v>2.2395313108872575E-5</v>
      </c>
      <c r="W66" s="2"/>
      <c r="X66" s="6">
        <f t="shared" si="42"/>
        <v>8.1000000000000014</v>
      </c>
      <c r="Y66" s="2"/>
      <c r="Z66" s="7">
        <f t="shared" si="43"/>
        <v>0.18000000000000002</v>
      </c>
    </row>
    <row r="67" spans="1:26" s="27" customFormat="1" outlineLevel="1" collapsed="1" x14ac:dyDescent="0.25">
      <c r="A67" s="26"/>
      <c r="B67" s="13" t="str">
        <f>CONCATENATE("     ","R/H Commissions                                   ")</f>
        <v xml:space="preserve">     R/H Commissions                                   </v>
      </c>
      <c r="C67" s="13"/>
      <c r="D67" s="1">
        <f>SUM(OSRRefD22_11x_0)</f>
        <v>18587.25</v>
      </c>
      <c r="E67" s="1"/>
      <c r="F67" s="5">
        <f t="shared" si="36"/>
        <v>7.8598520167118657E-2</v>
      </c>
      <c r="G67" s="1"/>
      <c r="H67" s="1">
        <f>SUM(OSRRefH22_11x_0)</f>
        <v>24258</v>
      </c>
      <c r="I67" s="1"/>
      <c r="J67" s="5">
        <f t="shared" si="37"/>
        <v>7.9996834159419855E-2</v>
      </c>
      <c r="K67" s="1"/>
      <c r="L67" s="1">
        <f t="shared" si="38"/>
        <v>-5670.75</v>
      </c>
      <c r="M67" s="1"/>
      <c r="N67" s="5">
        <f t="shared" si="39"/>
        <v>-0.23376824140489735</v>
      </c>
      <c r="O67" s="13"/>
      <c r="P67" s="1">
        <f>SUM(OSRRefP22_11x_0)</f>
        <v>156171.13</v>
      </c>
      <c r="Q67" s="1"/>
      <c r="R67" s="5">
        <f t="shared" si="40"/>
        <v>7.822714282990785E-2</v>
      </c>
      <c r="S67" s="1"/>
      <c r="T67" s="1">
        <f>SUM(OSRRefT22_11x_0)</f>
        <v>160824</v>
      </c>
      <c r="U67" s="1"/>
      <c r="V67" s="5">
        <f t="shared" si="41"/>
        <v>8.0037863009362734E-2</v>
      </c>
      <c r="W67" s="1"/>
      <c r="X67" s="1">
        <f t="shared" si="42"/>
        <v>-4652.8699999999953</v>
      </c>
      <c r="Y67" s="1"/>
      <c r="Z67" s="5">
        <f t="shared" si="43"/>
        <v>-2.8931440581007779E-2</v>
      </c>
    </row>
    <row r="68" spans="1:26" s="24" customFormat="1" hidden="1" outlineLevel="2" x14ac:dyDescent="0.25">
      <c r="A68" s="25"/>
      <c r="B68" s="11" t="str">
        <f>CONCATENATE("          ", "6387", " - ", "COMMISSION DUE HOUSING")</f>
        <v xml:space="preserve">          6387 - COMMISSION DUE HOUSING</v>
      </c>
      <c r="C68" s="11"/>
      <c r="D68" s="6">
        <v>18587.25</v>
      </c>
      <c r="E68" s="2"/>
      <c r="F68" s="7">
        <f t="shared" si="36"/>
        <v>7.8598520167118657E-2</v>
      </c>
      <c r="G68" s="2"/>
      <c r="H68" s="6">
        <v>24258</v>
      </c>
      <c r="I68" s="2"/>
      <c r="J68" s="7">
        <f t="shared" si="37"/>
        <v>7.9996834159419855E-2</v>
      </c>
      <c r="K68" s="2"/>
      <c r="L68" s="6">
        <f t="shared" si="38"/>
        <v>-5670.75</v>
      </c>
      <c r="M68" s="2"/>
      <c r="N68" s="7">
        <f t="shared" si="39"/>
        <v>-0.23376824140489735</v>
      </c>
      <c r="O68" s="11"/>
      <c r="P68" s="6">
        <v>156171.13</v>
      </c>
      <c r="Q68" s="2"/>
      <c r="R68" s="7">
        <f t="shared" si="40"/>
        <v>7.822714282990785E-2</v>
      </c>
      <c r="S68" s="2"/>
      <c r="T68" s="6">
        <v>160824</v>
      </c>
      <c r="U68" s="2"/>
      <c r="V68" s="7">
        <f t="shared" si="41"/>
        <v>8.0037863009362734E-2</v>
      </c>
      <c r="W68" s="2"/>
      <c r="X68" s="6">
        <f t="shared" si="42"/>
        <v>-4652.8699999999953</v>
      </c>
      <c r="Y68" s="2"/>
      <c r="Z68" s="7">
        <f t="shared" si="43"/>
        <v>-2.8931440581007779E-2</v>
      </c>
    </row>
    <row r="69" spans="1:26" s="27" customFormat="1" outlineLevel="1" collapsed="1" x14ac:dyDescent="0.25">
      <c r="A69" s="26"/>
      <c r="B69" s="13" t="str">
        <f>CONCATENATE("     ","Repair and Maintenance                            ")</f>
        <v xml:space="preserve">     Repair and Maintenance                            </v>
      </c>
      <c r="C69" s="13"/>
      <c r="D69" s="1">
        <f>SUM(OSRRefD22_12x_0)</f>
        <v>1626.8899999999999</v>
      </c>
      <c r="E69" s="1"/>
      <c r="F69" s="5">
        <f t="shared" si="36"/>
        <v>6.8795086134142312E-3</v>
      </c>
      <c r="G69" s="1"/>
      <c r="H69" s="1">
        <f>SUM(OSRRefH22_12x_0)</f>
        <v>567</v>
      </c>
      <c r="I69" s="1"/>
      <c r="J69" s="5">
        <f t="shared" si="37"/>
        <v>1.8698245926453566E-3</v>
      </c>
      <c r="K69" s="1"/>
      <c r="L69" s="1">
        <f t="shared" si="38"/>
        <v>1059.8899999999999</v>
      </c>
      <c r="M69" s="1"/>
      <c r="N69" s="5">
        <f t="shared" si="39"/>
        <v>1.8692945326278658</v>
      </c>
      <c r="O69" s="13"/>
      <c r="P69" s="1">
        <f>SUM(OSRRefP22_12x_0)</f>
        <v>212.16</v>
      </c>
      <c r="Q69" s="1"/>
      <c r="R69" s="5">
        <f t="shared" si="40"/>
        <v>1.062723348597993E-4</v>
      </c>
      <c r="S69" s="1"/>
      <c r="T69" s="1">
        <f>SUM(OSRRefT22_12x_0)</f>
        <v>4683</v>
      </c>
      <c r="U69" s="1"/>
      <c r="V69" s="5">
        <f t="shared" si="41"/>
        <v>2.3306055841966727E-3</v>
      </c>
      <c r="W69" s="1"/>
      <c r="X69" s="1">
        <f t="shared" si="42"/>
        <v>-4470.84</v>
      </c>
      <c r="Y69" s="1"/>
      <c r="Z69" s="5">
        <f t="shared" si="43"/>
        <v>-0.95469570787956437</v>
      </c>
    </row>
    <row r="70" spans="1:26" s="24" customFormat="1" hidden="1" outlineLevel="2" x14ac:dyDescent="0.25">
      <c r="A70" s="25"/>
      <c r="B70" s="11" t="str">
        <f>CONCATENATE("          ", "6371", " - ", "COMPUTER SOFTWARE MAINTENANCE")</f>
        <v xml:space="preserve">          6371 - COMPUTER SOFTWARE MAINTENANCE</v>
      </c>
      <c r="C70" s="11"/>
      <c r="D70" s="6"/>
      <c r="E70" s="2"/>
      <c r="F70" s="7">
        <f t="shared" si="36"/>
        <v>0</v>
      </c>
      <c r="G70" s="2"/>
      <c r="H70" s="6">
        <v>497</v>
      </c>
      <c r="I70" s="2"/>
      <c r="J70" s="7">
        <f t="shared" si="37"/>
        <v>1.6389820503434607E-3</v>
      </c>
      <c r="K70" s="2"/>
      <c r="L70" s="6">
        <f t="shared" si="38"/>
        <v>-497</v>
      </c>
      <c r="M70" s="2"/>
      <c r="N70" s="7">
        <f t="shared" si="39"/>
        <v>-1</v>
      </c>
      <c r="O70" s="11"/>
      <c r="P70" s="6"/>
      <c r="Q70" s="2"/>
      <c r="R70" s="7">
        <f t="shared" si="40"/>
        <v>0</v>
      </c>
      <c r="S70" s="2"/>
      <c r="T70" s="6">
        <v>4473</v>
      </c>
      <c r="U70" s="2"/>
      <c r="V70" s="7">
        <f t="shared" si="41"/>
        <v>2.2260941230219339E-3</v>
      </c>
      <c r="W70" s="2"/>
      <c r="X70" s="6">
        <f t="shared" si="42"/>
        <v>-4473</v>
      </c>
      <c r="Y70" s="2"/>
      <c r="Z70" s="7">
        <f t="shared" si="43"/>
        <v>-1</v>
      </c>
    </row>
    <row r="71" spans="1:26" s="24" customFormat="1" hidden="1" outlineLevel="2" x14ac:dyDescent="0.25">
      <c r="A71" s="25"/>
      <c r="B71" s="11" t="str">
        <f>CONCATENATE("          ", "6372", " - ", "COMPUTER HARDWARE MAINTENANCE")</f>
        <v xml:space="preserve">          6372 - COMPUTER HARDWARE MAINTENANCE</v>
      </c>
      <c r="C71" s="11"/>
      <c r="D71" s="6"/>
      <c r="E71" s="2"/>
      <c r="F71" s="7">
        <f t="shared" si="36"/>
        <v>0</v>
      </c>
      <c r="G71" s="2"/>
      <c r="H71" s="6">
        <v>70</v>
      </c>
      <c r="I71" s="2"/>
      <c r="J71" s="7">
        <f t="shared" si="37"/>
        <v>2.3084254230189586E-4</v>
      </c>
      <c r="K71" s="2"/>
      <c r="L71" s="6">
        <f t="shared" si="38"/>
        <v>-70</v>
      </c>
      <c r="M71" s="2"/>
      <c r="N71" s="7">
        <f t="shared" si="39"/>
        <v>-1</v>
      </c>
      <c r="O71" s="11"/>
      <c r="P71" s="6"/>
      <c r="Q71" s="2"/>
      <c r="R71" s="7">
        <f t="shared" si="40"/>
        <v>0</v>
      </c>
      <c r="S71" s="2"/>
      <c r="T71" s="6">
        <v>210</v>
      </c>
      <c r="U71" s="2"/>
      <c r="V71" s="7">
        <f t="shared" si="41"/>
        <v>1.0451146117473869E-4</v>
      </c>
      <c r="W71" s="2"/>
      <c r="X71" s="6">
        <f t="shared" si="42"/>
        <v>-210</v>
      </c>
      <c r="Y71" s="2"/>
      <c r="Z71" s="7">
        <f t="shared" si="43"/>
        <v>-1</v>
      </c>
    </row>
    <row r="72" spans="1:26" s="24" customFormat="1" hidden="1" outlineLevel="2" x14ac:dyDescent="0.25">
      <c r="A72" s="25"/>
      <c r="B72" s="11" t="str">
        <f>CONCATENATE("          ", "6373", " - ", "MAINTENANCE CONTRACTS")</f>
        <v xml:space="preserve">          6373 - MAINTENANCE CONTRACTS</v>
      </c>
      <c r="C72" s="11"/>
      <c r="D72" s="6">
        <v>72.33</v>
      </c>
      <c r="E72" s="2"/>
      <c r="F72" s="7">
        <f t="shared" si="36"/>
        <v>3.0585648569248771E-4</v>
      </c>
      <c r="G72" s="2"/>
      <c r="H72" s="6"/>
      <c r="I72" s="2"/>
      <c r="J72" s="7">
        <f t="shared" si="37"/>
        <v>0</v>
      </c>
      <c r="K72" s="2"/>
      <c r="L72" s="6">
        <f t="shared" si="38"/>
        <v>72.33</v>
      </c>
      <c r="M72" s="2"/>
      <c r="N72" s="7">
        <f t="shared" si="39"/>
        <v>0</v>
      </c>
      <c r="O72" s="11"/>
      <c r="P72" s="6">
        <v>212.16</v>
      </c>
      <c r="Q72" s="2"/>
      <c r="R72" s="7">
        <f t="shared" si="40"/>
        <v>1.062723348597993E-4</v>
      </c>
      <c r="S72" s="2"/>
      <c r="T72" s="6"/>
      <c r="U72" s="2"/>
      <c r="V72" s="7">
        <f t="shared" si="41"/>
        <v>0</v>
      </c>
      <c r="W72" s="2"/>
      <c r="X72" s="6">
        <f t="shared" si="42"/>
        <v>212.16</v>
      </c>
      <c r="Y72" s="2"/>
      <c r="Z72" s="7">
        <f t="shared" si="43"/>
        <v>0</v>
      </c>
    </row>
    <row r="73" spans="1:26" s="24" customFormat="1" hidden="1" outlineLevel="2" x14ac:dyDescent="0.25">
      <c r="A73" s="25"/>
      <c r="B73" s="11" t="str">
        <f>CONCATENATE("          ", "6375", " - ", "OUTSIDE REPAIRS &amp; MAINTENANCE")</f>
        <v xml:space="preserve">          6375 - OUTSIDE REPAIRS &amp; MAINTENANCE</v>
      </c>
      <c r="C73" s="11"/>
      <c r="D73" s="6">
        <v>1554.56</v>
      </c>
      <c r="E73" s="2"/>
      <c r="F73" s="7">
        <f t="shared" si="36"/>
        <v>6.573652127721743E-3</v>
      </c>
      <c r="G73" s="2"/>
      <c r="H73" s="6"/>
      <c r="I73" s="2"/>
      <c r="J73" s="7">
        <f t="shared" si="37"/>
        <v>0</v>
      </c>
      <c r="K73" s="2"/>
      <c r="L73" s="6">
        <f t="shared" si="38"/>
        <v>1554.56</v>
      </c>
      <c r="M73" s="2"/>
      <c r="N73" s="7">
        <f t="shared" si="39"/>
        <v>0</v>
      </c>
      <c r="O73" s="11"/>
      <c r="P73" s="6">
        <v>0</v>
      </c>
      <c r="Q73" s="2"/>
      <c r="R73" s="7">
        <f t="shared" si="40"/>
        <v>0</v>
      </c>
      <c r="S73" s="2"/>
      <c r="T73" s="6"/>
      <c r="U73" s="2"/>
      <c r="V73" s="7">
        <f t="shared" si="41"/>
        <v>0</v>
      </c>
      <c r="W73" s="2"/>
      <c r="X73" s="6">
        <f t="shared" si="42"/>
        <v>0</v>
      </c>
      <c r="Y73" s="2"/>
      <c r="Z73" s="7">
        <f t="shared" si="43"/>
        <v>0</v>
      </c>
    </row>
    <row r="74" spans="1:26" s="27" customFormat="1" outlineLevel="1" collapsed="1" x14ac:dyDescent="0.25">
      <c r="A74" s="26"/>
      <c r="B74" s="13" t="str">
        <f>CONCATENATE("     ","Services                                          ")</f>
        <v xml:space="preserve">     Services                                          </v>
      </c>
      <c r="C74" s="13"/>
      <c r="D74" s="1">
        <f>SUM(OSRRefD22_13x_0)</f>
        <v>7110.06</v>
      </c>
      <c r="E74" s="1"/>
      <c r="F74" s="5">
        <f t="shared" ref="F74:F77" si="44">IF(D$12=0,0,D74/D$12)</f>
        <v>3.0065781344707998E-2</v>
      </c>
      <c r="G74" s="1"/>
      <c r="H74" s="1">
        <f>SUM(OSRRefH22_13x_0)</f>
        <v>6202</v>
      </c>
      <c r="I74" s="1"/>
      <c r="J74" s="5">
        <f t="shared" ref="J74:J77" si="45">IF(H$12=0,0,H74/H$12)</f>
        <v>2.0452649247947974E-2</v>
      </c>
      <c r="K74" s="1"/>
      <c r="L74" s="1">
        <f t="shared" ref="L74:L77" si="46">+D74-H74</f>
        <v>908.0600000000004</v>
      </c>
      <c r="M74" s="1"/>
      <c r="N74" s="5">
        <f t="shared" ref="N74:N77" si="47">IF(H74=0,0,L74/H74)</f>
        <v>0.14641405998065146</v>
      </c>
      <c r="O74" s="13"/>
      <c r="P74" s="1">
        <f>SUM(OSRRefP22_13x_0)</f>
        <v>56209.049999999996</v>
      </c>
      <c r="Q74" s="1"/>
      <c r="R74" s="5">
        <f t="shared" ref="R74:R77" si="48">IF(P$12=0,0,P74/P$12)</f>
        <v>2.8155481635328064E-2</v>
      </c>
      <c r="S74" s="1"/>
      <c r="T74" s="1">
        <f>SUM(OSRRefT22_13x_0)</f>
        <v>50366</v>
      </c>
      <c r="U74" s="1"/>
      <c r="V74" s="5">
        <f t="shared" ref="V74:V77" si="49">IF(T$12=0,0,T74/T$12)</f>
        <v>2.5065829778699471E-2</v>
      </c>
      <c r="W74" s="1"/>
      <c r="X74" s="1">
        <f t="shared" ref="X74:X77" si="50">+P74-T74</f>
        <v>5843.0499999999956</v>
      </c>
      <c r="Y74" s="1"/>
      <c r="Z74" s="5">
        <f t="shared" ref="Z74:Z77" si="51">IF(T74=0,0,X74/T74)</f>
        <v>0.11601179367033307</v>
      </c>
    </row>
    <row r="75" spans="1:26" s="24" customFormat="1" hidden="1" outlineLevel="2" x14ac:dyDescent="0.25">
      <c r="A75" s="25"/>
      <c r="B75" s="11" t="str">
        <f>CONCATENATE("          ", "6282", " - ", "JANITORIAL/EXTERMINATOR EXPENS")</f>
        <v xml:space="preserve">          6282 - JANITORIAL/EXTERMINATOR EXPENS</v>
      </c>
      <c r="C75" s="11"/>
      <c r="D75" s="6">
        <v>597.87</v>
      </c>
      <c r="E75" s="2"/>
      <c r="F75" s="7">
        <f t="shared" si="44"/>
        <v>2.5281683547762703E-3</v>
      </c>
      <c r="G75" s="2"/>
      <c r="H75" s="6">
        <v>750</v>
      </c>
      <c r="I75" s="2"/>
      <c r="J75" s="7">
        <f t="shared" si="45"/>
        <v>2.4733129532345985E-3</v>
      </c>
      <c r="K75" s="2"/>
      <c r="L75" s="6">
        <f t="shared" si="46"/>
        <v>-152.13</v>
      </c>
      <c r="M75" s="2"/>
      <c r="N75" s="7">
        <f t="shared" si="47"/>
        <v>-0.20283999999999999</v>
      </c>
      <c r="O75" s="11"/>
      <c r="P75" s="6">
        <v>6774.63</v>
      </c>
      <c r="Q75" s="2"/>
      <c r="R75" s="7">
        <f t="shared" si="48"/>
        <v>3.393456579521315E-3</v>
      </c>
      <c r="S75" s="2"/>
      <c r="T75" s="6">
        <v>6750</v>
      </c>
      <c r="U75" s="2"/>
      <c r="V75" s="7">
        <f t="shared" si="49"/>
        <v>3.3592969663308863E-3</v>
      </c>
      <c r="W75" s="2"/>
      <c r="X75" s="6">
        <f t="shared" si="50"/>
        <v>24.630000000000109</v>
      </c>
      <c r="Y75" s="2"/>
      <c r="Z75" s="7">
        <f t="shared" si="51"/>
        <v>3.6488888888889051E-3</v>
      </c>
    </row>
    <row r="76" spans="1:26" s="24" customFormat="1" hidden="1" outlineLevel="2" x14ac:dyDescent="0.25">
      <c r="A76" s="25"/>
      <c r="B76" s="11" t="str">
        <f>CONCATENATE("          ", "6285", " - ", "JANITORIAL SERVICES")</f>
        <v xml:space="preserve">          6285 - JANITORIAL SERVICES</v>
      </c>
      <c r="C76" s="11"/>
      <c r="D76" s="6">
        <v>5154.3500000000004</v>
      </c>
      <c r="E76" s="2"/>
      <c r="F76" s="7">
        <f t="shared" si="44"/>
        <v>2.1795816079483953E-2</v>
      </c>
      <c r="G76" s="2"/>
      <c r="H76" s="6">
        <v>3852</v>
      </c>
      <c r="I76" s="2"/>
      <c r="J76" s="7">
        <f t="shared" si="45"/>
        <v>1.2702935327812899E-2</v>
      </c>
      <c r="K76" s="2"/>
      <c r="L76" s="6">
        <f t="shared" si="46"/>
        <v>1302.3500000000004</v>
      </c>
      <c r="M76" s="2"/>
      <c r="N76" s="7">
        <f t="shared" si="47"/>
        <v>0.3380970924195224</v>
      </c>
      <c r="O76" s="11"/>
      <c r="P76" s="6">
        <v>36329.57</v>
      </c>
      <c r="Q76" s="2"/>
      <c r="R76" s="7">
        <f t="shared" si="48"/>
        <v>1.8197719779187965E-2</v>
      </c>
      <c r="S76" s="2"/>
      <c r="T76" s="6">
        <v>30816</v>
      </c>
      <c r="U76" s="2"/>
      <c r="V76" s="7">
        <f t="shared" si="49"/>
        <v>1.5336310416955939E-2</v>
      </c>
      <c r="W76" s="2"/>
      <c r="X76" s="6">
        <f t="shared" si="50"/>
        <v>5513.57</v>
      </c>
      <c r="Y76" s="2"/>
      <c r="Z76" s="7">
        <f t="shared" si="51"/>
        <v>0.17891906801661472</v>
      </c>
    </row>
    <row r="77" spans="1:26" s="24" customFormat="1" hidden="1" outlineLevel="2" x14ac:dyDescent="0.25">
      <c r="A77" s="25"/>
      <c r="B77" s="11" t="str">
        <f>CONCATENATE("          ", "6286", " - ", "LAUNDRY EXPENSE")</f>
        <v xml:space="preserve">          6286 - LAUNDRY EXPENSE</v>
      </c>
      <c r="C77" s="11"/>
      <c r="D77" s="6">
        <v>1357.84</v>
      </c>
      <c r="E77" s="2"/>
      <c r="F77" s="7">
        <f t="shared" si="44"/>
        <v>5.741796910447774E-3</v>
      </c>
      <c r="G77" s="2"/>
      <c r="H77" s="6">
        <v>1600</v>
      </c>
      <c r="I77" s="2"/>
      <c r="J77" s="7">
        <f t="shared" si="45"/>
        <v>5.2764009669004769E-3</v>
      </c>
      <c r="K77" s="2"/>
      <c r="L77" s="6">
        <f t="shared" si="46"/>
        <v>-242.16000000000008</v>
      </c>
      <c r="M77" s="2"/>
      <c r="N77" s="7">
        <f t="shared" si="47"/>
        <v>-0.15135000000000004</v>
      </c>
      <c r="O77" s="11"/>
      <c r="P77" s="6">
        <v>13104.85</v>
      </c>
      <c r="Q77" s="2"/>
      <c r="R77" s="7">
        <f t="shared" si="48"/>
        <v>6.5643052766187829E-3</v>
      </c>
      <c r="S77" s="2"/>
      <c r="T77" s="6">
        <v>12800</v>
      </c>
      <c r="U77" s="2"/>
      <c r="V77" s="7">
        <f t="shared" si="49"/>
        <v>6.3702223954126436E-3</v>
      </c>
      <c r="W77" s="2"/>
      <c r="X77" s="6">
        <f t="shared" si="50"/>
        <v>304.85000000000036</v>
      </c>
      <c r="Y77" s="2"/>
      <c r="Z77" s="7">
        <f t="shared" si="51"/>
        <v>2.3816406250000029E-2</v>
      </c>
    </row>
    <row r="78" spans="1:26" s="27" customFormat="1" outlineLevel="1" collapsed="1" x14ac:dyDescent="0.25">
      <c r="A78" s="26"/>
      <c r="B78" s="13" t="str">
        <f>CONCATENATE("     ","Supplies                                          ")</f>
        <v xml:space="preserve">     Supplies                                          </v>
      </c>
      <c r="C78" s="13"/>
      <c r="D78" s="1">
        <f>SUM(OSRRefD22_14x_0)</f>
        <v>3600.6</v>
      </c>
      <c r="E78" s="1"/>
      <c r="F78" s="5">
        <f t="shared" ref="F78:F84" si="52">IF(D$12=0,0,D78/D$12)</f>
        <v>1.5225589138453909E-2</v>
      </c>
      <c r="G78" s="1"/>
      <c r="H78" s="1">
        <f>SUM(OSRRefH22_14x_0)</f>
        <v>5088</v>
      </c>
      <c r="I78" s="1"/>
      <c r="J78" s="5">
        <f t="shared" ref="J78:J84" si="53">IF(H$12=0,0,H78/H$12)</f>
        <v>1.6778955074743519E-2</v>
      </c>
      <c r="K78" s="1"/>
      <c r="L78" s="1">
        <f t="shared" ref="L78:L84" si="54">+D78-H78</f>
        <v>-1487.4</v>
      </c>
      <c r="M78" s="1"/>
      <c r="N78" s="5">
        <f t="shared" ref="N78:N84" si="55">IF(H78=0,0,L78/H78)</f>
        <v>-0.2923349056603774</v>
      </c>
      <c r="O78" s="13"/>
      <c r="P78" s="1">
        <f>SUM(OSRRefP22_14x_0)</f>
        <v>42740.600000000006</v>
      </c>
      <c r="Q78" s="1"/>
      <c r="R78" s="5">
        <f t="shared" ref="R78:R84" si="56">IF(P$12=0,0,P78/P$12)</f>
        <v>2.1409046735052503E-2</v>
      </c>
      <c r="S78" s="1"/>
      <c r="T78" s="1">
        <f>SUM(OSRRefT22_14x_0)</f>
        <v>46704</v>
      </c>
      <c r="U78" s="1"/>
      <c r="V78" s="5">
        <f t="shared" ref="V78:V84" si="57">IF(T$12=0,0,T78/T$12)</f>
        <v>2.3243348965261885E-2</v>
      </c>
      <c r="W78" s="1"/>
      <c r="X78" s="1">
        <f t="shared" ref="X78:X84" si="58">+P78-T78</f>
        <v>-3963.3999999999942</v>
      </c>
      <c r="Y78" s="1"/>
      <c r="Z78" s="5">
        <f t="shared" ref="Z78:Z84" si="59">IF(T78=0,0,X78/T78)</f>
        <v>-8.4862110311750477E-2</v>
      </c>
    </row>
    <row r="79" spans="1:26" s="24" customFormat="1" hidden="1" outlineLevel="2" x14ac:dyDescent="0.25">
      <c r="A79" s="25"/>
      <c r="B79" s="11" t="str">
        <f>CONCATENATE("          ", "6237", " - ", "JANITORIAL SUPPLIES")</f>
        <v xml:space="preserve">          6237 - JANITORIAL SUPPLIES</v>
      </c>
      <c r="C79" s="11"/>
      <c r="D79" s="6">
        <v>1257.8599999999999</v>
      </c>
      <c r="E79" s="2"/>
      <c r="F79" s="7">
        <f t="shared" si="52"/>
        <v>5.3190189284273827E-3</v>
      </c>
      <c r="G79" s="2"/>
      <c r="H79" s="6">
        <v>2005</v>
      </c>
      <c r="I79" s="2"/>
      <c r="J79" s="7">
        <f t="shared" si="53"/>
        <v>6.6119899616471607E-3</v>
      </c>
      <c r="K79" s="2"/>
      <c r="L79" s="6">
        <f t="shared" si="54"/>
        <v>-747.1400000000001</v>
      </c>
      <c r="M79" s="2"/>
      <c r="N79" s="7">
        <f t="shared" si="55"/>
        <v>-0.37263840399002501</v>
      </c>
      <c r="O79" s="11"/>
      <c r="P79" s="6">
        <v>11931.07</v>
      </c>
      <c r="Q79" s="2"/>
      <c r="R79" s="7">
        <f t="shared" si="56"/>
        <v>5.9763511796554758E-3</v>
      </c>
      <c r="S79" s="2"/>
      <c r="T79" s="6">
        <v>16040</v>
      </c>
      <c r="U79" s="2"/>
      <c r="V79" s="7">
        <f t="shared" si="57"/>
        <v>7.9826849392514686E-3</v>
      </c>
      <c r="W79" s="2"/>
      <c r="X79" s="6">
        <f t="shared" si="58"/>
        <v>-4108.93</v>
      </c>
      <c r="Y79" s="2"/>
      <c r="Z79" s="7">
        <f t="shared" si="59"/>
        <v>-0.25616770573566089</v>
      </c>
    </row>
    <row r="80" spans="1:26" s="24" customFormat="1" hidden="1" outlineLevel="2" x14ac:dyDescent="0.25">
      <c r="A80" s="25"/>
      <c r="B80" s="11" t="str">
        <f>CONCATENATE("          ", "6239", " - ", "KITCHEN SUPPLIES")</f>
        <v xml:space="preserve">          6239 - KITCHEN SUPPLIES</v>
      </c>
      <c r="C80" s="11"/>
      <c r="D80" s="6">
        <v>86.58</v>
      </c>
      <c r="E80" s="2"/>
      <c r="F80" s="7">
        <f t="shared" si="52"/>
        <v>3.6611439971319767E-4</v>
      </c>
      <c r="G80" s="2"/>
      <c r="H80" s="6">
        <v>750</v>
      </c>
      <c r="I80" s="2"/>
      <c r="J80" s="7">
        <f t="shared" si="53"/>
        <v>2.4733129532345985E-3</v>
      </c>
      <c r="K80" s="2"/>
      <c r="L80" s="6">
        <f t="shared" si="54"/>
        <v>-663.42</v>
      </c>
      <c r="M80" s="2"/>
      <c r="N80" s="7">
        <f t="shared" si="55"/>
        <v>-0.8845599999999999</v>
      </c>
      <c r="O80" s="11"/>
      <c r="P80" s="6">
        <v>4550.0600000000004</v>
      </c>
      <c r="Q80" s="2"/>
      <c r="R80" s="7">
        <f t="shared" si="56"/>
        <v>2.279154882881686E-3</v>
      </c>
      <c r="S80" s="2"/>
      <c r="T80" s="6">
        <v>6000</v>
      </c>
      <c r="U80" s="2"/>
      <c r="V80" s="7">
        <f t="shared" si="57"/>
        <v>2.9860417478496768E-3</v>
      </c>
      <c r="W80" s="2"/>
      <c r="X80" s="6">
        <f t="shared" si="58"/>
        <v>-1449.9399999999996</v>
      </c>
      <c r="Y80" s="2"/>
      <c r="Z80" s="7">
        <f t="shared" si="59"/>
        <v>-0.2416566666666666</v>
      </c>
    </row>
    <row r="81" spans="1:26" s="24" customFormat="1" hidden="1" outlineLevel="2" x14ac:dyDescent="0.25">
      <c r="A81" s="25"/>
      <c r="B81" s="11" t="str">
        <f>CONCATENATE("          ", "6241", " - ", "OFFICE EXPENSE")</f>
        <v xml:space="preserve">          6241 - OFFICE EXPENSE</v>
      </c>
      <c r="C81" s="11"/>
      <c r="D81" s="6">
        <v>244.72</v>
      </c>
      <c r="E81" s="2"/>
      <c r="F81" s="7">
        <f t="shared" si="52"/>
        <v>1.034829243448992E-3</v>
      </c>
      <c r="G81" s="2"/>
      <c r="H81" s="6">
        <v>524</v>
      </c>
      <c r="I81" s="2"/>
      <c r="J81" s="7">
        <f t="shared" si="53"/>
        <v>1.7280213166599064E-3</v>
      </c>
      <c r="K81" s="2"/>
      <c r="L81" s="6">
        <f t="shared" si="54"/>
        <v>-279.27999999999997</v>
      </c>
      <c r="M81" s="2"/>
      <c r="N81" s="7">
        <f t="shared" si="55"/>
        <v>-0.53297709923664116</v>
      </c>
      <c r="O81" s="11"/>
      <c r="P81" s="6">
        <v>18733.82</v>
      </c>
      <c r="Q81" s="2"/>
      <c r="R81" s="7">
        <f t="shared" si="56"/>
        <v>9.3838932515234036E-3</v>
      </c>
      <c r="S81" s="2"/>
      <c r="T81" s="6">
        <v>4192</v>
      </c>
      <c r="U81" s="2"/>
      <c r="V81" s="7">
        <f t="shared" si="57"/>
        <v>2.086247834497641E-3</v>
      </c>
      <c r="W81" s="2"/>
      <c r="X81" s="6">
        <f t="shared" si="58"/>
        <v>14541.82</v>
      </c>
      <c r="Y81" s="2"/>
      <c r="Z81" s="7">
        <f t="shared" si="59"/>
        <v>3.4689456106870229</v>
      </c>
    </row>
    <row r="82" spans="1:26" s="24" customFormat="1" hidden="1" outlineLevel="2" x14ac:dyDescent="0.25">
      <c r="A82" s="25"/>
      <c r="B82" s="11" t="str">
        <f>CONCATENATE("          ", "6243", " - ", "PAPER SUPPLIES")</f>
        <v xml:space="preserve">          6243 - PAPER SUPPLIES</v>
      </c>
      <c r="C82" s="11"/>
      <c r="D82" s="6">
        <v>2011.44</v>
      </c>
      <c r="E82" s="2"/>
      <c r="F82" s="7">
        <f t="shared" si="52"/>
        <v>8.5056265668643372E-3</v>
      </c>
      <c r="G82" s="2"/>
      <c r="H82" s="6">
        <v>1809</v>
      </c>
      <c r="I82" s="2"/>
      <c r="J82" s="7">
        <f t="shared" si="53"/>
        <v>5.9656308432018516E-3</v>
      </c>
      <c r="K82" s="2"/>
      <c r="L82" s="6">
        <f t="shared" si="54"/>
        <v>202.44000000000005</v>
      </c>
      <c r="M82" s="2"/>
      <c r="N82" s="7">
        <f t="shared" si="55"/>
        <v>0.11190713101160865</v>
      </c>
      <c r="O82" s="11"/>
      <c r="P82" s="6">
        <v>14386.16</v>
      </c>
      <c r="Q82" s="2"/>
      <c r="R82" s="7">
        <f t="shared" si="56"/>
        <v>7.2061218555177714E-3</v>
      </c>
      <c r="S82" s="2"/>
      <c r="T82" s="6">
        <v>14472</v>
      </c>
      <c r="U82" s="2"/>
      <c r="V82" s="7">
        <f t="shared" si="57"/>
        <v>7.2023326958134204E-3</v>
      </c>
      <c r="W82" s="2"/>
      <c r="X82" s="6">
        <f t="shared" si="58"/>
        <v>-85.840000000000146</v>
      </c>
      <c r="Y82" s="2"/>
      <c r="Z82" s="7">
        <f t="shared" si="59"/>
        <v>-5.9314538419016133E-3</v>
      </c>
    </row>
    <row r="83" spans="1:26" s="24" customFormat="1" hidden="1" outlineLevel="2" x14ac:dyDescent="0.25">
      <c r="A83" s="25"/>
      <c r="B83" s="11" t="str">
        <f>CONCATENATE("          ", "6245", " - ", "PRINTING")</f>
        <v xml:space="preserve">          6245 - PRINTING</v>
      </c>
      <c r="C83" s="11"/>
      <c r="D83" s="6"/>
      <c r="E83" s="2"/>
      <c r="F83" s="7">
        <f t="shared" si="52"/>
        <v>0</v>
      </c>
      <c r="G83" s="2"/>
      <c r="H83" s="6"/>
      <c r="I83" s="2"/>
      <c r="J83" s="7">
        <f t="shared" si="53"/>
        <v>0</v>
      </c>
      <c r="K83" s="2"/>
      <c r="L83" s="6">
        <f t="shared" si="54"/>
        <v>0</v>
      </c>
      <c r="M83" s="2"/>
      <c r="N83" s="7">
        <f t="shared" si="55"/>
        <v>0</v>
      </c>
      <c r="O83" s="11"/>
      <c r="P83" s="6">
        <v>469.44</v>
      </c>
      <c r="Q83" s="2"/>
      <c r="R83" s="7">
        <f t="shared" si="56"/>
        <v>2.3514557351331157E-4</v>
      </c>
      <c r="S83" s="2"/>
      <c r="T83" s="6"/>
      <c r="U83" s="2"/>
      <c r="V83" s="7">
        <f t="shared" si="57"/>
        <v>0</v>
      </c>
      <c r="W83" s="2"/>
      <c r="X83" s="6">
        <f t="shared" si="58"/>
        <v>469.44</v>
      </c>
      <c r="Y83" s="2"/>
      <c r="Z83" s="7">
        <f t="shared" si="59"/>
        <v>0</v>
      </c>
    </row>
    <row r="84" spans="1:26" s="24" customFormat="1" hidden="1" outlineLevel="2" x14ac:dyDescent="0.25">
      <c r="A84" s="25"/>
      <c r="B84" s="11" t="str">
        <f>CONCATENATE("          ", "6248", " - ", "UNIFORMS")</f>
        <v xml:space="preserve">          6248 - UNIFORMS</v>
      </c>
      <c r="C84" s="11"/>
      <c r="D84" s="6"/>
      <c r="E84" s="2"/>
      <c r="F84" s="7">
        <f t="shared" si="52"/>
        <v>0</v>
      </c>
      <c r="G84" s="2"/>
      <c r="H84" s="6"/>
      <c r="I84" s="2"/>
      <c r="J84" s="7">
        <f t="shared" si="53"/>
        <v>0</v>
      </c>
      <c r="K84" s="2"/>
      <c r="L84" s="6">
        <f t="shared" si="54"/>
        <v>0</v>
      </c>
      <c r="M84" s="2"/>
      <c r="N84" s="7">
        <f t="shared" si="55"/>
        <v>0</v>
      </c>
      <c r="O84" s="11"/>
      <c r="P84" s="6">
        <v>-7329.95</v>
      </c>
      <c r="Q84" s="2"/>
      <c r="R84" s="7">
        <f t="shared" si="56"/>
        <v>-3.6716200080391492E-3</v>
      </c>
      <c r="S84" s="2"/>
      <c r="T84" s="6">
        <v>6000</v>
      </c>
      <c r="U84" s="2"/>
      <c r="V84" s="7">
        <f t="shared" si="57"/>
        <v>2.9860417478496768E-3</v>
      </c>
      <c r="W84" s="2"/>
      <c r="X84" s="6">
        <f t="shared" si="58"/>
        <v>-13329.95</v>
      </c>
      <c r="Y84" s="2"/>
      <c r="Z84" s="7">
        <f t="shared" si="59"/>
        <v>-2.2216583333333335</v>
      </c>
    </row>
    <row r="85" spans="1:26" s="27" customFormat="1" outlineLevel="1" collapsed="1" x14ac:dyDescent="0.25">
      <c r="A85" s="26"/>
      <c r="B85" s="13" t="str">
        <f>CONCATENATE("     ","Telephone/Data Lines                              ")</f>
        <v xml:space="preserve">     Telephone/Data Lines                              </v>
      </c>
      <c r="C85" s="13"/>
      <c r="D85" s="1">
        <f>SUM(OSRRefD22_15x_0)</f>
        <v>161.4</v>
      </c>
      <c r="E85" s="1"/>
      <c r="F85" s="5">
        <f t="shared" ref="F85:F91" si="60">IF(D$12=0,0,D85/D$12)</f>
        <v>6.8250016301351474E-4</v>
      </c>
      <c r="G85" s="1"/>
      <c r="H85" s="1">
        <f>SUM(OSRRefH22_15x_0)</f>
        <v>233</v>
      </c>
      <c r="I85" s="1"/>
      <c r="J85" s="5">
        <f t="shared" ref="J85:J91" si="61">IF(H$12=0,0,H85/H$12)</f>
        <v>7.6837589080488197E-4</v>
      </c>
      <c r="K85" s="1"/>
      <c r="L85" s="1">
        <f t="shared" ref="L85:L91" si="62">+D85-H85</f>
        <v>-71.599999999999994</v>
      </c>
      <c r="M85" s="1"/>
      <c r="N85" s="5">
        <f t="shared" ref="N85:N91" si="63">IF(H85=0,0,L85/H85)</f>
        <v>-0.30729613733905575</v>
      </c>
      <c r="O85" s="13"/>
      <c r="P85" s="1">
        <f>SUM(OSRRefP22_15x_0)</f>
        <v>1271.4000000000001</v>
      </c>
      <c r="Q85" s="1"/>
      <c r="R85" s="5">
        <f t="shared" ref="R85:R91" si="64">IF(P$12=0,0,P85/P$12)</f>
        <v>6.3685259493188558E-4</v>
      </c>
      <c r="S85" s="1"/>
      <c r="T85" s="1">
        <f>SUM(OSRRefT22_15x_0)</f>
        <v>2097</v>
      </c>
      <c r="U85" s="1"/>
      <c r="V85" s="5">
        <f t="shared" ref="V85:V91" si="65">IF(T$12=0,0,T85/T$12)</f>
        <v>1.0436215908734619E-3</v>
      </c>
      <c r="W85" s="1"/>
      <c r="X85" s="1">
        <f t="shared" ref="X85:X91" si="66">+P85-T85</f>
        <v>-825.59999999999991</v>
      </c>
      <c r="Y85" s="1"/>
      <c r="Z85" s="5">
        <f t="shared" ref="Z85:Z91" si="67">IF(T85=0,0,X85/T85)</f>
        <v>-0.3937052932761087</v>
      </c>
    </row>
    <row r="86" spans="1:26" s="24" customFormat="1" hidden="1" outlineLevel="2" x14ac:dyDescent="0.25">
      <c r="A86" s="25"/>
      <c r="B86" s="11" t="str">
        <f>CONCATENATE("          ", "6309", " - ", "TELEPHONE")</f>
        <v xml:space="preserve">          6309 - TELEPHONE</v>
      </c>
      <c r="C86" s="11"/>
      <c r="D86" s="6">
        <v>161.4</v>
      </c>
      <c r="E86" s="2"/>
      <c r="F86" s="7">
        <f t="shared" si="60"/>
        <v>6.8250016301351474E-4</v>
      </c>
      <c r="G86" s="2"/>
      <c r="H86" s="6">
        <v>233</v>
      </c>
      <c r="I86" s="2"/>
      <c r="J86" s="7">
        <f t="shared" si="61"/>
        <v>7.6837589080488197E-4</v>
      </c>
      <c r="K86" s="2"/>
      <c r="L86" s="6">
        <f t="shared" si="62"/>
        <v>-71.599999999999994</v>
      </c>
      <c r="M86" s="2"/>
      <c r="N86" s="7">
        <f t="shared" si="63"/>
        <v>-0.30729613733905575</v>
      </c>
      <c r="O86" s="11"/>
      <c r="P86" s="6">
        <v>1271.4000000000001</v>
      </c>
      <c r="Q86" s="2"/>
      <c r="R86" s="7">
        <f t="shared" si="64"/>
        <v>6.3685259493188558E-4</v>
      </c>
      <c r="S86" s="2"/>
      <c r="T86" s="6">
        <v>2097</v>
      </c>
      <c r="U86" s="2"/>
      <c r="V86" s="7">
        <f t="shared" si="65"/>
        <v>1.0436215908734619E-3</v>
      </c>
      <c r="W86" s="2"/>
      <c r="X86" s="6">
        <f t="shared" si="66"/>
        <v>-825.59999999999991</v>
      </c>
      <c r="Y86" s="2"/>
      <c r="Z86" s="7">
        <f t="shared" si="67"/>
        <v>-0.3937052932761087</v>
      </c>
    </row>
    <row r="87" spans="1:26" s="27" customFormat="1" outlineLevel="1" collapsed="1" x14ac:dyDescent="0.25">
      <c r="A87" s="26"/>
      <c r="B87" s="13" t="str">
        <f>CONCATENATE("     ","Training                                          ")</f>
        <v xml:space="preserve">     Training                                          </v>
      </c>
      <c r="C87" s="13"/>
      <c r="D87" s="1">
        <f>SUM(OSRRefD22_16x_0)</f>
        <v>0</v>
      </c>
      <c r="E87" s="1"/>
      <c r="F87" s="5">
        <f t="shared" si="60"/>
        <v>0</v>
      </c>
      <c r="G87" s="1"/>
      <c r="H87" s="1">
        <f>SUM(OSRRefH22_16x_0)</f>
        <v>0</v>
      </c>
      <c r="I87" s="1"/>
      <c r="J87" s="5">
        <f t="shared" si="61"/>
        <v>0</v>
      </c>
      <c r="K87" s="1"/>
      <c r="L87" s="1">
        <f t="shared" si="62"/>
        <v>0</v>
      </c>
      <c r="M87" s="1"/>
      <c r="N87" s="5">
        <f t="shared" si="63"/>
        <v>0</v>
      </c>
      <c r="O87" s="13"/>
      <c r="P87" s="1">
        <f>SUM(OSRRefP22_16x_0)</f>
        <v>1657.1</v>
      </c>
      <c r="Q87" s="1"/>
      <c r="R87" s="5">
        <f t="shared" si="64"/>
        <v>8.3005225346989737E-4</v>
      </c>
      <c r="S87" s="1"/>
      <c r="T87" s="1">
        <f>SUM(OSRRefT22_16x_0)</f>
        <v>4137</v>
      </c>
      <c r="U87" s="1"/>
      <c r="V87" s="5">
        <f t="shared" si="65"/>
        <v>2.0588757851423521E-3</v>
      </c>
      <c r="W87" s="1"/>
      <c r="X87" s="1">
        <f t="shared" si="66"/>
        <v>-2479.9</v>
      </c>
      <c r="Y87" s="1"/>
      <c r="Z87" s="5">
        <f t="shared" si="67"/>
        <v>-0.59944404157602127</v>
      </c>
    </row>
    <row r="88" spans="1:26" s="24" customFormat="1" hidden="1" outlineLevel="2" x14ac:dyDescent="0.25">
      <c r="A88" s="25"/>
      <c r="B88" s="11" t="str">
        <f>CONCATENATE("          ", "6376", " - ", "TRAINING")</f>
        <v xml:space="preserve">          6376 - TRAINING</v>
      </c>
      <c r="C88" s="11"/>
      <c r="D88" s="6"/>
      <c r="E88" s="2"/>
      <c r="F88" s="7">
        <f t="shared" si="60"/>
        <v>0</v>
      </c>
      <c r="G88" s="2"/>
      <c r="H88" s="6"/>
      <c r="I88" s="2"/>
      <c r="J88" s="7">
        <f t="shared" si="61"/>
        <v>0</v>
      </c>
      <c r="K88" s="2"/>
      <c r="L88" s="6">
        <f t="shared" si="62"/>
        <v>0</v>
      </c>
      <c r="M88" s="2"/>
      <c r="N88" s="7">
        <f t="shared" si="63"/>
        <v>0</v>
      </c>
      <c r="O88" s="11"/>
      <c r="P88" s="6">
        <v>1657.1</v>
      </c>
      <c r="Q88" s="2"/>
      <c r="R88" s="7">
        <f t="shared" si="64"/>
        <v>8.3005225346989737E-4</v>
      </c>
      <c r="S88" s="2"/>
      <c r="T88" s="6">
        <v>4137</v>
      </c>
      <c r="U88" s="2"/>
      <c r="V88" s="7">
        <f t="shared" si="65"/>
        <v>2.0588757851423521E-3</v>
      </c>
      <c r="W88" s="2"/>
      <c r="X88" s="6">
        <f t="shared" si="66"/>
        <v>-2479.9</v>
      </c>
      <c r="Y88" s="2"/>
      <c r="Z88" s="7">
        <f t="shared" si="67"/>
        <v>-0.59944404157602127</v>
      </c>
    </row>
    <row r="89" spans="1:26" s="27" customFormat="1" outlineLevel="1" collapsed="1" x14ac:dyDescent="0.25">
      <c r="A89" s="26"/>
      <c r="B89" s="13" t="str">
        <f>CONCATENATE("     ","Travel                                            ")</f>
        <v xml:space="preserve">     Travel                                            </v>
      </c>
      <c r="C89" s="13"/>
      <c r="D89" s="1">
        <f>SUM(OSRRefD22_17x_0)</f>
        <v>0</v>
      </c>
      <c r="E89" s="1"/>
      <c r="F89" s="5">
        <f t="shared" si="60"/>
        <v>0</v>
      </c>
      <c r="G89" s="1"/>
      <c r="H89" s="1">
        <f>SUM(OSRRefH22_17x_0)</f>
        <v>50</v>
      </c>
      <c r="I89" s="1"/>
      <c r="J89" s="5">
        <f t="shared" si="61"/>
        <v>1.648875302156399E-4</v>
      </c>
      <c r="K89" s="1"/>
      <c r="L89" s="1">
        <f t="shared" si="62"/>
        <v>-50</v>
      </c>
      <c r="M89" s="1"/>
      <c r="N89" s="5">
        <f t="shared" si="63"/>
        <v>-1</v>
      </c>
      <c r="O89" s="13"/>
      <c r="P89" s="1">
        <f>SUM(OSRRefP22_17x_0)</f>
        <v>79.510000000000005</v>
      </c>
      <c r="Q89" s="1"/>
      <c r="R89" s="5">
        <f t="shared" si="64"/>
        <v>3.9827080244639157E-5</v>
      </c>
      <c r="S89" s="1"/>
      <c r="T89" s="1">
        <f>SUM(OSRRefT22_17x_0)</f>
        <v>450</v>
      </c>
      <c r="U89" s="1"/>
      <c r="V89" s="5">
        <f t="shared" si="65"/>
        <v>2.2395313108872575E-4</v>
      </c>
      <c r="W89" s="1"/>
      <c r="X89" s="1">
        <f t="shared" si="66"/>
        <v>-370.49</v>
      </c>
      <c r="Y89" s="1"/>
      <c r="Z89" s="5">
        <f t="shared" si="67"/>
        <v>-0.8233111111111111</v>
      </c>
    </row>
    <row r="90" spans="1:26" s="24" customFormat="1" hidden="1" outlineLevel="2" x14ac:dyDescent="0.25">
      <c r="A90" s="25"/>
      <c r="B90" s="11" t="str">
        <f>CONCATENATE("          ", "6292", " - ", "TRAVEL/CONFERENCE")</f>
        <v xml:space="preserve">          6292 - TRAVEL/CONFERENCE</v>
      </c>
      <c r="C90" s="11"/>
      <c r="D90" s="6"/>
      <c r="E90" s="2"/>
      <c r="F90" s="7">
        <f t="shared" si="60"/>
        <v>0</v>
      </c>
      <c r="G90" s="2"/>
      <c r="H90" s="6"/>
      <c r="I90" s="2"/>
      <c r="J90" s="7">
        <f t="shared" si="61"/>
        <v>0</v>
      </c>
      <c r="K90" s="2"/>
      <c r="L90" s="6">
        <f t="shared" si="62"/>
        <v>0</v>
      </c>
      <c r="M90" s="2"/>
      <c r="N90" s="7">
        <f t="shared" si="63"/>
        <v>0</v>
      </c>
      <c r="O90" s="11"/>
      <c r="P90" s="6">
        <v>79.510000000000005</v>
      </c>
      <c r="Q90" s="2"/>
      <c r="R90" s="7">
        <f t="shared" si="64"/>
        <v>3.9827080244639157E-5</v>
      </c>
      <c r="S90" s="2"/>
      <c r="T90" s="6"/>
      <c r="U90" s="2"/>
      <c r="V90" s="7">
        <f t="shared" si="65"/>
        <v>0</v>
      </c>
      <c r="W90" s="2"/>
      <c r="X90" s="6">
        <f t="shared" si="66"/>
        <v>79.510000000000005</v>
      </c>
      <c r="Y90" s="2"/>
      <c r="Z90" s="7">
        <f t="shared" si="67"/>
        <v>0</v>
      </c>
    </row>
    <row r="91" spans="1:26" s="24" customFormat="1" hidden="1" outlineLevel="2" x14ac:dyDescent="0.25">
      <c r="A91" s="25"/>
      <c r="B91" s="11" t="str">
        <f>CONCATENATE("          ", "6298", " - ", "VEHICLE MILEAGE")</f>
        <v xml:space="preserve">          6298 - VEHICLE MILEAGE</v>
      </c>
      <c r="C91" s="11"/>
      <c r="D91" s="6"/>
      <c r="E91" s="2"/>
      <c r="F91" s="7">
        <f t="shared" si="60"/>
        <v>0</v>
      </c>
      <c r="G91" s="2"/>
      <c r="H91" s="6">
        <v>50</v>
      </c>
      <c r="I91" s="2"/>
      <c r="J91" s="7">
        <f t="shared" si="61"/>
        <v>1.648875302156399E-4</v>
      </c>
      <c r="K91" s="2"/>
      <c r="L91" s="6">
        <f t="shared" si="62"/>
        <v>-50</v>
      </c>
      <c r="M91" s="2"/>
      <c r="N91" s="7">
        <f t="shared" si="63"/>
        <v>-1</v>
      </c>
      <c r="O91" s="11"/>
      <c r="P91" s="6"/>
      <c r="Q91" s="2"/>
      <c r="R91" s="7">
        <f t="shared" si="64"/>
        <v>0</v>
      </c>
      <c r="S91" s="2"/>
      <c r="T91" s="6">
        <v>450</v>
      </c>
      <c r="U91" s="2"/>
      <c r="V91" s="7">
        <f t="shared" si="65"/>
        <v>2.2395313108872575E-4</v>
      </c>
      <c r="W91" s="2"/>
      <c r="X91" s="6">
        <f t="shared" si="66"/>
        <v>-450</v>
      </c>
      <c r="Y91" s="2"/>
      <c r="Z91" s="7">
        <f t="shared" si="67"/>
        <v>-1</v>
      </c>
    </row>
    <row r="92" spans="1:26" s="56" customFormat="1" x14ac:dyDescent="0.25">
      <c r="A92" s="36"/>
      <c r="B92" s="36"/>
      <c r="C92" s="36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6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3" customFormat="1" x14ac:dyDescent="0.25">
      <c r="A93" s="10"/>
      <c r="B93" s="29" t="s">
        <v>0</v>
      </c>
      <c r="C93" s="10"/>
      <c r="D93" s="4">
        <f>SUM(0)</f>
        <v>0</v>
      </c>
      <c r="E93" s="4"/>
      <c r="F93" s="12">
        <f>IF(D$12=0,0,D93/D$12)</f>
        <v>0</v>
      </c>
      <c r="G93" s="4"/>
      <c r="H93" s="4">
        <f>SUM(0)</f>
        <v>0</v>
      </c>
      <c r="I93" s="4"/>
      <c r="J93" s="12">
        <f>IF(H$12=0,0,H93/H$12)</f>
        <v>0</v>
      </c>
      <c r="K93" s="4"/>
      <c r="L93" s="4">
        <f>+D93-H93</f>
        <v>0</v>
      </c>
      <c r="M93" s="4"/>
      <c r="N93" s="12">
        <f>IF(H93=0,0,L93/H93)</f>
        <v>0</v>
      </c>
      <c r="O93" s="10"/>
      <c r="P93" s="4">
        <f>SUM(0)</f>
        <v>0</v>
      </c>
      <c r="Q93" s="4"/>
      <c r="R93" s="12">
        <f>IF(P$12=0,0,P93/P$12)</f>
        <v>0</v>
      </c>
      <c r="S93" s="4"/>
      <c r="T93" s="4">
        <f>SUM(0)</f>
        <v>0</v>
      </c>
      <c r="U93" s="4"/>
      <c r="V93" s="12">
        <f>IF(T$12=0,0,T93/T$12)</f>
        <v>0</v>
      </c>
      <c r="W93" s="4"/>
      <c r="X93" s="4">
        <f>+P93-T93</f>
        <v>0</v>
      </c>
      <c r="Y93" s="4"/>
      <c r="Z93" s="12">
        <f>IF(T93=0,0,X93/T93)</f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10"/>
      <c r="B95" s="28" t="s">
        <v>3</v>
      </c>
      <c r="C95" s="28"/>
      <c r="D95" s="20">
        <f>+D23-D25+D93</f>
        <v>15860.790000000066</v>
      </c>
      <c r="E95" s="14"/>
      <c r="F95" s="22">
        <f>IF(D$12=0,0,D95/D$12)</f>
        <v>6.7069341762844917E-2</v>
      </c>
      <c r="G95" s="14"/>
      <c r="H95" s="20">
        <f>+H23-H25+H93</f>
        <v>112345.74977416769</v>
      </c>
      <c r="I95" s="14"/>
      <c r="J95" s="22">
        <f>IF(H$12=0,0,H95/H$12)</f>
        <v>0.37048826420973591</v>
      </c>
      <c r="K95" s="16"/>
      <c r="L95" s="20">
        <f>+D95-H95</f>
        <v>-96484.959774167626</v>
      </c>
      <c r="M95" s="16"/>
      <c r="N95" s="22">
        <f>IF(H95=0,0,L95/H95)</f>
        <v>-0.85882162848276233</v>
      </c>
      <c r="O95" s="29"/>
      <c r="P95" s="20">
        <f>+P23-P25+P93</f>
        <v>377770.52</v>
      </c>
      <c r="Q95" s="14"/>
      <c r="R95" s="22">
        <f>IF(P$12=0,0,P95/P$12)</f>
        <v>0.18922773002262686</v>
      </c>
      <c r="S95" s="14"/>
      <c r="T95" s="20">
        <f>+T23-T25+T93</f>
        <v>605900.78200729948</v>
      </c>
      <c r="U95" s="14"/>
      <c r="V95" s="22">
        <f>IF(T$12=0,0,T95/T$12)</f>
        <v>0.30154083835476042</v>
      </c>
      <c r="W95" s="16"/>
      <c r="X95" s="20">
        <f>+P95-T95</f>
        <v>-228130.26200729946</v>
      </c>
      <c r="Y95" s="16"/>
      <c r="Z95" s="22">
        <f>IF(T95=0,0,X95/T95)</f>
        <v>-0.37651422276023916</v>
      </c>
    </row>
    <row r="96" spans="1:26" x14ac:dyDescent="0.25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52"/>
      <c r="B97" s="10" t="s">
        <v>14</v>
      </c>
      <c r="C97" s="10"/>
      <c r="D97" s="4">
        <v>34548.71</v>
      </c>
      <c r="E97" s="4"/>
      <c r="F97" s="12">
        <f>IF(D$12=0,0,D97/D$12)</f>
        <v>0.14609355766360996</v>
      </c>
      <c r="G97" s="4"/>
      <c r="H97" s="4">
        <v>29713</v>
      </c>
      <c r="I97" s="4"/>
      <c r="J97" s="12">
        <f>IF(H$12=0,0,H97/H$12)</f>
        <v>9.7986063705946175E-2</v>
      </c>
      <c r="K97" s="4"/>
      <c r="L97" s="4">
        <f>+D97-H97</f>
        <v>4835.7099999999991</v>
      </c>
      <c r="M97" s="4"/>
      <c r="N97" s="12">
        <f>IF(H97=0,0,L97/H97)</f>
        <v>0.16274728233433175</v>
      </c>
      <c r="O97" s="10"/>
      <c r="P97" s="4">
        <v>213916.98</v>
      </c>
      <c r="Q97" s="4"/>
      <c r="R97" s="12">
        <f>IF(P$12=0,0,P97/P$12)</f>
        <v>0.10715241766005369</v>
      </c>
      <c r="S97" s="4"/>
      <c r="T97" s="4">
        <v>234876</v>
      </c>
      <c r="U97" s="4"/>
      <c r="V97" s="12">
        <f>IF(T$12=0,0,T97/T$12)</f>
        <v>0.11689159026132344</v>
      </c>
      <c r="W97" s="4"/>
      <c r="X97" s="4">
        <f>+P97-T97</f>
        <v>-20959.01999999999</v>
      </c>
      <c r="Y97" s="4"/>
      <c r="Z97" s="12">
        <f>IF(T97=0,0,X97/T97)</f>
        <v>-8.9234404536861961E-2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8" t="s">
        <v>4</v>
      </c>
      <c r="C99" s="28"/>
      <c r="D99" s="31">
        <f>+D95-D97</f>
        <v>-18687.919999999933</v>
      </c>
      <c r="E99" s="14"/>
      <c r="F99" s="34">
        <f>IF(D$12=0,0,D99/D$12)</f>
        <v>-7.9024215900765027E-2</v>
      </c>
      <c r="G99" s="14"/>
      <c r="H99" s="31">
        <f>+H95-H97</f>
        <v>82632.749774167693</v>
      </c>
      <c r="I99" s="14"/>
      <c r="J99" s="34">
        <f>IF(H$12=0,0,H99/H$12)</f>
        <v>0.27250220050378976</v>
      </c>
      <c r="K99" s="16"/>
      <c r="L99" s="31">
        <f>D99-H99</f>
        <v>-101320.66977416762</v>
      </c>
      <c r="M99" s="16"/>
      <c r="N99" s="34">
        <f>IF(H99=0,0,L99/H99)</f>
        <v>-1.2261563369375137</v>
      </c>
      <c r="O99" s="29"/>
      <c r="P99" s="31">
        <f>+P95-P97</f>
        <v>163853.54</v>
      </c>
      <c r="Q99" s="14"/>
      <c r="R99" s="34">
        <f>IF(P$12=0,0,P99/P$12)</f>
        <v>8.207531236257315E-2</v>
      </c>
      <c r="S99" s="14"/>
      <c r="T99" s="31">
        <f>+T95-T97</f>
        <v>371024.78200729948</v>
      </c>
      <c r="U99" s="14"/>
      <c r="V99" s="34">
        <f>IF(T$12=0,0,T99/T$12)</f>
        <v>0.18464924809343697</v>
      </c>
      <c r="W99" s="16"/>
      <c r="X99" s="31">
        <f>P99-T99</f>
        <v>-207171.24200729947</v>
      </c>
      <c r="Y99" s="16"/>
      <c r="Z99" s="34">
        <f>IF(T99=0,0,X99/T99)</f>
        <v>-0.55837575292537633</v>
      </c>
    </row>
    <row r="100" spans="1:26" ht="15.75" thickTop="1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8" t="s">
        <v>5</v>
      </c>
      <c r="C102" s="28"/>
      <c r="D102" s="32">
        <f>SUM(D99:D101)</f>
        <v>-18687.919999999933</v>
      </c>
      <c r="E102" s="14"/>
      <c r="F102" s="35">
        <f>IF(D$12=0,0,D102/D$12)</f>
        <v>-7.9024215900765027E-2</v>
      </c>
      <c r="G102" s="14"/>
      <c r="H102" s="32">
        <f>SUM(H99:H101)</f>
        <v>82632.749774167693</v>
      </c>
      <c r="I102" s="14"/>
      <c r="J102" s="35">
        <f>IF(H$12=0,0,H102/H$12)</f>
        <v>0.27250220050378976</v>
      </c>
      <c r="K102" s="16"/>
      <c r="L102" s="32">
        <f>+D102-H102</f>
        <v>-101320.66977416762</v>
      </c>
      <c r="M102" s="16"/>
      <c r="N102" s="35">
        <f>IF(H102=0,0,L102/H102)</f>
        <v>-1.2261563369375137</v>
      </c>
      <c r="O102" s="29"/>
      <c r="P102" s="32">
        <f>SUM(P99:P101)</f>
        <v>163853.54</v>
      </c>
      <c r="Q102" s="14"/>
      <c r="R102" s="35">
        <f>IF(P$12=0,0,P102/P$12)</f>
        <v>8.207531236257315E-2</v>
      </c>
      <c r="S102" s="14"/>
      <c r="T102" s="32">
        <f>SUM(T99:T101)</f>
        <v>371024.78200729948</v>
      </c>
      <c r="U102" s="14"/>
      <c r="V102" s="35">
        <f>IF(T$12=0,0,T102/T$12)</f>
        <v>0.18464924809343697</v>
      </c>
      <c r="W102" s="16"/>
      <c r="X102" s="32">
        <f>+P102-T102</f>
        <v>-207171.24200729947</v>
      </c>
      <c r="Y102" s="16"/>
      <c r="Z102" s="35">
        <f>IF(T102=0,0,X102/T102)</f>
        <v>-0.55837575292537633</v>
      </c>
    </row>
    <row r="103" spans="1:26" ht="15.75" thickTop="1" x14ac:dyDescent="0.25">
      <c r="A103" s="9"/>
      <c r="C103" s="9"/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  <row r="104" spans="1:26" x14ac:dyDescent="0.25">
      <c r="A104" s="9"/>
      <c r="B104" s="57">
        <v>43934.466981909725</v>
      </c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  <row r="105" spans="1:26" x14ac:dyDescent="0.25">
      <c r="A105" s="9"/>
      <c r="B105" s="62" t="s">
        <v>314</v>
      </c>
      <c r="D105" s="18"/>
      <c r="E105" s="18"/>
      <c r="G105" s="18"/>
      <c r="H105" s="18"/>
      <c r="I105" s="18"/>
      <c r="J105" s="42"/>
      <c r="K105" s="18"/>
      <c r="L105" s="18"/>
      <c r="M105" s="18"/>
      <c r="P105" s="18"/>
      <c r="Q105" s="18"/>
      <c r="R105" s="42"/>
      <c r="S105" s="18"/>
      <c r="T105" s="18"/>
      <c r="U105" s="18"/>
      <c r="V105" s="42"/>
      <c r="W105" s="18"/>
      <c r="X105" s="18"/>
    </row>
    <row r="106" spans="1:26" x14ac:dyDescent="0.25">
      <c r="A106" s="9"/>
      <c r="B106" s="60"/>
      <c r="D106" s="18"/>
      <c r="E106" s="18"/>
      <c r="G106" s="18"/>
      <c r="H106" s="18"/>
      <c r="I106" s="18"/>
      <c r="J106" s="42"/>
      <c r="K106" s="18"/>
      <c r="L106" s="18"/>
      <c r="M106" s="18"/>
      <c r="P106" s="18"/>
      <c r="Q106" s="18"/>
      <c r="R106" s="42"/>
      <c r="S106" s="18"/>
      <c r="T106" s="18"/>
      <c r="U106" s="18"/>
      <c r="V106" s="42"/>
      <c r="W106" s="18"/>
      <c r="X106" s="18"/>
    </row>
    <row r="107" spans="1:26" x14ac:dyDescent="0.25">
      <c r="D107" s="18"/>
      <c r="E107" s="18"/>
      <c r="G107" s="18"/>
      <c r="H107" s="18"/>
      <c r="I107" s="18"/>
      <c r="J107" s="42"/>
      <c r="K107" s="18"/>
      <c r="L107" s="18"/>
      <c r="M107" s="18"/>
      <c r="P107" s="18"/>
      <c r="Q107" s="18"/>
      <c r="R107" s="42"/>
      <c r="S107" s="18"/>
      <c r="T107" s="18"/>
      <c r="U107" s="18"/>
      <c r="V107" s="42"/>
      <c r="W107" s="18"/>
      <c r="X107" s="18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">
        <v>298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43320</v>
      </c>
      <c r="E12" s="4"/>
      <c r="F12" s="12"/>
      <c r="G12" s="4"/>
      <c r="H12" s="4">
        <f>SUM(OSRRefH13x_0)</f>
        <v>29233</v>
      </c>
      <c r="I12" s="4"/>
      <c r="J12" s="12"/>
      <c r="K12" s="4"/>
      <c r="L12" s="4">
        <f t="shared" ref="L12:L13" si="0">+D12-H12</f>
        <v>14087</v>
      </c>
      <c r="M12" s="4"/>
      <c r="N12" s="12">
        <f t="shared" ref="N12:N13" si="1">IF(H12=0,0,L12/H12)</f>
        <v>0.48188690863065714</v>
      </c>
      <c r="O12" s="10"/>
      <c r="P12" s="4">
        <f>SUM(OSRRefP13x_0)</f>
        <v>379500</v>
      </c>
      <c r="Q12" s="4"/>
      <c r="R12" s="12"/>
      <c r="S12" s="4"/>
      <c r="T12" s="4">
        <f>SUM(OSRRefT13x_0)</f>
        <v>387807</v>
      </c>
      <c r="U12" s="4"/>
      <c r="V12" s="12"/>
      <c r="W12" s="4"/>
      <c r="X12" s="4">
        <f t="shared" ref="X12:X13" si="2">+P12-T12</f>
        <v>-8307</v>
      </c>
      <c r="Y12" s="4"/>
      <c r="Z12" s="12">
        <f t="shared" ref="Z12:Z13" si="3">IF(T12=0,0,X12/T12)</f>
        <v>-2.1420448831506393E-2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--43320</f>
        <v>43320</v>
      </c>
      <c r="E13" s="2"/>
      <c r="F13" s="19"/>
      <c r="G13" s="2"/>
      <c r="H13" s="2">
        <v>29233</v>
      </c>
      <c r="I13" s="2"/>
      <c r="J13" s="19"/>
      <c r="K13" s="2"/>
      <c r="L13" s="2">
        <f t="shared" si="0"/>
        <v>14087</v>
      </c>
      <c r="M13" s="2"/>
      <c r="N13" s="19">
        <f t="shared" si="1"/>
        <v>0.48188690863065714</v>
      </c>
      <c r="O13" s="11"/>
      <c r="P13" s="2">
        <f>--379500</f>
        <v>379500</v>
      </c>
      <c r="Q13" s="2"/>
      <c r="R13" s="19"/>
      <c r="S13" s="2"/>
      <c r="T13" s="2">
        <v>387807</v>
      </c>
      <c r="U13" s="2"/>
      <c r="V13" s="19"/>
      <c r="W13" s="2"/>
      <c r="X13" s="2">
        <f t="shared" si="2"/>
        <v>-8307</v>
      </c>
      <c r="Y13" s="2"/>
      <c r="Z13" s="19">
        <f t="shared" si="3"/>
        <v>-2.1420448831506393E-2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0">
        <f>D12-D15</f>
        <v>43320</v>
      </c>
      <c r="E17" s="14"/>
      <c r="F17" s="22">
        <f>IF(D$12=0,0,D17/D$12)</f>
        <v>1</v>
      </c>
      <c r="G17" s="14"/>
      <c r="H17" s="20">
        <f>H12-H15</f>
        <v>29233</v>
      </c>
      <c r="I17" s="14"/>
      <c r="J17" s="22">
        <f>IF(H$12=0,0,H17/H$12)</f>
        <v>1</v>
      </c>
      <c r="K17" s="16"/>
      <c r="L17" s="20">
        <f>+D17-H17</f>
        <v>14087</v>
      </c>
      <c r="M17" s="16"/>
      <c r="N17" s="22">
        <f>IF(H17=0,0,L17/H17)</f>
        <v>0.48188690863065714</v>
      </c>
      <c r="O17" s="29"/>
      <c r="P17" s="20">
        <f>P12-P15</f>
        <v>379500</v>
      </c>
      <c r="Q17" s="14"/>
      <c r="R17" s="22">
        <f>IF(P$12=0,0,P17/P$12)</f>
        <v>1</v>
      </c>
      <c r="S17" s="14"/>
      <c r="T17" s="20">
        <f>T12-T15</f>
        <v>387807</v>
      </c>
      <c r="U17" s="14"/>
      <c r="V17" s="22">
        <f>IF(T$12=0,0,T17/T$12)</f>
        <v>1</v>
      </c>
      <c r="W17" s="16"/>
      <c r="X17" s="20">
        <f>+P17-T17</f>
        <v>-8307</v>
      </c>
      <c r="Y17" s="16"/>
      <c r="Z17" s="22">
        <f>IF(T17=0,0,X17/T17)</f>
        <v>-2.1420448831506393E-2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1">
        <f>SUM(OSRRefD22x_0)</f>
        <v>32644.089999999997</v>
      </c>
      <c r="E19" s="21"/>
      <c r="F19" s="30">
        <f t="shared" ref="F19:F29" si="4">IF(D$12=0,0,D19/D$12)</f>
        <v>0.75355701754385962</v>
      </c>
      <c r="G19" s="21"/>
      <c r="H19" s="21">
        <f>SUM(OSRRefH22x_0)</f>
        <v>28898.347500846154</v>
      </c>
      <c r="I19" s="21"/>
      <c r="J19" s="30">
        <f t="shared" ref="J19:J29" si="5">IF(H$12=0,0,H19/H$12)</f>
        <v>0.98855223551623694</v>
      </c>
      <c r="K19" s="4"/>
      <c r="L19" s="21">
        <f t="shared" ref="L19:L29" si="6">+D19-H19</f>
        <v>3745.7424991538428</v>
      </c>
      <c r="M19" s="4"/>
      <c r="N19" s="30">
        <f t="shared" ref="N19:N29" si="7">IF(H19=0,0,L19/H19)</f>
        <v>0.12961787863628418</v>
      </c>
      <c r="O19" s="10"/>
      <c r="P19" s="21">
        <f>SUM(OSRRefP22x_0)</f>
        <v>368183.08</v>
      </c>
      <c r="Q19" s="21"/>
      <c r="R19" s="30">
        <f t="shared" ref="R19:R29" si="8">IF(P$12=0,0,P19/P$12)</f>
        <v>0.97017939393939401</v>
      </c>
      <c r="S19" s="21"/>
      <c r="T19" s="21">
        <f>SUM(OSRRefT22x_0)</f>
        <v>363581.56266325002</v>
      </c>
      <c r="U19" s="21"/>
      <c r="V19" s="30">
        <f t="shared" ref="V19:V29" si="9">IF(T$12=0,0,T19/T$12)</f>
        <v>0.93753223294899268</v>
      </c>
      <c r="W19" s="4"/>
      <c r="X19" s="21">
        <f t="shared" ref="X19:X29" si="10">+P19-T19</f>
        <v>4601.5173367499956</v>
      </c>
      <c r="Y19" s="4"/>
      <c r="Z19" s="30">
        <f t="shared" ref="Z19:Z29" si="11">IF(T19=0,0,X19/T19)</f>
        <v>1.2656079981184112E-2</v>
      </c>
    </row>
    <row r="20" spans="1:26" s="27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5084.63</v>
      </c>
      <c r="E20" s="1"/>
      <c r="F20" s="5">
        <f t="shared" si="4"/>
        <v>0.11737373037857803</v>
      </c>
      <c r="G20" s="1"/>
      <c r="H20" s="1">
        <f>SUM(OSRRefH22_0x_0)</f>
        <v>1001.4690393076924</v>
      </c>
      <c r="I20" s="1"/>
      <c r="J20" s="5">
        <f t="shared" si="5"/>
        <v>3.4258168484510396E-2</v>
      </c>
      <c r="K20" s="1"/>
      <c r="L20" s="1">
        <f t="shared" si="6"/>
        <v>4083.1609606923075</v>
      </c>
      <c r="M20" s="1"/>
      <c r="N20" s="5">
        <f t="shared" si="7"/>
        <v>4.0771714355892268</v>
      </c>
      <c r="O20" s="13"/>
      <c r="P20" s="1">
        <f>SUM(OSRRefP22_0x_0)</f>
        <v>40548.19</v>
      </c>
      <c r="Q20" s="1"/>
      <c r="R20" s="5">
        <f t="shared" si="8"/>
        <v>0.10684635046113308</v>
      </c>
      <c r="S20" s="1"/>
      <c r="T20" s="1">
        <f>SUM(OSRRefT22_0x_0)</f>
        <v>11254.930163249996</v>
      </c>
      <c r="U20" s="1"/>
      <c r="V20" s="5">
        <f t="shared" si="9"/>
        <v>2.9021988162281742E-2</v>
      </c>
      <c r="W20" s="1"/>
      <c r="X20" s="1">
        <f t="shared" si="10"/>
        <v>29293.259836750007</v>
      </c>
      <c r="Y20" s="1"/>
      <c r="Z20" s="5">
        <f t="shared" si="11"/>
        <v>2.6027047180087726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6">
        <v>1040.95</v>
      </c>
      <c r="E21" s="2"/>
      <c r="F21" s="7">
        <f t="shared" si="4"/>
        <v>2.402931671283472E-2</v>
      </c>
      <c r="G21" s="2"/>
      <c r="H21" s="6">
        <v>283.01206084615399</v>
      </c>
      <c r="I21" s="2"/>
      <c r="J21" s="7">
        <f t="shared" si="5"/>
        <v>9.6812527228185268E-3</v>
      </c>
      <c r="K21" s="2"/>
      <c r="L21" s="6">
        <f t="shared" si="6"/>
        <v>757.93793915384606</v>
      </c>
      <c r="M21" s="2"/>
      <c r="N21" s="7">
        <f t="shared" si="7"/>
        <v>2.6781117980899865</v>
      </c>
      <c r="O21" s="11"/>
      <c r="P21" s="6">
        <v>9760.48</v>
      </c>
      <c r="Q21" s="2"/>
      <c r="R21" s="7">
        <f t="shared" si="8"/>
        <v>2.571931488801054E-2</v>
      </c>
      <c r="S21" s="2"/>
      <c r="T21" s="6">
        <v>4183.2847732499977</v>
      </c>
      <c r="U21" s="2"/>
      <c r="V21" s="7">
        <f t="shared" si="9"/>
        <v>1.0787027498858962E-2</v>
      </c>
      <c r="W21" s="2"/>
      <c r="X21" s="6">
        <f t="shared" si="10"/>
        <v>5577.1952267500019</v>
      </c>
      <c r="Y21" s="2"/>
      <c r="Z21" s="7">
        <f t="shared" si="11"/>
        <v>1.3332095539881388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6">
        <v>75.89</v>
      </c>
      <c r="E22" s="2"/>
      <c r="F22" s="7">
        <f t="shared" si="4"/>
        <v>1.7518467220683288E-3</v>
      </c>
      <c r="G22" s="2"/>
      <c r="H22" s="6">
        <v>216.82427307692302</v>
      </c>
      <c r="I22" s="2"/>
      <c r="J22" s="7">
        <f t="shared" si="5"/>
        <v>7.4171064576650713E-3</v>
      </c>
      <c r="K22" s="2"/>
      <c r="L22" s="6">
        <f t="shared" si="6"/>
        <v>-140.93427307692303</v>
      </c>
      <c r="M22" s="2"/>
      <c r="N22" s="7">
        <f t="shared" si="7"/>
        <v>-0.64999306155599845</v>
      </c>
      <c r="O22" s="11"/>
      <c r="P22" s="6">
        <v>470.84</v>
      </c>
      <c r="Q22" s="2"/>
      <c r="R22" s="7">
        <f t="shared" si="8"/>
        <v>1.2406851119894599E-3</v>
      </c>
      <c r="S22" s="2"/>
      <c r="T22" s="6">
        <v>2035.4372249999999</v>
      </c>
      <c r="U22" s="2"/>
      <c r="V22" s="7">
        <f t="shared" si="9"/>
        <v>5.2485829936024875E-3</v>
      </c>
      <c r="W22" s="2"/>
      <c r="X22" s="6">
        <f t="shared" si="10"/>
        <v>-1564.597225</v>
      </c>
      <c r="Y22" s="2"/>
      <c r="Z22" s="7">
        <f t="shared" si="11"/>
        <v>-0.76867869260866051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6">
        <v>1298.72</v>
      </c>
      <c r="E23" s="2"/>
      <c r="F23" s="7">
        <f t="shared" si="4"/>
        <v>2.9979686057248385E-2</v>
      </c>
      <c r="G23" s="2"/>
      <c r="H23" s="6">
        <v>138.1</v>
      </c>
      <c r="I23" s="2"/>
      <c r="J23" s="7">
        <f t="shared" si="5"/>
        <v>4.7241131597851741E-3</v>
      </c>
      <c r="K23" s="2"/>
      <c r="L23" s="6">
        <f t="shared" si="6"/>
        <v>1160.6200000000001</v>
      </c>
      <c r="M23" s="2"/>
      <c r="N23" s="7">
        <f t="shared" si="7"/>
        <v>8.4041998551774082</v>
      </c>
      <c r="O23" s="11"/>
      <c r="P23" s="6">
        <v>11356.02</v>
      </c>
      <c r="Q23" s="2"/>
      <c r="R23" s="7">
        <f t="shared" si="8"/>
        <v>2.9923636363636364E-2</v>
      </c>
      <c r="S23" s="2"/>
      <c r="T23" s="6">
        <v>1242.9000000000001</v>
      </c>
      <c r="U23" s="2"/>
      <c r="V23" s="7">
        <f t="shared" si="9"/>
        <v>3.2049447276609245E-3</v>
      </c>
      <c r="W23" s="2"/>
      <c r="X23" s="6">
        <f t="shared" si="10"/>
        <v>10113.120000000001</v>
      </c>
      <c r="Y23" s="2"/>
      <c r="Z23" s="7">
        <f t="shared" si="11"/>
        <v>8.136712527154236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6">
        <v>45.41</v>
      </c>
      <c r="E24" s="2"/>
      <c r="F24" s="7">
        <f t="shared" si="4"/>
        <v>1.0482456140350877E-3</v>
      </c>
      <c r="G24" s="2"/>
      <c r="H24" s="6">
        <v>29.67069</v>
      </c>
      <c r="I24" s="2"/>
      <c r="J24" s="7">
        <f t="shared" si="5"/>
        <v>1.0149724626278521E-3</v>
      </c>
      <c r="K24" s="2"/>
      <c r="L24" s="6">
        <f t="shared" si="6"/>
        <v>15.739309999999996</v>
      </c>
      <c r="M24" s="2"/>
      <c r="N24" s="7">
        <f t="shared" si="7"/>
        <v>0.53046659851860523</v>
      </c>
      <c r="O24" s="11"/>
      <c r="P24" s="6">
        <v>416.75</v>
      </c>
      <c r="Q24" s="2"/>
      <c r="R24" s="7">
        <f t="shared" si="8"/>
        <v>1.0981554677206851E-3</v>
      </c>
      <c r="S24" s="2"/>
      <c r="T24" s="6">
        <v>278.53351500000002</v>
      </c>
      <c r="U24" s="2"/>
      <c r="V24" s="7">
        <f t="shared" si="9"/>
        <v>7.1822714649297204E-4</v>
      </c>
      <c r="W24" s="2"/>
      <c r="X24" s="6">
        <f t="shared" si="10"/>
        <v>138.21648499999998</v>
      </c>
      <c r="Y24" s="2"/>
      <c r="Z24" s="7">
        <f t="shared" si="11"/>
        <v>0.49622927783035359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6">
        <v>452.74</v>
      </c>
      <c r="E25" s="2"/>
      <c r="F25" s="7">
        <f t="shared" si="4"/>
        <v>1.0451061865189289E-2</v>
      </c>
      <c r="G25" s="2"/>
      <c r="H25" s="6">
        <v>56.936630769230796</v>
      </c>
      <c r="I25" s="2"/>
      <c r="J25" s="7">
        <f t="shared" si="5"/>
        <v>1.9476834662617861E-3</v>
      </c>
      <c r="K25" s="2"/>
      <c r="L25" s="6">
        <f t="shared" si="6"/>
        <v>395.80336923076919</v>
      </c>
      <c r="M25" s="2"/>
      <c r="N25" s="7">
        <f t="shared" si="7"/>
        <v>6.9516471888720508</v>
      </c>
      <c r="O25" s="11"/>
      <c r="P25" s="6">
        <v>6658.66</v>
      </c>
      <c r="Q25" s="2"/>
      <c r="R25" s="7">
        <f t="shared" si="8"/>
        <v>1.7545876152832676E-2</v>
      </c>
      <c r="S25" s="2"/>
      <c r="T25" s="6">
        <v>555.13215000000025</v>
      </c>
      <c r="U25" s="2"/>
      <c r="V25" s="7">
        <f t="shared" si="9"/>
        <v>1.4314650070782638E-3</v>
      </c>
      <c r="W25" s="2"/>
      <c r="X25" s="6">
        <f t="shared" si="10"/>
        <v>6103.5278499999995</v>
      </c>
      <c r="Y25" s="2"/>
      <c r="Z25" s="7">
        <f t="shared" si="11"/>
        <v>10.994729543226773</v>
      </c>
    </row>
    <row r="26" spans="1:26" s="24" customFormat="1" hidden="1" outlineLevel="2" x14ac:dyDescent="0.25">
      <c r="A26" s="25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6">
        <v>1087.96</v>
      </c>
      <c r="E27" s="2"/>
      <c r="F27" s="7">
        <f t="shared" si="4"/>
        <v>2.5114496768236381E-2</v>
      </c>
      <c r="G27" s="2"/>
      <c r="H27" s="6">
        <v>33.102692307692301</v>
      </c>
      <c r="I27" s="2"/>
      <c r="J27" s="7">
        <f t="shared" si="5"/>
        <v>1.1323741082917354E-3</v>
      </c>
      <c r="K27" s="2"/>
      <c r="L27" s="6">
        <f t="shared" si="6"/>
        <v>1054.8573076923078</v>
      </c>
      <c r="M27" s="2"/>
      <c r="N27" s="7">
        <f t="shared" si="7"/>
        <v>31.866208883776604</v>
      </c>
      <c r="O27" s="11"/>
      <c r="P27" s="6">
        <v>6736.74</v>
      </c>
      <c r="Q27" s="2"/>
      <c r="R27" s="7">
        <f t="shared" si="8"/>
        <v>1.7751620553359684E-2</v>
      </c>
      <c r="S27" s="2"/>
      <c r="T27" s="6">
        <v>322.75125000000003</v>
      </c>
      <c r="U27" s="2"/>
      <c r="V27" s="7">
        <f t="shared" si="9"/>
        <v>8.3224709713852513E-4</v>
      </c>
      <c r="W27" s="2"/>
      <c r="X27" s="6">
        <f t="shared" si="10"/>
        <v>6413.9887499999995</v>
      </c>
      <c r="Y27" s="2"/>
      <c r="Z27" s="7">
        <f t="shared" si="11"/>
        <v>19.872854868881216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6">
        <v>995.93</v>
      </c>
      <c r="E28" s="2"/>
      <c r="F28" s="7">
        <f t="shared" si="4"/>
        <v>2.2990073868882733E-2</v>
      </c>
      <c r="G28" s="2"/>
      <c r="H28" s="6">
        <v>93.822692307692307</v>
      </c>
      <c r="I28" s="2"/>
      <c r="J28" s="7">
        <f t="shared" si="5"/>
        <v>3.2094787503058977E-3</v>
      </c>
      <c r="K28" s="2"/>
      <c r="L28" s="6">
        <f t="shared" si="6"/>
        <v>902.10730769230759</v>
      </c>
      <c r="M28" s="2"/>
      <c r="N28" s="7">
        <f t="shared" si="7"/>
        <v>9.6150226081110439</v>
      </c>
      <c r="O28" s="11"/>
      <c r="P28" s="6">
        <v>3838.79</v>
      </c>
      <c r="Q28" s="2"/>
      <c r="R28" s="7">
        <f t="shared" si="8"/>
        <v>1.0115388669301712E-2</v>
      </c>
      <c r="S28" s="2"/>
      <c r="T28" s="6">
        <v>1286.8912499999985</v>
      </c>
      <c r="U28" s="2"/>
      <c r="V28" s="7">
        <f t="shared" si="9"/>
        <v>3.3183806635774973E-3</v>
      </c>
      <c r="W28" s="2"/>
      <c r="X28" s="6">
        <f t="shared" si="10"/>
        <v>2551.8987500000012</v>
      </c>
      <c r="Y28" s="2"/>
      <c r="Z28" s="7">
        <f t="shared" si="11"/>
        <v>1.9829948723328441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6">
        <v>87.03</v>
      </c>
      <c r="E29" s="2"/>
      <c r="F29" s="7">
        <f t="shared" si="4"/>
        <v>2.0090027700831025E-3</v>
      </c>
      <c r="G29" s="2"/>
      <c r="H29" s="6">
        <v>150</v>
      </c>
      <c r="I29" s="2"/>
      <c r="J29" s="7">
        <f t="shared" si="5"/>
        <v>5.1311873567543532E-3</v>
      </c>
      <c r="K29" s="2"/>
      <c r="L29" s="6">
        <f t="shared" si="6"/>
        <v>-62.97</v>
      </c>
      <c r="M29" s="2"/>
      <c r="N29" s="7">
        <f t="shared" si="7"/>
        <v>-0.41980000000000001</v>
      </c>
      <c r="O29" s="11"/>
      <c r="P29" s="6">
        <v>1309.9100000000001</v>
      </c>
      <c r="Q29" s="2"/>
      <c r="R29" s="7">
        <f t="shared" si="8"/>
        <v>3.4516732542819503E-3</v>
      </c>
      <c r="S29" s="2"/>
      <c r="T29" s="6">
        <v>1350</v>
      </c>
      <c r="U29" s="2"/>
      <c r="V29" s="7">
        <f t="shared" si="9"/>
        <v>3.4811130278721118E-3</v>
      </c>
      <c r="W29" s="2"/>
      <c r="X29" s="6">
        <f t="shared" si="10"/>
        <v>-40.089999999999918</v>
      </c>
      <c r="Y29" s="2"/>
      <c r="Z29" s="7">
        <f t="shared" si="11"/>
        <v>-2.9696296296296235E-2</v>
      </c>
    </row>
    <row r="30" spans="1:26" s="27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21138.02</v>
      </c>
      <c r="E30" s="1"/>
      <c r="F30" s="5">
        <f t="shared" ref="F30:F40" si="12">IF(D$12=0,0,D30/D$12)</f>
        <v>0.48795060018467223</v>
      </c>
      <c r="G30" s="1"/>
      <c r="H30" s="1">
        <f>SUM(OSRRefH22_1x_0)</f>
        <v>11284.878461538461</v>
      </c>
      <c r="I30" s="1"/>
      <c r="J30" s="5">
        <f t="shared" ref="J30:J40" si="13">IF(H$12=0,0,H30/H$12)</f>
        <v>0.38603217122903777</v>
      </c>
      <c r="K30" s="1"/>
      <c r="L30" s="1">
        <f t="shared" ref="L30:L40" si="14">+D30-H30</f>
        <v>9853.1415384615393</v>
      </c>
      <c r="M30" s="1"/>
      <c r="N30" s="5">
        <f t="shared" ref="N30:N40" si="15">IF(H30=0,0,L30/H30)</f>
        <v>0.87312783846484299</v>
      </c>
      <c r="O30" s="13"/>
      <c r="P30" s="1">
        <f>SUM(OSRRefP22_1x_0)</f>
        <v>155834.48000000001</v>
      </c>
      <c r="Q30" s="1"/>
      <c r="R30" s="5">
        <f t="shared" ref="R30:R40" si="16">IF(P$12=0,0,P30/P$12)</f>
        <v>0.41063104084321478</v>
      </c>
      <c r="S30" s="1"/>
      <c r="T30" s="1">
        <f>SUM(OSRRefT22_1x_0)</f>
        <v>105518.63250000001</v>
      </c>
      <c r="U30" s="1"/>
      <c r="V30" s="5">
        <f t="shared" ref="V30:V40" si="17">IF(T$12=0,0,T30/T$12)</f>
        <v>0.27209058242888862</v>
      </c>
      <c r="W30" s="1"/>
      <c r="X30" s="1">
        <f t="shared" ref="X30:X40" si="18">+P30-T30</f>
        <v>50315.847500000003</v>
      </c>
      <c r="Y30" s="1"/>
      <c r="Z30" s="5">
        <f t="shared" ref="Z30:Z40" si="19">IF(T30=0,0,X30/T30)</f>
        <v>0.47684324851347937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6">
        <v>5795.28</v>
      </c>
      <c r="E32" s="2"/>
      <c r="F32" s="7">
        <f t="shared" si="12"/>
        <v>0.13377839335180056</v>
      </c>
      <c r="G32" s="2"/>
      <c r="H32" s="6">
        <v>595.84846153846195</v>
      </c>
      <c r="I32" s="2"/>
      <c r="J32" s="7">
        <f t="shared" si="13"/>
        <v>2.0382733949251254E-2</v>
      </c>
      <c r="K32" s="2"/>
      <c r="L32" s="6">
        <f t="shared" si="14"/>
        <v>5199.4315384615375</v>
      </c>
      <c r="M32" s="2"/>
      <c r="N32" s="7">
        <f t="shared" si="15"/>
        <v>8.7260971103907341</v>
      </c>
      <c r="O32" s="11"/>
      <c r="P32" s="6">
        <v>52981.950000000004</v>
      </c>
      <c r="Q32" s="2"/>
      <c r="R32" s="7">
        <f t="shared" si="16"/>
        <v>0.13960988142292491</v>
      </c>
      <c r="S32" s="2"/>
      <c r="T32" s="6">
        <v>5809.5225000000028</v>
      </c>
      <c r="U32" s="2"/>
      <c r="V32" s="7">
        <f t="shared" si="17"/>
        <v>1.4980447748493459E-2</v>
      </c>
      <c r="W32" s="2"/>
      <c r="X32" s="6">
        <f t="shared" si="18"/>
        <v>47172.427500000005</v>
      </c>
      <c r="Y32" s="2"/>
      <c r="Z32" s="7">
        <f t="shared" si="19"/>
        <v>8.1198459081619845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12"/>
        <v>0</v>
      </c>
      <c r="G34" s="2"/>
      <c r="H34" s="6">
        <v>2975.28</v>
      </c>
      <c r="I34" s="2"/>
      <c r="J34" s="7">
        <f t="shared" si="13"/>
        <v>0.10177812745869395</v>
      </c>
      <c r="K34" s="2"/>
      <c r="L34" s="6">
        <f t="shared" si="14"/>
        <v>-2975.28</v>
      </c>
      <c r="M34" s="2"/>
      <c r="N34" s="7">
        <f t="shared" si="15"/>
        <v>-1</v>
      </c>
      <c r="O34" s="11"/>
      <c r="P34" s="6"/>
      <c r="Q34" s="2"/>
      <c r="R34" s="7">
        <f t="shared" si="16"/>
        <v>0</v>
      </c>
      <c r="S34" s="2"/>
      <c r="T34" s="6">
        <v>27250.86</v>
      </c>
      <c r="U34" s="2"/>
      <c r="V34" s="7">
        <f t="shared" si="17"/>
        <v>7.0269128716088161E-2</v>
      </c>
      <c r="W34" s="2"/>
      <c r="X34" s="6">
        <f t="shared" si="18"/>
        <v>-27250.86</v>
      </c>
      <c r="Y34" s="2"/>
      <c r="Z34" s="7">
        <f t="shared" si="19"/>
        <v>-1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6">
        <v>7713.33</v>
      </c>
      <c r="E35" s="2"/>
      <c r="F35" s="7">
        <f t="shared" si="12"/>
        <v>0.17805470914127425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7713.33</v>
      </c>
      <c r="M35" s="2"/>
      <c r="N35" s="7">
        <f t="shared" si="15"/>
        <v>0</v>
      </c>
      <c r="O35" s="11"/>
      <c r="P35" s="6">
        <v>66154.38</v>
      </c>
      <c r="Q35" s="2"/>
      <c r="R35" s="7">
        <f t="shared" si="16"/>
        <v>0.17431984189723321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66154.38</v>
      </c>
      <c r="Y35" s="2"/>
      <c r="Z35" s="7">
        <f t="shared" si="19"/>
        <v>0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6">
        <v>6582.91</v>
      </c>
      <c r="E37" s="2"/>
      <c r="F37" s="7">
        <f t="shared" si="12"/>
        <v>0.1519600646352724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6582.91</v>
      </c>
      <c r="M37" s="2"/>
      <c r="N37" s="7">
        <f t="shared" si="15"/>
        <v>0</v>
      </c>
      <c r="O37" s="11"/>
      <c r="P37" s="6">
        <v>30777.41</v>
      </c>
      <c r="Q37" s="2"/>
      <c r="R37" s="7">
        <f t="shared" si="16"/>
        <v>8.1099894598155461E-2</v>
      </c>
      <c r="S37" s="2"/>
      <c r="T37" s="6">
        <v>19992</v>
      </c>
      <c r="U37" s="2"/>
      <c r="V37" s="7">
        <f t="shared" si="17"/>
        <v>5.155141603942167E-2</v>
      </c>
      <c r="W37" s="2"/>
      <c r="X37" s="6">
        <f t="shared" si="18"/>
        <v>10785.41</v>
      </c>
      <c r="Y37" s="2"/>
      <c r="Z37" s="7">
        <f t="shared" si="19"/>
        <v>0.53948629451780716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6">
        <v>1046.5</v>
      </c>
      <c r="E38" s="2"/>
      <c r="F38" s="7">
        <f t="shared" si="12"/>
        <v>2.4157433056325023E-2</v>
      </c>
      <c r="G38" s="2"/>
      <c r="H38" s="6">
        <v>7713.75</v>
      </c>
      <c r="I38" s="2"/>
      <c r="J38" s="7">
        <f t="shared" si="13"/>
        <v>0.26387130982109258</v>
      </c>
      <c r="K38" s="2"/>
      <c r="L38" s="6">
        <f t="shared" si="14"/>
        <v>-6667.25</v>
      </c>
      <c r="M38" s="2"/>
      <c r="N38" s="7">
        <f t="shared" si="15"/>
        <v>-0.86433317128504294</v>
      </c>
      <c r="O38" s="11"/>
      <c r="P38" s="6">
        <v>5920.74</v>
      </c>
      <c r="Q38" s="2"/>
      <c r="R38" s="7">
        <f t="shared" si="16"/>
        <v>1.5601422924901185E-2</v>
      </c>
      <c r="S38" s="2"/>
      <c r="T38" s="6">
        <v>52466.25</v>
      </c>
      <c r="U38" s="2"/>
      <c r="V38" s="7">
        <f t="shared" si="17"/>
        <v>0.13528958992488532</v>
      </c>
      <c r="W38" s="2"/>
      <c r="X38" s="6">
        <f t="shared" si="18"/>
        <v>-46545.51</v>
      </c>
      <c r="Y38" s="2"/>
      <c r="Z38" s="7">
        <f t="shared" si="19"/>
        <v>-0.88715145450646848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7" customFormat="1" outlineLevel="1" collapsed="1" x14ac:dyDescent="0.25">
      <c r="A41" s="26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61" si="20">IF(D$12=0,0,D41/D$12)</f>
        <v>0</v>
      </c>
      <c r="G41" s="1"/>
      <c r="H41" s="1">
        <f>SUM(OSRRefH22_2x_0)</f>
        <v>400</v>
      </c>
      <c r="I41" s="1"/>
      <c r="J41" s="5">
        <f t="shared" ref="J41:J61" si="21">IF(H$12=0,0,H41/H$12)</f>
        <v>1.3683166284678274E-2</v>
      </c>
      <c r="K41" s="1"/>
      <c r="L41" s="1">
        <f t="shared" ref="L41:L61" si="22">+D41-H41</f>
        <v>-400</v>
      </c>
      <c r="M41" s="1"/>
      <c r="N41" s="5">
        <f t="shared" ref="N41:N61" si="23">IF(H41=0,0,L41/H41)</f>
        <v>-1</v>
      </c>
      <c r="O41" s="13"/>
      <c r="P41" s="1">
        <f>SUM(OSRRefP22_2x_0)</f>
        <v>155.11000000000001</v>
      </c>
      <c r="Q41" s="1"/>
      <c r="R41" s="5">
        <f t="shared" ref="R41:R61" si="24">IF(P$12=0,0,P41/P$12)</f>
        <v>4.0872200263504613E-4</v>
      </c>
      <c r="S41" s="1"/>
      <c r="T41" s="1">
        <f>SUM(OSRRefT22_2x_0)</f>
        <v>3600</v>
      </c>
      <c r="U41" s="1"/>
      <c r="V41" s="5">
        <f t="shared" ref="V41:V61" si="25">IF(T$12=0,0,T41/T$12)</f>
        <v>9.2829680743256315E-3</v>
      </c>
      <c r="W41" s="1"/>
      <c r="X41" s="1">
        <f t="shared" ref="X41:X61" si="26">+P41-T41</f>
        <v>-3444.89</v>
      </c>
      <c r="Y41" s="1"/>
      <c r="Z41" s="5">
        <f t="shared" ref="Z41:Z61" si="27">IF(T41=0,0,X41/T41)</f>
        <v>-0.95691388888888884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0"/>
        <v>0</v>
      </c>
      <c r="G42" s="2"/>
      <c r="H42" s="6">
        <v>400</v>
      </c>
      <c r="I42" s="2"/>
      <c r="J42" s="7">
        <f t="shared" si="21"/>
        <v>1.3683166284678274E-2</v>
      </c>
      <c r="K42" s="2"/>
      <c r="L42" s="6">
        <f t="shared" si="22"/>
        <v>-400</v>
      </c>
      <c r="M42" s="2"/>
      <c r="N42" s="7">
        <f t="shared" si="23"/>
        <v>-1</v>
      </c>
      <c r="O42" s="11"/>
      <c r="P42" s="6">
        <v>155.11000000000001</v>
      </c>
      <c r="Q42" s="2"/>
      <c r="R42" s="7">
        <f t="shared" si="24"/>
        <v>4.0872200263504613E-4</v>
      </c>
      <c r="S42" s="2"/>
      <c r="T42" s="6">
        <v>3600</v>
      </c>
      <c r="U42" s="2"/>
      <c r="V42" s="7">
        <f t="shared" si="25"/>
        <v>9.2829680743256315E-3</v>
      </c>
      <c r="W42" s="2"/>
      <c r="X42" s="6">
        <f t="shared" si="26"/>
        <v>-3444.89</v>
      </c>
      <c r="Y42" s="2"/>
      <c r="Z42" s="7">
        <f t="shared" si="27"/>
        <v>-0.95691388888888884</v>
      </c>
    </row>
    <row r="43" spans="1:26" s="27" customFormat="1" outlineLevel="1" collapsed="1" x14ac:dyDescent="0.25">
      <c r="A43" s="26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SUM(OSRRefD22_3x_0)</f>
        <v>1119.95</v>
      </c>
      <c r="E43" s="1"/>
      <c r="F43" s="5">
        <f t="shared" si="20"/>
        <v>2.5852954755309326E-2</v>
      </c>
      <c r="G43" s="1"/>
      <c r="H43" s="1">
        <f>SUM(OSRRefH22_3x_0)</f>
        <v>2000</v>
      </c>
      <c r="I43" s="1"/>
      <c r="J43" s="5">
        <f t="shared" si="21"/>
        <v>6.8415831423391374E-2</v>
      </c>
      <c r="K43" s="1"/>
      <c r="L43" s="1">
        <f t="shared" si="22"/>
        <v>-880.05</v>
      </c>
      <c r="M43" s="1"/>
      <c r="N43" s="5">
        <f t="shared" si="23"/>
        <v>-0.440025</v>
      </c>
      <c r="O43" s="13"/>
      <c r="P43" s="1">
        <f>SUM(OSRRefP22_3x_0)</f>
        <v>17737.28</v>
      </c>
      <c r="Q43" s="1"/>
      <c r="R43" s="5">
        <f t="shared" si="24"/>
        <v>4.673855072463768E-2</v>
      </c>
      <c r="S43" s="1"/>
      <c r="T43" s="1">
        <f>SUM(OSRRefT22_3x_0)</f>
        <v>15700</v>
      </c>
      <c r="U43" s="1"/>
      <c r="V43" s="5">
        <f t="shared" si="25"/>
        <v>4.0484055213031223E-2</v>
      </c>
      <c r="W43" s="1"/>
      <c r="X43" s="1">
        <f t="shared" si="26"/>
        <v>2037.2799999999988</v>
      </c>
      <c r="Y43" s="1"/>
      <c r="Z43" s="5">
        <f t="shared" si="27"/>
        <v>0.1297630573248407</v>
      </c>
    </row>
    <row r="44" spans="1:26" s="24" customFormat="1" hidden="1" outlineLevel="2" x14ac:dyDescent="0.25">
      <c r="A44" s="25"/>
      <c r="B44" s="11" t="str">
        <f>CONCATENATE("          ", "6381", " - ", "BANK/CREDIT CARD FEES")</f>
        <v xml:space="preserve">          6381 - BANK/CREDIT CARD FEES</v>
      </c>
      <c r="C44" s="11"/>
      <c r="D44" s="6">
        <v>1119.95</v>
      </c>
      <c r="E44" s="2"/>
      <c r="F44" s="7">
        <f t="shared" si="20"/>
        <v>2.5852954755309326E-2</v>
      </c>
      <c r="G44" s="2"/>
      <c r="H44" s="6">
        <v>2000</v>
      </c>
      <c r="I44" s="2"/>
      <c r="J44" s="7">
        <f t="shared" si="21"/>
        <v>6.8415831423391374E-2</v>
      </c>
      <c r="K44" s="2"/>
      <c r="L44" s="6">
        <f t="shared" si="22"/>
        <v>-880.05</v>
      </c>
      <c r="M44" s="2"/>
      <c r="N44" s="7">
        <f t="shared" si="23"/>
        <v>-0.440025</v>
      </c>
      <c r="O44" s="11"/>
      <c r="P44" s="6">
        <v>17737.28</v>
      </c>
      <c r="Q44" s="2"/>
      <c r="R44" s="7">
        <f t="shared" si="24"/>
        <v>4.673855072463768E-2</v>
      </c>
      <c r="S44" s="2"/>
      <c r="T44" s="6">
        <v>15700</v>
      </c>
      <c r="U44" s="2"/>
      <c r="V44" s="7">
        <f t="shared" si="25"/>
        <v>4.0484055213031223E-2</v>
      </c>
      <c r="W44" s="2"/>
      <c r="X44" s="6">
        <f t="shared" si="26"/>
        <v>2037.2799999999988</v>
      </c>
      <c r="Y44" s="2"/>
      <c r="Z44" s="7">
        <f t="shared" si="27"/>
        <v>0.1297630573248407</v>
      </c>
    </row>
    <row r="45" spans="1:26" s="27" customFormat="1" outlineLevel="1" collapsed="1" x14ac:dyDescent="0.25">
      <c r="A45" s="26"/>
      <c r="B45" s="13" t="str">
        <f>CONCATENATE("     ","Employees' Appreciation                           ")</f>
        <v xml:space="preserve">     Employees' Appreciation                           </v>
      </c>
      <c r="C45" s="13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75</v>
      </c>
      <c r="I45" s="1"/>
      <c r="J45" s="5">
        <f t="shared" si="21"/>
        <v>2.5655936783771766E-3</v>
      </c>
      <c r="K45" s="1"/>
      <c r="L45" s="1">
        <f t="shared" si="22"/>
        <v>-75</v>
      </c>
      <c r="M45" s="1"/>
      <c r="N45" s="5">
        <f t="shared" si="23"/>
        <v>-1</v>
      </c>
      <c r="O45" s="13"/>
      <c r="P45" s="1">
        <f>SUM(OSRRefP22_4x_0)</f>
        <v>64.239999999999995</v>
      </c>
      <c r="Q45" s="1"/>
      <c r="R45" s="5">
        <f t="shared" si="24"/>
        <v>1.6927536231884057E-4</v>
      </c>
      <c r="S45" s="1"/>
      <c r="T45" s="1">
        <f>SUM(OSRRefT22_4x_0)</f>
        <v>675</v>
      </c>
      <c r="U45" s="1"/>
      <c r="V45" s="5">
        <f t="shared" si="25"/>
        <v>1.7405565139360559E-3</v>
      </c>
      <c r="W45" s="1"/>
      <c r="X45" s="1">
        <f t="shared" si="26"/>
        <v>-610.76</v>
      </c>
      <c r="Y45" s="1"/>
      <c r="Z45" s="5">
        <f t="shared" si="27"/>
        <v>-0.90482962962962965</v>
      </c>
    </row>
    <row r="46" spans="1:26" s="24" customFormat="1" hidden="1" outlineLevel="2" x14ac:dyDescent="0.25">
      <c r="A46" s="25"/>
      <c r="B46" s="11" t="str">
        <f>CONCATENATE("          ", "6277", " - ", "EMPLOYEE APPRECIATION")</f>
        <v xml:space="preserve">          6277 - EMPLOYEE APPRECIATION</v>
      </c>
      <c r="C46" s="11"/>
      <c r="D46" s="6"/>
      <c r="E46" s="2"/>
      <c r="F46" s="7">
        <f t="shared" si="20"/>
        <v>0</v>
      </c>
      <c r="G46" s="2"/>
      <c r="H46" s="6">
        <v>75</v>
      </c>
      <c r="I46" s="2"/>
      <c r="J46" s="7">
        <f t="shared" si="21"/>
        <v>2.5655936783771766E-3</v>
      </c>
      <c r="K46" s="2"/>
      <c r="L46" s="6">
        <f t="shared" si="22"/>
        <v>-75</v>
      </c>
      <c r="M46" s="2"/>
      <c r="N46" s="7">
        <f t="shared" si="23"/>
        <v>-1</v>
      </c>
      <c r="O46" s="11"/>
      <c r="P46" s="6">
        <v>64.239999999999995</v>
      </c>
      <c r="Q46" s="2"/>
      <c r="R46" s="7">
        <f t="shared" si="24"/>
        <v>1.6927536231884057E-4</v>
      </c>
      <c r="S46" s="2"/>
      <c r="T46" s="6">
        <v>675</v>
      </c>
      <c r="U46" s="2"/>
      <c r="V46" s="7">
        <f t="shared" si="25"/>
        <v>1.7405565139360559E-3</v>
      </c>
      <c r="W46" s="2"/>
      <c r="X46" s="6">
        <f t="shared" si="26"/>
        <v>-610.76</v>
      </c>
      <c r="Y46" s="2"/>
      <c r="Z46" s="7">
        <f t="shared" si="27"/>
        <v>-0.90482962962962965</v>
      </c>
    </row>
    <row r="47" spans="1:26" s="27" customFormat="1" outlineLevel="1" collapsed="1" x14ac:dyDescent="0.25">
      <c r="A47" s="26"/>
      <c r="B47" s="13" t="str">
        <f>CONCATENATE("     ","Freight out/Postage                               ")</f>
        <v xml:space="preserve">     Freight out/Postage                               </v>
      </c>
      <c r="C47" s="13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10</v>
      </c>
      <c r="I47" s="1"/>
      <c r="J47" s="5">
        <f t="shared" si="21"/>
        <v>3.4207915711695688E-4</v>
      </c>
      <c r="K47" s="1"/>
      <c r="L47" s="1">
        <f t="shared" si="22"/>
        <v>-10</v>
      </c>
      <c r="M47" s="1"/>
      <c r="N47" s="5">
        <f t="shared" si="23"/>
        <v>-1</v>
      </c>
      <c r="O47" s="13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90</v>
      </c>
      <c r="U47" s="1"/>
      <c r="V47" s="5">
        <f t="shared" si="25"/>
        <v>2.3207420185814077E-4</v>
      </c>
      <c r="W47" s="1"/>
      <c r="X47" s="1">
        <f t="shared" si="26"/>
        <v>-90</v>
      </c>
      <c r="Y47" s="1"/>
      <c r="Z47" s="5">
        <f t="shared" si="27"/>
        <v>-1</v>
      </c>
    </row>
    <row r="48" spans="1:26" s="24" customFormat="1" hidden="1" outlineLevel="2" x14ac:dyDescent="0.25">
      <c r="A48" s="25"/>
      <c r="B48" s="11" t="str">
        <f>CONCATENATE("          ", "6307", " - ", "POSTAGE")</f>
        <v xml:space="preserve">          6307 - POSTAGE</v>
      </c>
      <c r="C48" s="11"/>
      <c r="D48" s="6"/>
      <c r="E48" s="2"/>
      <c r="F48" s="7">
        <f t="shared" si="20"/>
        <v>0</v>
      </c>
      <c r="G48" s="2"/>
      <c r="H48" s="6">
        <v>10</v>
      </c>
      <c r="I48" s="2"/>
      <c r="J48" s="7">
        <f t="shared" si="21"/>
        <v>3.4207915711695688E-4</v>
      </c>
      <c r="K48" s="2"/>
      <c r="L48" s="6">
        <f t="shared" si="22"/>
        <v>-10</v>
      </c>
      <c r="M48" s="2"/>
      <c r="N48" s="7">
        <f t="shared" si="23"/>
        <v>-1</v>
      </c>
      <c r="O48" s="11"/>
      <c r="P48" s="6"/>
      <c r="Q48" s="2"/>
      <c r="R48" s="7">
        <f t="shared" si="24"/>
        <v>0</v>
      </c>
      <c r="S48" s="2"/>
      <c r="T48" s="6">
        <v>90</v>
      </c>
      <c r="U48" s="2"/>
      <c r="V48" s="7">
        <f t="shared" si="25"/>
        <v>2.3207420185814077E-4</v>
      </c>
      <c r="W48" s="2"/>
      <c r="X48" s="6">
        <f t="shared" si="26"/>
        <v>-90</v>
      </c>
      <c r="Y48" s="2"/>
      <c r="Z48" s="7">
        <f t="shared" si="27"/>
        <v>-1</v>
      </c>
    </row>
    <row r="49" spans="1:26" s="27" customFormat="1" outlineLevel="1" collapsed="1" x14ac:dyDescent="0.25">
      <c r="A49" s="26"/>
      <c r="B49" s="13" t="str">
        <f>CONCATENATE("     ","General                                           ")</f>
        <v xml:space="preserve">     General                                           </v>
      </c>
      <c r="C49" s="13"/>
      <c r="D49" s="1">
        <f>SUM(OSRRefD22_6x_0)</f>
        <v>0</v>
      </c>
      <c r="E49" s="1"/>
      <c r="F49" s="5">
        <f t="shared" si="20"/>
        <v>0</v>
      </c>
      <c r="G49" s="1"/>
      <c r="H49" s="1">
        <f>SUM(OSRRefH22_6x_0)</f>
        <v>50</v>
      </c>
      <c r="I49" s="1"/>
      <c r="J49" s="5">
        <f t="shared" si="21"/>
        <v>1.7103957855847843E-3</v>
      </c>
      <c r="K49" s="1"/>
      <c r="L49" s="1">
        <f t="shared" si="22"/>
        <v>-50</v>
      </c>
      <c r="M49" s="1"/>
      <c r="N49" s="5">
        <f t="shared" si="23"/>
        <v>-1</v>
      </c>
      <c r="O49" s="13"/>
      <c r="P49" s="1">
        <f>SUM(OSRRefP22_6x_0)</f>
        <v>47.34</v>
      </c>
      <c r="Q49" s="1"/>
      <c r="R49" s="5">
        <f t="shared" si="24"/>
        <v>1.2474308300395258E-4</v>
      </c>
      <c r="S49" s="1"/>
      <c r="T49" s="1">
        <f>SUM(OSRRefT22_6x_0)</f>
        <v>450</v>
      </c>
      <c r="U49" s="1"/>
      <c r="V49" s="5">
        <f t="shared" si="25"/>
        <v>1.1603710092907039E-3</v>
      </c>
      <c r="W49" s="1"/>
      <c r="X49" s="1">
        <f t="shared" si="26"/>
        <v>-402.65999999999997</v>
      </c>
      <c r="Y49" s="1"/>
      <c r="Z49" s="5">
        <f t="shared" si="27"/>
        <v>-0.89479999999999993</v>
      </c>
    </row>
    <row r="50" spans="1:26" s="24" customFormat="1" hidden="1" outlineLevel="2" x14ac:dyDescent="0.25">
      <c r="A50" s="25"/>
      <c r="B50" s="11" t="str">
        <f>CONCATENATE("          ", "6279", " - ", "GENERAL EXPENSE")</f>
        <v xml:space="preserve">          6279 - GENERAL EXPENSE</v>
      </c>
      <c r="C50" s="11"/>
      <c r="D50" s="6"/>
      <c r="E50" s="2"/>
      <c r="F50" s="7">
        <f t="shared" si="20"/>
        <v>0</v>
      </c>
      <c r="G50" s="2"/>
      <c r="H50" s="6">
        <v>50</v>
      </c>
      <c r="I50" s="2"/>
      <c r="J50" s="7">
        <f t="shared" si="21"/>
        <v>1.7103957855847843E-3</v>
      </c>
      <c r="K50" s="2"/>
      <c r="L50" s="6">
        <f t="shared" si="22"/>
        <v>-50</v>
      </c>
      <c r="M50" s="2"/>
      <c r="N50" s="7">
        <f t="shared" si="23"/>
        <v>-1</v>
      </c>
      <c r="O50" s="11"/>
      <c r="P50" s="6">
        <v>47.34</v>
      </c>
      <c r="Q50" s="2"/>
      <c r="R50" s="7">
        <f t="shared" si="24"/>
        <v>1.2474308300395258E-4</v>
      </c>
      <c r="S50" s="2"/>
      <c r="T50" s="6">
        <v>450</v>
      </c>
      <c r="U50" s="2"/>
      <c r="V50" s="7">
        <f t="shared" si="25"/>
        <v>1.1603710092907039E-3</v>
      </c>
      <c r="W50" s="2"/>
      <c r="X50" s="6">
        <f t="shared" si="26"/>
        <v>-402.65999999999997</v>
      </c>
      <c r="Y50" s="2"/>
      <c r="Z50" s="7">
        <f t="shared" si="27"/>
        <v>-0.89479999999999993</v>
      </c>
    </row>
    <row r="51" spans="1:26" s="27" customFormat="1" outlineLevel="1" collapsed="1" x14ac:dyDescent="0.25">
      <c r="A51" s="26"/>
      <c r="B51" s="13" t="str">
        <f>CONCATENATE("     ","Insurance                                         ")</f>
        <v xml:space="preserve">     Insurance                                         </v>
      </c>
      <c r="C51" s="13"/>
      <c r="D51" s="1">
        <f>SUM(OSRRefD22_7x_0)</f>
        <v>29.01</v>
      </c>
      <c r="E51" s="1"/>
      <c r="F51" s="5">
        <f t="shared" si="20"/>
        <v>6.6966759002770083E-4</v>
      </c>
      <c r="G51" s="1"/>
      <c r="H51" s="1">
        <f>SUM(OSRRefH22_7x_0)</f>
        <v>27</v>
      </c>
      <c r="I51" s="1"/>
      <c r="J51" s="5">
        <f t="shared" si="21"/>
        <v>9.2361372421578358E-4</v>
      </c>
      <c r="K51" s="1"/>
      <c r="L51" s="1">
        <f t="shared" si="22"/>
        <v>2.0100000000000016</v>
      </c>
      <c r="M51" s="1"/>
      <c r="N51" s="5">
        <f t="shared" si="23"/>
        <v>7.4444444444444507E-2</v>
      </c>
      <c r="O51" s="13"/>
      <c r="P51" s="1">
        <f>SUM(OSRRefP22_7x_0)</f>
        <v>261.08999999999997</v>
      </c>
      <c r="Q51" s="1"/>
      <c r="R51" s="5">
        <f t="shared" si="24"/>
        <v>6.8798418972332005E-4</v>
      </c>
      <c r="S51" s="1"/>
      <c r="T51" s="1">
        <f>SUM(OSRRefT22_7x_0)</f>
        <v>243</v>
      </c>
      <c r="U51" s="1"/>
      <c r="V51" s="5">
        <f t="shared" si="25"/>
        <v>6.266003450169801E-4</v>
      </c>
      <c r="W51" s="1"/>
      <c r="X51" s="1">
        <f t="shared" si="26"/>
        <v>18.089999999999975</v>
      </c>
      <c r="Y51" s="1"/>
      <c r="Z51" s="5">
        <f t="shared" si="27"/>
        <v>7.4444444444444341E-2</v>
      </c>
    </row>
    <row r="52" spans="1:26" s="24" customFormat="1" hidden="1" outlineLevel="2" x14ac:dyDescent="0.25">
      <c r="A52" s="25"/>
      <c r="B52" s="11" t="str">
        <f>CONCATENATE("          ", "6314", " - ", "LIABILITY INSURANCE")</f>
        <v xml:space="preserve">          6314 - LIABILITY INSURANCE</v>
      </c>
      <c r="C52" s="11"/>
      <c r="D52" s="6">
        <v>29.01</v>
      </c>
      <c r="E52" s="2"/>
      <c r="F52" s="7">
        <f t="shared" si="20"/>
        <v>6.6966759002770083E-4</v>
      </c>
      <c r="G52" s="2"/>
      <c r="H52" s="6">
        <v>27</v>
      </c>
      <c r="I52" s="2"/>
      <c r="J52" s="7">
        <f t="shared" si="21"/>
        <v>9.2361372421578358E-4</v>
      </c>
      <c r="K52" s="2"/>
      <c r="L52" s="6">
        <f t="shared" si="22"/>
        <v>2.0100000000000016</v>
      </c>
      <c r="M52" s="2"/>
      <c r="N52" s="7">
        <f t="shared" si="23"/>
        <v>7.4444444444444507E-2</v>
      </c>
      <c r="O52" s="11"/>
      <c r="P52" s="6">
        <v>261.08999999999997</v>
      </c>
      <c r="Q52" s="2"/>
      <c r="R52" s="7">
        <f t="shared" si="24"/>
        <v>6.8798418972332005E-4</v>
      </c>
      <c r="S52" s="2"/>
      <c r="T52" s="6">
        <v>243</v>
      </c>
      <c r="U52" s="2"/>
      <c r="V52" s="7">
        <f t="shared" si="25"/>
        <v>6.266003450169801E-4</v>
      </c>
      <c r="W52" s="2"/>
      <c r="X52" s="6">
        <f t="shared" si="26"/>
        <v>18.089999999999975</v>
      </c>
      <c r="Y52" s="2"/>
      <c r="Z52" s="7">
        <f t="shared" si="27"/>
        <v>7.4444444444444341E-2</v>
      </c>
    </row>
    <row r="53" spans="1:26" s="27" customFormat="1" outlineLevel="1" collapsed="1" x14ac:dyDescent="0.25">
      <c r="A53" s="26"/>
      <c r="B53" s="13" t="str">
        <f>CONCATENATE("     ","Professional Services                             ")</f>
        <v xml:space="preserve">     Professional Services                             </v>
      </c>
      <c r="C53" s="13"/>
      <c r="D53" s="1">
        <f>SUM(OSRRefD22_8x_0)</f>
        <v>0</v>
      </c>
      <c r="E53" s="1"/>
      <c r="F53" s="5">
        <f t="shared" si="20"/>
        <v>0</v>
      </c>
      <c r="G53" s="1"/>
      <c r="H53" s="1">
        <f>SUM(OSRRefH22_8x_0)</f>
        <v>400</v>
      </c>
      <c r="I53" s="1"/>
      <c r="J53" s="5">
        <f t="shared" si="21"/>
        <v>1.3683166284678274E-2</v>
      </c>
      <c r="K53" s="1"/>
      <c r="L53" s="1">
        <f t="shared" si="22"/>
        <v>-400</v>
      </c>
      <c r="M53" s="1"/>
      <c r="N53" s="5">
        <f t="shared" si="23"/>
        <v>-1</v>
      </c>
      <c r="O53" s="13"/>
      <c r="P53" s="1">
        <f>SUM(OSRRefP22_8x_0)</f>
        <v>0</v>
      </c>
      <c r="Q53" s="1"/>
      <c r="R53" s="5">
        <f t="shared" si="24"/>
        <v>0</v>
      </c>
      <c r="S53" s="1"/>
      <c r="T53" s="1">
        <f>SUM(OSRRefT22_8x_0)</f>
        <v>3600</v>
      </c>
      <c r="U53" s="1"/>
      <c r="V53" s="5">
        <f t="shared" si="25"/>
        <v>9.2829680743256315E-3</v>
      </c>
      <c r="W53" s="1"/>
      <c r="X53" s="1">
        <f t="shared" si="26"/>
        <v>-3600</v>
      </c>
      <c r="Y53" s="1"/>
      <c r="Z53" s="5">
        <f t="shared" si="27"/>
        <v>-1</v>
      </c>
    </row>
    <row r="54" spans="1:26" s="24" customFormat="1" hidden="1" outlineLevel="2" x14ac:dyDescent="0.25">
      <c r="A54" s="25"/>
      <c r="B54" s="11" t="str">
        <f>CONCATENATE("          ", "6336", " - ", "PROFESSIONAL SERVICES")</f>
        <v xml:space="preserve">          6336 - PROFESSIONAL SERVICES</v>
      </c>
      <c r="C54" s="11"/>
      <c r="D54" s="6"/>
      <c r="E54" s="2"/>
      <c r="F54" s="7">
        <f t="shared" si="20"/>
        <v>0</v>
      </c>
      <c r="G54" s="2"/>
      <c r="H54" s="6">
        <v>400</v>
      </c>
      <c r="I54" s="2"/>
      <c r="J54" s="7">
        <f t="shared" si="21"/>
        <v>1.3683166284678274E-2</v>
      </c>
      <c r="K54" s="2"/>
      <c r="L54" s="6">
        <f t="shared" si="22"/>
        <v>-400</v>
      </c>
      <c r="M54" s="2"/>
      <c r="N54" s="7">
        <f t="shared" si="23"/>
        <v>-1</v>
      </c>
      <c r="O54" s="11"/>
      <c r="P54" s="6"/>
      <c r="Q54" s="2"/>
      <c r="R54" s="7">
        <f t="shared" si="24"/>
        <v>0</v>
      </c>
      <c r="S54" s="2"/>
      <c r="T54" s="6">
        <v>3600</v>
      </c>
      <c r="U54" s="2"/>
      <c r="V54" s="7">
        <f t="shared" si="25"/>
        <v>9.2829680743256315E-3</v>
      </c>
      <c r="W54" s="2"/>
      <c r="X54" s="6">
        <f t="shared" si="26"/>
        <v>-3600</v>
      </c>
      <c r="Y54" s="2"/>
      <c r="Z54" s="7">
        <f t="shared" si="27"/>
        <v>-1</v>
      </c>
    </row>
    <row r="55" spans="1:26" s="27" customFormat="1" outlineLevel="1" collapsed="1" x14ac:dyDescent="0.25">
      <c r="A55" s="26"/>
      <c r="B55" s="13" t="str">
        <f>CONCATENATE("     ","Rent                                              ")</f>
        <v xml:space="preserve">     Rent                                              </v>
      </c>
      <c r="C55" s="13"/>
      <c r="D55" s="1">
        <f>SUM(OSRRefD22_9x_0)</f>
        <v>800</v>
      </c>
      <c r="E55" s="1"/>
      <c r="F55" s="5">
        <f t="shared" si="20"/>
        <v>1.8467220683287166E-2</v>
      </c>
      <c r="G55" s="1"/>
      <c r="H55" s="1">
        <f>SUM(OSRRefH22_9x_0)</f>
        <v>800</v>
      </c>
      <c r="I55" s="1"/>
      <c r="J55" s="5">
        <f t="shared" si="21"/>
        <v>2.7366332569356548E-2</v>
      </c>
      <c r="K55" s="1"/>
      <c r="L55" s="1">
        <f t="shared" si="22"/>
        <v>0</v>
      </c>
      <c r="M55" s="1"/>
      <c r="N55" s="5">
        <f t="shared" si="23"/>
        <v>0</v>
      </c>
      <c r="O55" s="13"/>
      <c r="P55" s="1">
        <f>SUM(OSRRefP22_9x_0)</f>
        <v>5600</v>
      </c>
      <c r="Q55" s="1"/>
      <c r="R55" s="5">
        <f t="shared" si="24"/>
        <v>1.4756258234519103E-2</v>
      </c>
      <c r="S55" s="1"/>
      <c r="T55" s="1">
        <f>SUM(OSRRefT22_9x_0)</f>
        <v>7200</v>
      </c>
      <c r="U55" s="1"/>
      <c r="V55" s="5">
        <f t="shared" si="25"/>
        <v>1.8565936148651263E-2</v>
      </c>
      <c r="W55" s="1"/>
      <c r="X55" s="1">
        <f t="shared" si="26"/>
        <v>-1600</v>
      </c>
      <c r="Y55" s="1"/>
      <c r="Z55" s="5">
        <f t="shared" si="27"/>
        <v>-0.22222222222222221</v>
      </c>
    </row>
    <row r="56" spans="1:26" s="24" customFormat="1" hidden="1" outlineLevel="2" x14ac:dyDescent="0.25">
      <c r="A56" s="25"/>
      <c r="B56" s="11" t="str">
        <f>CONCATENATE("          ", "6273", " - ", "RENT")</f>
        <v xml:space="preserve">          6273 - RENT</v>
      </c>
      <c r="C56" s="11"/>
      <c r="D56" s="6">
        <v>800</v>
      </c>
      <c r="E56" s="2"/>
      <c r="F56" s="7">
        <f t="shared" si="20"/>
        <v>1.8467220683287166E-2</v>
      </c>
      <c r="G56" s="2"/>
      <c r="H56" s="6">
        <v>800</v>
      </c>
      <c r="I56" s="2"/>
      <c r="J56" s="7">
        <f t="shared" si="21"/>
        <v>2.7366332569356548E-2</v>
      </c>
      <c r="K56" s="2"/>
      <c r="L56" s="6">
        <f t="shared" si="22"/>
        <v>0</v>
      </c>
      <c r="M56" s="2"/>
      <c r="N56" s="7">
        <f t="shared" si="23"/>
        <v>0</v>
      </c>
      <c r="O56" s="11"/>
      <c r="P56" s="6">
        <v>5600</v>
      </c>
      <c r="Q56" s="2"/>
      <c r="R56" s="7">
        <f t="shared" si="24"/>
        <v>1.4756258234519103E-2</v>
      </c>
      <c r="S56" s="2"/>
      <c r="T56" s="6">
        <v>7200</v>
      </c>
      <c r="U56" s="2"/>
      <c r="V56" s="7">
        <f t="shared" si="25"/>
        <v>1.8565936148651263E-2</v>
      </c>
      <c r="W56" s="2"/>
      <c r="X56" s="6">
        <f t="shared" si="26"/>
        <v>-1600</v>
      </c>
      <c r="Y56" s="2"/>
      <c r="Z56" s="7">
        <f t="shared" si="27"/>
        <v>-0.22222222222222221</v>
      </c>
    </row>
    <row r="57" spans="1:26" s="27" customFormat="1" outlineLevel="1" collapsed="1" x14ac:dyDescent="0.25">
      <c r="A57" s="26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SUM(OSRRefD22_10x_0)</f>
        <v>676.8</v>
      </c>
      <c r="E57" s="1"/>
      <c r="F57" s="5">
        <f t="shared" si="20"/>
        <v>1.5623268698060942E-2</v>
      </c>
      <c r="G57" s="1"/>
      <c r="H57" s="1">
        <f>SUM(OSRRefH22_10x_0)</f>
        <v>2000</v>
      </c>
      <c r="I57" s="1"/>
      <c r="J57" s="5">
        <f t="shared" si="21"/>
        <v>6.8415831423391374E-2</v>
      </c>
      <c r="K57" s="1"/>
      <c r="L57" s="1">
        <f t="shared" si="22"/>
        <v>-1323.2</v>
      </c>
      <c r="M57" s="1"/>
      <c r="N57" s="5">
        <f t="shared" si="23"/>
        <v>-0.66160000000000008</v>
      </c>
      <c r="O57" s="13"/>
      <c r="P57" s="1">
        <f>SUM(OSRRefP22_10x_0)</f>
        <v>118520.76</v>
      </c>
      <c r="Q57" s="1"/>
      <c r="R57" s="5">
        <f t="shared" si="24"/>
        <v>0.31230766798418969</v>
      </c>
      <c r="S57" s="1"/>
      <c r="T57" s="1">
        <f>SUM(OSRRefT22_10x_0)</f>
        <v>143000</v>
      </c>
      <c r="U57" s="1"/>
      <c r="V57" s="5">
        <f t="shared" si="25"/>
        <v>0.36874012073015699</v>
      </c>
      <c r="W57" s="1"/>
      <c r="X57" s="1">
        <f t="shared" si="26"/>
        <v>-24479.240000000005</v>
      </c>
      <c r="Y57" s="1"/>
      <c r="Z57" s="5">
        <f t="shared" si="27"/>
        <v>-0.17118349650349654</v>
      </c>
    </row>
    <row r="58" spans="1:26" s="24" customFormat="1" hidden="1" outlineLevel="2" x14ac:dyDescent="0.25">
      <c r="A58" s="25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20"/>
        <v>0</v>
      </c>
      <c r="G58" s="2"/>
      <c r="H58" s="6"/>
      <c r="I58" s="2"/>
      <c r="J58" s="7">
        <f t="shared" si="21"/>
        <v>0</v>
      </c>
      <c r="K58" s="2"/>
      <c r="L58" s="6">
        <f t="shared" si="22"/>
        <v>0</v>
      </c>
      <c r="M58" s="2"/>
      <c r="N58" s="7">
        <f t="shared" si="23"/>
        <v>0</v>
      </c>
      <c r="O58" s="11"/>
      <c r="P58" s="6">
        <v>437.31</v>
      </c>
      <c r="Q58" s="2"/>
      <c r="R58" s="7">
        <f t="shared" si="24"/>
        <v>1.1523320158102768E-3</v>
      </c>
      <c r="S58" s="2"/>
      <c r="T58" s="6">
        <v>125000</v>
      </c>
      <c r="U58" s="2"/>
      <c r="V58" s="7">
        <f t="shared" si="25"/>
        <v>0.32232528035852887</v>
      </c>
      <c r="W58" s="2"/>
      <c r="X58" s="6">
        <f t="shared" si="26"/>
        <v>-124562.69</v>
      </c>
      <c r="Y58" s="2"/>
      <c r="Z58" s="7">
        <f t="shared" si="27"/>
        <v>-0.99650152000000003</v>
      </c>
    </row>
    <row r="59" spans="1:26" s="24" customFormat="1" hidden="1" outlineLevel="2" x14ac:dyDescent="0.25">
      <c r="A59" s="25"/>
      <c r="B59" s="11" t="str">
        <f>CONCATENATE("          ", "6372", " - ", "COMPUTER HARDWARE MAINTENANCE")</f>
        <v xml:space="preserve">          6372 - COMPUTER HARDWARE MAINTENANCE</v>
      </c>
      <c r="C59" s="11"/>
      <c r="D59" s="6"/>
      <c r="E59" s="2"/>
      <c r="F59" s="7">
        <f t="shared" si="20"/>
        <v>0</v>
      </c>
      <c r="G59" s="2"/>
      <c r="H59" s="6">
        <v>2000</v>
      </c>
      <c r="I59" s="2"/>
      <c r="J59" s="7">
        <f t="shared" si="21"/>
        <v>6.8415831423391374E-2</v>
      </c>
      <c r="K59" s="2"/>
      <c r="L59" s="6">
        <f t="shared" si="22"/>
        <v>-2000</v>
      </c>
      <c r="M59" s="2"/>
      <c r="N59" s="7">
        <f t="shared" si="23"/>
        <v>-1</v>
      </c>
      <c r="O59" s="11"/>
      <c r="P59" s="6"/>
      <c r="Q59" s="2"/>
      <c r="R59" s="7">
        <f t="shared" si="24"/>
        <v>0</v>
      </c>
      <c r="S59" s="2"/>
      <c r="T59" s="6">
        <v>18000</v>
      </c>
      <c r="U59" s="2"/>
      <c r="V59" s="7">
        <f t="shared" si="25"/>
        <v>4.6414840371628158E-2</v>
      </c>
      <c r="W59" s="2"/>
      <c r="X59" s="6">
        <f t="shared" si="26"/>
        <v>-18000</v>
      </c>
      <c r="Y59" s="2"/>
      <c r="Z59" s="7">
        <f t="shared" si="27"/>
        <v>-1</v>
      </c>
    </row>
    <row r="60" spans="1:26" s="24" customFormat="1" hidden="1" outlineLevel="2" x14ac:dyDescent="0.25">
      <c r="A60" s="25"/>
      <c r="B60" s="11" t="str">
        <f>CONCATENATE("          ", "6373", " - ", "MAINTENANCE CONTRACTS")</f>
        <v xml:space="preserve">          6373 - MAINTENANCE CONTRACTS</v>
      </c>
      <c r="C60" s="11"/>
      <c r="D60" s="6"/>
      <c r="E60" s="2"/>
      <c r="F60" s="7">
        <f t="shared" si="20"/>
        <v>0</v>
      </c>
      <c r="G60" s="2"/>
      <c r="H60" s="6"/>
      <c r="I60" s="2"/>
      <c r="J60" s="7">
        <f t="shared" si="21"/>
        <v>0</v>
      </c>
      <c r="K60" s="2"/>
      <c r="L60" s="6">
        <f t="shared" si="22"/>
        <v>0</v>
      </c>
      <c r="M60" s="2"/>
      <c r="N60" s="7">
        <f t="shared" si="23"/>
        <v>0</v>
      </c>
      <c r="O60" s="11"/>
      <c r="P60" s="6">
        <v>117094</v>
      </c>
      <c r="Q60" s="2"/>
      <c r="R60" s="7">
        <f t="shared" si="24"/>
        <v>0.30854808959156788</v>
      </c>
      <c r="S60" s="2"/>
      <c r="T60" s="6"/>
      <c r="U60" s="2"/>
      <c r="V60" s="7">
        <f t="shared" si="25"/>
        <v>0</v>
      </c>
      <c r="W60" s="2"/>
      <c r="X60" s="6">
        <f t="shared" si="26"/>
        <v>117094</v>
      </c>
      <c r="Y60" s="2"/>
      <c r="Z60" s="7">
        <f t="shared" si="27"/>
        <v>0</v>
      </c>
    </row>
    <row r="61" spans="1:26" s="24" customFormat="1" hidden="1" outlineLevel="2" x14ac:dyDescent="0.25">
      <c r="A61" s="25"/>
      <c r="B61" s="11" t="str">
        <f>CONCATENATE("          ", "6375", " - ", "OUTSIDE REPAIRS &amp; MAINTENANCE")</f>
        <v xml:space="preserve">          6375 - OUTSIDE REPAIRS &amp; MAINTENANCE</v>
      </c>
      <c r="C61" s="11"/>
      <c r="D61" s="6">
        <v>676.8</v>
      </c>
      <c r="E61" s="2"/>
      <c r="F61" s="7">
        <f t="shared" si="20"/>
        <v>1.5623268698060942E-2</v>
      </c>
      <c r="G61" s="2"/>
      <c r="H61" s="6"/>
      <c r="I61" s="2"/>
      <c r="J61" s="7">
        <f t="shared" si="21"/>
        <v>0</v>
      </c>
      <c r="K61" s="2"/>
      <c r="L61" s="6">
        <f t="shared" si="22"/>
        <v>676.8</v>
      </c>
      <c r="M61" s="2"/>
      <c r="N61" s="7">
        <f t="shared" si="23"/>
        <v>0</v>
      </c>
      <c r="O61" s="11"/>
      <c r="P61" s="6">
        <v>989.45</v>
      </c>
      <c r="Q61" s="2"/>
      <c r="R61" s="7">
        <f t="shared" si="24"/>
        <v>2.6072463768115942E-3</v>
      </c>
      <c r="S61" s="2"/>
      <c r="T61" s="6"/>
      <c r="U61" s="2"/>
      <c r="V61" s="7">
        <f t="shared" si="25"/>
        <v>0</v>
      </c>
      <c r="W61" s="2"/>
      <c r="X61" s="6">
        <f t="shared" si="26"/>
        <v>989.45</v>
      </c>
      <c r="Y61" s="2"/>
      <c r="Z61" s="7">
        <f t="shared" si="27"/>
        <v>0</v>
      </c>
    </row>
    <row r="62" spans="1:26" s="27" customFormat="1" outlineLevel="1" collapsed="1" x14ac:dyDescent="0.25">
      <c r="A62" s="26"/>
      <c r="B62" s="13" t="str">
        <f>CONCATENATE("     ","Subscriptions &amp; Dues                              ")</f>
        <v xml:space="preserve">     Subscriptions &amp; Dues                              </v>
      </c>
      <c r="C62" s="13"/>
      <c r="D62" s="1">
        <f>SUM(OSRRefD22_11x_0)</f>
        <v>0</v>
      </c>
      <c r="E62" s="1"/>
      <c r="F62" s="5">
        <f t="shared" ref="F62:F67" si="28">IF(D$12=0,0,D62/D$12)</f>
        <v>0</v>
      </c>
      <c r="G62" s="1"/>
      <c r="H62" s="1">
        <f>SUM(OSRRefH22_11x_0)</f>
        <v>0</v>
      </c>
      <c r="I62" s="1"/>
      <c r="J62" s="5">
        <f t="shared" ref="J62:J67" si="29">IF(H$12=0,0,H62/H$12)</f>
        <v>0</v>
      </c>
      <c r="K62" s="1"/>
      <c r="L62" s="1">
        <f t="shared" ref="L62:L67" si="30">+D62-H62</f>
        <v>0</v>
      </c>
      <c r="M62" s="1"/>
      <c r="N62" s="5">
        <f t="shared" ref="N62:N67" si="31">IF(H62=0,0,L62/H62)</f>
        <v>0</v>
      </c>
      <c r="O62" s="13"/>
      <c r="P62" s="1">
        <f>SUM(OSRRefP22_11x_0)</f>
        <v>825</v>
      </c>
      <c r="Q62" s="1"/>
      <c r="R62" s="5">
        <f t="shared" ref="R62:R67" si="32">IF(P$12=0,0,P62/P$12)</f>
        <v>2.1739130434782609E-3</v>
      </c>
      <c r="S62" s="1"/>
      <c r="T62" s="1">
        <f>SUM(OSRRefT22_11x_0)</f>
        <v>0</v>
      </c>
      <c r="U62" s="1"/>
      <c r="V62" s="5">
        <f t="shared" ref="V62:V67" si="33">IF(T$12=0,0,T62/T$12)</f>
        <v>0</v>
      </c>
      <c r="W62" s="1"/>
      <c r="X62" s="1">
        <f t="shared" ref="X62:X67" si="34">+P62-T62</f>
        <v>825</v>
      </c>
      <c r="Y62" s="1"/>
      <c r="Z62" s="5">
        <f t="shared" ref="Z62:Z67" si="35">IF(T62=0,0,X62/T62)</f>
        <v>0</v>
      </c>
    </row>
    <row r="63" spans="1:26" s="24" customFormat="1" hidden="1" outlineLevel="2" x14ac:dyDescent="0.25">
      <c r="A63" s="25"/>
      <c r="B63" s="11" t="str">
        <f>CONCATENATE("          ", "6258", " - ", "MEMBERSHIP DUES")</f>
        <v xml:space="preserve">          6258 - MEMBERSHIP DUES</v>
      </c>
      <c r="C63" s="11"/>
      <c r="D63" s="6"/>
      <c r="E63" s="2"/>
      <c r="F63" s="7">
        <f t="shared" si="28"/>
        <v>0</v>
      </c>
      <c r="G63" s="2"/>
      <c r="H63" s="6"/>
      <c r="I63" s="2"/>
      <c r="J63" s="7">
        <f t="shared" si="29"/>
        <v>0</v>
      </c>
      <c r="K63" s="2"/>
      <c r="L63" s="6">
        <f t="shared" si="30"/>
        <v>0</v>
      </c>
      <c r="M63" s="2"/>
      <c r="N63" s="7">
        <f t="shared" si="31"/>
        <v>0</v>
      </c>
      <c r="O63" s="11"/>
      <c r="P63" s="6">
        <v>825</v>
      </c>
      <c r="Q63" s="2"/>
      <c r="R63" s="7">
        <f t="shared" si="32"/>
        <v>2.1739130434782609E-3</v>
      </c>
      <c r="S63" s="2"/>
      <c r="T63" s="6"/>
      <c r="U63" s="2"/>
      <c r="V63" s="7">
        <f t="shared" si="33"/>
        <v>0</v>
      </c>
      <c r="W63" s="2"/>
      <c r="X63" s="6">
        <f t="shared" si="34"/>
        <v>825</v>
      </c>
      <c r="Y63" s="2"/>
      <c r="Z63" s="7">
        <f t="shared" si="35"/>
        <v>0</v>
      </c>
    </row>
    <row r="64" spans="1:26" s="27" customFormat="1" outlineLevel="1" collapsed="1" x14ac:dyDescent="0.25">
      <c r="A64" s="26"/>
      <c r="B64" s="13" t="str">
        <f>CONCATENATE("     ","Supplies                                          ")</f>
        <v xml:space="preserve">     Supplies                                          </v>
      </c>
      <c r="C64" s="13"/>
      <c r="D64" s="1">
        <f>SUM(OSRRefD22_12x_0)</f>
        <v>1596.09</v>
      </c>
      <c r="E64" s="1"/>
      <c r="F64" s="5">
        <f t="shared" si="28"/>
        <v>3.684418282548476E-2</v>
      </c>
      <c r="G64" s="1"/>
      <c r="H64" s="1">
        <f>SUM(OSRRefH22_12x_0)</f>
        <v>7000</v>
      </c>
      <c r="I64" s="1"/>
      <c r="J64" s="5">
        <f t="shared" si="29"/>
        <v>0.23945540998186982</v>
      </c>
      <c r="K64" s="1"/>
      <c r="L64" s="1">
        <f t="shared" si="30"/>
        <v>-5403.91</v>
      </c>
      <c r="M64" s="1"/>
      <c r="N64" s="5">
        <f t="shared" si="31"/>
        <v>-0.77198714285714287</v>
      </c>
      <c r="O64" s="13"/>
      <c r="P64" s="1">
        <f>SUM(OSRRefP22_12x_0)</f>
        <v>24878.799999999999</v>
      </c>
      <c r="Q64" s="1"/>
      <c r="R64" s="5">
        <f t="shared" si="32"/>
        <v>6.5556785243741769E-2</v>
      </c>
      <c r="S64" s="1"/>
      <c r="T64" s="1">
        <f>SUM(OSRRefT22_12x_0)</f>
        <v>63100</v>
      </c>
      <c r="U64" s="1"/>
      <c r="V64" s="5">
        <f t="shared" si="33"/>
        <v>0.16270980152498538</v>
      </c>
      <c r="W64" s="1"/>
      <c r="X64" s="1">
        <f t="shared" si="34"/>
        <v>-38221.199999999997</v>
      </c>
      <c r="Y64" s="1"/>
      <c r="Z64" s="5">
        <f t="shared" si="35"/>
        <v>-0.60572424722662432</v>
      </c>
    </row>
    <row r="65" spans="1:26" s="24" customFormat="1" hidden="1" outlineLevel="2" x14ac:dyDescent="0.25">
      <c r="A65" s="25"/>
      <c r="B65" s="11" t="str">
        <f>CONCATENATE("          ", "6234", " - ", "EXPENDABLE SUPPLIES &amp; EQUIPMEN")</f>
        <v xml:space="preserve">          6234 - EXPENDABLE SUPPLIES &amp; EQUIPMEN</v>
      </c>
      <c r="C65" s="11"/>
      <c r="D65" s="6"/>
      <c r="E65" s="2"/>
      <c r="F65" s="7">
        <f t="shared" si="28"/>
        <v>0</v>
      </c>
      <c r="G65" s="2"/>
      <c r="H65" s="6">
        <v>7000</v>
      </c>
      <c r="I65" s="2"/>
      <c r="J65" s="7">
        <f t="shared" si="29"/>
        <v>0.23945540998186982</v>
      </c>
      <c r="K65" s="2"/>
      <c r="L65" s="6">
        <f t="shared" si="30"/>
        <v>-7000</v>
      </c>
      <c r="M65" s="2"/>
      <c r="N65" s="7">
        <f t="shared" si="31"/>
        <v>-1</v>
      </c>
      <c r="O65" s="11"/>
      <c r="P65" s="6">
        <v>413.27</v>
      </c>
      <c r="Q65" s="2"/>
      <c r="R65" s="7">
        <f t="shared" si="32"/>
        <v>1.0889855072463768E-3</v>
      </c>
      <c r="S65" s="2"/>
      <c r="T65" s="6">
        <v>63100</v>
      </c>
      <c r="U65" s="2"/>
      <c r="V65" s="7">
        <f t="shared" si="33"/>
        <v>0.16270980152498538</v>
      </c>
      <c r="W65" s="2"/>
      <c r="X65" s="6">
        <f t="shared" si="34"/>
        <v>-62686.73</v>
      </c>
      <c r="Y65" s="2"/>
      <c r="Z65" s="7">
        <f t="shared" si="35"/>
        <v>-0.99345055467511889</v>
      </c>
    </row>
    <row r="66" spans="1:26" s="24" customFormat="1" hidden="1" outlineLevel="2" x14ac:dyDescent="0.25">
      <c r="A66" s="25"/>
      <c r="B66" s="11" t="str">
        <f>CONCATENATE("          ", "6241", " - ", "OFFICE EXPENSE")</f>
        <v xml:space="preserve">          6241 - OFFICE EXPENSE</v>
      </c>
      <c r="C66" s="11"/>
      <c r="D66" s="6">
        <v>1596.09</v>
      </c>
      <c r="E66" s="2"/>
      <c r="F66" s="7">
        <f t="shared" si="28"/>
        <v>3.684418282548476E-2</v>
      </c>
      <c r="G66" s="2"/>
      <c r="H66" s="6"/>
      <c r="I66" s="2"/>
      <c r="J66" s="7">
        <f t="shared" si="29"/>
        <v>0</v>
      </c>
      <c r="K66" s="2"/>
      <c r="L66" s="6">
        <f t="shared" si="30"/>
        <v>1596.09</v>
      </c>
      <c r="M66" s="2"/>
      <c r="N66" s="7">
        <f t="shared" si="31"/>
        <v>0</v>
      </c>
      <c r="O66" s="11"/>
      <c r="P66" s="6">
        <v>24262.01</v>
      </c>
      <c r="Q66" s="2"/>
      <c r="R66" s="7">
        <f t="shared" si="32"/>
        <v>6.3931515151515142E-2</v>
      </c>
      <c r="S66" s="2"/>
      <c r="T66" s="6"/>
      <c r="U66" s="2"/>
      <c r="V66" s="7">
        <f t="shared" si="33"/>
        <v>0</v>
      </c>
      <c r="W66" s="2"/>
      <c r="X66" s="6">
        <f t="shared" si="34"/>
        <v>24262.01</v>
      </c>
      <c r="Y66" s="2"/>
      <c r="Z66" s="7">
        <f t="shared" si="35"/>
        <v>0</v>
      </c>
    </row>
    <row r="67" spans="1:26" s="24" customFormat="1" hidden="1" outlineLevel="2" x14ac:dyDescent="0.25">
      <c r="A67" s="25"/>
      <c r="B67" s="11" t="str">
        <f>CONCATENATE("          ", "6245", " - ", "PRINTING")</f>
        <v xml:space="preserve">          6245 - PRINTING</v>
      </c>
      <c r="C67" s="11"/>
      <c r="D67" s="6"/>
      <c r="E67" s="2"/>
      <c r="F67" s="7">
        <f t="shared" si="28"/>
        <v>0</v>
      </c>
      <c r="G67" s="2"/>
      <c r="H67" s="6"/>
      <c r="I67" s="2"/>
      <c r="J67" s="7">
        <f t="shared" si="29"/>
        <v>0</v>
      </c>
      <c r="K67" s="2"/>
      <c r="L67" s="6">
        <f t="shared" si="30"/>
        <v>0</v>
      </c>
      <c r="M67" s="2"/>
      <c r="N67" s="7">
        <f t="shared" si="31"/>
        <v>0</v>
      </c>
      <c r="O67" s="11"/>
      <c r="P67" s="6">
        <v>203.52</v>
      </c>
      <c r="Q67" s="2"/>
      <c r="R67" s="7">
        <f t="shared" si="32"/>
        <v>5.3628458498023715E-4</v>
      </c>
      <c r="S67" s="2"/>
      <c r="T67" s="6"/>
      <c r="U67" s="2"/>
      <c r="V67" s="7">
        <f t="shared" si="33"/>
        <v>0</v>
      </c>
      <c r="W67" s="2"/>
      <c r="X67" s="6">
        <f t="shared" si="34"/>
        <v>203.52</v>
      </c>
      <c r="Y67" s="2"/>
      <c r="Z67" s="7">
        <f t="shared" si="35"/>
        <v>0</v>
      </c>
    </row>
    <row r="68" spans="1:26" s="27" customFormat="1" outlineLevel="1" collapsed="1" x14ac:dyDescent="0.25">
      <c r="A68" s="26"/>
      <c r="B68" s="13" t="str">
        <f>CONCATENATE("     ","Telephone/Data Lines                              ")</f>
        <v xml:space="preserve">     Telephone/Data Lines                              </v>
      </c>
      <c r="C68" s="13"/>
      <c r="D68" s="1">
        <f>SUM(OSRRefD22_13x_0)</f>
        <v>188.35</v>
      </c>
      <c r="E68" s="1"/>
      <c r="F68" s="5">
        <f t="shared" ref="F68:F71" si="36">IF(D$12=0,0,D68/D$12)</f>
        <v>4.3478762696214221E-3</v>
      </c>
      <c r="G68" s="1"/>
      <c r="H68" s="1">
        <f>SUM(OSRRefH22_13x_0)</f>
        <v>350</v>
      </c>
      <c r="I68" s="1"/>
      <c r="J68" s="5">
        <f t="shared" ref="J68:J71" si="37">IF(H$12=0,0,H68/H$12)</f>
        <v>1.1972770499093489E-2</v>
      </c>
      <c r="K68" s="1"/>
      <c r="L68" s="1">
        <f t="shared" ref="L68:L71" si="38">+D68-H68</f>
        <v>-161.65</v>
      </c>
      <c r="M68" s="1"/>
      <c r="N68" s="5">
        <f t="shared" ref="N68:N71" si="39">IF(H68=0,0,L68/H68)</f>
        <v>-0.46185714285714285</v>
      </c>
      <c r="O68" s="13"/>
      <c r="P68" s="1">
        <f>SUM(OSRRefP22_13x_0)</f>
        <v>1699.55</v>
      </c>
      <c r="Q68" s="1"/>
      <c r="R68" s="5">
        <f t="shared" ref="R68:R71" si="40">IF(P$12=0,0,P68/P$12)</f>
        <v>4.4783926218708824E-3</v>
      </c>
      <c r="S68" s="1"/>
      <c r="T68" s="1">
        <f>SUM(OSRRefT22_13x_0)</f>
        <v>3150</v>
      </c>
      <c r="U68" s="1"/>
      <c r="V68" s="5">
        <f t="shared" ref="V68:V71" si="41">IF(T$12=0,0,T68/T$12)</f>
        <v>8.1225970650349276E-3</v>
      </c>
      <c r="W68" s="1"/>
      <c r="X68" s="1">
        <f t="shared" ref="X68:X71" si="42">+P68-T68</f>
        <v>-1450.45</v>
      </c>
      <c r="Y68" s="1"/>
      <c r="Z68" s="5">
        <f t="shared" ref="Z68:Z71" si="43">IF(T68=0,0,X68/T68)</f>
        <v>-0.46046031746031746</v>
      </c>
    </row>
    <row r="69" spans="1:26" s="24" customFormat="1" hidden="1" outlineLevel="2" x14ac:dyDescent="0.25">
      <c r="A69" s="25"/>
      <c r="B69" s="11" t="str">
        <f>CONCATENATE("          ", "6309", " - ", "TELEPHONE")</f>
        <v xml:space="preserve">          6309 - TELEPHONE</v>
      </c>
      <c r="C69" s="11"/>
      <c r="D69" s="6">
        <v>188.35</v>
      </c>
      <c r="E69" s="2"/>
      <c r="F69" s="7">
        <f t="shared" si="36"/>
        <v>4.3478762696214221E-3</v>
      </c>
      <c r="G69" s="2"/>
      <c r="H69" s="6">
        <v>350</v>
      </c>
      <c r="I69" s="2"/>
      <c r="J69" s="7">
        <f t="shared" si="37"/>
        <v>1.1972770499093489E-2</v>
      </c>
      <c r="K69" s="2"/>
      <c r="L69" s="6">
        <f t="shared" si="38"/>
        <v>-161.65</v>
      </c>
      <c r="M69" s="2"/>
      <c r="N69" s="7">
        <f t="shared" si="39"/>
        <v>-0.46185714285714285</v>
      </c>
      <c r="O69" s="11"/>
      <c r="P69" s="6">
        <v>1699.55</v>
      </c>
      <c r="Q69" s="2"/>
      <c r="R69" s="7">
        <f t="shared" si="40"/>
        <v>4.4783926218708824E-3</v>
      </c>
      <c r="S69" s="2"/>
      <c r="T69" s="6">
        <v>3150</v>
      </c>
      <c r="U69" s="2"/>
      <c r="V69" s="7">
        <f t="shared" si="41"/>
        <v>8.1225970650349276E-3</v>
      </c>
      <c r="W69" s="2"/>
      <c r="X69" s="6">
        <f t="shared" si="42"/>
        <v>-1450.45</v>
      </c>
      <c r="Y69" s="2"/>
      <c r="Z69" s="7">
        <f t="shared" si="43"/>
        <v>-0.46046031746031746</v>
      </c>
    </row>
    <row r="70" spans="1:26" s="27" customFormat="1" outlineLevel="1" collapsed="1" x14ac:dyDescent="0.25">
      <c r="A70" s="26"/>
      <c r="B70" s="13" t="str">
        <f>CONCATENATE("     ","Training                                          ")</f>
        <v xml:space="preserve">     Training                                          </v>
      </c>
      <c r="C70" s="13"/>
      <c r="D70" s="1">
        <f>SUM(OSRRefD22_14x_0)</f>
        <v>2011.24</v>
      </c>
      <c r="E70" s="1"/>
      <c r="F70" s="5">
        <f t="shared" si="36"/>
        <v>4.64275161588181E-2</v>
      </c>
      <c r="G70" s="1"/>
      <c r="H70" s="1">
        <f>SUM(OSRRefH22_14x_0)</f>
        <v>3500</v>
      </c>
      <c r="I70" s="1"/>
      <c r="J70" s="5">
        <f t="shared" si="37"/>
        <v>0.11972770499093491</v>
      </c>
      <c r="K70" s="1"/>
      <c r="L70" s="1">
        <f t="shared" si="38"/>
        <v>-1488.76</v>
      </c>
      <c r="M70" s="1"/>
      <c r="N70" s="5">
        <f t="shared" si="39"/>
        <v>-0.42536000000000002</v>
      </c>
      <c r="O70" s="13"/>
      <c r="P70" s="1">
        <f>SUM(OSRRefP22_14x_0)</f>
        <v>2011.24</v>
      </c>
      <c r="Q70" s="1"/>
      <c r="R70" s="5">
        <f t="shared" si="40"/>
        <v>5.2997101449275361E-3</v>
      </c>
      <c r="S70" s="1"/>
      <c r="T70" s="1">
        <f>SUM(OSRRefT22_14x_0)</f>
        <v>6000</v>
      </c>
      <c r="U70" s="1"/>
      <c r="V70" s="5">
        <f t="shared" si="41"/>
        <v>1.5471613457209385E-2</v>
      </c>
      <c r="W70" s="1"/>
      <c r="X70" s="1">
        <f t="shared" si="42"/>
        <v>-3988.76</v>
      </c>
      <c r="Y70" s="1"/>
      <c r="Z70" s="5">
        <f t="shared" si="43"/>
        <v>-0.66479333333333335</v>
      </c>
    </row>
    <row r="71" spans="1:26" s="24" customFormat="1" hidden="1" outlineLevel="2" x14ac:dyDescent="0.25">
      <c r="A71" s="25"/>
      <c r="B71" s="11" t="str">
        <f>CONCATENATE("          ", "6376", " - ", "TRAINING")</f>
        <v xml:space="preserve">          6376 - TRAINING</v>
      </c>
      <c r="C71" s="11"/>
      <c r="D71" s="6">
        <v>2011.24</v>
      </c>
      <c r="E71" s="2"/>
      <c r="F71" s="7">
        <f t="shared" si="36"/>
        <v>4.64275161588181E-2</v>
      </c>
      <c r="G71" s="2"/>
      <c r="H71" s="6">
        <v>3500</v>
      </c>
      <c r="I71" s="2"/>
      <c r="J71" s="7">
        <f t="shared" si="37"/>
        <v>0.11972770499093491</v>
      </c>
      <c r="K71" s="2"/>
      <c r="L71" s="6">
        <f t="shared" si="38"/>
        <v>-1488.76</v>
      </c>
      <c r="M71" s="2"/>
      <c r="N71" s="7">
        <f t="shared" si="39"/>
        <v>-0.42536000000000002</v>
      </c>
      <c r="O71" s="11"/>
      <c r="P71" s="6">
        <v>2011.24</v>
      </c>
      <c r="Q71" s="2"/>
      <c r="R71" s="7">
        <f t="shared" si="40"/>
        <v>5.2997101449275361E-3</v>
      </c>
      <c r="S71" s="2"/>
      <c r="T71" s="6">
        <v>6000</v>
      </c>
      <c r="U71" s="2"/>
      <c r="V71" s="7">
        <f t="shared" si="41"/>
        <v>1.5471613457209385E-2</v>
      </c>
      <c r="W71" s="2"/>
      <c r="X71" s="6">
        <f t="shared" si="42"/>
        <v>-3988.76</v>
      </c>
      <c r="Y71" s="2"/>
      <c r="Z71" s="7">
        <f t="shared" si="43"/>
        <v>-0.66479333333333335</v>
      </c>
    </row>
    <row r="72" spans="1:26" s="56" customFormat="1" x14ac:dyDescent="0.25">
      <c r="A72" s="36"/>
      <c r="B72" s="36"/>
      <c r="C72" s="36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6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collapsed="1" x14ac:dyDescent="0.25">
      <c r="A73" s="10"/>
      <c r="B73" s="29" t="s">
        <v>0</v>
      </c>
      <c r="C73" s="10"/>
      <c r="D73" s="4">
        <f>SUM(OSRRefD25x_0)</f>
        <v>991.34</v>
      </c>
      <c r="E73" s="4"/>
      <c r="F73" s="12">
        <f t="shared" ref="F73:F74" si="44">IF(D$12=0,0,D73/D$12)</f>
        <v>2.2884118190212372E-2</v>
      </c>
      <c r="G73" s="4"/>
      <c r="H73" s="4">
        <f>SUM(OSRRefH25x_0)</f>
        <v>3500</v>
      </c>
      <c r="I73" s="4"/>
      <c r="J73" s="12">
        <f t="shared" ref="J73:J74" si="45">IF(H$12=0,0,H73/H$12)</f>
        <v>0.11972770499093491</v>
      </c>
      <c r="K73" s="4"/>
      <c r="L73" s="4">
        <f t="shared" ref="L73:L74" si="46">+D73-H73</f>
        <v>-2508.66</v>
      </c>
      <c r="M73" s="4"/>
      <c r="N73" s="12">
        <f t="shared" ref="N73:N74" si="47">IF(H73=0,0,L73/H73)</f>
        <v>-0.71675999999999995</v>
      </c>
      <c r="O73" s="10"/>
      <c r="P73" s="4">
        <f>SUM(OSRRefP25x_0)</f>
        <v>20336.25</v>
      </c>
      <c r="Q73" s="4"/>
      <c r="R73" s="12">
        <f t="shared" ref="R73:R74" si="48">IF(P$12=0,0,P73/P$12)</f>
        <v>5.3586956521739129E-2</v>
      </c>
      <c r="S73" s="4"/>
      <c r="T73" s="4">
        <f>SUM(OSRRefT25x_0)</f>
        <v>26650</v>
      </c>
      <c r="U73" s="4"/>
      <c r="V73" s="12">
        <f t="shared" ref="V73:V74" si="49">IF(T$12=0,0,T73/T$12)</f>
        <v>6.8719749772438346E-2</v>
      </c>
      <c r="W73" s="4"/>
      <c r="X73" s="4">
        <f t="shared" ref="X73:X74" si="50">+P73-T73</f>
        <v>-6313.75</v>
      </c>
      <c r="Y73" s="4"/>
      <c r="Z73" s="12">
        <f t="shared" ref="Z73:Z74" si="51">IF(T73=0,0,X73/T73)</f>
        <v>-0.23691369606003751</v>
      </c>
    </row>
    <row r="74" spans="1:26" s="24" customFormat="1" hidden="1" outlineLevel="1" x14ac:dyDescent="0.25">
      <c r="A74" s="44"/>
      <c r="B74" s="11" t="str">
        <f>CONCATENATE("          ", "9150", " - ", "MISC. INCOME")</f>
        <v xml:space="preserve">          9150 - MISC. INCOME</v>
      </c>
      <c r="C74" s="11"/>
      <c r="D74" s="2">
        <f>--991.34</f>
        <v>991.34</v>
      </c>
      <c r="E74" s="2"/>
      <c r="F74" s="19">
        <f t="shared" si="44"/>
        <v>2.2884118190212372E-2</v>
      </c>
      <c r="G74" s="2"/>
      <c r="H74" s="2">
        <v>3500</v>
      </c>
      <c r="I74" s="2"/>
      <c r="J74" s="19">
        <f t="shared" si="45"/>
        <v>0.11972770499093491</v>
      </c>
      <c r="K74" s="2"/>
      <c r="L74" s="2">
        <f t="shared" si="46"/>
        <v>-2508.66</v>
      </c>
      <c r="M74" s="2"/>
      <c r="N74" s="19">
        <f t="shared" si="47"/>
        <v>-0.71675999999999995</v>
      </c>
      <c r="O74" s="11"/>
      <c r="P74" s="2">
        <f>--20336.25</f>
        <v>20336.25</v>
      </c>
      <c r="Q74" s="2"/>
      <c r="R74" s="19">
        <f t="shared" si="48"/>
        <v>5.3586956521739129E-2</v>
      </c>
      <c r="S74" s="2"/>
      <c r="T74" s="2">
        <v>26650</v>
      </c>
      <c r="U74" s="2"/>
      <c r="V74" s="19">
        <f t="shared" si="49"/>
        <v>6.8719749772438346E-2</v>
      </c>
      <c r="W74" s="2"/>
      <c r="X74" s="2">
        <f t="shared" si="50"/>
        <v>-6313.75</v>
      </c>
      <c r="Y74" s="2"/>
      <c r="Z74" s="19">
        <f t="shared" si="51"/>
        <v>-0.23691369606003751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8" t="s">
        <v>3</v>
      </c>
      <c r="C76" s="28"/>
      <c r="D76" s="20">
        <f>+D17-D19+D73</f>
        <v>11667.250000000004</v>
      </c>
      <c r="E76" s="14"/>
      <c r="F76" s="22">
        <f>IF(D$12=0,0,D76/D$12)</f>
        <v>0.26932710064635279</v>
      </c>
      <c r="G76" s="14"/>
      <c r="H76" s="20">
        <f>+H17-H19+H73</f>
        <v>3834.6524991538463</v>
      </c>
      <c r="I76" s="14"/>
      <c r="J76" s="22">
        <f>IF(H$12=0,0,H76/H$12)</f>
        <v>0.13117546947469799</v>
      </c>
      <c r="K76" s="16"/>
      <c r="L76" s="20">
        <f>+D76-H76</f>
        <v>7832.5975008461573</v>
      </c>
      <c r="M76" s="16"/>
      <c r="N76" s="22">
        <f>IF(H76=0,0,L76/H76)</f>
        <v>2.0425833899093848</v>
      </c>
      <c r="O76" s="29"/>
      <c r="P76" s="20">
        <f>+P17-P19+P73</f>
        <v>31653.169999999984</v>
      </c>
      <c r="Q76" s="14"/>
      <c r="R76" s="22">
        <f>IF(P$12=0,0,P76/P$12)</f>
        <v>8.3407562582345149E-2</v>
      </c>
      <c r="S76" s="14"/>
      <c r="T76" s="20">
        <f>+T17-T19+T73</f>
        <v>50875.437336749979</v>
      </c>
      <c r="U76" s="14"/>
      <c r="V76" s="22">
        <f>IF(T$12=0,0,T76/T$12)</f>
        <v>0.13118751682344562</v>
      </c>
      <c r="W76" s="16"/>
      <c r="X76" s="20">
        <f>+P76-T76</f>
        <v>-19222.267336749996</v>
      </c>
      <c r="Y76" s="16"/>
      <c r="Z76" s="22">
        <f>IF(T76=0,0,X76/T76)</f>
        <v>-0.37783001666434324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2"/>
      <c r="B78" s="10" t="s">
        <v>14</v>
      </c>
      <c r="C78" s="10"/>
      <c r="D78" s="4">
        <v>6400.95</v>
      </c>
      <c r="E78" s="4"/>
      <c r="F78" s="12">
        <f>IF(D$12=0,0,D78/D$12)</f>
        <v>0.14775969529085872</v>
      </c>
      <c r="G78" s="4"/>
      <c r="H78" s="4">
        <v>2212</v>
      </c>
      <c r="I78" s="4"/>
      <c r="J78" s="12">
        <f>IF(H$12=0,0,H78/H$12)</f>
        <v>7.5667909554270857E-2</v>
      </c>
      <c r="K78" s="4"/>
      <c r="L78" s="4">
        <f>+D78-H78</f>
        <v>4188.95</v>
      </c>
      <c r="M78" s="4"/>
      <c r="N78" s="12">
        <f>IF(H78=0,0,L78/H78)</f>
        <v>1.8937386980108499</v>
      </c>
      <c r="O78" s="10"/>
      <c r="P78" s="4">
        <v>40664.339999999997</v>
      </c>
      <c r="Q78" s="4"/>
      <c r="R78" s="12">
        <f>IF(P$12=0,0,P78/P$12)</f>
        <v>0.10715241106719367</v>
      </c>
      <c r="S78" s="4"/>
      <c r="T78" s="4">
        <v>45331</v>
      </c>
      <c r="U78" s="4"/>
      <c r="V78" s="12">
        <f>IF(T$12=0,0,T78/T$12)</f>
        <v>0.11689061827145977</v>
      </c>
      <c r="W78" s="4"/>
      <c r="X78" s="4">
        <f>+P78-T78</f>
        <v>-4666.6600000000035</v>
      </c>
      <c r="Y78" s="4"/>
      <c r="Z78" s="12">
        <f>IF(T78=0,0,X78/T78)</f>
        <v>-0.10294632811982977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8" t="s">
        <v>4</v>
      </c>
      <c r="C80" s="28"/>
      <c r="D80" s="31">
        <f>+D76-D78</f>
        <v>5266.3000000000038</v>
      </c>
      <c r="E80" s="14"/>
      <c r="F80" s="34">
        <f>IF(D$12=0,0,D80/D$12)</f>
        <v>0.12156740535549408</v>
      </c>
      <c r="G80" s="14"/>
      <c r="H80" s="31">
        <f>+H76-H78</f>
        <v>1622.6524991538463</v>
      </c>
      <c r="I80" s="14"/>
      <c r="J80" s="34">
        <f>IF(H$12=0,0,H80/H$12)</f>
        <v>5.5507559920427128E-2</v>
      </c>
      <c r="K80" s="16"/>
      <c r="L80" s="31">
        <f>D80-H80</f>
        <v>3643.6475008461575</v>
      </c>
      <c r="M80" s="16"/>
      <c r="N80" s="34">
        <f>IF(H80=0,0,L80/H80)</f>
        <v>2.2454884842849507</v>
      </c>
      <c r="O80" s="29"/>
      <c r="P80" s="31">
        <f>+P76-P78</f>
        <v>-9011.1700000000128</v>
      </c>
      <c r="Q80" s="14"/>
      <c r="R80" s="34">
        <f>IF(P$12=0,0,P80/P$12)</f>
        <v>-2.3744848484848518E-2</v>
      </c>
      <c r="S80" s="14"/>
      <c r="T80" s="31">
        <f>+T76-T78</f>
        <v>5544.4373367499793</v>
      </c>
      <c r="U80" s="14"/>
      <c r="V80" s="34">
        <f>IF(T$12=0,0,T80/T$12)</f>
        <v>1.4296898551985857E-2</v>
      </c>
      <c r="W80" s="16"/>
      <c r="X80" s="31">
        <f>P80-T80</f>
        <v>-14555.607336749992</v>
      </c>
      <c r="Y80" s="16"/>
      <c r="Z80" s="34">
        <f>IF(T80=0,0,X80/T80)</f>
        <v>-2.6252632057488725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8" t="s">
        <v>5</v>
      </c>
      <c r="C83" s="28"/>
      <c r="D83" s="32">
        <f>SUM(D80:D82)</f>
        <v>5266.3000000000038</v>
      </c>
      <c r="E83" s="14"/>
      <c r="F83" s="35">
        <f>IF(D$12=0,0,D83/D$12)</f>
        <v>0.12156740535549408</v>
      </c>
      <c r="G83" s="14"/>
      <c r="H83" s="32">
        <f>SUM(H80:H82)</f>
        <v>1622.6524991538463</v>
      </c>
      <c r="I83" s="14"/>
      <c r="J83" s="35">
        <f>IF(H$12=0,0,H83/H$12)</f>
        <v>5.5507559920427128E-2</v>
      </c>
      <c r="K83" s="16"/>
      <c r="L83" s="32">
        <f>+D83-H83</f>
        <v>3643.6475008461575</v>
      </c>
      <c r="M83" s="16"/>
      <c r="N83" s="35">
        <f>IF(H83=0,0,L83/H83)</f>
        <v>2.2454884842849507</v>
      </c>
      <c r="O83" s="29"/>
      <c r="P83" s="32">
        <f>SUM(P80:P82)</f>
        <v>-9011.1700000000128</v>
      </c>
      <c r="Q83" s="14"/>
      <c r="R83" s="35">
        <f>IF(P$12=0,0,P83/P$12)</f>
        <v>-2.3744848484848518E-2</v>
      </c>
      <c r="S83" s="14"/>
      <c r="T83" s="32">
        <f>SUM(T80:T82)</f>
        <v>5544.4373367499793</v>
      </c>
      <c r="U83" s="14"/>
      <c r="V83" s="35">
        <f>IF(T$12=0,0,T83/T$12)</f>
        <v>1.4296898551985857E-2</v>
      </c>
      <c r="W83" s="16"/>
      <c r="X83" s="32">
        <f>+P83-T83</f>
        <v>-14555.607336749992</v>
      </c>
      <c r="Y83" s="16"/>
      <c r="Z83" s="35">
        <f>IF(T83=0,0,X83/T83)</f>
        <v>-2.6252632057488725</v>
      </c>
    </row>
    <row r="84" spans="1:26" ht="15.75" thickTop="1" x14ac:dyDescent="0.25">
      <c r="A84" s="9"/>
      <c r="C84" s="9"/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57">
        <v>43934.466106712964</v>
      </c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A86" s="9"/>
      <c r="B86" s="62" t="s">
        <v>314</v>
      </c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A87" s="9"/>
      <c r="B87" s="60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str">
        <f>CONCATENATE("Period ",RIGHT(202009,2),", ",2020)</f>
        <v>Period 09, 2020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43918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str">
        <f>CONCATENATE("Department ","501", " - ", "ID Card Services")</f>
        <v>Department 501 - ID Card Services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43320</v>
      </c>
      <c r="E12" s="4"/>
      <c r="F12" s="12"/>
      <c r="G12" s="4"/>
      <c r="H12" s="4">
        <f>SUM(OSRRefH13x_0)</f>
        <v>29233</v>
      </c>
      <c r="I12" s="4"/>
      <c r="J12" s="12"/>
      <c r="K12" s="4"/>
      <c r="L12" s="4">
        <f t="shared" ref="L12:L13" si="0">+D12-H12</f>
        <v>14087</v>
      </c>
      <c r="M12" s="4"/>
      <c r="N12" s="12">
        <f t="shared" ref="N12:N13" si="1">IF(H12=0,0,L12/H12)</f>
        <v>0.48188690863065714</v>
      </c>
      <c r="O12" s="10"/>
      <c r="P12" s="4">
        <f>SUM(OSRRefP13x_0)</f>
        <v>379500</v>
      </c>
      <c r="Q12" s="4"/>
      <c r="R12" s="12"/>
      <c r="S12" s="4"/>
      <c r="T12" s="4">
        <f>SUM(OSRRefT13x_0)</f>
        <v>387807</v>
      </c>
      <c r="U12" s="4"/>
      <c r="V12" s="12"/>
      <c r="W12" s="4"/>
      <c r="X12" s="4">
        <f t="shared" ref="X12:X13" si="2">+P12-T12</f>
        <v>-8307</v>
      </c>
      <c r="Y12" s="4"/>
      <c r="Z12" s="12">
        <f t="shared" ref="Z12:Z13" si="3">IF(T12=0,0,X12/T12)</f>
        <v>-2.1420448831506393E-2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--43320</f>
        <v>43320</v>
      </c>
      <c r="E13" s="2"/>
      <c r="F13" s="19"/>
      <c r="G13" s="2"/>
      <c r="H13" s="2">
        <v>29233</v>
      </c>
      <c r="I13" s="2"/>
      <c r="J13" s="19"/>
      <c r="K13" s="2"/>
      <c r="L13" s="2">
        <f t="shared" si="0"/>
        <v>14087</v>
      </c>
      <c r="M13" s="2"/>
      <c r="N13" s="19">
        <f t="shared" si="1"/>
        <v>0.48188690863065714</v>
      </c>
      <c r="O13" s="11"/>
      <c r="P13" s="2">
        <f>--379500</f>
        <v>379500</v>
      </c>
      <c r="Q13" s="2"/>
      <c r="R13" s="19"/>
      <c r="S13" s="2"/>
      <c r="T13" s="2">
        <v>387807</v>
      </c>
      <c r="U13" s="2"/>
      <c r="V13" s="19"/>
      <c r="W13" s="2"/>
      <c r="X13" s="2">
        <f t="shared" si="2"/>
        <v>-8307</v>
      </c>
      <c r="Y13" s="2"/>
      <c r="Z13" s="19">
        <f t="shared" si="3"/>
        <v>-2.1420448831506393E-2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0">
        <f>D12-D15</f>
        <v>43320</v>
      </c>
      <c r="E17" s="14"/>
      <c r="F17" s="22">
        <f>IF(D$12=0,0,D17/D$12)</f>
        <v>1</v>
      </c>
      <c r="G17" s="14"/>
      <c r="H17" s="20">
        <f>H12-H15</f>
        <v>29233</v>
      </c>
      <c r="I17" s="14"/>
      <c r="J17" s="22">
        <f>IF(H$12=0,0,H17/H$12)</f>
        <v>1</v>
      </c>
      <c r="K17" s="16"/>
      <c r="L17" s="20">
        <f>+D17-H17</f>
        <v>14087</v>
      </c>
      <c r="M17" s="16"/>
      <c r="N17" s="22">
        <f>IF(H17=0,0,L17/H17)</f>
        <v>0.48188690863065714</v>
      </c>
      <c r="O17" s="29"/>
      <c r="P17" s="20">
        <f>P12-P15</f>
        <v>379500</v>
      </c>
      <c r="Q17" s="14"/>
      <c r="R17" s="22">
        <f>IF(P$12=0,0,P17/P$12)</f>
        <v>1</v>
      </c>
      <c r="S17" s="14"/>
      <c r="T17" s="20">
        <f>T12-T15</f>
        <v>387807</v>
      </c>
      <c r="U17" s="14"/>
      <c r="V17" s="22">
        <f>IF(T$12=0,0,T17/T$12)</f>
        <v>1</v>
      </c>
      <c r="W17" s="16"/>
      <c r="X17" s="20">
        <f>+P17-T17</f>
        <v>-8307</v>
      </c>
      <c r="Y17" s="16"/>
      <c r="Z17" s="22">
        <f>IF(T17=0,0,X17/T17)</f>
        <v>-2.1420448831506393E-2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1">
        <f>SUM(OSRRefD22x_0)</f>
        <v>32644.089999999997</v>
      </c>
      <c r="E19" s="21"/>
      <c r="F19" s="30">
        <f t="shared" ref="F19:F29" si="4">IF(D$12=0,0,D19/D$12)</f>
        <v>0.75355701754385962</v>
      </c>
      <c r="G19" s="21"/>
      <c r="H19" s="21">
        <f>SUM(OSRRefH22x_0)</f>
        <v>28898.347500846154</v>
      </c>
      <c r="I19" s="21"/>
      <c r="J19" s="30">
        <f t="shared" ref="J19:J29" si="5">IF(H$12=0,0,H19/H$12)</f>
        <v>0.98855223551623694</v>
      </c>
      <c r="K19" s="4"/>
      <c r="L19" s="21">
        <f t="shared" ref="L19:L29" si="6">+D19-H19</f>
        <v>3745.7424991538428</v>
      </c>
      <c r="M19" s="4"/>
      <c r="N19" s="30">
        <f t="shared" ref="N19:N29" si="7">IF(H19=0,0,L19/H19)</f>
        <v>0.12961787863628418</v>
      </c>
      <c r="O19" s="10"/>
      <c r="P19" s="21">
        <f>SUM(OSRRefP22x_0)</f>
        <v>368183.08</v>
      </c>
      <c r="Q19" s="21"/>
      <c r="R19" s="30">
        <f t="shared" ref="R19:R29" si="8">IF(P$12=0,0,P19/P$12)</f>
        <v>0.97017939393939401</v>
      </c>
      <c r="S19" s="21"/>
      <c r="T19" s="21">
        <f>SUM(OSRRefT22x_0)</f>
        <v>363581.56266325002</v>
      </c>
      <c r="U19" s="21"/>
      <c r="V19" s="30">
        <f t="shared" ref="V19:V29" si="9">IF(T$12=0,0,T19/T$12)</f>
        <v>0.93753223294899268</v>
      </c>
      <c r="W19" s="4"/>
      <c r="X19" s="21">
        <f t="shared" ref="X19:X29" si="10">+P19-T19</f>
        <v>4601.5173367499956</v>
      </c>
      <c r="Y19" s="4"/>
      <c r="Z19" s="30">
        <f t="shared" ref="Z19:Z29" si="11">IF(T19=0,0,X19/T19)</f>
        <v>1.2656079981184112E-2</v>
      </c>
    </row>
    <row r="20" spans="1:26" s="27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5084.63</v>
      </c>
      <c r="E20" s="1"/>
      <c r="F20" s="5">
        <f t="shared" si="4"/>
        <v>0.11737373037857803</v>
      </c>
      <c r="G20" s="1"/>
      <c r="H20" s="1">
        <f>SUM(OSRRefH22_0x_0)</f>
        <v>1001.4690393076924</v>
      </c>
      <c r="I20" s="1"/>
      <c r="J20" s="5">
        <f t="shared" si="5"/>
        <v>3.4258168484510396E-2</v>
      </c>
      <c r="K20" s="1"/>
      <c r="L20" s="1">
        <f t="shared" si="6"/>
        <v>4083.1609606923075</v>
      </c>
      <c r="M20" s="1"/>
      <c r="N20" s="5">
        <f t="shared" si="7"/>
        <v>4.0771714355892268</v>
      </c>
      <c r="O20" s="13"/>
      <c r="P20" s="1">
        <f>SUM(OSRRefP22_0x_0)</f>
        <v>40548.19</v>
      </c>
      <c r="Q20" s="1"/>
      <c r="R20" s="5">
        <f t="shared" si="8"/>
        <v>0.10684635046113308</v>
      </c>
      <c r="S20" s="1"/>
      <c r="T20" s="1">
        <f>SUM(OSRRefT22_0x_0)</f>
        <v>11254.930163249996</v>
      </c>
      <c r="U20" s="1"/>
      <c r="V20" s="5">
        <f t="shared" si="9"/>
        <v>2.9021988162281742E-2</v>
      </c>
      <c r="W20" s="1"/>
      <c r="X20" s="1">
        <f t="shared" si="10"/>
        <v>29293.259836750007</v>
      </c>
      <c r="Y20" s="1"/>
      <c r="Z20" s="5">
        <f t="shared" si="11"/>
        <v>2.6027047180087726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6">
        <v>1040.95</v>
      </c>
      <c r="E21" s="2"/>
      <c r="F21" s="7">
        <f t="shared" si="4"/>
        <v>2.402931671283472E-2</v>
      </c>
      <c r="G21" s="2"/>
      <c r="H21" s="6">
        <v>283.01206084615399</v>
      </c>
      <c r="I21" s="2"/>
      <c r="J21" s="7">
        <f t="shared" si="5"/>
        <v>9.6812527228185268E-3</v>
      </c>
      <c r="K21" s="2"/>
      <c r="L21" s="6">
        <f t="shared" si="6"/>
        <v>757.93793915384606</v>
      </c>
      <c r="M21" s="2"/>
      <c r="N21" s="7">
        <f t="shared" si="7"/>
        <v>2.6781117980899865</v>
      </c>
      <c r="O21" s="11"/>
      <c r="P21" s="6">
        <v>9760.48</v>
      </c>
      <c r="Q21" s="2"/>
      <c r="R21" s="7">
        <f t="shared" si="8"/>
        <v>2.571931488801054E-2</v>
      </c>
      <c r="S21" s="2"/>
      <c r="T21" s="6">
        <v>4183.2847732499977</v>
      </c>
      <c r="U21" s="2"/>
      <c r="V21" s="7">
        <f t="shared" si="9"/>
        <v>1.0787027498858962E-2</v>
      </c>
      <c r="W21" s="2"/>
      <c r="X21" s="6">
        <f t="shared" si="10"/>
        <v>5577.1952267500019</v>
      </c>
      <c r="Y21" s="2"/>
      <c r="Z21" s="7">
        <f t="shared" si="11"/>
        <v>1.3332095539881388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6">
        <v>75.89</v>
      </c>
      <c r="E22" s="2"/>
      <c r="F22" s="7">
        <f t="shared" si="4"/>
        <v>1.7518467220683288E-3</v>
      </c>
      <c r="G22" s="2"/>
      <c r="H22" s="6">
        <v>216.82427307692302</v>
      </c>
      <c r="I22" s="2"/>
      <c r="J22" s="7">
        <f t="shared" si="5"/>
        <v>7.4171064576650713E-3</v>
      </c>
      <c r="K22" s="2"/>
      <c r="L22" s="6">
        <f t="shared" si="6"/>
        <v>-140.93427307692303</v>
      </c>
      <c r="M22" s="2"/>
      <c r="N22" s="7">
        <f t="shared" si="7"/>
        <v>-0.64999306155599845</v>
      </c>
      <c r="O22" s="11"/>
      <c r="P22" s="6">
        <v>470.84</v>
      </c>
      <c r="Q22" s="2"/>
      <c r="R22" s="7">
        <f t="shared" si="8"/>
        <v>1.2406851119894599E-3</v>
      </c>
      <c r="S22" s="2"/>
      <c r="T22" s="6">
        <v>2035.4372249999999</v>
      </c>
      <c r="U22" s="2"/>
      <c r="V22" s="7">
        <f t="shared" si="9"/>
        <v>5.2485829936024875E-3</v>
      </c>
      <c r="W22" s="2"/>
      <c r="X22" s="6">
        <f t="shared" si="10"/>
        <v>-1564.597225</v>
      </c>
      <c r="Y22" s="2"/>
      <c r="Z22" s="7">
        <f t="shared" si="11"/>
        <v>-0.76867869260866051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6">
        <v>1298.72</v>
      </c>
      <c r="E23" s="2"/>
      <c r="F23" s="7">
        <f t="shared" si="4"/>
        <v>2.9979686057248385E-2</v>
      </c>
      <c r="G23" s="2"/>
      <c r="H23" s="6">
        <v>138.1</v>
      </c>
      <c r="I23" s="2"/>
      <c r="J23" s="7">
        <f t="shared" si="5"/>
        <v>4.7241131597851741E-3</v>
      </c>
      <c r="K23" s="2"/>
      <c r="L23" s="6">
        <f t="shared" si="6"/>
        <v>1160.6200000000001</v>
      </c>
      <c r="M23" s="2"/>
      <c r="N23" s="7">
        <f t="shared" si="7"/>
        <v>8.4041998551774082</v>
      </c>
      <c r="O23" s="11"/>
      <c r="P23" s="6">
        <v>11356.02</v>
      </c>
      <c r="Q23" s="2"/>
      <c r="R23" s="7">
        <f t="shared" si="8"/>
        <v>2.9923636363636364E-2</v>
      </c>
      <c r="S23" s="2"/>
      <c r="T23" s="6">
        <v>1242.9000000000001</v>
      </c>
      <c r="U23" s="2"/>
      <c r="V23" s="7">
        <f t="shared" si="9"/>
        <v>3.2049447276609245E-3</v>
      </c>
      <c r="W23" s="2"/>
      <c r="X23" s="6">
        <f t="shared" si="10"/>
        <v>10113.120000000001</v>
      </c>
      <c r="Y23" s="2"/>
      <c r="Z23" s="7">
        <f t="shared" si="11"/>
        <v>8.136712527154236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6">
        <v>45.41</v>
      </c>
      <c r="E24" s="2"/>
      <c r="F24" s="7">
        <f t="shared" si="4"/>
        <v>1.0482456140350877E-3</v>
      </c>
      <c r="G24" s="2"/>
      <c r="H24" s="6">
        <v>29.67069</v>
      </c>
      <c r="I24" s="2"/>
      <c r="J24" s="7">
        <f t="shared" si="5"/>
        <v>1.0149724626278521E-3</v>
      </c>
      <c r="K24" s="2"/>
      <c r="L24" s="6">
        <f t="shared" si="6"/>
        <v>15.739309999999996</v>
      </c>
      <c r="M24" s="2"/>
      <c r="N24" s="7">
        <f t="shared" si="7"/>
        <v>0.53046659851860523</v>
      </c>
      <c r="O24" s="11"/>
      <c r="P24" s="6">
        <v>416.75</v>
      </c>
      <c r="Q24" s="2"/>
      <c r="R24" s="7">
        <f t="shared" si="8"/>
        <v>1.0981554677206851E-3</v>
      </c>
      <c r="S24" s="2"/>
      <c r="T24" s="6">
        <v>278.53351500000002</v>
      </c>
      <c r="U24" s="2"/>
      <c r="V24" s="7">
        <f t="shared" si="9"/>
        <v>7.1822714649297204E-4</v>
      </c>
      <c r="W24" s="2"/>
      <c r="X24" s="6">
        <f t="shared" si="10"/>
        <v>138.21648499999998</v>
      </c>
      <c r="Y24" s="2"/>
      <c r="Z24" s="7">
        <f t="shared" si="11"/>
        <v>0.49622927783035359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6">
        <v>452.74</v>
      </c>
      <c r="E25" s="2"/>
      <c r="F25" s="7">
        <f t="shared" si="4"/>
        <v>1.0451061865189289E-2</v>
      </c>
      <c r="G25" s="2"/>
      <c r="H25" s="6">
        <v>56.936630769230796</v>
      </c>
      <c r="I25" s="2"/>
      <c r="J25" s="7">
        <f t="shared" si="5"/>
        <v>1.9476834662617861E-3</v>
      </c>
      <c r="K25" s="2"/>
      <c r="L25" s="6">
        <f t="shared" si="6"/>
        <v>395.80336923076919</v>
      </c>
      <c r="M25" s="2"/>
      <c r="N25" s="7">
        <f t="shared" si="7"/>
        <v>6.9516471888720508</v>
      </c>
      <c r="O25" s="11"/>
      <c r="P25" s="6">
        <v>6658.66</v>
      </c>
      <c r="Q25" s="2"/>
      <c r="R25" s="7">
        <f t="shared" si="8"/>
        <v>1.7545876152832676E-2</v>
      </c>
      <c r="S25" s="2"/>
      <c r="T25" s="6">
        <v>555.13215000000025</v>
      </c>
      <c r="U25" s="2"/>
      <c r="V25" s="7">
        <f t="shared" si="9"/>
        <v>1.4314650070782638E-3</v>
      </c>
      <c r="W25" s="2"/>
      <c r="X25" s="6">
        <f t="shared" si="10"/>
        <v>6103.5278499999995</v>
      </c>
      <c r="Y25" s="2"/>
      <c r="Z25" s="7">
        <f t="shared" si="11"/>
        <v>10.994729543226773</v>
      </c>
    </row>
    <row r="26" spans="1:26" s="24" customFormat="1" hidden="1" outlineLevel="2" x14ac:dyDescent="0.25">
      <c r="A26" s="25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6">
        <v>1087.96</v>
      </c>
      <c r="E27" s="2"/>
      <c r="F27" s="7">
        <f t="shared" si="4"/>
        <v>2.5114496768236381E-2</v>
      </c>
      <c r="G27" s="2"/>
      <c r="H27" s="6">
        <v>33.102692307692301</v>
      </c>
      <c r="I27" s="2"/>
      <c r="J27" s="7">
        <f t="shared" si="5"/>
        <v>1.1323741082917354E-3</v>
      </c>
      <c r="K27" s="2"/>
      <c r="L27" s="6">
        <f t="shared" si="6"/>
        <v>1054.8573076923078</v>
      </c>
      <c r="M27" s="2"/>
      <c r="N27" s="7">
        <f t="shared" si="7"/>
        <v>31.866208883776604</v>
      </c>
      <c r="O27" s="11"/>
      <c r="P27" s="6">
        <v>6736.74</v>
      </c>
      <c r="Q27" s="2"/>
      <c r="R27" s="7">
        <f t="shared" si="8"/>
        <v>1.7751620553359684E-2</v>
      </c>
      <c r="S27" s="2"/>
      <c r="T27" s="6">
        <v>322.75125000000003</v>
      </c>
      <c r="U27" s="2"/>
      <c r="V27" s="7">
        <f t="shared" si="9"/>
        <v>8.3224709713852513E-4</v>
      </c>
      <c r="W27" s="2"/>
      <c r="X27" s="6">
        <f t="shared" si="10"/>
        <v>6413.9887499999995</v>
      </c>
      <c r="Y27" s="2"/>
      <c r="Z27" s="7">
        <f t="shared" si="11"/>
        <v>19.872854868881216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6">
        <v>995.93</v>
      </c>
      <c r="E28" s="2"/>
      <c r="F28" s="7">
        <f t="shared" si="4"/>
        <v>2.2990073868882733E-2</v>
      </c>
      <c r="G28" s="2"/>
      <c r="H28" s="6">
        <v>93.822692307692307</v>
      </c>
      <c r="I28" s="2"/>
      <c r="J28" s="7">
        <f t="shared" si="5"/>
        <v>3.2094787503058977E-3</v>
      </c>
      <c r="K28" s="2"/>
      <c r="L28" s="6">
        <f t="shared" si="6"/>
        <v>902.10730769230759</v>
      </c>
      <c r="M28" s="2"/>
      <c r="N28" s="7">
        <f t="shared" si="7"/>
        <v>9.6150226081110439</v>
      </c>
      <c r="O28" s="11"/>
      <c r="P28" s="6">
        <v>3838.79</v>
      </c>
      <c r="Q28" s="2"/>
      <c r="R28" s="7">
        <f t="shared" si="8"/>
        <v>1.0115388669301712E-2</v>
      </c>
      <c r="S28" s="2"/>
      <c r="T28" s="6">
        <v>1286.8912499999985</v>
      </c>
      <c r="U28" s="2"/>
      <c r="V28" s="7">
        <f t="shared" si="9"/>
        <v>3.3183806635774973E-3</v>
      </c>
      <c r="W28" s="2"/>
      <c r="X28" s="6">
        <f t="shared" si="10"/>
        <v>2551.8987500000012</v>
      </c>
      <c r="Y28" s="2"/>
      <c r="Z28" s="7">
        <f t="shared" si="11"/>
        <v>1.9829948723328441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6">
        <v>87.03</v>
      </c>
      <c r="E29" s="2"/>
      <c r="F29" s="7">
        <f t="shared" si="4"/>
        <v>2.0090027700831025E-3</v>
      </c>
      <c r="G29" s="2"/>
      <c r="H29" s="6">
        <v>150</v>
      </c>
      <c r="I29" s="2"/>
      <c r="J29" s="7">
        <f t="shared" si="5"/>
        <v>5.1311873567543532E-3</v>
      </c>
      <c r="K29" s="2"/>
      <c r="L29" s="6">
        <f t="shared" si="6"/>
        <v>-62.97</v>
      </c>
      <c r="M29" s="2"/>
      <c r="N29" s="7">
        <f t="shared" si="7"/>
        <v>-0.41980000000000001</v>
      </c>
      <c r="O29" s="11"/>
      <c r="P29" s="6">
        <v>1309.9100000000001</v>
      </c>
      <c r="Q29" s="2"/>
      <c r="R29" s="7">
        <f t="shared" si="8"/>
        <v>3.4516732542819503E-3</v>
      </c>
      <c r="S29" s="2"/>
      <c r="T29" s="6">
        <v>1350</v>
      </c>
      <c r="U29" s="2"/>
      <c r="V29" s="7">
        <f t="shared" si="9"/>
        <v>3.4811130278721118E-3</v>
      </c>
      <c r="W29" s="2"/>
      <c r="X29" s="6">
        <f t="shared" si="10"/>
        <v>-40.089999999999918</v>
      </c>
      <c r="Y29" s="2"/>
      <c r="Z29" s="7">
        <f t="shared" si="11"/>
        <v>-2.9696296296296235E-2</v>
      </c>
    </row>
    <row r="30" spans="1:26" s="27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21138.02</v>
      </c>
      <c r="E30" s="1"/>
      <c r="F30" s="5">
        <f t="shared" ref="F30:F40" si="12">IF(D$12=0,0,D30/D$12)</f>
        <v>0.48795060018467223</v>
      </c>
      <c r="G30" s="1"/>
      <c r="H30" s="1">
        <f>SUM(OSRRefH22_1x_0)</f>
        <v>11284.878461538461</v>
      </c>
      <c r="I30" s="1"/>
      <c r="J30" s="5">
        <f t="shared" ref="J30:J40" si="13">IF(H$12=0,0,H30/H$12)</f>
        <v>0.38603217122903777</v>
      </c>
      <c r="K30" s="1"/>
      <c r="L30" s="1">
        <f t="shared" ref="L30:L40" si="14">+D30-H30</f>
        <v>9853.1415384615393</v>
      </c>
      <c r="M30" s="1"/>
      <c r="N30" s="5">
        <f t="shared" ref="N30:N40" si="15">IF(H30=0,0,L30/H30)</f>
        <v>0.87312783846484299</v>
      </c>
      <c r="O30" s="13"/>
      <c r="P30" s="1">
        <f>SUM(OSRRefP22_1x_0)</f>
        <v>155834.48000000001</v>
      </c>
      <c r="Q30" s="1"/>
      <c r="R30" s="5">
        <f t="shared" ref="R30:R40" si="16">IF(P$12=0,0,P30/P$12)</f>
        <v>0.41063104084321478</v>
      </c>
      <c r="S30" s="1"/>
      <c r="T30" s="1">
        <f>SUM(OSRRefT22_1x_0)</f>
        <v>105518.63250000001</v>
      </c>
      <c r="U30" s="1"/>
      <c r="V30" s="5">
        <f t="shared" ref="V30:V40" si="17">IF(T$12=0,0,T30/T$12)</f>
        <v>0.27209058242888862</v>
      </c>
      <c r="W30" s="1"/>
      <c r="X30" s="1">
        <f t="shared" ref="X30:X40" si="18">+P30-T30</f>
        <v>50315.847500000003</v>
      </c>
      <c r="Y30" s="1"/>
      <c r="Z30" s="5">
        <f t="shared" ref="Z30:Z40" si="19">IF(T30=0,0,X30/T30)</f>
        <v>0.47684324851347937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6">
        <v>5795.28</v>
      </c>
      <c r="E32" s="2"/>
      <c r="F32" s="7">
        <f t="shared" si="12"/>
        <v>0.13377839335180056</v>
      </c>
      <c r="G32" s="2"/>
      <c r="H32" s="6">
        <v>595.84846153846195</v>
      </c>
      <c r="I32" s="2"/>
      <c r="J32" s="7">
        <f t="shared" si="13"/>
        <v>2.0382733949251254E-2</v>
      </c>
      <c r="K32" s="2"/>
      <c r="L32" s="6">
        <f t="shared" si="14"/>
        <v>5199.4315384615375</v>
      </c>
      <c r="M32" s="2"/>
      <c r="N32" s="7">
        <f t="shared" si="15"/>
        <v>8.7260971103907341</v>
      </c>
      <c r="O32" s="11"/>
      <c r="P32" s="6">
        <v>52981.950000000004</v>
      </c>
      <c r="Q32" s="2"/>
      <c r="R32" s="7">
        <f t="shared" si="16"/>
        <v>0.13960988142292491</v>
      </c>
      <c r="S32" s="2"/>
      <c r="T32" s="6">
        <v>5809.5225000000028</v>
      </c>
      <c r="U32" s="2"/>
      <c r="V32" s="7">
        <f t="shared" si="17"/>
        <v>1.4980447748493459E-2</v>
      </c>
      <c r="W32" s="2"/>
      <c r="X32" s="6">
        <f t="shared" si="18"/>
        <v>47172.427500000005</v>
      </c>
      <c r="Y32" s="2"/>
      <c r="Z32" s="7">
        <f t="shared" si="19"/>
        <v>8.1198459081619845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12"/>
        <v>0</v>
      </c>
      <c r="G34" s="2"/>
      <c r="H34" s="6">
        <v>2975.28</v>
      </c>
      <c r="I34" s="2"/>
      <c r="J34" s="7">
        <f t="shared" si="13"/>
        <v>0.10177812745869395</v>
      </c>
      <c r="K34" s="2"/>
      <c r="L34" s="6">
        <f t="shared" si="14"/>
        <v>-2975.28</v>
      </c>
      <c r="M34" s="2"/>
      <c r="N34" s="7">
        <f t="shared" si="15"/>
        <v>-1</v>
      </c>
      <c r="O34" s="11"/>
      <c r="P34" s="6"/>
      <c r="Q34" s="2"/>
      <c r="R34" s="7">
        <f t="shared" si="16"/>
        <v>0</v>
      </c>
      <c r="S34" s="2"/>
      <c r="T34" s="6">
        <v>27250.86</v>
      </c>
      <c r="U34" s="2"/>
      <c r="V34" s="7">
        <f t="shared" si="17"/>
        <v>7.0269128716088161E-2</v>
      </c>
      <c r="W34" s="2"/>
      <c r="X34" s="6">
        <f t="shared" si="18"/>
        <v>-27250.86</v>
      </c>
      <c r="Y34" s="2"/>
      <c r="Z34" s="7">
        <f t="shared" si="19"/>
        <v>-1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6">
        <v>7713.33</v>
      </c>
      <c r="E35" s="2"/>
      <c r="F35" s="7">
        <f t="shared" si="12"/>
        <v>0.17805470914127425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7713.33</v>
      </c>
      <c r="M35" s="2"/>
      <c r="N35" s="7">
        <f t="shared" si="15"/>
        <v>0</v>
      </c>
      <c r="O35" s="11"/>
      <c r="P35" s="6">
        <v>66154.38</v>
      </c>
      <c r="Q35" s="2"/>
      <c r="R35" s="7">
        <f t="shared" si="16"/>
        <v>0.17431984189723321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66154.38</v>
      </c>
      <c r="Y35" s="2"/>
      <c r="Z35" s="7">
        <f t="shared" si="19"/>
        <v>0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6">
        <v>6582.91</v>
      </c>
      <c r="E37" s="2"/>
      <c r="F37" s="7">
        <f t="shared" si="12"/>
        <v>0.1519600646352724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6582.91</v>
      </c>
      <c r="M37" s="2"/>
      <c r="N37" s="7">
        <f t="shared" si="15"/>
        <v>0</v>
      </c>
      <c r="O37" s="11"/>
      <c r="P37" s="6">
        <v>30777.41</v>
      </c>
      <c r="Q37" s="2"/>
      <c r="R37" s="7">
        <f t="shared" si="16"/>
        <v>8.1099894598155461E-2</v>
      </c>
      <c r="S37" s="2"/>
      <c r="T37" s="6">
        <v>19992</v>
      </c>
      <c r="U37" s="2"/>
      <c r="V37" s="7">
        <f t="shared" si="17"/>
        <v>5.155141603942167E-2</v>
      </c>
      <c r="W37" s="2"/>
      <c r="X37" s="6">
        <f t="shared" si="18"/>
        <v>10785.41</v>
      </c>
      <c r="Y37" s="2"/>
      <c r="Z37" s="7">
        <f t="shared" si="19"/>
        <v>0.53948629451780716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6">
        <v>1046.5</v>
      </c>
      <c r="E38" s="2"/>
      <c r="F38" s="7">
        <f t="shared" si="12"/>
        <v>2.4157433056325023E-2</v>
      </c>
      <c r="G38" s="2"/>
      <c r="H38" s="6">
        <v>7713.75</v>
      </c>
      <c r="I38" s="2"/>
      <c r="J38" s="7">
        <f t="shared" si="13"/>
        <v>0.26387130982109258</v>
      </c>
      <c r="K38" s="2"/>
      <c r="L38" s="6">
        <f t="shared" si="14"/>
        <v>-6667.25</v>
      </c>
      <c r="M38" s="2"/>
      <c r="N38" s="7">
        <f t="shared" si="15"/>
        <v>-0.86433317128504294</v>
      </c>
      <c r="O38" s="11"/>
      <c r="P38" s="6">
        <v>5920.74</v>
      </c>
      <c r="Q38" s="2"/>
      <c r="R38" s="7">
        <f t="shared" si="16"/>
        <v>1.5601422924901185E-2</v>
      </c>
      <c r="S38" s="2"/>
      <c r="T38" s="6">
        <v>52466.25</v>
      </c>
      <c r="U38" s="2"/>
      <c r="V38" s="7">
        <f t="shared" si="17"/>
        <v>0.13528958992488532</v>
      </c>
      <c r="W38" s="2"/>
      <c r="X38" s="6">
        <f t="shared" si="18"/>
        <v>-46545.51</v>
      </c>
      <c r="Y38" s="2"/>
      <c r="Z38" s="7">
        <f t="shared" si="19"/>
        <v>-0.88715145450646848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7" customFormat="1" outlineLevel="1" collapsed="1" x14ac:dyDescent="0.25">
      <c r="A41" s="26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61" si="20">IF(D$12=0,0,D41/D$12)</f>
        <v>0</v>
      </c>
      <c r="G41" s="1"/>
      <c r="H41" s="1">
        <f>SUM(OSRRefH22_2x_0)</f>
        <v>400</v>
      </c>
      <c r="I41" s="1"/>
      <c r="J41" s="5">
        <f t="shared" ref="J41:J61" si="21">IF(H$12=0,0,H41/H$12)</f>
        <v>1.3683166284678274E-2</v>
      </c>
      <c r="K41" s="1"/>
      <c r="L41" s="1">
        <f t="shared" ref="L41:L61" si="22">+D41-H41</f>
        <v>-400</v>
      </c>
      <c r="M41" s="1"/>
      <c r="N41" s="5">
        <f t="shared" ref="N41:N61" si="23">IF(H41=0,0,L41/H41)</f>
        <v>-1</v>
      </c>
      <c r="O41" s="13"/>
      <c r="P41" s="1">
        <f>SUM(OSRRefP22_2x_0)</f>
        <v>155.11000000000001</v>
      </c>
      <c r="Q41" s="1"/>
      <c r="R41" s="5">
        <f t="shared" ref="R41:R61" si="24">IF(P$12=0,0,P41/P$12)</f>
        <v>4.0872200263504613E-4</v>
      </c>
      <c r="S41" s="1"/>
      <c r="T41" s="1">
        <f>SUM(OSRRefT22_2x_0)</f>
        <v>3600</v>
      </c>
      <c r="U41" s="1"/>
      <c r="V41" s="5">
        <f t="shared" ref="V41:V61" si="25">IF(T$12=0,0,T41/T$12)</f>
        <v>9.2829680743256315E-3</v>
      </c>
      <c r="W41" s="1"/>
      <c r="X41" s="1">
        <f t="shared" ref="X41:X61" si="26">+P41-T41</f>
        <v>-3444.89</v>
      </c>
      <c r="Y41" s="1"/>
      <c r="Z41" s="5">
        <f t="shared" ref="Z41:Z61" si="27">IF(T41=0,0,X41/T41)</f>
        <v>-0.95691388888888884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0"/>
        <v>0</v>
      </c>
      <c r="G42" s="2"/>
      <c r="H42" s="6">
        <v>400</v>
      </c>
      <c r="I42" s="2"/>
      <c r="J42" s="7">
        <f t="shared" si="21"/>
        <v>1.3683166284678274E-2</v>
      </c>
      <c r="K42" s="2"/>
      <c r="L42" s="6">
        <f t="shared" si="22"/>
        <v>-400</v>
      </c>
      <c r="M42" s="2"/>
      <c r="N42" s="7">
        <f t="shared" si="23"/>
        <v>-1</v>
      </c>
      <c r="O42" s="11"/>
      <c r="P42" s="6">
        <v>155.11000000000001</v>
      </c>
      <c r="Q42" s="2"/>
      <c r="R42" s="7">
        <f t="shared" si="24"/>
        <v>4.0872200263504613E-4</v>
      </c>
      <c r="S42" s="2"/>
      <c r="T42" s="6">
        <v>3600</v>
      </c>
      <c r="U42" s="2"/>
      <c r="V42" s="7">
        <f t="shared" si="25"/>
        <v>9.2829680743256315E-3</v>
      </c>
      <c r="W42" s="2"/>
      <c r="X42" s="6">
        <f t="shared" si="26"/>
        <v>-3444.89</v>
      </c>
      <c r="Y42" s="2"/>
      <c r="Z42" s="7">
        <f t="shared" si="27"/>
        <v>-0.95691388888888884</v>
      </c>
    </row>
    <row r="43" spans="1:26" s="27" customFormat="1" outlineLevel="1" collapsed="1" x14ac:dyDescent="0.25">
      <c r="A43" s="26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SUM(OSRRefD22_3x_0)</f>
        <v>1119.95</v>
      </c>
      <c r="E43" s="1"/>
      <c r="F43" s="5">
        <f t="shared" si="20"/>
        <v>2.5852954755309326E-2</v>
      </c>
      <c r="G43" s="1"/>
      <c r="H43" s="1">
        <f>SUM(OSRRefH22_3x_0)</f>
        <v>2000</v>
      </c>
      <c r="I43" s="1"/>
      <c r="J43" s="5">
        <f t="shared" si="21"/>
        <v>6.8415831423391374E-2</v>
      </c>
      <c r="K43" s="1"/>
      <c r="L43" s="1">
        <f t="shared" si="22"/>
        <v>-880.05</v>
      </c>
      <c r="M43" s="1"/>
      <c r="N43" s="5">
        <f t="shared" si="23"/>
        <v>-0.440025</v>
      </c>
      <c r="O43" s="13"/>
      <c r="P43" s="1">
        <f>SUM(OSRRefP22_3x_0)</f>
        <v>17737.28</v>
      </c>
      <c r="Q43" s="1"/>
      <c r="R43" s="5">
        <f t="shared" si="24"/>
        <v>4.673855072463768E-2</v>
      </c>
      <c r="S43" s="1"/>
      <c r="T43" s="1">
        <f>SUM(OSRRefT22_3x_0)</f>
        <v>15700</v>
      </c>
      <c r="U43" s="1"/>
      <c r="V43" s="5">
        <f t="shared" si="25"/>
        <v>4.0484055213031223E-2</v>
      </c>
      <c r="W43" s="1"/>
      <c r="X43" s="1">
        <f t="shared" si="26"/>
        <v>2037.2799999999988</v>
      </c>
      <c r="Y43" s="1"/>
      <c r="Z43" s="5">
        <f t="shared" si="27"/>
        <v>0.1297630573248407</v>
      </c>
    </row>
    <row r="44" spans="1:26" s="24" customFormat="1" hidden="1" outlineLevel="2" x14ac:dyDescent="0.25">
      <c r="A44" s="25"/>
      <c r="B44" s="11" t="str">
        <f>CONCATENATE("          ", "6381", " - ", "BANK/CREDIT CARD FEES")</f>
        <v xml:space="preserve">          6381 - BANK/CREDIT CARD FEES</v>
      </c>
      <c r="C44" s="11"/>
      <c r="D44" s="6">
        <v>1119.95</v>
      </c>
      <c r="E44" s="2"/>
      <c r="F44" s="7">
        <f t="shared" si="20"/>
        <v>2.5852954755309326E-2</v>
      </c>
      <c r="G44" s="2"/>
      <c r="H44" s="6">
        <v>2000</v>
      </c>
      <c r="I44" s="2"/>
      <c r="J44" s="7">
        <f t="shared" si="21"/>
        <v>6.8415831423391374E-2</v>
      </c>
      <c r="K44" s="2"/>
      <c r="L44" s="6">
        <f t="shared" si="22"/>
        <v>-880.05</v>
      </c>
      <c r="M44" s="2"/>
      <c r="N44" s="7">
        <f t="shared" si="23"/>
        <v>-0.440025</v>
      </c>
      <c r="O44" s="11"/>
      <c r="P44" s="6">
        <v>17737.28</v>
      </c>
      <c r="Q44" s="2"/>
      <c r="R44" s="7">
        <f t="shared" si="24"/>
        <v>4.673855072463768E-2</v>
      </c>
      <c r="S44" s="2"/>
      <c r="T44" s="6">
        <v>15700</v>
      </c>
      <c r="U44" s="2"/>
      <c r="V44" s="7">
        <f t="shared" si="25"/>
        <v>4.0484055213031223E-2</v>
      </c>
      <c r="W44" s="2"/>
      <c r="X44" s="6">
        <f t="shared" si="26"/>
        <v>2037.2799999999988</v>
      </c>
      <c r="Y44" s="2"/>
      <c r="Z44" s="7">
        <f t="shared" si="27"/>
        <v>0.1297630573248407</v>
      </c>
    </row>
    <row r="45" spans="1:26" s="27" customFormat="1" outlineLevel="1" collapsed="1" x14ac:dyDescent="0.25">
      <c r="A45" s="26"/>
      <c r="B45" s="13" t="str">
        <f>CONCATENATE("     ","Employees' Appreciation                           ")</f>
        <v xml:space="preserve">     Employees' Appreciation                           </v>
      </c>
      <c r="C45" s="13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75</v>
      </c>
      <c r="I45" s="1"/>
      <c r="J45" s="5">
        <f t="shared" si="21"/>
        <v>2.5655936783771766E-3</v>
      </c>
      <c r="K45" s="1"/>
      <c r="L45" s="1">
        <f t="shared" si="22"/>
        <v>-75</v>
      </c>
      <c r="M45" s="1"/>
      <c r="N45" s="5">
        <f t="shared" si="23"/>
        <v>-1</v>
      </c>
      <c r="O45" s="13"/>
      <c r="P45" s="1">
        <f>SUM(OSRRefP22_4x_0)</f>
        <v>64.239999999999995</v>
      </c>
      <c r="Q45" s="1"/>
      <c r="R45" s="5">
        <f t="shared" si="24"/>
        <v>1.6927536231884057E-4</v>
      </c>
      <c r="S45" s="1"/>
      <c r="T45" s="1">
        <f>SUM(OSRRefT22_4x_0)</f>
        <v>675</v>
      </c>
      <c r="U45" s="1"/>
      <c r="V45" s="5">
        <f t="shared" si="25"/>
        <v>1.7405565139360559E-3</v>
      </c>
      <c r="W45" s="1"/>
      <c r="X45" s="1">
        <f t="shared" si="26"/>
        <v>-610.76</v>
      </c>
      <c r="Y45" s="1"/>
      <c r="Z45" s="5">
        <f t="shared" si="27"/>
        <v>-0.90482962962962965</v>
      </c>
    </row>
    <row r="46" spans="1:26" s="24" customFormat="1" hidden="1" outlineLevel="2" x14ac:dyDescent="0.25">
      <c r="A46" s="25"/>
      <c r="B46" s="11" t="str">
        <f>CONCATENATE("          ", "6277", " - ", "EMPLOYEE APPRECIATION")</f>
        <v xml:space="preserve">          6277 - EMPLOYEE APPRECIATION</v>
      </c>
      <c r="C46" s="11"/>
      <c r="D46" s="6"/>
      <c r="E46" s="2"/>
      <c r="F46" s="7">
        <f t="shared" si="20"/>
        <v>0</v>
      </c>
      <c r="G46" s="2"/>
      <c r="H46" s="6">
        <v>75</v>
      </c>
      <c r="I46" s="2"/>
      <c r="J46" s="7">
        <f t="shared" si="21"/>
        <v>2.5655936783771766E-3</v>
      </c>
      <c r="K46" s="2"/>
      <c r="L46" s="6">
        <f t="shared" si="22"/>
        <v>-75</v>
      </c>
      <c r="M46" s="2"/>
      <c r="N46" s="7">
        <f t="shared" si="23"/>
        <v>-1</v>
      </c>
      <c r="O46" s="11"/>
      <c r="P46" s="6">
        <v>64.239999999999995</v>
      </c>
      <c r="Q46" s="2"/>
      <c r="R46" s="7">
        <f t="shared" si="24"/>
        <v>1.6927536231884057E-4</v>
      </c>
      <c r="S46" s="2"/>
      <c r="T46" s="6">
        <v>675</v>
      </c>
      <c r="U46" s="2"/>
      <c r="V46" s="7">
        <f t="shared" si="25"/>
        <v>1.7405565139360559E-3</v>
      </c>
      <c r="W46" s="2"/>
      <c r="X46" s="6">
        <f t="shared" si="26"/>
        <v>-610.76</v>
      </c>
      <c r="Y46" s="2"/>
      <c r="Z46" s="7">
        <f t="shared" si="27"/>
        <v>-0.90482962962962965</v>
      </c>
    </row>
    <row r="47" spans="1:26" s="27" customFormat="1" outlineLevel="1" collapsed="1" x14ac:dyDescent="0.25">
      <c r="A47" s="26"/>
      <c r="B47" s="13" t="str">
        <f>CONCATENATE("     ","Freight out/Postage                               ")</f>
        <v xml:space="preserve">     Freight out/Postage                               </v>
      </c>
      <c r="C47" s="13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10</v>
      </c>
      <c r="I47" s="1"/>
      <c r="J47" s="5">
        <f t="shared" si="21"/>
        <v>3.4207915711695688E-4</v>
      </c>
      <c r="K47" s="1"/>
      <c r="L47" s="1">
        <f t="shared" si="22"/>
        <v>-10</v>
      </c>
      <c r="M47" s="1"/>
      <c r="N47" s="5">
        <f t="shared" si="23"/>
        <v>-1</v>
      </c>
      <c r="O47" s="13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90</v>
      </c>
      <c r="U47" s="1"/>
      <c r="V47" s="5">
        <f t="shared" si="25"/>
        <v>2.3207420185814077E-4</v>
      </c>
      <c r="W47" s="1"/>
      <c r="X47" s="1">
        <f t="shared" si="26"/>
        <v>-90</v>
      </c>
      <c r="Y47" s="1"/>
      <c r="Z47" s="5">
        <f t="shared" si="27"/>
        <v>-1</v>
      </c>
    </row>
    <row r="48" spans="1:26" s="24" customFormat="1" hidden="1" outlineLevel="2" x14ac:dyDescent="0.25">
      <c r="A48" s="25"/>
      <c r="B48" s="11" t="str">
        <f>CONCATENATE("          ", "6307", " - ", "POSTAGE")</f>
        <v xml:space="preserve">          6307 - POSTAGE</v>
      </c>
      <c r="C48" s="11"/>
      <c r="D48" s="6"/>
      <c r="E48" s="2"/>
      <c r="F48" s="7">
        <f t="shared" si="20"/>
        <v>0</v>
      </c>
      <c r="G48" s="2"/>
      <c r="H48" s="6">
        <v>10</v>
      </c>
      <c r="I48" s="2"/>
      <c r="J48" s="7">
        <f t="shared" si="21"/>
        <v>3.4207915711695688E-4</v>
      </c>
      <c r="K48" s="2"/>
      <c r="L48" s="6">
        <f t="shared" si="22"/>
        <v>-10</v>
      </c>
      <c r="M48" s="2"/>
      <c r="N48" s="7">
        <f t="shared" si="23"/>
        <v>-1</v>
      </c>
      <c r="O48" s="11"/>
      <c r="P48" s="6"/>
      <c r="Q48" s="2"/>
      <c r="R48" s="7">
        <f t="shared" si="24"/>
        <v>0</v>
      </c>
      <c r="S48" s="2"/>
      <c r="T48" s="6">
        <v>90</v>
      </c>
      <c r="U48" s="2"/>
      <c r="V48" s="7">
        <f t="shared" si="25"/>
        <v>2.3207420185814077E-4</v>
      </c>
      <c r="W48" s="2"/>
      <c r="X48" s="6">
        <f t="shared" si="26"/>
        <v>-90</v>
      </c>
      <c r="Y48" s="2"/>
      <c r="Z48" s="7">
        <f t="shared" si="27"/>
        <v>-1</v>
      </c>
    </row>
    <row r="49" spans="1:26" s="27" customFormat="1" outlineLevel="1" collapsed="1" x14ac:dyDescent="0.25">
      <c r="A49" s="26"/>
      <c r="B49" s="13" t="str">
        <f>CONCATENATE("     ","General                                           ")</f>
        <v xml:space="preserve">     General                                           </v>
      </c>
      <c r="C49" s="13"/>
      <c r="D49" s="1">
        <f>SUM(OSRRefD22_6x_0)</f>
        <v>0</v>
      </c>
      <c r="E49" s="1"/>
      <c r="F49" s="5">
        <f t="shared" si="20"/>
        <v>0</v>
      </c>
      <c r="G49" s="1"/>
      <c r="H49" s="1">
        <f>SUM(OSRRefH22_6x_0)</f>
        <v>50</v>
      </c>
      <c r="I49" s="1"/>
      <c r="J49" s="5">
        <f t="shared" si="21"/>
        <v>1.7103957855847843E-3</v>
      </c>
      <c r="K49" s="1"/>
      <c r="L49" s="1">
        <f t="shared" si="22"/>
        <v>-50</v>
      </c>
      <c r="M49" s="1"/>
      <c r="N49" s="5">
        <f t="shared" si="23"/>
        <v>-1</v>
      </c>
      <c r="O49" s="13"/>
      <c r="P49" s="1">
        <f>SUM(OSRRefP22_6x_0)</f>
        <v>47.34</v>
      </c>
      <c r="Q49" s="1"/>
      <c r="R49" s="5">
        <f t="shared" si="24"/>
        <v>1.2474308300395258E-4</v>
      </c>
      <c r="S49" s="1"/>
      <c r="T49" s="1">
        <f>SUM(OSRRefT22_6x_0)</f>
        <v>450</v>
      </c>
      <c r="U49" s="1"/>
      <c r="V49" s="5">
        <f t="shared" si="25"/>
        <v>1.1603710092907039E-3</v>
      </c>
      <c r="W49" s="1"/>
      <c r="X49" s="1">
        <f t="shared" si="26"/>
        <v>-402.65999999999997</v>
      </c>
      <c r="Y49" s="1"/>
      <c r="Z49" s="5">
        <f t="shared" si="27"/>
        <v>-0.89479999999999993</v>
      </c>
    </row>
    <row r="50" spans="1:26" s="24" customFormat="1" hidden="1" outlineLevel="2" x14ac:dyDescent="0.25">
      <c r="A50" s="25"/>
      <c r="B50" s="11" t="str">
        <f>CONCATENATE("          ", "6279", " - ", "GENERAL EXPENSE")</f>
        <v xml:space="preserve">          6279 - GENERAL EXPENSE</v>
      </c>
      <c r="C50" s="11"/>
      <c r="D50" s="6"/>
      <c r="E50" s="2"/>
      <c r="F50" s="7">
        <f t="shared" si="20"/>
        <v>0</v>
      </c>
      <c r="G50" s="2"/>
      <c r="H50" s="6">
        <v>50</v>
      </c>
      <c r="I50" s="2"/>
      <c r="J50" s="7">
        <f t="shared" si="21"/>
        <v>1.7103957855847843E-3</v>
      </c>
      <c r="K50" s="2"/>
      <c r="L50" s="6">
        <f t="shared" si="22"/>
        <v>-50</v>
      </c>
      <c r="M50" s="2"/>
      <c r="N50" s="7">
        <f t="shared" si="23"/>
        <v>-1</v>
      </c>
      <c r="O50" s="11"/>
      <c r="P50" s="6">
        <v>47.34</v>
      </c>
      <c r="Q50" s="2"/>
      <c r="R50" s="7">
        <f t="shared" si="24"/>
        <v>1.2474308300395258E-4</v>
      </c>
      <c r="S50" s="2"/>
      <c r="T50" s="6">
        <v>450</v>
      </c>
      <c r="U50" s="2"/>
      <c r="V50" s="7">
        <f t="shared" si="25"/>
        <v>1.1603710092907039E-3</v>
      </c>
      <c r="W50" s="2"/>
      <c r="X50" s="6">
        <f t="shared" si="26"/>
        <v>-402.65999999999997</v>
      </c>
      <c r="Y50" s="2"/>
      <c r="Z50" s="7">
        <f t="shared" si="27"/>
        <v>-0.89479999999999993</v>
      </c>
    </row>
    <row r="51" spans="1:26" s="27" customFormat="1" outlineLevel="1" collapsed="1" x14ac:dyDescent="0.25">
      <c r="A51" s="26"/>
      <c r="B51" s="13" t="str">
        <f>CONCATENATE("     ","Insurance                                         ")</f>
        <v xml:space="preserve">     Insurance                                         </v>
      </c>
      <c r="C51" s="13"/>
      <c r="D51" s="1">
        <f>SUM(OSRRefD22_7x_0)</f>
        <v>29.01</v>
      </c>
      <c r="E51" s="1"/>
      <c r="F51" s="5">
        <f t="shared" si="20"/>
        <v>6.6966759002770083E-4</v>
      </c>
      <c r="G51" s="1"/>
      <c r="H51" s="1">
        <f>SUM(OSRRefH22_7x_0)</f>
        <v>27</v>
      </c>
      <c r="I51" s="1"/>
      <c r="J51" s="5">
        <f t="shared" si="21"/>
        <v>9.2361372421578358E-4</v>
      </c>
      <c r="K51" s="1"/>
      <c r="L51" s="1">
        <f t="shared" si="22"/>
        <v>2.0100000000000016</v>
      </c>
      <c r="M51" s="1"/>
      <c r="N51" s="5">
        <f t="shared" si="23"/>
        <v>7.4444444444444507E-2</v>
      </c>
      <c r="O51" s="13"/>
      <c r="P51" s="1">
        <f>SUM(OSRRefP22_7x_0)</f>
        <v>261.08999999999997</v>
      </c>
      <c r="Q51" s="1"/>
      <c r="R51" s="5">
        <f t="shared" si="24"/>
        <v>6.8798418972332005E-4</v>
      </c>
      <c r="S51" s="1"/>
      <c r="T51" s="1">
        <f>SUM(OSRRefT22_7x_0)</f>
        <v>243</v>
      </c>
      <c r="U51" s="1"/>
      <c r="V51" s="5">
        <f t="shared" si="25"/>
        <v>6.266003450169801E-4</v>
      </c>
      <c r="W51" s="1"/>
      <c r="X51" s="1">
        <f t="shared" si="26"/>
        <v>18.089999999999975</v>
      </c>
      <c r="Y51" s="1"/>
      <c r="Z51" s="5">
        <f t="shared" si="27"/>
        <v>7.4444444444444341E-2</v>
      </c>
    </row>
    <row r="52" spans="1:26" s="24" customFormat="1" hidden="1" outlineLevel="2" x14ac:dyDescent="0.25">
      <c r="A52" s="25"/>
      <c r="B52" s="11" t="str">
        <f>CONCATENATE("          ", "6314", " - ", "LIABILITY INSURANCE")</f>
        <v xml:space="preserve">          6314 - LIABILITY INSURANCE</v>
      </c>
      <c r="C52" s="11"/>
      <c r="D52" s="6">
        <v>29.01</v>
      </c>
      <c r="E52" s="2"/>
      <c r="F52" s="7">
        <f t="shared" si="20"/>
        <v>6.6966759002770083E-4</v>
      </c>
      <c r="G52" s="2"/>
      <c r="H52" s="6">
        <v>27</v>
      </c>
      <c r="I52" s="2"/>
      <c r="J52" s="7">
        <f t="shared" si="21"/>
        <v>9.2361372421578358E-4</v>
      </c>
      <c r="K52" s="2"/>
      <c r="L52" s="6">
        <f t="shared" si="22"/>
        <v>2.0100000000000016</v>
      </c>
      <c r="M52" s="2"/>
      <c r="N52" s="7">
        <f t="shared" si="23"/>
        <v>7.4444444444444507E-2</v>
      </c>
      <c r="O52" s="11"/>
      <c r="P52" s="6">
        <v>261.08999999999997</v>
      </c>
      <c r="Q52" s="2"/>
      <c r="R52" s="7">
        <f t="shared" si="24"/>
        <v>6.8798418972332005E-4</v>
      </c>
      <c r="S52" s="2"/>
      <c r="T52" s="6">
        <v>243</v>
      </c>
      <c r="U52" s="2"/>
      <c r="V52" s="7">
        <f t="shared" si="25"/>
        <v>6.266003450169801E-4</v>
      </c>
      <c r="W52" s="2"/>
      <c r="X52" s="6">
        <f t="shared" si="26"/>
        <v>18.089999999999975</v>
      </c>
      <c r="Y52" s="2"/>
      <c r="Z52" s="7">
        <f t="shared" si="27"/>
        <v>7.4444444444444341E-2</v>
      </c>
    </row>
    <row r="53" spans="1:26" s="27" customFormat="1" outlineLevel="1" collapsed="1" x14ac:dyDescent="0.25">
      <c r="A53" s="26"/>
      <c r="B53" s="13" t="str">
        <f>CONCATENATE("     ","Professional Services                             ")</f>
        <v xml:space="preserve">     Professional Services                             </v>
      </c>
      <c r="C53" s="13"/>
      <c r="D53" s="1">
        <f>SUM(OSRRefD22_8x_0)</f>
        <v>0</v>
      </c>
      <c r="E53" s="1"/>
      <c r="F53" s="5">
        <f t="shared" si="20"/>
        <v>0</v>
      </c>
      <c r="G53" s="1"/>
      <c r="H53" s="1">
        <f>SUM(OSRRefH22_8x_0)</f>
        <v>400</v>
      </c>
      <c r="I53" s="1"/>
      <c r="J53" s="5">
        <f t="shared" si="21"/>
        <v>1.3683166284678274E-2</v>
      </c>
      <c r="K53" s="1"/>
      <c r="L53" s="1">
        <f t="shared" si="22"/>
        <v>-400</v>
      </c>
      <c r="M53" s="1"/>
      <c r="N53" s="5">
        <f t="shared" si="23"/>
        <v>-1</v>
      </c>
      <c r="O53" s="13"/>
      <c r="P53" s="1">
        <f>SUM(OSRRefP22_8x_0)</f>
        <v>0</v>
      </c>
      <c r="Q53" s="1"/>
      <c r="R53" s="5">
        <f t="shared" si="24"/>
        <v>0</v>
      </c>
      <c r="S53" s="1"/>
      <c r="T53" s="1">
        <f>SUM(OSRRefT22_8x_0)</f>
        <v>3600</v>
      </c>
      <c r="U53" s="1"/>
      <c r="V53" s="5">
        <f t="shared" si="25"/>
        <v>9.2829680743256315E-3</v>
      </c>
      <c r="W53" s="1"/>
      <c r="X53" s="1">
        <f t="shared" si="26"/>
        <v>-3600</v>
      </c>
      <c r="Y53" s="1"/>
      <c r="Z53" s="5">
        <f t="shared" si="27"/>
        <v>-1</v>
      </c>
    </row>
    <row r="54" spans="1:26" s="24" customFormat="1" hidden="1" outlineLevel="2" x14ac:dyDescent="0.25">
      <c r="A54" s="25"/>
      <c r="B54" s="11" t="str">
        <f>CONCATENATE("          ", "6336", " - ", "PROFESSIONAL SERVICES")</f>
        <v xml:space="preserve">          6336 - PROFESSIONAL SERVICES</v>
      </c>
      <c r="C54" s="11"/>
      <c r="D54" s="6"/>
      <c r="E54" s="2"/>
      <c r="F54" s="7">
        <f t="shared" si="20"/>
        <v>0</v>
      </c>
      <c r="G54" s="2"/>
      <c r="H54" s="6">
        <v>400</v>
      </c>
      <c r="I54" s="2"/>
      <c r="J54" s="7">
        <f t="shared" si="21"/>
        <v>1.3683166284678274E-2</v>
      </c>
      <c r="K54" s="2"/>
      <c r="L54" s="6">
        <f t="shared" si="22"/>
        <v>-400</v>
      </c>
      <c r="M54" s="2"/>
      <c r="N54" s="7">
        <f t="shared" si="23"/>
        <v>-1</v>
      </c>
      <c r="O54" s="11"/>
      <c r="P54" s="6"/>
      <c r="Q54" s="2"/>
      <c r="R54" s="7">
        <f t="shared" si="24"/>
        <v>0</v>
      </c>
      <c r="S54" s="2"/>
      <c r="T54" s="6">
        <v>3600</v>
      </c>
      <c r="U54" s="2"/>
      <c r="V54" s="7">
        <f t="shared" si="25"/>
        <v>9.2829680743256315E-3</v>
      </c>
      <c r="W54" s="2"/>
      <c r="X54" s="6">
        <f t="shared" si="26"/>
        <v>-3600</v>
      </c>
      <c r="Y54" s="2"/>
      <c r="Z54" s="7">
        <f t="shared" si="27"/>
        <v>-1</v>
      </c>
    </row>
    <row r="55" spans="1:26" s="27" customFormat="1" outlineLevel="1" collapsed="1" x14ac:dyDescent="0.25">
      <c r="A55" s="26"/>
      <c r="B55" s="13" t="str">
        <f>CONCATENATE("     ","Rent                                              ")</f>
        <v xml:space="preserve">     Rent                                              </v>
      </c>
      <c r="C55" s="13"/>
      <c r="D55" s="1">
        <f>SUM(OSRRefD22_9x_0)</f>
        <v>800</v>
      </c>
      <c r="E55" s="1"/>
      <c r="F55" s="5">
        <f t="shared" si="20"/>
        <v>1.8467220683287166E-2</v>
      </c>
      <c r="G55" s="1"/>
      <c r="H55" s="1">
        <f>SUM(OSRRefH22_9x_0)</f>
        <v>800</v>
      </c>
      <c r="I55" s="1"/>
      <c r="J55" s="5">
        <f t="shared" si="21"/>
        <v>2.7366332569356548E-2</v>
      </c>
      <c r="K55" s="1"/>
      <c r="L55" s="1">
        <f t="shared" si="22"/>
        <v>0</v>
      </c>
      <c r="M55" s="1"/>
      <c r="N55" s="5">
        <f t="shared" si="23"/>
        <v>0</v>
      </c>
      <c r="O55" s="13"/>
      <c r="P55" s="1">
        <f>SUM(OSRRefP22_9x_0)</f>
        <v>5600</v>
      </c>
      <c r="Q55" s="1"/>
      <c r="R55" s="5">
        <f t="shared" si="24"/>
        <v>1.4756258234519103E-2</v>
      </c>
      <c r="S55" s="1"/>
      <c r="T55" s="1">
        <f>SUM(OSRRefT22_9x_0)</f>
        <v>7200</v>
      </c>
      <c r="U55" s="1"/>
      <c r="V55" s="5">
        <f t="shared" si="25"/>
        <v>1.8565936148651263E-2</v>
      </c>
      <c r="W55" s="1"/>
      <c r="X55" s="1">
        <f t="shared" si="26"/>
        <v>-1600</v>
      </c>
      <c r="Y55" s="1"/>
      <c r="Z55" s="5">
        <f t="shared" si="27"/>
        <v>-0.22222222222222221</v>
      </c>
    </row>
    <row r="56" spans="1:26" s="24" customFormat="1" hidden="1" outlineLevel="2" x14ac:dyDescent="0.25">
      <c r="A56" s="25"/>
      <c r="B56" s="11" t="str">
        <f>CONCATENATE("          ", "6273", " - ", "RENT")</f>
        <v xml:space="preserve">          6273 - RENT</v>
      </c>
      <c r="C56" s="11"/>
      <c r="D56" s="6">
        <v>800</v>
      </c>
      <c r="E56" s="2"/>
      <c r="F56" s="7">
        <f t="shared" si="20"/>
        <v>1.8467220683287166E-2</v>
      </c>
      <c r="G56" s="2"/>
      <c r="H56" s="6">
        <v>800</v>
      </c>
      <c r="I56" s="2"/>
      <c r="J56" s="7">
        <f t="shared" si="21"/>
        <v>2.7366332569356548E-2</v>
      </c>
      <c r="K56" s="2"/>
      <c r="L56" s="6">
        <f t="shared" si="22"/>
        <v>0</v>
      </c>
      <c r="M56" s="2"/>
      <c r="N56" s="7">
        <f t="shared" si="23"/>
        <v>0</v>
      </c>
      <c r="O56" s="11"/>
      <c r="P56" s="6">
        <v>5600</v>
      </c>
      <c r="Q56" s="2"/>
      <c r="R56" s="7">
        <f t="shared" si="24"/>
        <v>1.4756258234519103E-2</v>
      </c>
      <c r="S56" s="2"/>
      <c r="T56" s="6">
        <v>7200</v>
      </c>
      <c r="U56" s="2"/>
      <c r="V56" s="7">
        <f t="shared" si="25"/>
        <v>1.8565936148651263E-2</v>
      </c>
      <c r="W56" s="2"/>
      <c r="X56" s="6">
        <f t="shared" si="26"/>
        <v>-1600</v>
      </c>
      <c r="Y56" s="2"/>
      <c r="Z56" s="7">
        <f t="shared" si="27"/>
        <v>-0.22222222222222221</v>
      </c>
    </row>
    <row r="57" spans="1:26" s="27" customFormat="1" outlineLevel="1" collapsed="1" x14ac:dyDescent="0.25">
      <c r="A57" s="26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SUM(OSRRefD22_10x_0)</f>
        <v>676.8</v>
      </c>
      <c r="E57" s="1"/>
      <c r="F57" s="5">
        <f t="shared" si="20"/>
        <v>1.5623268698060942E-2</v>
      </c>
      <c r="G57" s="1"/>
      <c r="H57" s="1">
        <f>SUM(OSRRefH22_10x_0)</f>
        <v>2000</v>
      </c>
      <c r="I57" s="1"/>
      <c r="J57" s="5">
        <f t="shared" si="21"/>
        <v>6.8415831423391374E-2</v>
      </c>
      <c r="K57" s="1"/>
      <c r="L57" s="1">
        <f t="shared" si="22"/>
        <v>-1323.2</v>
      </c>
      <c r="M57" s="1"/>
      <c r="N57" s="5">
        <f t="shared" si="23"/>
        <v>-0.66160000000000008</v>
      </c>
      <c r="O57" s="13"/>
      <c r="P57" s="1">
        <f>SUM(OSRRefP22_10x_0)</f>
        <v>118520.76</v>
      </c>
      <c r="Q57" s="1"/>
      <c r="R57" s="5">
        <f t="shared" si="24"/>
        <v>0.31230766798418969</v>
      </c>
      <c r="S57" s="1"/>
      <c r="T57" s="1">
        <f>SUM(OSRRefT22_10x_0)</f>
        <v>143000</v>
      </c>
      <c r="U57" s="1"/>
      <c r="V57" s="5">
        <f t="shared" si="25"/>
        <v>0.36874012073015699</v>
      </c>
      <c r="W57" s="1"/>
      <c r="X57" s="1">
        <f t="shared" si="26"/>
        <v>-24479.240000000005</v>
      </c>
      <c r="Y57" s="1"/>
      <c r="Z57" s="5">
        <f t="shared" si="27"/>
        <v>-0.17118349650349654</v>
      </c>
    </row>
    <row r="58" spans="1:26" s="24" customFormat="1" hidden="1" outlineLevel="2" x14ac:dyDescent="0.25">
      <c r="A58" s="25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20"/>
        <v>0</v>
      </c>
      <c r="G58" s="2"/>
      <c r="H58" s="6"/>
      <c r="I58" s="2"/>
      <c r="J58" s="7">
        <f t="shared" si="21"/>
        <v>0</v>
      </c>
      <c r="K58" s="2"/>
      <c r="L58" s="6">
        <f t="shared" si="22"/>
        <v>0</v>
      </c>
      <c r="M58" s="2"/>
      <c r="N58" s="7">
        <f t="shared" si="23"/>
        <v>0</v>
      </c>
      <c r="O58" s="11"/>
      <c r="P58" s="6">
        <v>437.31</v>
      </c>
      <c r="Q58" s="2"/>
      <c r="R58" s="7">
        <f t="shared" si="24"/>
        <v>1.1523320158102768E-3</v>
      </c>
      <c r="S58" s="2"/>
      <c r="T58" s="6">
        <v>125000</v>
      </c>
      <c r="U58" s="2"/>
      <c r="V58" s="7">
        <f t="shared" si="25"/>
        <v>0.32232528035852887</v>
      </c>
      <c r="W58" s="2"/>
      <c r="X58" s="6">
        <f t="shared" si="26"/>
        <v>-124562.69</v>
      </c>
      <c r="Y58" s="2"/>
      <c r="Z58" s="7">
        <f t="shared" si="27"/>
        <v>-0.99650152000000003</v>
      </c>
    </row>
    <row r="59" spans="1:26" s="24" customFormat="1" hidden="1" outlineLevel="2" x14ac:dyDescent="0.25">
      <c r="A59" s="25"/>
      <c r="B59" s="11" t="str">
        <f>CONCATENATE("          ", "6372", " - ", "COMPUTER HARDWARE MAINTENANCE")</f>
        <v xml:space="preserve">          6372 - COMPUTER HARDWARE MAINTENANCE</v>
      </c>
      <c r="C59" s="11"/>
      <c r="D59" s="6"/>
      <c r="E59" s="2"/>
      <c r="F59" s="7">
        <f t="shared" si="20"/>
        <v>0</v>
      </c>
      <c r="G59" s="2"/>
      <c r="H59" s="6">
        <v>2000</v>
      </c>
      <c r="I59" s="2"/>
      <c r="J59" s="7">
        <f t="shared" si="21"/>
        <v>6.8415831423391374E-2</v>
      </c>
      <c r="K59" s="2"/>
      <c r="L59" s="6">
        <f t="shared" si="22"/>
        <v>-2000</v>
      </c>
      <c r="M59" s="2"/>
      <c r="N59" s="7">
        <f t="shared" si="23"/>
        <v>-1</v>
      </c>
      <c r="O59" s="11"/>
      <c r="P59" s="6"/>
      <c r="Q59" s="2"/>
      <c r="R59" s="7">
        <f t="shared" si="24"/>
        <v>0</v>
      </c>
      <c r="S59" s="2"/>
      <c r="T59" s="6">
        <v>18000</v>
      </c>
      <c r="U59" s="2"/>
      <c r="V59" s="7">
        <f t="shared" si="25"/>
        <v>4.6414840371628158E-2</v>
      </c>
      <c r="W59" s="2"/>
      <c r="X59" s="6">
        <f t="shared" si="26"/>
        <v>-18000</v>
      </c>
      <c r="Y59" s="2"/>
      <c r="Z59" s="7">
        <f t="shared" si="27"/>
        <v>-1</v>
      </c>
    </row>
    <row r="60" spans="1:26" s="24" customFormat="1" hidden="1" outlineLevel="2" x14ac:dyDescent="0.25">
      <c r="A60" s="25"/>
      <c r="B60" s="11" t="str">
        <f>CONCATENATE("          ", "6373", " - ", "MAINTENANCE CONTRACTS")</f>
        <v xml:space="preserve">          6373 - MAINTENANCE CONTRACTS</v>
      </c>
      <c r="C60" s="11"/>
      <c r="D60" s="6"/>
      <c r="E60" s="2"/>
      <c r="F60" s="7">
        <f t="shared" si="20"/>
        <v>0</v>
      </c>
      <c r="G60" s="2"/>
      <c r="H60" s="6"/>
      <c r="I60" s="2"/>
      <c r="J60" s="7">
        <f t="shared" si="21"/>
        <v>0</v>
      </c>
      <c r="K60" s="2"/>
      <c r="L60" s="6">
        <f t="shared" si="22"/>
        <v>0</v>
      </c>
      <c r="M60" s="2"/>
      <c r="N60" s="7">
        <f t="shared" si="23"/>
        <v>0</v>
      </c>
      <c r="O60" s="11"/>
      <c r="P60" s="6">
        <v>117094</v>
      </c>
      <c r="Q60" s="2"/>
      <c r="R60" s="7">
        <f t="shared" si="24"/>
        <v>0.30854808959156788</v>
      </c>
      <c r="S60" s="2"/>
      <c r="T60" s="6"/>
      <c r="U60" s="2"/>
      <c r="V60" s="7">
        <f t="shared" si="25"/>
        <v>0</v>
      </c>
      <c r="W60" s="2"/>
      <c r="X60" s="6">
        <f t="shared" si="26"/>
        <v>117094</v>
      </c>
      <c r="Y60" s="2"/>
      <c r="Z60" s="7">
        <f t="shared" si="27"/>
        <v>0</v>
      </c>
    </row>
    <row r="61" spans="1:26" s="24" customFormat="1" hidden="1" outlineLevel="2" x14ac:dyDescent="0.25">
      <c r="A61" s="25"/>
      <c r="B61" s="11" t="str">
        <f>CONCATENATE("          ", "6375", " - ", "OUTSIDE REPAIRS &amp; MAINTENANCE")</f>
        <v xml:space="preserve">          6375 - OUTSIDE REPAIRS &amp; MAINTENANCE</v>
      </c>
      <c r="C61" s="11"/>
      <c r="D61" s="6">
        <v>676.8</v>
      </c>
      <c r="E61" s="2"/>
      <c r="F61" s="7">
        <f t="shared" si="20"/>
        <v>1.5623268698060942E-2</v>
      </c>
      <c r="G61" s="2"/>
      <c r="H61" s="6"/>
      <c r="I61" s="2"/>
      <c r="J61" s="7">
        <f t="shared" si="21"/>
        <v>0</v>
      </c>
      <c r="K61" s="2"/>
      <c r="L61" s="6">
        <f t="shared" si="22"/>
        <v>676.8</v>
      </c>
      <c r="M61" s="2"/>
      <c r="N61" s="7">
        <f t="shared" si="23"/>
        <v>0</v>
      </c>
      <c r="O61" s="11"/>
      <c r="P61" s="6">
        <v>989.45</v>
      </c>
      <c r="Q61" s="2"/>
      <c r="R61" s="7">
        <f t="shared" si="24"/>
        <v>2.6072463768115942E-3</v>
      </c>
      <c r="S61" s="2"/>
      <c r="T61" s="6"/>
      <c r="U61" s="2"/>
      <c r="V61" s="7">
        <f t="shared" si="25"/>
        <v>0</v>
      </c>
      <c r="W61" s="2"/>
      <c r="X61" s="6">
        <f t="shared" si="26"/>
        <v>989.45</v>
      </c>
      <c r="Y61" s="2"/>
      <c r="Z61" s="7">
        <f t="shared" si="27"/>
        <v>0</v>
      </c>
    </row>
    <row r="62" spans="1:26" s="27" customFormat="1" outlineLevel="1" collapsed="1" x14ac:dyDescent="0.25">
      <c r="A62" s="26"/>
      <c r="B62" s="13" t="str">
        <f>CONCATENATE("     ","Subscriptions &amp; Dues                              ")</f>
        <v xml:space="preserve">     Subscriptions &amp; Dues                              </v>
      </c>
      <c r="C62" s="13"/>
      <c r="D62" s="1">
        <f>SUM(OSRRefD22_11x_0)</f>
        <v>0</v>
      </c>
      <c r="E62" s="1"/>
      <c r="F62" s="5">
        <f t="shared" ref="F62:F67" si="28">IF(D$12=0,0,D62/D$12)</f>
        <v>0</v>
      </c>
      <c r="G62" s="1"/>
      <c r="H62" s="1">
        <f>SUM(OSRRefH22_11x_0)</f>
        <v>0</v>
      </c>
      <c r="I62" s="1"/>
      <c r="J62" s="5">
        <f t="shared" ref="J62:J67" si="29">IF(H$12=0,0,H62/H$12)</f>
        <v>0</v>
      </c>
      <c r="K62" s="1"/>
      <c r="L62" s="1">
        <f t="shared" ref="L62:L67" si="30">+D62-H62</f>
        <v>0</v>
      </c>
      <c r="M62" s="1"/>
      <c r="N62" s="5">
        <f t="shared" ref="N62:N67" si="31">IF(H62=0,0,L62/H62)</f>
        <v>0</v>
      </c>
      <c r="O62" s="13"/>
      <c r="P62" s="1">
        <f>SUM(OSRRefP22_11x_0)</f>
        <v>825</v>
      </c>
      <c r="Q62" s="1"/>
      <c r="R62" s="5">
        <f t="shared" ref="R62:R67" si="32">IF(P$12=0,0,P62/P$12)</f>
        <v>2.1739130434782609E-3</v>
      </c>
      <c r="S62" s="1"/>
      <c r="T62" s="1">
        <f>SUM(OSRRefT22_11x_0)</f>
        <v>0</v>
      </c>
      <c r="U62" s="1"/>
      <c r="V62" s="5">
        <f t="shared" ref="V62:V67" si="33">IF(T$12=0,0,T62/T$12)</f>
        <v>0</v>
      </c>
      <c r="W62" s="1"/>
      <c r="X62" s="1">
        <f t="shared" ref="X62:X67" si="34">+P62-T62</f>
        <v>825</v>
      </c>
      <c r="Y62" s="1"/>
      <c r="Z62" s="5">
        <f t="shared" ref="Z62:Z67" si="35">IF(T62=0,0,X62/T62)</f>
        <v>0</v>
      </c>
    </row>
    <row r="63" spans="1:26" s="24" customFormat="1" hidden="1" outlineLevel="2" x14ac:dyDescent="0.25">
      <c r="A63" s="25"/>
      <c r="B63" s="11" t="str">
        <f>CONCATENATE("          ", "6258", " - ", "MEMBERSHIP DUES")</f>
        <v xml:space="preserve">          6258 - MEMBERSHIP DUES</v>
      </c>
      <c r="C63" s="11"/>
      <c r="D63" s="6"/>
      <c r="E63" s="2"/>
      <c r="F63" s="7">
        <f t="shared" si="28"/>
        <v>0</v>
      </c>
      <c r="G63" s="2"/>
      <c r="H63" s="6"/>
      <c r="I63" s="2"/>
      <c r="J63" s="7">
        <f t="shared" si="29"/>
        <v>0</v>
      </c>
      <c r="K63" s="2"/>
      <c r="L63" s="6">
        <f t="shared" si="30"/>
        <v>0</v>
      </c>
      <c r="M63" s="2"/>
      <c r="N63" s="7">
        <f t="shared" si="31"/>
        <v>0</v>
      </c>
      <c r="O63" s="11"/>
      <c r="P63" s="6">
        <v>825</v>
      </c>
      <c r="Q63" s="2"/>
      <c r="R63" s="7">
        <f t="shared" si="32"/>
        <v>2.1739130434782609E-3</v>
      </c>
      <c r="S63" s="2"/>
      <c r="T63" s="6"/>
      <c r="U63" s="2"/>
      <c r="V63" s="7">
        <f t="shared" si="33"/>
        <v>0</v>
      </c>
      <c r="W63" s="2"/>
      <c r="X63" s="6">
        <f t="shared" si="34"/>
        <v>825</v>
      </c>
      <c r="Y63" s="2"/>
      <c r="Z63" s="7">
        <f t="shared" si="35"/>
        <v>0</v>
      </c>
    </row>
    <row r="64" spans="1:26" s="27" customFormat="1" outlineLevel="1" collapsed="1" x14ac:dyDescent="0.25">
      <c r="A64" s="26"/>
      <c r="B64" s="13" t="str">
        <f>CONCATENATE("     ","Supplies                                          ")</f>
        <v xml:space="preserve">     Supplies                                          </v>
      </c>
      <c r="C64" s="13"/>
      <c r="D64" s="1">
        <f>SUM(OSRRefD22_12x_0)</f>
        <v>1596.09</v>
      </c>
      <c r="E64" s="1"/>
      <c r="F64" s="5">
        <f t="shared" si="28"/>
        <v>3.684418282548476E-2</v>
      </c>
      <c r="G64" s="1"/>
      <c r="H64" s="1">
        <f>SUM(OSRRefH22_12x_0)</f>
        <v>7000</v>
      </c>
      <c r="I64" s="1"/>
      <c r="J64" s="5">
        <f t="shared" si="29"/>
        <v>0.23945540998186982</v>
      </c>
      <c r="K64" s="1"/>
      <c r="L64" s="1">
        <f t="shared" si="30"/>
        <v>-5403.91</v>
      </c>
      <c r="M64" s="1"/>
      <c r="N64" s="5">
        <f t="shared" si="31"/>
        <v>-0.77198714285714287</v>
      </c>
      <c r="O64" s="13"/>
      <c r="P64" s="1">
        <f>SUM(OSRRefP22_12x_0)</f>
        <v>24878.799999999999</v>
      </c>
      <c r="Q64" s="1"/>
      <c r="R64" s="5">
        <f t="shared" si="32"/>
        <v>6.5556785243741769E-2</v>
      </c>
      <c r="S64" s="1"/>
      <c r="T64" s="1">
        <f>SUM(OSRRefT22_12x_0)</f>
        <v>63100</v>
      </c>
      <c r="U64" s="1"/>
      <c r="V64" s="5">
        <f t="shared" si="33"/>
        <v>0.16270980152498538</v>
      </c>
      <c r="W64" s="1"/>
      <c r="X64" s="1">
        <f t="shared" si="34"/>
        <v>-38221.199999999997</v>
      </c>
      <c r="Y64" s="1"/>
      <c r="Z64" s="5">
        <f t="shared" si="35"/>
        <v>-0.60572424722662432</v>
      </c>
    </row>
    <row r="65" spans="1:26" s="24" customFormat="1" hidden="1" outlineLevel="2" x14ac:dyDescent="0.25">
      <c r="A65" s="25"/>
      <c r="B65" s="11" t="str">
        <f>CONCATENATE("          ", "6234", " - ", "EXPENDABLE SUPPLIES &amp; EQUIPMEN")</f>
        <v xml:space="preserve">          6234 - EXPENDABLE SUPPLIES &amp; EQUIPMEN</v>
      </c>
      <c r="C65" s="11"/>
      <c r="D65" s="6"/>
      <c r="E65" s="2"/>
      <c r="F65" s="7">
        <f t="shared" si="28"/>
        <v>0</v>
      </c>
      <c r="G65" s="2"/>
      <c r="H65" s="6">
        <v>7000</v>
      </c>
      <c r="I65" s="2"/>
      <c r="J65" s="7">
        <f t="shared" si="29"/>
        <v>0.23945540998186982</v>
      </c>
      <c r="K65" s="2"/>
      <c r="L65" s="6">
        <f t="shared" si="30"/>
        <v>-7000</v>
      </c>
      <c r="M65" s="2"/>
      <c r="N65" s="7">
        <f t="shared" si="31"/>
        <v>-1</v>
      </c>
      <c r="O65" s="11"/>
      <c r="P65" s="6">
        <v>413.27</v>
      </c>
      <c r="Q65" s="2"/>
      <c r="R65" s="7">
        <f t="shared" si="32"/>
        <v>1.0889855072463768E-3</v>
      </c>
      <c r="S65" s="2"/>
      <c r="T65" s="6">
        <v>63100</v>
      </c>
      <c r="U65" s="2"/>
      <c r="V65" s="7">
        <f t="shared" si="33"/>
        <v>0.16270980152498538</v>
      </c>
      <c r="W65" s="2"/>
      <c r="X65" s="6">
        <f t="shared" si="34"/>
        <v>-62686.73</v>
      </c>
      <c r="Y65" s="2"/>
      <c r="Z65" s="7">
        <f t="shared" si="35"/>
        <v>-0.99345055467511889</v>
      </c>
    </row>
    <row r="66" spans="1:26" s="24" customFormat="1" hidden="1" outlineLevel="2" x14ac:dyDescent="0.25">
      <c r="A66" s="25"/>
      <c r="B66" s="11" t="str">
        <f>CONCATENATE("          ", "6241", " - ", "OFFICE EXPENSE")</f>
        <v xml:space="preserve">          6241 - OFFICE EXPENSE</v>
      </c>
      <c r="C66" s="11"/>
      <c r="D66" s="6">
        <v>1596.09</v>
      </c>
      <c r="E66" s="2"/>
      <c r="F66" s="7">
        <f t="shared" si="28"/>
        <v>3.684418282548476E-2</v>
      </c>
      <c r="G66" s="2"/>
      <c r="H66" s="6"/>
      <c r="I66" s="2"/>
      <c r="J66" s="7">
        <f t="shared" si="29"/>
        <v>0</v>
      </c>
      <c r="K66" s="2"/>
      <c r="L66" s="6">
        <f t="shared" si="30"/>
        <v>1596.09</v>
      </c>
      <c r="M66" s="2"/>
      <c r="N66" s="7">
        <f t="shared" si="31"/>
        <v>0</v>
      </c>
      <c r="O66" s="11"/>
      <c r="P66" s="6">
        <v>24262.01</v>
      </c>
      <c r="Q66" s="2"/>
      <c r="R66" s="7">
        <f t="shared" si="32"/>
        <v>6.3931515151515142E-2</v>
      </c>
      <c r="S66" s="2"/>
      <c r="T66" s="6"/>
      <c r="U66" s="2"/>
      <c r="V66" s="7">
        <f t="shared" si="33"/>
        <v>0</v>
      </c>
      <c r="W66" s="2"/>
      <c r="X66" s="6">
        <f t="shared" si="34"/>
        <v>24262.01</v>
      </c>
      <c r="Y66" s="2"/>
      <c r="Z66" s="7">
        <f t="shared" si="35"/>
        <v>0</v>
      </c>
    </row>
    <row r="67" spans="1:26" s="24" customFormat="1" hidden="1" outlineLevel="2" x14ac:dyDescent="0.25">
      <c r="A67" s="25"/>
      <c r="B67" s="11" t="str">
        <f>CONCATENATE("          ", "6245", " - ", "PRINTING")</f>
        <v xml:space="preserve">          6245 - PRINTING</v>
      </c>
      <c r="C67" s="11"/>
      <c r="D67" s="6"/>
      <c r="E67" s="2"/>
      <c r="F67" s="7">
        <f t="shared" si="28"/>
        <v>0</v>
      </c>
      <c r="G67" s="2"/>
      <c r="H67" s="6"/>
      <c r="I67" s="2"/>
      <c r="J67" s="7">
        <f t="shared" si="29"/>
        <v>0</v>
      </c>
      <c r="K67" s="2"/>
      <c r="L67" s="6">
        <f t="shared" si="30"/>
        <v>0</v>
      </c>
      <c r="M67" s="2"/>
      <c r="N67" s="7">
        <f t="shared" si="31"/>
        <v>0</v>
      </c>
      <c r="O67" s="11"/>
      <c r="P67" s="6">
        <v>203.52</v>
      </c>
      <c r="Q67" s="2"/>
      <c r="R67" s="7">
        <f t="shared" si="32"/>
        <v>5.3628458498023715E-4</v>
      </c>
      <c r="S67" s="2"/>
      <c r="T67" s="6"/>
      <c r="U67" s="2"/>
      <c r="V67" s="7">
        <f t="shared" si="33"/>
        <v>0</v>
      </c>
      <c r="W67" s="2"/>
      <c r="X67" s="6">
        <f t="shared" si="34"/>
        <v>203.52</v>
      </c>
      <c r="Y67" s="2"/>
      <c r="Z67" s="7">
        <f t="shared" si="35"/>
        <v>0</v>
      </c>
    </row>
    <row r="68" spans="1:26" s="27" customFormat="1" outlineLevel="1" collapsed="1" x14ac:dyDescent="0.25">
      <c r="A68" s="26"/>
      <c r="B68" s="13" t="str">
        <f>CONCATENATE("     ","Telephone/Data Lines                              ")</f>
        <v xml:space="preserve">     Telephone/Data Lines                              </v>
      </c>
      <c r="C68" s="13"/>
      <c r="D68" s="1">
        <f>SUM(OSRRefD22_13x_0)</f>
        <v>188.35</v>
      </c>
      <c r="E68" s="1"/>
      <c r="F68" s="5">
        <f t="shared" ref="F68:F71" si="36">IF(D$12=0,0,D68/D$12)</f>
        <v>4.3478762696214221E-3</v>
      </c>
      <c r="G68" s="1"/>
      <c r="H68" s="1">
        <f>SUM(OSRRefH22_13x_0)</f>
        <v>350</v>
      </c>
      <c r="I68" s="1"/>
      <c r="J68" s="5">
        <f t="shared" ref="J68:J71" si="37">IF(H$12=0,0,H68/H$12)</f>
        <v>1.1972770499093489E-2</v>
      </c>
      <c r="K68" s="1"/>
      <c r="L68" s="1">
        <f t="shared" ref="L68:L71" si="38">+D68-H68</f>
        <v>-161.65</v>
      </c>
      <c r="M68" s="1"/>
      <c r="N68" s="5">
        <f t="shared" ref="N68:N71" si="39">IF(H68=0,0,L68/H68)</f>
        <v>-0.46185714285714285</v>
      </c>
      <c r="O68" s="13"/>
      <c r="P68" s="1">
        <f>SUM(OSRRefP22_13x_0)</f>
        <v>1699.55</v>
      </c>
      <c r="Q68" s="1"/>
      <c r="R68" s="5">
        <f t="shared" ref="R68:R71" si="40">IF(P$12=0,0,P68/P$12)</f>
        <v>4.4783926218708824E-3</v>
      </c>
      <c r="S68" s="1"/>
      <c r="T68" s="1">
        <f>SUM(OSRRefT22_13x_0)</f>
        <v>3150</v>
      </c>
      <c r="U68" s="1"/>
      <c r="V68" s="5">
        <f t="shared" ref="V68:V71" si="41">IF(T$12=0,0,T68/T$12)</f>
        <v>8.1225970650349276E-3</v>
      </c>
      <c r="W68" s="1"/>
      <c r="X68" s="1">
        <f t="shared" ref="X68:X71" si="42">+P68-T68</f>
        <v>-1450.45</v>
      </c>
      <c r="Y68" s="1"/>
      <c r="Z68" s="5">
        <f t="shared" ref="Z68:Z71" si="43">IF(T68=0,0,X68/T68)</f>
        <v>-0.46046031746031746</v>
      </c>
    </row>
    <row r="69" spans="1:26" s="24" customFormat="1" hidden="1" outlineLevel="2" x14ac:dyDescent="0.25">
      <c r="A69" s="25"/>
      <c r="B69" s="11" t="str">
        <f>CONCATENATE("          ", "6309", " - ", "TELEPHONE")</f>
        <v xml:space="preserve">          6309 - TELEPHONE</v>
      </c>
      <c r="C69" s="11"/>
      <c r="D69" s="6">
        <v>188.35</v>
      </c>
      <c r="E69" s="2"/>
      <c r="F69" s="7">
        <f t="shared" si="36"/>
        <v>4.3478762696214221E-3</v>
      </c>
      <c r="G69" s="2"/>
      <c r="H69" s="6">
        <v>350</v>
      </c>
      <c r="I69" s="2"/>
      <c r="J69" s="7">
        <f t="shared" si="37"/>
        <v>1.1972770499093489E-2</v>
      </c>
      <c r="K69" s="2"/>
      <c r="L69" s="6">
        <f t="shared" si="38"/>
        <v>-161.65</v>
      </c>
      <c r="M69" s="2"/>
      <c r="N69" s="7">
        <f t="shared" si="39"/>
        <v>-0.46185714285714285</v>
      </c>
      <c r="O69" s="11"/>
      <c r="P69" s="6">
        <v>1699.55</v>
      </c>
      <c r="Q69" s="2"/>
      <c r="R69" s="7">
        <f t="shared" si="40"/>
        <v>4.4783926218708824E-3</v>
      </c>
      <c r="S69" s="2"/>
      <c r="T69" s="6">
        <v>3150</v>
      </c>
      <c r="U69" s="2"/>
      <c r="V69" s="7">
        <f t="shared" si="41"/>
        <v>8.1225970650349276E-3</v>
      </c>
      <c r="W69" s="2"/>
      <c r="X69" s="6">
        <f t="shared" si="42"/>
        <v>-1450.45</v>
      </c>
      <c r="Y69" s="2"/>
      <c r="Z69" s="7">
        <f t="shared" si="43"/>
        <v>-0.46046031746031746</v>
      </c>
    </row>
    <row r="70" spans="1:26" s="27" customFormat="1" outlineLevel="1" collapsed="1" x14ac:dyDescent="0.25">
      <c r="A70" s="26"/>
      <c r="B70" s="13" t="str">
        <f>CONCATENATE("     ","Training                                          ")</f>
        <v xml:space="preserve">     Training                                          </v>
      </c>
      <c r="C70" s="13"/>
      <c r="D70" s="1">
        <f>SUM(OSRRefD22_14x_0)</f>
        <v>2011.24</v>
      </c>
      <c r="E70" s="1"/>
      <c r="F70" s="5">
        <f t="shared" si="36"/>
        <v>4.64275161588181E-2</v>
      </c>
      <c r="G70" s="1"/>
      <c r="H70" s="1">
        <f>SUM(OSRRefH22_14x_0)</f>
        <v>3500</v>
      </c>
      <c r="I70" s="1"/>
      <c r="J70" s="5">
        <f t="shared" si="37"/>
        <v>0.11972770499093491</v>
      </c>
      <c r="K70" s="1"/>
      <c r="L70" s="1">
        <f t="shared" si="38"/>
        <v>-1488.76</v>
      </c>
      <c r="M70" s="1"/>
      <c r="N70" s="5">
        <f t="shared" si="39"/>
        <v>-0.42536000000000002</v>
      </c>
      <c r="O70" s="13"/>
      <c r="P70" s="1">
        <f>SUM(OSRRefP22_14x_0)</f>
        <v>2011.24</v>
      </c>
      <c r="Q70" s="1"/>
      <c r="R70" s="5">
        <f t="shared" si="40"/>
        <v>5.2997101449275361E-3</v>
      </c>
      <c r="S70" s="1"/>
      <c r="T70" s="1">
        <f>SUM(OSRRefT22_14x_0)</f>
        <v>6000</v>
      </c>
      <c r="U70" s="1"/>
      <c r="V70" s="5">
        <f t="shared" si="41"/>
        <v>1.5471613457209385E-2</v>
      </c>
      <c r="W70" s="1"/>
      <c r="X70" s="1">
        <f t="shared" si="42"/>
        <v>-3988.76</v>
      </c>
      <c r="Y70" s="1"/>
      <c r="Z70" s="5">
        <f t="shared" si="43"/>
        <v>-0.66479333333333335</v>
      </c>
    </row>
    <row r="71" spans="1:26" s="24" customFormat="1" hidden="1" outlineLevel="2" x14ac:dyDescent="0.25">
      <c r="A71" s="25"/>
      <c r="B71" s="11" t="str">
        <f>CONCATENATE("          ", "6376", " - ", "TRAINING")</f>
        <v xml:space="preserve">          6376 - TRAINING</v>
      </c>
      <c r="C71" s="11"/>
      <c r="D71" s="6">
        <v>2011.24</v>
      </c>
      <c r="E71" s="2"/>
      <c r="F71" s="7">
        <f t="shared" si="36"/>
        <v>4.64275161588181E-2</v>
      </c>
      <c r="G71" s="2"/>
      <c r="H71" s="6">
        <v>3500</v>
      </c>
      <c r="I71" s="2"/>
      <c r="J71" s="7">
        <f t="shared" si="37"/>
        <v>0.11972770499093491</v>
      </c>
      <c r="K71" s="2"/>
      <c r="L71" s="6">
        <f t="shared" si="38"/>
        <v>-1488.76</v>
      </c>
      <c r="M71" s="2"/>
      <c r="N71" s="7">
        <f t="shared" si="39"/>
        <v>-0.42536000000000002</v>
      </c>
      <c r="O71" s="11"/>
      <c r="P71" s="6">
        <v>2011.24</v>
      </c>
      <c r="Q71" s="2"/>
      <c r="R71" s="7">
        <f t="shared" si="40"/>
        <v>5.2997101449275361E-3</v>
      </c>
      <c r="S71" s="2"/>
      <c r="T71" s="6">
        <v>6000</v>
      </c>
      <c r="U71" s="2"/>
      <c r="V71" s="7">
        <f t="shared" si="41"/>
        <v>1.5471613457209385E-2</v>
      </c>
      <c r="W71" s="2"/>
      <c r="X71" s="6">
        <f t="shared" si="42"/>
        <v>-3988.76</v>
      </c>
      <c r="Y71" s="2"/>
      <c r="Z71" s="7">
        <f t="shared" si="43"/>
        <v>-0.66479333333333335</v>
      </c>
    </row>
    <row r="72" spans="1:26" s="56" customFormat="1" x14ac:dyDescent="0.25">
      <c r="A72" s="36"/>
      <c r="B72" s="36"/>
      <c r="C72" s="36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6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collapsed="1" x14ac:dyDescent="0.25">
      <c r="A73" s="10"/>
      <c r="B73" s="29" t="s">
        <v>0</v>
      </c>
      <c r="C73" s="10"/>
      <c r="D73" s="4">
        <f>SUM(OSRRefD25x_0)</f>
        <v>991.34</v>
      </c>
      <c r="E73" s="4"/>
      <c r="F73" s="12">
        <f t="shared" ref="F73:F74" si="44">IF(D$12=0,0,D73/D$12)</f>
        <v>2.2884118190212372E-2</v>
      </c>
      <c r="G73" s="4"/>
      <c r="H73" s="4">
        <f>SUM(OSRRefH25x_0)</f>
        <v>3500</v>
      </c>
      <c r="I73" s="4"/>
      <c r="J73" s="12">
        <f t="shared" ref="J73:J74" si="45">IF(H$12=0,0,H73/H$12)</f>
        <v>0.11972770499093491</v>
      </c>
      <c r="K73" s="4"/>
      <c r="L73" s="4">
        <f t="shared" ref="L73:L74" si="46">+D73-H73</f>
        <v>-2508.66</v>
      </c>
      <c r="M73" s="4"/>
      <c r="N73" s="12">
        <f t="shared" ref="N73:N74" si="47">IF(H73=0,0,L73/H73)</f>
        <v>-0.71675999999999995</v>
      </c>
      <c r="O73" s="10"/>
      <c r="P73" s="4">
        <f>SUM(OSRRefP25x_0)</f>
        <v>20336.25</v>
      </c>
      <c r="Q73" s="4"/>
      <c r="R73" s="12">
        <f t="shared" ref="R73:R74" si="48">IF(P$12=0,0,P73/P$12)</f>
        <v>5.3586956521739129E-2</v>
      </c>
      <c r="S73" s="4"/>
      <c r="T73" s="4">
        <f>SUM(OSRRefT25x_0)</f>
        <v>26650</v>
      </c>
      <c r="U73" s="4"/>
      <c r="V73" s="12">
        <f t="shared" ref="V73:V74" si="49">IF(T$12=0,0,T73/T$12)</f>
        <v>6.8719749772438346E-2</v>
      </c>
      <c r="W73" s="4"/>
      <c r="X73" s="4">
        <f t="shared" ref="X73:X74" si="50">+P73-T73</f>
        <v>-6313.75</v>
      </c>
      <c r="Y73" s="4"/>
      <c r="Z73" s="12">
        <f t="shared" ref="Z73:Z74" si="51">IF(T73=0,0,X73/T73)</f>
        <v>-0.23691369606003751</v>
      </c>
    </row>
    <row r="74" spans="1:26" s="24" customFormat="1" hidden="1" outlineLevel="1" x14ac:dyDescent="0.25">
      <c r="A74" s="44"/>
      <c r="B74" s="11" t="str">
        <f>CONCATENATE("          ", "9150", " - ", "MISC. INCOME")</f>
        <v xml:space="preserve">          9150 - MISC. INCOME</v>
      </c>
      <c r="C74" s="11"/>
      <c r="D74" s="2">
        <f>--991.34</f>
        <v>991.34</v>
      </c>
      <c r="E74" s="2"/>
      <c r="F74" s="19">
        <f t="shared" si="44"/>
        <v>2.2884118190212372E-2</v>
      </c>
      <c r="G74" s="2"/>
      <c r="H74" s="2">
        <v>3500</v>
      </c>
      <c r="I74" s="2"/>
      <c r="J74" s="19">
        <f t="shared" si="45"/>
        <v>0.11972770499093491</v>
      </c>
      <c r="K74" s="2"/>
      <c r="L74" s="2">
        <f t="shared" si="46"/>
        <v>-2508.66</v>
      </c>
      <c r="M74" s="2"/>
      <c r="N74" s="19">
        <f t="shared" si="47"/>
        <v>-0.71675999999999995</v>
      </c>
      <c r="O74" s="11"/>
      <c r="P74" s="2">
        <f>--20336.25</f>
        <v>20336.25</v>
      </c>
      <c r="Q74" s="2"/>
      <c r="R74" s="19">
        <f t="shared" si="48"/>
        <v>5.3586956521739129E-2</v>
      </c>
      <c r="S74" s="2"/>
      <c r="T74" s="2">
        <v>26650</v>
      </c>
      <c r="U74" s="2"/>
      <c r="V74" s="19">
        <f t="shared" si="49"/>
        <v>6.8719749772438346E-2</v>
      </c>
      <c r="W74" s="2"/>
      <c r="X74" s="2">
        <f t="shared" si="50"/>
        <v>-6313.75</v>
      </c>
      <c r="Y74" s="2"/>
      <c r="Z74" s="19">
        <f t="shared" si="51"/>
        <v>-0.23691369606003751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8" t="s">
        <v>3</v>
      </c>
      <c r="C76" s="28"/>
      <c r="D76" s="20">
        <f>+D17-D19+D73</f>
        <v>11667.250000000004</v>
      </c>
      <c r="E76" s="14"/>
      <c r="F76" s="22">
        <f>IF(D$12=0,0,D76/D$12)</f>
        <v>0.26932710064635279</v>
      </c>
      <c r="G76" s="14"/>
      <c r="H76" s="20">
        <f>+H17-H19+H73</f>
        <v>3834.6524991538463</v>
      </c>
      <c r="I76" s="14"/>
      <c r="J76" s="22">
        <f>IF(H$12=0,0,H76/H$12)</f>
        <v>0.13117546947469799</v>
      </c>
      <c r="K76" s="16"/>
      <c r="L76" s="20">
        <f>+D76-H76</f>
        <v>7832.5975008461573</v>
      </c>
      <c r="M76" s="16"/>
      <c r="N76" s="22">
        <f>IF(H76=0,0,L76/H76)</f>
        <v>2.0425833899093848</v>
      </c>
      <c r="O76" s="29"/>
      <c r="P76" s="20">
        <f>+P17-P19+P73</f>
        <v>31653.169999999984</v>
      </c>
      <c r="Q76" s="14"/>
      <c r="R76" s="22">
        <f>IF(P$12=0,0,P76/P$12)</f>
        <v>8.3407562582345149E-2</v>
      </c>
      <c r="S76" s="14"/>
      <c r="T76" s="20">
        <f>+T17-T19+T73</f>
        <v>50875.437336749979</v>
      </c>
      <c r="U76" s="14"/>
      <c r="V76" s="22">
        <f>IF(T$12=0,0,T76/T$12)</f>
        <v>0.13118751682344562</v>
      </c>
      <c r="W76" s="16"/>
      <c r="X76" s="20">
        <f>+P76-T76</f>
        <v>-19222.267336749996</v>
      </c>
      <c r="Y76" s="16"/>
      <c r="Z76" s="22">
        <f>IF(T76=0,0,X76/T76)</f>
        <v>-0.37783001666434324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2"/>
      <c r="B78" s="10" t="s">
        <v>14</v>
      </c>
      <c r="C78" s="10"/>
      <c r="D78" s="4">
        <v>6400.95</v>
      </c>
      <c r="E78" s="4"/>
      <c r="F78" s="12">
        <f>IF(D$12=0,0,D78/D$12)</f>
        <v>0.14775969529085872</v>
      </c>
      <c r="G78" s="4"/>
      <c r="H78" s="4">
        <v>2212</v>
      </c>
      <c r="I78" s="4"/>
      <c r="J78" s="12">
        <f>IF(H$12=0,0,H78/H$12)</f>
        <v>7.5667909554270857E-2</v>
      </c>
      <c r="K78" s="4"/>
      <c r="L78" s="4">
        <f>+D78-H78</f>
        <v>4188.95</v>
      </c>
      <c r="M78" s="4"/>
      <c r="N78" s="12">
        <f>IF(H78=0,0,L78/H78)</f>
        <v>1.8937386980108499</v>
      </c>
      <c r="O78" s="10"/>
      <c r="P78" s="4">
        <v>40664.339999999997</v>
      </c>
      <c r="Q78" s="4"/>
      <c r="R78" s="12">
        <f>IF(P$12=0,0,P78/P$12)</f>
        <v>0.10715241106719367</v>
      </c>
      <c r="S78" s="4"/>
      <c r="T78" s="4">
        <v>45331</v>
      </c>
      <c r="U78" s="4"/>
      <c r="V78" s="12">
        <f>IF(T$12=0,0,T78/T$12)</f>
        <v>0.11689061827145977</v>
      </c>
      <c r="W78" s="4"/>
      <c r="X78" s="4">
        <f>+P78-T78</f>
        <v>-4666.6600000000035</v>
      </c>
      <c r="Y78" s="4"/>
      <c r="Z78" s="12">
        <f>IF(T78=0,0,X78/T78)</f>
        <v>-0.10294632811982977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8" t="s">
        <v>4</v>
      </c>
      <c r="C80" s="28"/>
      <c r="D80" s="31">
        <f>+D76-D78</f>
        <v>5266.3000000000038</v>
      </c>
      <c r="E80" s="14"/>
      <c r="F80" s="34">
        <f>IF(D$12=0,0,D80/D$12)</f>
        <v>0.12156740535549408</v>
      </c>
      <c r="G80" s="14"/>
      <c r="H80" s="31">
        <f>+H76-H78</f>
        <v>1622.6524991538463</v>
      </c>
      <c r="I80" s="14"/>
      <c r="J80" s="34">
        <f>IF(H$12=0,0,H80/H$12)</f>
        <v>5.5507559920427128E-2</v>
      </c>
      <c r="K80" s="16"/>
      <c r="L80" s="31">
        <f>D80-H80</f>
        <v>3643.6475008461575</v>
      </c>
      <c r="M80" s="16"/>
      <c r="N80" s="34">
        <f>IF(H80=0,0,L80/H80)</f>
        <v>2.2454884842849507</v>
      </c>
      <c r="O80" s="29"/>
      <c r="P80" s="31">
        <f>+P76-P78</f>
        <v>-9011.1700000000128</v>
      </c>
      <c r="Q80" s="14"/>
      <c r="R80" s="34">
        <f>IF(P$12=0,0,P80/P$12)</f>
        <v>-2.3744848484848518E-2</v>
      </c>
      <c r="S80" s="14"/>
      <c r="T80" s="31">
        <f>+T76-T78</f>
        <v>5544.4373367499793</v>
      </c>
      <c r="U80" s="14"/>
      <c r="V80" s="34">
        <f>IF(T$12=0,0,T80/T$12)</f>
        <v>1.4296898551985857E-2</v>
      </c>
      <c r="W80" s="16"/>
      <c r="X80" s="31">
        <f>P80-T80</f>
        <v>-14555.607336749992</v>
      </c>
      <c r="Y80" s="16"/>
      <c r="Z80" s="34">
        <f>IF(T80=0,0,X80/T80)</f>
        <v>-2.6252632057488725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8" t="s">
        <v>5</v>
      </c>
      <c r="C83" s="28"/>
      <c r="D83" s="32">
        <f>SUM(D80:D82)</f>
        <v>5266.3000000000038</v>
      </c>
      <c r="E83" s="14"/>
      <c r="F83" s="35">
        <f>IF(D$12=0,0,D83/D$12)</f>
        <v>0.12156740535549408</v>
      </c>
      <c r="G83" s="14"/>
      <c r="H83" s="32">
        <f>SUM(H80:H82)</f>
        <v>1622.6524991538463</v>
      </c>
      <c r="I83" s="14"/>
      <c r="J83" s="35">
        <f>IF(H$12=0,0,H83/H$12)</f>
        <v>5.5507559920427128E-2</v>
      </c>
      <c r="K83" s="16"/>
      <c r="L83" s="32">
        <f>+D83-H83</f>
        <v>3643.6475008461575</v>
      </c>
      <c r="M83" s="16"/>
      <c r="N83" s="35">
        <f>IF(H83=0,0,L83/H83)</f>
        <v>2.2454884842849507</v>
      </c>
      <c r="O83" s="29"/>
      <c r="P83" s="32">
        <f>SUM(P80:P82)</f>
        <v>-9011.1700000000128</v>
      </c>
      <c r="Q83" s="14"/>
      <c r="R83" s="35">
        <f>IF(P$12=0,0,P83/P$12)</f>
        <v>-2.3744848484848518E-2</v>
      </c>
      <c r="S83" s="14"/>
      <c r="T83" s="32">
        <f>SUM(T80:T82)</f>
        <v>5544.4373367499793</v>
      </c>
      <c r="U83" s="14"/>
      <c r="V83" s="35">
        <f>IF(T$12=0,0,T83/T$12)</f>
        <v>1.4296898551985857E-2</v>
      </c>
      <c r="W83" s="16"/>
      <c r="X83" s="32">
        <f>+P83-T83</f>
        <v>-14555.607336749992</v>
      </c>
      <c r="Y83" s="16"/>
      <c r="Z83" s="35">
        <f>IF(T83=0,0,X83/T83)</f>
        <v>-2.6252632057488725</v>
      </c>
    </row>
    <row r="84" spans="1:26" ht="15.75" thickTop="1" x14ac:dyDescent="0.25">
      <c r="A84" s="9"/>
      <c r="C84" s="9"/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57">
        <v>43934.467010682871</v>
      </c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A86" s="9"/>
      <c r="B86" s="62" t="s">
        <v>314</v>
      </c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A87" s="9"/>
      <c r="B87" s="60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13</v>
      </c>
    </row>
    <row r="3" spans="1:26" x14ac:dyDescent="0.25">
      <c r="D3" s="54" t="s">
        <v>296</v>
      </c>
      <c r="E3" s="17"/>
      <c r="F3" s="49"/>
      <c r="G3" s="17"/>
      <c r="H3" s="17"/>
      <c r="I3" s="17"/>
      <c r="J3" s="39"/>
      <c r="K3" s="17"/>
      <c r="L3" s="17"/>
      <c r="M3" s="17"/>
      <c r="N3" s="49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9"/>
      <c r="K4" s="17"/>
      <c r="L4" s="17"/>
      <c r="M4" s="17"/>
      <c r="N4" s="49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9"/>
      <c r="K5" s="17"/>
      <c r="L5" s="17"/>
      <c r="M5" s="17"/>
      <c r="N5" s="49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0"/>
      <c r="C6" s="50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9"/>
      <c r="G6" s="17"/>
      <c r="H6" s="17"/>
      <c r="I6" s="17"/>
      <c r="J6" s="39"/>
      <c r="K6" s="17"/>
      <c r="L6" s="17"/>
      <c r="M6" s="17"/>
      <c r="N6" s="49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51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51"/>
      <c r="W9" s="15"/>
      <c r="X9" s="15"/>
      <c r="Y9" s="15"/>
      <c r="Z9" s="40"/>
    </row>
    <row r="10" spans="1:26" x14ac:dyDescent="0.25">
      <c r="A10" s="10"/>
      <c r="B10" s="58"/>
      <c r="C10" s="10"/>
      <c r="D10" s="43" t="s">
        <v>10</v>
      </c>
      <c r="E10" s="33"/>
      <c r="F10" s="37" t="s">
        <v>15</v>
      </c>
      <c r="G10" s="33"/>
      <c r="H10" s="48" t="s">
        <v>11</v>
      </c>
      <c r="I10" s="33"/>
      <c r="J10" s="47" t="s">
        <v>16</v>
      </c>
      <c r="K10" s="10"/>
      <c r="L10" s="43" t="s">
        <v>12</v>
      </c>
      <c r="M10" s="10"/>
      <c r="N10" s="37" t="s">
        <v>17</v>
      </c>
      <c r="O10" s="10"/>
      <c r="P10" s="59" t="s">
        <v>10</v>
      </c>
      <c r="Q10" s="33"/>
      <c r="R10" s="37" t="s">
        <v>15</v>
      </c>
      <c r="S10" s="33"/>
      <c r="T10" s="48" t="s">
        <v>11</v>
      </c>
      <c r="U10" s="33"/>
      <c r="V10" s="47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6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4" t="e">
        <f ca="1">IF(D$12=0,0,D31/D$12)</f>
        <v>#NAME?</v>
      </c>
      <c r="G31" s="14"/>
      <c r="H31" s="31" t="e">
        <f ca="1">+H27-H29</f>
        <v>#NAME?</v>
      </c>
      <c r="I31" s="14"/>
      <c r="J31" s="34" t="e">
        <f ca="1">IF(H$12=0,0,H31/H$12)</f>
        <v>#NAME?</v>
      </c>
      <c r="K31" s="16"/>
      <c r="L31" s="31" t="e">
        <f ca="1">D31-H31</f>
        <v>#NAME?</v>
      </c>
      <c r="M31" s="16"/>
      <c r="N31" s="34" t="e">
        <f ca="1">IF(H31=0,0,L31/H31)</f>
        <v>#NAME?</v>
      </c>
      <c r="O31" s="29"/>
      <c r="P31" s="31" t="e">
        <f ca="1">+P27-P29</f>
        <v>#NAME?</v>
      </c>
      <c r="Q31" s="14"/>
      <c r="R31" s="34" t="e">
        <f ca="1">IF(P$12=0,0,P31/P$12)</f>
        <v>#NAME?</v>
      </c>
      <c r="S31" s="14"/>
      <c r="T31" s="31" t="e">
        <f ca="1">+T27-T29</f>
        <v>#NAME?</v>
      </c>
      <c r="U31" s="14"/>
      <c r="V31" s="34" t="e">
        <f ca="1">IF(T$12=0,0,T31/T$12)</f>
        <v>#NAME?</v>
      </c>
      <c r="W31" s="16"/>
      <c r="X31" s="31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9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7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100</vt:i4>
      </vt:variant>
      <vt:variant>
        <vt:lpstr>Named Ranges</vt:lpstr>
      </vt:variant>
      <vt:variant>
        <vt:i4>4600</vt:i4>
      </vt:variant>
    </vt:vector>
  </HeadingPairs>
  <TitlesOfParts>
    <vt:vector size="4700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314</vt:lpstr>
      <vt:lpstr>308</vt:lpstr>
      <vt:lpstr>311</vt:lpstr>
      <vt:lpstr>324</vt:lpstr>
      <vt:lpstr>331</vt:lpstr>
      <vt:lpstr>315</vt:lpstr>
      <vt:lpstr>326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420</vt:lpstr>
      <vt:lpstr>413</vt:lpstr>
      <vt:lpstr>414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'204'!OSRRefD13x_0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2'!OSRRefD13x_0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'420'!OSRRefD16x_0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'206'!OSRRefD22_10x_0</vt:lpstr>
      <vt:lpstr>'300'!OSRRefD22_10x_0</vt:lpstr>
      <vt:lpstr>'300 &amp; 317'!OSRRefD22_10x_0</vt:lpstr>
      <vt:lpstr>'301'!OSRRefD22_10x_0</vt:lpstr>
      <vt:lpstr>'306'!OSRRefD22_10x_0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'314'!OSRRefD22_10x_0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'430'!OSRRefD22_10x_0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'204'!OSRRefD22_11x_0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'413'!OSRRefD22_11x_0</vt:lpstr>
      <vt:lpstr>'414'!OSRRefD22_11x_0</vt:lpstr>
      <vt:lpstr>'415'!OSRRefD22_11x_0</vt:lpstr>
      <vt:lpstr>'418'!OSRRefD22_11x_0</vt:lpstr>
      <vt:lpstr>'424'!OSRRefD22_11x_0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'204'!OSRRefD22_12x_0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'313'!OSRRefD22_12x_0</vt:lpstr>
      <vt:lpstr>'315'!OSRRefD22_12x_0</vt:lpstr>
      <vt:lpstr>'316'!OSRRefD22_12x_0</vt:lpstr>
      <vt:lpstr>'317'!OSRRefD22_12x_0</vt:lpstr>
      <vt:lpstr>'321'!OSRRefD22_12x_0</vt:lpstr>
      <vt:lpstr>'322'!OSRRefD22_12x_0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'406'!OSRRefD22_12x_0</vt:lpstr>
      <vt:lpstr>'411'!OSRRefD22_12x_0</vt:lpstr>
      <vt:lpstr>'412'!OSRRefD22_12x_0</vt:lpstr>
      <vt:lpstr>'413'!OSRRefD22_12x_0</vt:lpstr>
      <vt:lpstr>'414'!OSRRefD22_12x_0</vt:lpstr>
      <vt:lpstr>'415'!OSRRefD22_12x_0</vt:lpstr>
      <vt:lpstr>'418'!OSRRefD22_12x_0</vt:lpstr>
      <vt:lpstr>'424'!OSRRefD22_12x_0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'Div 6'!OSRRefD22_12x_0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'308'!OSRRefD22_13x_0</vt:lpstr>
      <vt:lpstr>'309'!OSRRefD22_13x_0</vt:lpstr>
      <vt:lpstr>'310'!OSRRefD22_13x_0</vt:lpstr>
      <vt:lpstr>'310 &amp; 491'!OSRRefD22_13x_0</vt:lpstr>
      <vt:lpstr>'311'!OSRRefD22_13x_0</vt:lpstr>
      <vt:lpstr>'313'!OSRRefD22_13x_0</vt:lpstr>
      <vt:lpstr>'315'!OSRRefD22_13x_0</vt:lpstr>
      <vt:lpstr>'316'!OSRRefD22_13x_0</vt:lpstr>
      <vt:lpstr>'321'!OSRRefD22_13x_0</vt:lpstr>
      <vt:lpstr>'322'!OSRRefD22_13x_0</vt:lpstr>
      <vt:lpstr>'325'!OSRRefD22_13x_0</vt:lpstr>
      <vt:lpstr>'326'!OSRRefD22_13x_0</vt:lpstr>
      <vt:lpstr>'330'!OSRRefD22_13x_0</vt:lpstr>
      <vt:lpstr>'331'!OSRRefD22_13x_0</vt:lpstr>
      <vt:lpstr>'332'!OSRRefD22_13x_0</vt:lpstr>
      <vt:lpstr>'405'!OSRRefD22_13x_0</vt:lpstr>
      <vt:lpstr>'406'!OSRRefD22_13x_0</vt:lpstr>
      <vt:lpstr>'411'!OSRRefD22_13x_0</vt:lpstr>
      <vt:lpstr>'412'!OSRRefD22_13x_0</vt:lpstr>
      <vt:lpstr>'413'!OSRRefD22_13x_0</vt:lpstr>
      <vt:lpstr>'414'!OSRRefD22_13x_0</vt:lpstr>
      <vt:lpstr>'415'!OSRRefD22_13x_0</vt:lpstr>
      <vt:lpstr>'418'!OSRRefD22_13x_0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'501'!OSRRefD22_13x_0</vt:lpstr>
      <vt:lpstr>'Div 2'!OSRRefD22_13x_0</vt:lpstr>
      <vt:lpstr>'Div 3'!OSRRefD22_13x_0</vt:lpstr>
      <vt:lpstr>'Div 4'!OSRRefD22_13x_0</vt:lpstr>
      <vt:lpstr>'Div 5'!OSRRefD22_13x_0</vt:lpstr>
      <vt:lpstr>Summary!OSRRefD22_13x_0</vt:lpstr>
      <vt:lpstr>'201'!OSRRefD22_14x_0</vt:lpstr>
      <vt:lpstr>'202'!OSRRefD22_14x_0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'313'!OSRRefD22_14x_0</vt:lpstr>
      <vt:lpstr>'315'!OSRRefD22_14x_0</vt:lpstr>
      <vt:lpstr>'321'!OSRRefD22_14x_0</vt:lpstr>
      <vt:lpstr>'325'!OSRRefD22_14x_0</vt:lpstr>
      <vt:lpstr>'326'!OSRRefD22_14x_0</vt:lpstr>
      <vt:lpstr>'330'!OSRRefD22_14x_0</vt:lpstr>
      <vt:lpstr>'331'!OSRRefD22_14x_0</vt:lpstr>
      <vt:lpstr>'332'!OSRRefD22_14x_0</vt:lpstr>
      <vt:lpstr>'405'!OSRRefD22_14x_0</vt:lpstr>
      <vt:lpstr>'406'!OSRRefD22_14x_0</vt:lpstr>
      <vt:lpstr>'411'!OSRRefD22_14x_0</vt:lpstr>
      <vt:lpstr>'412'!OSRRefD22_14x_0</vt:lpstr>
      <vt:lpstr>'414'!OSRRefD22_14x_0</vt:lpstr>
      <vt:lpstr>'415'!OSRRefD22_14x_0</vt:lpstr>
      <vt:lpstr>'418'!OSRRefD22_14x_0</vt:lpstr>
      <vt:lpstr>'425'!OSRRefD22_14x_0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'501'!OSRRefD22_14x_0</vt:lpstr>
      <vt:lpstr>'Div 2'!OSRRefD22_14x_0</vt:lpstr>
      <vt:lpstr>'Div 3'!OSRRefD22_14x_0</vt:lpstr>
      <vt:lpstr>'Div 4'!OSRRefD22_14x_0</vt:lpstr>
      <vt:lpstr>'Div 5'!OSRRefD22_14x_0</vt:lpstr>
      <vt:lpstr>Summary!OSRRefD22_14x_0</vt:lpstr>
      <vt:lpstr>'201'!OSRRefD22_15x_0</vt:lpstr>
      <vt:lpstr>'202'!OSRRefD22_15x_0</vt:lpstr>
      <vt:lpstr>'203'!OSRRefD22_15x_0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'325'!OSRRefD22_15x_0</vt:lpstr>
      <vt:lpstr>'326'!OSRRefD22_15x_0</vt:lpstr>
      <vt:lpstr>'330'!OSRRefD22_15x_0</vt:lpstr>
      <vt:lpstr>'331'!OSRRefD22_15x_0</vt:lpstr>
      <vt:lpstr>'405'!OSRRefD22_15x_0</vt:lpstr>
      <vt:lpstr>'411'!OSRRefD22_15x_0</vt:lpstr>
      <vt:lpstr>'412'!OSRRefD22_15x_0</vt:lpstr>
      <vt:lpstr>'414'!OSRRefD22_15x_0</vt:lpstr>
      <vt:lpstr>'415'!OSRRefD22_15x_0</vt:lpstr>
      <vt:lpstr>'418'!OSRRefD22_15x_0</vt:lpstr>
      <vt:lpstr>'425'!OSRRefD22_15x_0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'201'!OSRRefD22_16x_0</vt:lpstr>
      <vt:lpstr>'202'!OSRRefD22_16x_0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'325'!OSRRefD22_16x_0</vt:lpstr>
      <vt:lpstr>'326'!OSRRefD22_16x_0</vt:lpstr>
      <vt:lpstr>'331'!OSRRefD22_16x_0</vt:lpstr>
      <vt:lpstr>'405'!OSRRefD22_16x_0</vt:lpstr>
      <vt:lpstr>'411'!OSRRefD22_16x_0</vt:lpstr>
      <vt:lpstr>'415'!OSRRefD22_16x_0</vt:lpstr>
      <vt:lpstr>'418'!OSRRefD22_16x_0</vt:lpstr>
      <vt:lpstr>'425'!OSRRefD22_16x_0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'325'!OSRRefD22_17x_0</vt:lpstr>
      <vt:lpstr>'326'!OSRRefD22_17x_0</vt:lpstr>
      <vt:lpstr>'331'!OSRRefD22_17x_0</vt:lpstr>
      <vt:lpstr>'405'!OSRRefD22_17x_0</vt:lpstr>
      <vt:lpstr>'411'!OSRRefD22_17x_0</vt:lpstr>
      <vt:lpstr>'415'!OSRRefD22_17x_0</vt:lpstr>
      <vt:lpstr>'418'!OSRRefD22_17x_0</vt:lpstr>
      <vt:lpstr>'450'!OSRRefD22_17x_0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'325'!OSRRefD22_18x_0</vt:lpstr>
      <vt:lpstr>'326'!OSRRefD22_18x_0</vt:lpstr>
      <vt:lpstr>'331'!OSRRefD22_18x_0</vt:lpstr>
      <vt:lpstr>'405'!OSRRefD22_18x_0</vt:lpstr>
      <vt:lpstr>'415'!OSRRefD22_18x_0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'405'!OSRRefD22_19x_0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'326'!OSRRefD22_20x_0</vt:lpstr>
      <vt:lpstr>'331'!OSRRefD22_20x_0</vt:lpstr>
      <vt:lpstr>'491'!OSRRefD22_20x_0</vt:lpstr>
      <vt:lpstr>'Div 2'!OSRRefD22_20x_0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'310'!OSRRefD22_22x_0</vt:lpstr>
      <vt:lpstr>'310 &amp; 491'!OSRRefD22_22x_0</vt:lpstr>
      <vt:lpstr>'331'!OSRRefD22_22x_0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'310'!OSRRefD22_23x_0</vt:lpstr>
      <vt:lpstr>'310 &amp; 491'!OSRRefD22_23x_0</vt:lpstr>
      <vt:lpstr>'491'!OSRRefD22_23x_0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'310 &amp; 491'!OSRRefD22_24x_0</vt:lpstr>
      <vt:lpstr>'Div 3'!OSRRefD22_24x_0</vt:lpstr>
      <vt:lpstr>'Div 4'!OSRRefD22_24x_0</vt:lpstr>
      <vt:lpstr>Summary!OSRRefD22_24x_0</vt:lpstr>
      <vt:lpstr>'310 &amp; 491'!OSRRefD22_25x_0</vt:lpstr>
      <vt:lpstr>'Div 3'!OSRRefD22_25x_0</vt:lpstr>
      <vt:lpstr>'Div 4'!OSRRefD22_25x_0</vt:lpstr>
      <vt:lpstr>Summary!OSRRefD22_25x_0</vt:lpstr>
      <vt:lpstr>'Div 3'!OSRRefD22_26x_0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'327'!OSRRefD22_2x_0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'420'!OSRRefD22_2x_0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'420'!OSRRefD22_3x_0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'200'!OSRRefD22_4x_0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'420'!OSRRefD22_4x_0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'420'!OSRRefD22_5x_0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'314'!OSRRefD22_6x_0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'420'!OSRRefD22_6x_0</vt:lpstr>
      <vt:lpstr>'423'!OSRRefD22_6x_0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'314'!OSRRefD22_7x_0</vt:lpstr>
      <vt:lpstr>'315'!OSRRefD22_7x_0</vt:lpstr>
      <vt:lpstr>'316'!OSRRefD22_7x_0</vt:lpstr>
      <vt:lpstr>'317'!OSRRefD22_7x_0</vt:lpstr>
      <vt:lpstr>'320'!OSRRefD22_7x_0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'420'!OSRRefD22_7x_0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'205'!OSRRefD22_8x_0</vt:lpstr>
      <vt:lpstr>'206'!OSRRefD22_8x_0</vt:lpstr>
      <vt:lpstr>'300'!OSRRefD22_8x_0</vt:lpstr>
      <vt:lpstr>'300 &amp; 317'!OSRRefD22_8x_0</vt:lpstr>
      <vt:lpstr>'301'!OSRRefD22_8x_0</vt:lpstr>
      <vt:lpstr>'306'!OSRRefD22_8x_0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'314'!OSRRefD22_8x_0</vt:lpstr>
      <vt:lpstr>'315'!OSRRefD22_8x_0</vt:lpstr>
      <vt:lpstr>'316'!OSRRefD22_8x_0</vt:lpstr>
      <vt:lpstr>'317'!OSRRefD22_8x_0</vt:lpstr>
      <vt:lpstr>'320'!OSRRefD22_8x_0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'430'!OSRRefD22_8x_0</vt:lpstr>
      <vt:lpstr>'433'!OSRRefD22_8x_0</vt:lpstr>
      <vt:lpstr>'435'!OSRRefD22_8x_0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'205'!OSRRefD22_9x_0</vt:lpstr>
      <vt:lpstr>'206'!OSRRefD22_9x_0</vt:lpstr>
      <vt:lpstr>'300'!OSRRefD22_9x_0</vt:lpstr>
      <vt:lpstr>'300 &amp; 317'!OSRRefD22_9x_0</vt:lpstr>
      <vt:lpstr>'301'!OSRRefD22_9x_0</vt:lpstr>
      <vt:lpstr>'306'!OSRRefD22_9x_0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'314'!OSRRefD22_9x_0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'430'!OSRRefD22_9x_0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'307'!OSRRefD25x_0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'330'!OSRRefD25x_0</vt:lpstr>
      <vt:lpstr>'331'!OSRRefD25x_0</vt:lpstr>
      <vt:lpstr>'332'!OSRRefD25x_0</vt:lpstr>
      <vt:lpstr>'411'!OSRRefD25x_0</vt:lpstr>
      <vt:lpstr>'413'!OSRRefD25x_0</vt:lpstr>
      <vt:lpstr>'415'!OSRRefD25x_0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'204'!OSRRefH13x_0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2'!OSRRefH13x_0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'420'!OSRRefH16x_0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'206'!OSRRefH22_10x_0</vt:lpstr>
      <vt:lpstr>'300'!OSRRefH22_10x_0</vt:lpstr>
      <vt:lpstr>'300 &amp; 317'!OSRRefH22_10x_0</vt:lpstr>
      <vt:lpstr>'301'!OSRRefH22_10x_0</vt:lpstr>
      <vt:lpstr>'306'!OSRRefH22_10x_0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'314'!OSRRefH22_10x_0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'430'!OSRRefH22_10x_0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'204'!OSRRefH22_11x_0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'413'!OSRRefH22_11x_0</vt:lpstr>
      <vt:lpstr>'414'!OSRRefH22_11x_0</vt:lpstr>
      <vt:lpstr>'415'!OSRRefH22_11x_0</vt:lpstr>
      <vt:lpstr>'418'!OSRRefH22_11x_0</vt:lpstr>
      <vt:lpstr>'424'!OSRRefH22_11x_0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'204'!OSRRefH22_12x_0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'313'!OSRRefH22_12x_0</vt:lpstr>
      <vt:lpstr>'315'!OSRRefH22_12x_0</vt:lpstr>
      <vt:lpstr>'316'!OSRRefH22_12x_0</vt:lpstr>
      <vt:lpstr>'317'!OSRRefH22_12x_0</vt:lpstr>
      <vt:lpstr>'321'!OSRRefH22_12x_0</vt:lpstr>
      <vt:lpstr>'322'!OSRRefH22_12x_0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'406'!OSRRefH22_12x_0</vt:lpstr>
      <vt:lpstr>'411'!OSRRefH22_12x_0</vt:lpstr>
      <vt:lpstr>'412'!OSRRefH22_12x_0</vt:lpstr>
      <vt:lpstr>'413'!OSRRefH22_12x_0</vt:lpstr>
      <vt:lpstr>'414'!OSRRefH22_12x_0</vt:lpstr>
      <vt:lpstr>'415'!OSRRefH22_12x_0</vt:lpstr>
      <vt:lpstr>'418'!OSRRefH22_12x_0</vt:lpstr>
      <vt:lpstr>'424'!OSRRefH22_12x_0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'Div 6'!OSRRefH22_12x_0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'308'!OSRRefH22_13x_0</vt:lpstr>
      <vt:lpstr>'309'!OSRRefH22_13x_0</vt:lpstr>
      <vt:lpstr>'310'!OSRRefH22_13x_0</vt:lpstr>
      <vt:lpstr>'310 &amp; 491'!OSRRefH22_13x_0</vt:lpstr>
      <vt:lpstr>'311'!OSRRefH22_13x_0</vt:lpstr>
      <vt:lpstr>'313'!OSRRefH22_13x_0</vt:lpstr>
      <vt:lpstr>'315'!OSRRefH22_13x_0</vt:lpstr>
      <vt:lpstr>'316'!OSRRefH22_13x_0</vt:lpstr>
      <vt:lpstr>'321'!OSRRefH22_13x_0</vt:lpstr>
      <vt:lpstr>'322'!OSRRefH22_13x_0</vt:lpstr>
      <vt:lpstr>'325'!OSRRefH22_13x_0</vt:lpstr>
      <vt:lpstr>'326'!OSRRefH22_13x_0</vt:lpstr>
      <vt:lpstr>'330'!OSRRefH22_13x_0</vt:lpstr>
      <vt:lpstr>'331'!OSRRefH22_13x_0</vt:lpstr>
      <vt:lpstr>'332'!OSRRefH22_13x_0</vt:lpstr>
      <vt:lpstr>'405'!OSRRefH22_13x_0</vt:lpstr>
      <vt:lpstr>'406'!OSRRefH22_13x_0</vt:lpstr>
      <vt:lpstr>'411'!OSRRefH22_13x_0</vt:lpstr>
      <vt:lpstr>'412'!OSRRefH22_13x_0</vt:lpstr>
      <vt:lpstr>'413'!OSRRefH22_13x_0</vt:lpstr>
      <vt:lpstr>'414'!OSRRefH22_13x_0</vt:lpstr>
      <vt:lpstr>'415'!OSRRefH22_13x_0</vt:lpstr>
      <vt:lpstr>'418'!OSRRefH22_13x_0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'501'!OSRRefH22_13x_0</vt:lpstr>
      <vt:lpstr>'Div 2'!OSRRefH22_13x_0</vt:lpstr>
      <vt:lpstr>'Div 3'!OSRRefH22_13x_0</vt:lpstr>
      <vt:lpstr>'Div 4'!OSRRefH22_13x_0</vt:lpstr>
      <vt:lpstr>'Div 5'!OSRRefH22_13x_0</vt:lpstr>
      <vt:lpstr>Summary!OSRRefH22_13x_0</vt:lpstr>
      <vt:lpstr>'201'!OSRRefH22_14x_0</vt:lpstr>
      <vt:lpstr>'202'!OSRRefH22_14x_0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'313'!OSRRefH22_14x_0</vt:lpstr>
      <vt:lpstr>'315'!OSRRefH22_14x_0</vt:lpstr>
      <vt:lpstr>'321'!OSRRefH22_14x_0</vt:lpstr>
      <vt:lpstr>'325'!OSRRefH22_14x_0</vt:lpstr>
      <vt:lpstr>'326'!OSRRefH22_14x_0</vt:lpstr>
      <vt:lpstr>'330'!OSRRefH22_14x_0</vt:lpstr>
      <vt:lpstr>'331'!OSRRefH22_14x_0</vt:lpstr>
      <vt:lpstr>'332'!OSRRefH22_14x_0</vt:lpstr>
      <vt:lpstr>'405'!OSRRefH22_14x_0</vt:lpstr>
      <vt:lpstr>'406'!OSRRefH22_14x_0</vt:lpstr>
      <vt:lpstr>'411'!OSRRefH22_14x_0</vt:lpstr>
      <vt:lpstr>'412'!OSRRefH22_14x_0</vt:lpstr>
      <vt:lpstr>'414'!OSRRefH22_14x_0</vt:lpstr>
      <vt:lpstr>'415'!OSRRefH22_14x_0</vt:lpstr>
      <vt:lpstr>'418'!OSRRefH22_14x_0</vt:lpstr>
      <vt:lpstr>'425'!OSRRefH22_14x_0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'501'!OSRRefH22_14x_0</vt:lpstr>
      <vt:lpstr>'Div 2'!OSRRefH22_14x_0</vt:lpstr>
      <vt:lpstr>'Div 3'!OSRRefH22_14x_0</vt:lpstr>
      <vt:lpstr>'Div 4'!OSRRefH22_14x_0</vt:lpstr>
      <vt:lpstr>'Div 5'!OSRRefH22_14x_0</vt:lpstr>
      <vt:lpstr>Summary!OSRRefH22_14x_0</vt:lpstr>
      <vt:lpstr>'201'!OSRRefH22_15x_0</vt:lpstr>
      <vt:lpstr>'202'!OSRRefH22_15x_0</vt:lpstr>
      <vt:lpstr>'203'!OSRRefH22_15x_0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'325'!OSRRefH22_15x_0</vt:lpstr>
      <vt:lpstr>'326'!OSRRefH22_15x_0</vt:lpstr>
      <vt:lpstr>'330'!OSRRefH22_15x_0</vt:lpstr>
      <vt:lpstr>'331'!OSRRefH22_15x_0</vt:lpstr>
      <vt:lpstr>'405'!OSRRefH22_15x_0</vt:lpstr>
      <vt:lpstr>'411'!OSRRefH22_15x_0</vt:lpstr>
      <vt:lpstr>'412'!OSRRefH22_15x_0</vt:lpstr>
      <vt:lpstr>'414'!OSRRefH22_15x_0</vt:lpstr>
      <vt:lpstr>'415'!OSRRefH22_15x_0</vt:lpstr>
      <vt:lpstr>'418'!OSRRefH22_15x_0</vt:lpstr>
      <vt:lpstr>'425'!OSRRefH22_15x_0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'201'!OSRRefH22_16x_0</vt:lpstr>
      <vt:lpstr>'202'!OSRRefH22_16x_0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'325'!OSRRefH22_16x_0</vt:lpstr>
      <vt:lpstr>'326'!OSRRefH22_16x_0</vt:lpstr>
      <vt:lpstr>'331'!OSRRefH22_16x_0</vt:lpstr>
      <vt:lpstr>'405'!OSRRefH22_16x_0</vt:lpstr>
      <vt:lpstr>'411'!OSRRefH22_16x_0</vt:lpstr>
      <vt:lpstr>'415'!OSRRefH22_16x_0</vt:lpstr>
      <vt:lpstr>'418'!OSRRefH22_16x_0</vt:lpstr>
      <vt:lpstr>'425'!OSRRefH22_16x_0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'325'!OSRRefH22_17x_0</vt:lpstr>
      <vt:lpstr>'326'!OSRRefH22_17x_0</vt:lpstr>
      <vt:lpstr>'331'!OSRRefH22_17x_0</vt:lpstr>
      <vt:lpstr>'405'!OSRRefH22_17x_0</vt:lpstr>
      <vt:lpstr>'411'!OSRRefH22_17x_0</vt:lpstr>
      <vt:lpstr>'415'!OSRRefH22_17x_0</vt:lpstr>
      <vt:lpstr>'418'!OSRRefH22_17x_0</vt:lpstr>
      <vt:lpstr>'450'!OSRRefH22_17x_0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'325'!OSRRefH22_18x_0</vt:lpstr>
      <vt:lpstr>'326'!OSRRefH22_18x_0</vt:lpstr>
      <vt:lpstr>'331'!OSRRefH22_18x_0</vt:lpstr>
      <vt:lpstr>'405'!OSRRefH22_18x_0</vt:lpstr>
      <vt:lpstr>'415'!OSRRefH22_18x_0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'405'!OSRRefH22_19x_0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'326'!OSRRefH22_20x_0</vt:lpstr>
      <vt:lpstr>'331'!OSRRefH22_20x_0</vt:lpstr>
      <vt:lpstr>'491'!OSRRefH22_20x_0</vt:lpstr>
      <vt:lpstr>'Div 2'!OSRRefH22_20x_0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'310'!OSRRefH22_22x_0</vt:lpstr>
      <vt:lpstr>'310 &amp; 491'!OSRRefH22_22x_0</vt:lpstr>
      <vt:lpstr>'331'!OSRRefH22_22x_0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'310'!OSRRefH22_23x_0</vt:lpstr>
      <vt:lpstr>'310 &amp; 491'!OSRRefH22_23x_0</vt:lpstr>
      <vt:lpstr>'491'!OSRRefH22_23x_0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'310 &amp; 491'!OSRRefH22_24x_0</vt:lpstr>
      <vt:lpstr>'Div 3'!OSRRefH22_24x_0</vt:lpstr>
      <vt:lpstr>'Div 4'!OSRRefH22_24x_0</vt:lpstr>
      <vt:lpstr>Summary!OSRRefH22_24x_0</vt:lpstr>
      <vt:lpstr>'310 &amp; 491'!OSRRefH22_25x_0</vt:lpstr>
      <vt:lpstr>'Div 3'!OSRRefH22_25x_0</vt:lpstr>
      <vt:lpstr>'Div 4'!OSRRefH22_25x_0</vt:lpstr>
      <vt:lpstr>Summary!OSRRefH22_25x_0</vt:lpstr>
      <vt:lpstr>'Div 3'!OSRRefH22_26x_0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'327'!OSRRefH22_2x_0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'420'!OSRRefH22_2x_0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'420'!OSRRefH22_3x_0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'200'!OSRRefH22_4x_0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'420'!OSRRefH22_4x_0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'420'!OSRRefH22_5x_0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'314'!OSRRefH22_6x_0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'420'!OSRRefH22_6x_0</vt:lpstr>
      <vt:lpstr>'423'!OSRRefH22_6x_0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'314'!OSRRefH22_7x_0</vt:lpstr>
      <vt:lpstr>'315'!OSRRefH22_7x_0</vt:lpstr>
      <vt:lpstr>'316'!OSRRefH22_7x_0</vt:lpstr>
      <vt:lpstr>'317'!OSRRefH22_7x_0</vt:lpstr>
      <vt:lpstr>'320'!OSRRefH22_7x_0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'420'!OSRRefH22_7x_0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'205'!OSRRefH22_8x_0</vt:lpstr>
      <vt:lpstr>'206'!OSRRefH22_8x_0</vt:lpstr>
      <vt:lpstr>'300'!OSRRefH22_8x_0</vt:lpstr>
      <vt:lpstr>'300 &amp; 317'!OSRRefH22_8x_0</vt:lpstr>
      <vt:lpstr>'301'!OSRRefH22_8x_0</vt:lpstr>
      <vt:lpstr>'306'!OSRRefH22_8x_0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'314'!OSRRefH22_8x_0</vt:lpstr>
      <vt:lpstr>'315'!OSRRefH22_8x_0</vt:lpstr>
      <vt:lpstr>'316'!OSRRefH22_8x_0</vt:lpstr>
      <vt:lpstr>'317'!OSRRefH22_8x_0</vt:lpstr>
      <vt:lpstr>'320'!OSRRefH22_8x_0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'430'!OSRRefH22_8x_0</vt:lpstr>
      <vt:lpstr>'433'!OSRRefH22_8x_0</vt:lpstr>
      <vt:lpstr>'435'!OSRRefH22_8x_0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'205'!OSRRefH22_9x_0</vt:lpstr>
      <vt:lpstr>'206'!OSRRefH22_9x_0</vt:lpstr>
      <vt:lpstr>'300'!OSRRefH22_9x_0</vt:lpstr>
      <vt:lpstr>'300 &amp; 317'!OSRRefH22_9x_0</vt:lpstr>
      <vt:lpstr>'301'!OSRRefH22_9x_0</vt:lpstr>
      <vt:lpstr>'306'!OSRRefH22_9x_0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'314'!OSRRefH22_9x_0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'430'!OSRRefH22_9x_0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'307'!OSRRefH25x_0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'330'!OSRRefH25x_0</vt:lpstr>
      <vt:lpstr>'331'!OSRRefH25x_0</vt:lpstr>
      <vt:lpstr>'332'!OSRRefH25x_0</vt:lpstr>
      <vt:lpstr>'411'!OSRRefH25x_0</vt:lpstr>
      <vt:lpstr>'413'!OSRRefH25x_0</vt:lpstr>
      <vt:lpstr>'415'!OSRRefH25x_0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'204'!OSRRefP13x_0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2'!OSRRefP13x_0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'420'!OSRRefP16x_0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'206'!OSRRefP22_10x_0</vt:lpstr>
      <vt:lpstr>'300'!OSRRefP22_10x_0</vt:lpstr>
      <vt:lpstr>'300 &amp; 317'!OSRRefP22_10x_0</vt:lpstr>
      <vt:lpstr>'301'!OSRRefP22_10x_0</vt:lpstr>
      <vt:lpstr>'306'!OSRRefP22_10x_0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'314'!OSRRefP22_10x_0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'430'!OSRRefP22_10x_0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'204'!OSRRefP22_11x_0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'413'!OSRRefP22_11x_0</vt:lpstr>
      <vt:lpstr>'414'!OSRRefP22_11x_0</vt:lpstr>
      <vt:lpstr>'415'!OSRRefP22_11x_0</vt:lpstr>
      <vt:lpstr>'418'!OSRRefP22_11x_0</vt:lpstr>
      <vt:lpstr>'424'!OSRRefP22_11x_0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'204'!OSRRefP22_12x_0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'313'!OSRRefP22_12x_0</vt:lpstr>
      <vt:lpstr>'315'!OSRRefP22_12x_0</vt:lpstr>
      <vt:lpstr>'316'!OSRRefP22_12x_0</vt:lpstr>
      <vt:lpstr>'317'!OSRRefP22_12x_0</vt:lpstr>
      <vt:lpstr>'321'!OSRRefP22_12x_0</vt:lpstr>
      <vt:lpstr>'322'!OSRRefP22_12x_0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'406'!OSRRefP22_12x_0</vt:lpstr>
      <vt:lpstr>'411'!OSRRefP22_12x_0</vt:lpstr>
      <vt:lpstr>'412'!OSRRefP22_12x_0</vt:lpstr>
      <vt:lpstr>'413'!OSRRefP22_12x_0</vt:lpstr>
      <vt:lpstr>'414'!OSRRefP22_12x_0</vt:lpstr>
      <vt:lpstr>'415'!OSRRefP22_12x_0</vt:lpstr>
      <vt:lpstr>'418'!OSRRefP22_12x_0</vt:lpstr>
      <vt:lpstr>'424'!OSRRefP22_12x_0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'Div 6'!OSRRefP22_12x_0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'308'!OSRRefP22_13x_0</vt:lpstr>
      <vt:lpstr>'309'!OSRRefP22_13x_0</vt:lpstr>
      <vt:lpstr>'310'!OSRRefP22_13x_0</vt:lpstr>
      <vt:lpstr>'310 &amp; 491'!OSRRefP22_13x_0</vt:lpstr>
      <vt:lpstr>'311'!OSRRefP22_13x_0</vt:lpstr>
      <vt:lpstr>'313'!OSRRefP22_13x_0</vt:lpstr>
      <vt:lpstr>'315'!OSRRefP22_13x_0</vt:lpstr>
      <vt:lpstr>'316'!OSRRefP22_13x_0</vt:lpstr>
      <vt:lpstr>'321'!OSRRefP22_13x_0</vt:lpstr>
      <vt:lpstr>'322'!OSRRefP22_13x_0</vt:lpstr>
      <vt:lpstr>'325'!OSRRefP22_13x_0</vt:lpstr>
      <vt:lpstr>'326'!OSRRefP22_13x_0</vt:lpstr>
      <vt:lpstr>'330'!OSRRefP22_13x_0</vt:lpstr>
      <vt:lpstr>'331'!OSRRefP22_13x_0</vt:lpstr>
      <vt:lpstr>'332'!OSRRefP22_13x_0</vt:lpstr>
      <vt:lpstr>'405'!OSRRefP22_13x_0</vt:lpstr>
      <vt:lpstr>'406'!OSRRefP22_13x_0</vt:lpstr>
      <vt:lpstr>'411'!OSRRefP22_13x_0</vt:lpstr>
      <vt:lpstr>'412'!OSRRefP22_13x_0</vt:lpstr>
      <vt:lpstr>'413'!OSRRefP22_13x_0</vt:lpstr>
      <vt:lpstr>'414'!OSRRefP22_13x_0</vt:lpstr>
      <vt:lpstr>'415'!OSRRefP22_13x_0</vt:lpstr>
      <vt:lpstr>'418'!OSRRefP22_13x_0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'501'!OSRRefP22_13x_0</vt:lpstr>
      <vt:lpstr>'Div 2'!OSRRefP22_13x_0</vt:lpstr>
      <vt:lpstr>'Div 3'!OSRRefP22_13x_0</vt:lpstr>
      <vt:lpstr>'Div 4'!OSRRefP22_13x_0</vt:lpstr>
      <vt:lpstr>'Div 5'!OSRRefP22_13x_0</vt:lpstr>
      <vt:lpstr>Summary!OSRRefP22_13x_0</vt:lpstr>
      <vt:lpstr>'201'!OSRRefP22_14x_0</vt:lpstr>
      <vt:lpstr>'202'!OSRRefP22_14x_0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'313'!OSRRefP22_14x_0</vt:lpstr>
      <vt:lpstr>'315'!OSRRefP22_14x_0</vt:lpstr>
      <vt:lpstr>'321'!OSRRefP22_14x_0</vt:lpstr>
      <vt:lpstr>'325'!OSRRefP22_14x_0</vt:lpstr>
      <vt:lpstr>'326'!OSRRefP22_14x_0</vt:lpstr>
      <vt:lpstr>'330'!OSRRefP22_14x_0</vt:lpstr>
      <vt:lpstr>'331'!OSRRefP22_14x_0</vt:lpstr>
      <vt:lpstr>'332'!OSRRefP22_14x_0</vt:lpstr>
      <vt:lpstr>'405'!OSRRefP22_14x_0</vt:lpstr>
      <vt:lpstr>'406'!OSRRefP22_14x_0</vt:lpstr>
      <vt:lpstr>'411'!OSRRefP22_14x_0</vt:lpstr>
      <vt:lpstr>'412'!OSRRefP22_14x_0</vt:lpstr>
      <vt:lpstr>'414'!OSRRefP22_14x_0</vt:lpstr>
      <vt:lpstr>'415'!OSRRefP22_14x_0</vt:lpstr>
      <vt:lpstr>'418'!OSRRefP22_14x_0</vt:lpstr>
      <vt:lpstr>'425'!OSRRefP22_14x_0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'501'!OSRRefP22_14x_0</vt:lpstr>
      <vt:lpstr>'Div 2'!OSRRefP22_14x_0</vt:lpstr>
      <vt:lpstr>'Div 3'!OSRRefP22_14x_0</vt:lpstr>
      <vt:lpstr>'Div 4'!OSRRefP22_14x_0</vt:lpstr>
      <vt:lpstr>'Div 5'!OSRRefP22_14x_0</vt:lpstr>
      <vt:lpstr>Summary!OSRRefP22_14x_0</vt:lpstr>
      <vt:lpstr>'201'!OSRRefP22_15x_0</vt:lpstr>
      <vt:lpstr>'202'!OSRRefP22_15x_0</vt:lpstr>
      <vt:lpstr>'203'!OSRRefP22_15x_0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'325'!OSRRefP22_15x_0</vt:lpstr>
      <vt:lpstr>'326'!OSRRefP22_15x_0</vt:lpstr>
      <vt:lpstr>'330'!OSRRefP22_15x_0</vt:lpstr>
      <vt:lpstr>'331'!OSRRefP22_15x_0</vt:lpstr>
      <vt:lpstr>'405'!OSRRefP22_15x_0</vt:lpstr>
      <vt:lpstr>'411'!OSRRefP22_15x_0</vt:lpstr>
      <vt:lpstr>'412'!OSRRefP22_15x_0</vt:lpstr>
      <vt:lpstr>'414'!OSRRefP22_15x_0</vt:lpstr>
      <vt:lpstr>'415'!OSRRefP22_15x_0</vt:lpstr>
      <vt:lpstr>'418'!OSRRefP22_15x_0</vt:lpstr>
      <vt:lpstr>'425'!OSRRefP22_15x_0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'201'!OSRRefP22_16x_0</vt:lpstr>
      <vt:lpstr>'202'!OSRRefP22_16x_0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'325'!OSRRefP22_16x_0</vt:lpstr>
      <vt:lpstr>'326'!OSRRefP22_16x_0</vt:lpstr>
      <vt:lpstr>'331'!OSRRefP22_16x_0</vt:lpstr>
      <vt:lpstr>'405'!OSRRefP22_16x_0</vt:lpstr>
      <vt:lpstr>'411'!OSRRefP22_16x_0</vt:lpstr>
      <vt:lpstr>'415'!OSRRefP22_16x_0</vt:lpstr>
      <vt:lpstr>'418'!OSRRefP22_16x_0</vt:lpstr>
      <vt:lpstr>'425'!OSRRefP22_16x_0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'325'!OSRRefP22_17x_0</vt:lpstr>
      <vt:lpstr>'326'!OSRRefP22_17x_0</vt:lpstr>
      <vt:lpstr>'331'!OSRRefP22_17x_0</vt:lpstr>
      <vt:lpstr>'405'!OSRRefP22_17x_0</vt:lpstr>
      <vt:lpstr>'411'!OSRRefP22_17x_0</vt:lpstr>
      <vt:lpstr>'415'!OSRRefP22_17x_0</vt:lpstr>
      <vt:lpstr>'418'!OSRRefP22_17x_0</vt:lpstr>
      <vt:lpstr>'450'!OSRRefP22_17x_0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'325'!OSRRefP22_18x_0</vt:lpstr>
      <vt:lpstr>'326'!OSRRefP22_18x_0</vt:lpstr>
      <vt:lpstr>'331'!OSRRefP22_18x_0</vt:lpstr>
      <vt:lpstr>'405'!OSRRefP22_18x_0</vt:lpstr>
      <vt:lpstr>'415'!OSRRefP22_18x_0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'405'!OSRRefP22_19x_0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'326'!OSRRefP22_20x_0</vt:lpstr>
      <vt:lpstr>'331'!OSRRefP22_20x_0</vt:lpstr>
      <vt:lpstr>'491'!OSRRefP22_20x_0</vt:lpstr>
      <vt:lpstr>'Div 2'!OSRRefP22_20x_0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'310'!OSRRefP22_22x_0</vt:lpstr>
      <vt:lpstr>'310 &amp; 491'!OSRRefP22_22x_0</vt:lpstr>
      <vt:lpstr>'331'!OSRRefP22_22x_0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'310'!OSRRefP22_23x_0</vt:lpstr>
      <vt:lpstr>'310 &amp; 491'!OSRRefP22_23x_0</vt:lpstr>
      <vt:lpstr>'491'!OSRRefP22_23x_0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'310 &amp; 491'!OSRRefP22_24x_0</vt:lpstr>
      <vt:lpstr>'Div 3'!OSRRefP22_24x_0</vt:lpstr>
      <vt:lpstr>'Div 4'!OSRRefP22_24x_0</vt:lpstr>
      <vt:lpstr>Summary!OSRRefP22_24x_0</vt:lpstr>
      <vt:lpstr>'310 &amp; 491'!OSRRefP22_25x_0</vt:lpstr>
      <vt:lpstr>'Div 3'!OSRRefP22_25x_0</vt:lpstr>
      <vt:lpstr>'Div 4'!OSRRefP22_25x_0</vt:lpstr>
      <vt:lpstr>Summary!OSRRefP22_25x_0</vt:lpstr>
      <vt:lpstr>'Div 3'!OSRRefP22_26x_0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'327'!OSRRefP22_2x_0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'420'!OSRRefP22_2x_0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'420'!OSRRefP22_3x_0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'200'!OSRRefP22_4x_0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'420'!OSRRefP22_4x_0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'420'!OSRRefP22_5x_0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'314'!OSRRefP22_6x_0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'420'!OSRRefP22_6x_0</vt:lpstr>
      <vt:lpstr>'423'!OSRRefP22_6x_0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'314'!OSRRefP22_7x_0</vt:lpstr>
      <vt:lpstr>'315'!OSRRefP22_7x_0</vt:lpstr>
      <vt:lpstr>'316'!OSRRefP22_7x_0</vt:lpstr>
      <vt:lpstr>'317'!OSRRefP22_7x_0</vt:lpstr>
      <vt:lpstr>'320'!OSRRefP22_7x_0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'420'!OSRRefP22_7x_0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'205'!OSRRefP22_8x_0</vt:lpstr>
      <vt:lpstr>'206'!OSRRefP22_8x_0</vt:lpstr>
      <vt:lpstr>'300'!OSRRefP22_8x_0</vt:lpstr>
      <vt:lpstr>'300 &amp; 317'!OSRRefP22_8x_0</vt:lpstr>
      <vt:lpstr>'301'!OSRRefP22_8x_0</vt:lpstr>
      <vt:lpstr>'306'!OSRRefP22_8x_0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'314'!OSRRefP22_8x_0</vt:lpstr>
      <vt:lpstr>'315'!OSRRefP22_8x_0</vt:lpstr>
      <vt:lpstr>'316'!OSRRefP22_8x_0</vt:lpstr>
      <vt:lpstr>'317'!OSRRefP22_8x_0</vt:lpstr>
      <vt:lpstr>'320'!OSRRefP22_8x_0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'430'!OSRRefP22_8x_0</vt:lpstr>
      <vt:lpstr>'433'!OSRRefP22_8x_0</vt:lpstr>
      <vt:lpstr>'435'!OSRRefP22_8x_0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'205'!OSRRefP22_9x_0</vt:lpstr>
      <vt:lpstr>'206'!OSRRefP22_9x_0</vt:lpstr>
      <vt:lpstr>'300'!OSRRefP22_9x_0</vt:lpstr>
      <vt:lpstr>'300 &amp; 317'!OSRRefP22_9x_0</vt:lpstr>
      <vt:lpstr>'301'!OSRRefP22_9x_0</vt:lpstr>
      <vt:lpstr>'306'!OSRRefP22_9x_0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'314'!OSRRefP22_9x_0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'430'!OSRRefP22_9x_0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'307'!OSRRefP25x_0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'330'!OSRRefP25x_0</vt:lpstr>
      <vt:lpstr>'331'!OSRRefP25x_0</vt:lpstr>
      <vt:lpstr>'332'!OSRRefP25x_0</vt:lpstr>
      <vt:lpstr>'411'!OSRRefP25x_0</vt:lpstr>
      <vt:lpstr>'413'!OSRRefP25x_0</vt:lpstr>
      <vt:lpstr>'415'!OSRRefP25x_0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'204'!OSRRefT13x_0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2'!OSRRefT13x_0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'420'!OSRRefT16x_0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'206'!OSRRefT22_10x_0</vt:lpstr>
      <vt:lpstr>'300'!OSRRefT22_10x_0</vt:lpstr>
      <vt:lpstr>'300 &amp; 317'!OSRRefT22_10x_0</vt:lpstr>
      <vt:lpstr>'301'!OSRRefT22_10x_0</vt:lpstr>
      <vt:lpstr>'306'!OSRRefT22_10x_0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'314'!OSRRefT22_10x_0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'430'!OSRRefT22_10x_0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'204'!OSRRefT22_11x_0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'413'!OSRRefT22_11x_0</vt:lpstr>
      <vt:lpstr>'414'!OSRRefT22_11x_0</vt:lpstr>
      <vt:lpstr>'415'!OSRRefT22_11x_0</vt:lpstr>
      <vt:lpstr>'418'!OSRRefT22_11x_0</vt:lpstr>
      <vt:lpstr>'424'!OSRRefT22_11x_0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'204'!OSRRefT22_12x_0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'313'!OSRRefT22_12x_0</vt:lpstr>
      <vt:lpstr>'315'!OSRRefT22_12x_0</vt:lpstr>
      <vt:lpstr>'316'!OSRRefT22_12x_0</vt:lpstr>
      <vt:lpstr>'317'!OSRRefT22_12x_0</vt:lpstr>
      <vt:lpstr>'321'!OSRRefT22_12x_0</vt:lpstr>
      <vt:lpstr>'322'!OSRRefT22_12x_0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'406'!OSRRefT22_12x_0</vt:lpstr>
      <vt:lpstr>'411'!OSRRefT22_12x_0</vt:lpstr>
      <vt:lpstr>'412'!OSRRefT22_12x_0</vt:lpstr>
      <vt:lpstr>'413'!OSRRefT22_12x_0</vt:lpstr>
      <vt:lpstr>'414'!OSRRefT22_12x_0</vt:lpstr>
      <vt:lpstr>'415'!OSRRefT22_12x_0</vt:lpstr>
      <vt:lpstr>'418'!OSRRefT22_12x_0</vt:lpstr>
      <vt:lpstr>'424'!OSRRefT22_12x_0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'Div 6'!OSRRefT22_12x_0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'308'!OSRRefT22_13x_0</vt:lpstr>
      <vt:lpstr>'309'!OSRRefT22_13x_0</vt:lpstr>
      <vt:lpstr>'310'!OSRRefT22_13x_0</vt:lpstr>
      <vt:lpstr>'310 &amp; 491'!OSRRefT22_13x_0</vt:lpstr>
      <vt:lpstr>'311'!OSRRefT22_13x_0</vt:lpstr>
      <vt:lpstr>'313'!OSRRefT22_13x_0</vt:lpstr>
      <vt:lpstr>'315'!OSRRefT22_13x_0</vt:lpstr>
      <vt:lpstr>'316'!OSRRefT22_13x_0</vt:lpstr>
      <vt:lpstr>'321'!OSRRefT22_13x_0</vt:lpstr>
      <vt:lpstr>'322'!OSRRefT22_13x_0</vt:lpstr>
      <vt:lpstr>'325'!OSRRefT22_13x_0</vt:lpstr>
      <vt:lpstr>'326'!OSRRefT22_13x_0</vt:lpstr>
      <vt:lpstr>'330'!OSRRefT22_13x_0</vt:lpstr>
      <vt:lpstr>'331'!OSRRefT22_13x_0</vt:lpstr>
      <vt:lpstr>'332'!OSRRefT22_13x_0</vt:lpstr>
      <vt:lpstr>'405'!OSRRefT22_13x_0</vt:lpstr>
      <vt:lpstr>'406'!OSRRefT22_13x_0</vt:lpstr>
      <vt:lpstr>'411'!OSRRefT22_13x_0</vt:lpstr>
      <vt:lpstr>'412'!OSRRefT22_13x_0</vt:lpstr>
      <vt:lpstr>'413'!OSRRefT22_13x_0</vt:lpstr>
      <vt:lpstr>'414'!OSRRefT22_13x_0</vt:lpstr>
      <vt:lpstr>'415'!OSRRefT22_13x_0</vt:lpstr>
      <vt:lpstr>'418'!OSRRefT22_13x_0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'501'!OSRRefT22_13x_0</vt:lpstr>
      <vt:lpstr>'Div 2'!OSRRefT22_13x_0</vt:lpstr>
      <vt:lpstr>'Div 3'!OSRRefT22_13x_0</vt:lpstr>
      <vt:lpstr>'Div 4'!OSRRefT22_13x_0</vt:lpstr>
      <vt:lpstr>'Div 5'!OSRRefT22_13x_0</vt:lpstr>
      <vt:lpstr>Summary!OSRRefT22_13x_0</vt:lpstr>
      <vt:lpstr>'201'!OSRRefT22_14x_0</vt:lpstr>
      <vt:lpstr>'202'!OSRRefT22_14x_0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'313'!OSRRefT22_14x_0</vt:lpstr>
      <vt:lpstr>'315'!OSRRefT22_14x_0</vt:lpstr>
      <vt:lpstr>'321'!OSRRefT22_14x_0</vt:lpstr>
      <vt:lpstr>'325'!OSRRefT22_14x_0</vt:lpstr>
      <vt:lpstr>'326'!OSRRefT22_14x_0</vt:lpstr>
      <vt:lpstr>'330'!OSRRefT22_14x_0</vt:lpstr>
      <vt:lpstr>'331'!OSRRefT22_14x_0</vt:lpstr>
      <vt:lpstr>'332'!OSRRefT22_14x_0</vt:lpstr>
      <vt:lpstr>'405'!OSRRefT22_14x_0</vt:lpstr>
      <vt:lpstr>'406'!OSRRefT22_14x_0</vt:lpstr>
      <vt:lpstr>'411'!OSRRefT22_14x_0</vt:lpstr>
      <vt:lpstr>'412'!OSRRefT22_14x_0</vt:lpstr>
      <vt:lpstr>'414'!OSRRefT22_14x_0</vt:lpstr>
      <vt:lpstr>'415'!OSRRefT22_14x_0</vt:lpstr>
      <vt:lpstr>'418'!OSRRefT22_14x_0</vt:lpstr>
      <vt:lpstr>'425'!OSRRefT22_14x_0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'501'!OSRRefT22_14x_0</vt:lpstr>
      <vt:lpstr>'Div 2'!OSRRefT22_14x_0</vt:lpstr>
      <vt:lpstr>'Div 3'!OSRRefT22_14x_0</vt:lpstr>
      <vt:lpstr>'Div 4'!OSRRefT22_14x_0</vt:lpstr>
      <vt:lpstr>'Div 5'!OSRRefT22_14x_0</vt:lpstr>
      <vt:lpstr>Summary!OSRRefT22_14x_0</vt:lpstr>
      <vt:lpstr>'201'!OSRRefT22_15x_0</vt:lpstr>
      <vt:lpstr>'202'!OSRRefT22_15x_0</vt:lpstr>
      <vt:lpstr>'203'!OSRRefT22_15x_0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'325'!OSRRefT22_15x_0</vt:lpstr>
      <vt:lpstr>'326'!OSRRefT22_15x_0</vt:lpstr>
      <vt:lpstr>'330'!OSRRefT22_15x_0</vt:lpstr>
      <vt:lpstr>'331'!OSRRefT22_15x_0</vt:lpstr>
      <vt:lpstr>'405'!OSRRefT22_15x_0</vt:lpstr>
      <vt:lpstr>'411'!OSRRefT22_15x_0</vt:lpstr>
      <vt:lpstr>'412'!OSRRefT22_15x_0</vt:lpstr>
      <vt:lpstr>'414'!OSRRefT22_15x_0</vt:lpstr>
      <vt:lpstr>'415'!OSRRefT22_15x_0</vt:lpstr>
      <vt:lpstr>'418'!OSRRefT22_15x_0</vt:lpstr>
      <vt:lpstr>'425'!OSRRefT22_15x_0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'201'!OSRRefT22_16x_0</vt:lpstr>
      <vt:lpstr>'202'!OSRRefT22_16x_0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'325'!OSRRefT22_16x_0</vt:lpstr>
      <vt:lpstr>'326'!OSRRefT22_16x_0</vt:lpstr>
      <vt:lpstr>'331'!OSRRefT22_16x_0</vt:lpstr>
      <vt:lpstr>'405'!OSRRefT22_16x_0</vt:lpstr>
      <vt:lpstr>'411'!OSRRefT22_16x_0</vt:lpstr>
      <vt:lpstr>'415'!OSRRefT22_16x_0</vt:lpstr>
      <vt:lpstr>'418'!OSRRefT22_16x_0</vt:lpstr>
      <vt:lpstr>'425'!OSRRefT22_16x_0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'325'!OSRRefT22_17x_0</vt:lpstr>
      <vt:lpstr>'326'!OSRRefT22_17x_0</vt:lpstr>
      <vt:lpstr>'331'!OSRRefT22_17x_0</vt:lpstr>
      <vt:lpstr>'405'!OSRRefT22_17x_0</vt:lpstr>
      <vt:lpstr>'411'!OSRRefT22_17x_0</vt:lpstr>
      <vt:lpstr>'415'!OSRRefT22_17x_0</vt:lpstr>
      <vt:lpstr>'418'!OSRRefT22_17x_0</vt:lpstr>
      <vt:lpstr>'450'!OSRRefT22_17x_0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'325'!OSRRefT22_18x_0</vt:lpstr>
      <vt:lpstr>'326'!OSRRefT22_18x_0</vt:lpstr>
      <vt:lpstr>'331'!OSRRefT22_18x_0</vt:lpstr>
      <vt:lpstr>'405'!OSRRefT22_18x_0</vt:lpstr>
      <vt:lpstr>'415'!OSRRefT22_18x_0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'405'!OSRRefT22_19x_0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'326'!OSRRefT22_20x_0</vt:lpstr>
      <vt:lpstr>'331'!OSRRefT22_20x_0</vt:lpstr>
      <vt:lpstr>'491'!OSRRefT22_20x_0</vt:lpstr>
      <vt:lpstr>'Div 2'!OSRRefT22_20x_0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'310'!OSRRefT22_22x_0</vt:lpstr>
      <vt:lpstr>'310 &amp; 491'!OSRRefT22_22x_0</vt:lpstr>
      <vt:lpstr>'331'!OSRRefT22_22x_0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'310'!OSRRefT22_23x_0</vt:lpstr>
      <vt:lpstr>'310 &amp; 491'!OSRRefT22_23x_0</vt:lpstr>
      <vt:lpstr>'491'!OSRRefT22_23x_0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'310 &amp; 491'!OSRRefT22_24x_0</vt:lpstr>
      <vt:lpstr>'Div 3'!OSRRefT22_24x_0</vt:lpstr>
      <vt:lpstr>'Div 4'!OSRRefT22_24x_0</vt:lpstr>
      <vt:lpstr>Summary!OSRRefT22_24x_0</vt:lpstr>
      <vt:lpstr>'310 &amp; 491'!OSRRefT22_25x_0</vt:lpstr>
      <vt:lpstr>'Div 3'!OSRRefT22_25x_0</vt:lpstr>
      <vt:lpstr>'Div 4'!OSRRefT22_25x_0</vt:lpstr>
      <vt:lpstr>Summary!OSRRefT22_25x_0</vt:lpstr>
      <vt:lpstr>'Div 3'!OSRRefT22_26x_0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'327'!OSRRefT22_2x_0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'420'!OSRRefT22_2x_0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'420'!OSRRefT22_3x_0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'200'!OSRRefT22_4x_0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'420'!OSRRefT22_4x_0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'420'!OSRRefT22_5x_0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'314'!OSRRefT22_6x_0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'420'!OSRRefT22_6x_0</vt:lpstr>
      <vt:lpstr>'423'!OSRRefT22_6x_0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'314'!OSRRefT22_7x_0</vt:lpstr>
      <vt:lpstr>'315'!OSRRefT22_7x_0</vt:lpstr>
      <vt:lpstr>'316'!OSRRefT22_7x_0</vt:lpstr>
      <vt:lpstr>'317'!OSRRefT22_7x_0</vt:lpstr>
      <vt:lpstr>'320'!OSRRefT22_7x_0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'420'!OSRRefT22_7x_0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'205'!OSRRefT22_8x_0</vt:lpstr>
      <vt:lpstr>'206'!OSRRefT22_8x_0</vt:lpstr>
      <vt:lpstr>'300'!OSRRefT22_8x_0</vt:lpstr>
      <vt:lpstr>'300 &amp; 317'!OSRRefT22_8x_0</vt:lpstr>
      <vt:lpstr>'301'!OSRRefT22_8x_0</vt:lpstr>
      <vt:lpstr>'306'!OSRRefT22_8x_0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'314'!OSRRefT22_8x_0</vt:lpstr>
      <vt:lpstr>'315'!OSRRefT22_8x_0</vt:lpstr>
      <vt:lpstr>'316'!OSRRefT22_8x_0</vt:lpstr>
      <vt:lpstr>'317'!OSRRefT22_8x_0</vt:lpstr>
      <vt:lpstr>'320'!OSRRefT22_8x_0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'430'!OSRRefT22_8x_0</vt:lpstr>
      <vt:lpstr>'433'!OSRRefT22_8x_0</vt:lpstr>
      <vt:lpstr>'435'!OSRRefT22_8x_0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'205'!OSRRefT22_9x_0</vt:lpstr>
      <vt:lpstr>'206'!OSRRefT22_9x_0</vt:lpstr>
      <vt:lpstr>'300'!OSRRefT22_9x_0</vt:lpstr>
      <vt:lpstr>'300 &amp; 317'!OSRRefT22_9x_0</vt:lpstr>
      <vt:lpstr>'301'!OSRRefT22_9x_0</vt:lpstr>
      <vt:lpstr>'306'!OSRRefT22_9x_0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'314'!OSRRefT22_9x_0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'430'!OSRRefT22_9x_0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'307'!OSRRefT25x_0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'330'!OSRRefT25x_0</vt:lpstr>
      <vt:lpstr>'331'!OSRRefT25x_0</vt:lpstr>
      <vt:lpstr>'332'!OSRRefT25x_0</vt:lpstr>
      <vt:lpstr>'411'!OSRRefT25x_0</vt:lpstr>
      <vt:lpstr>'413'!OSRRefT25x_0</vt:lpstr>
      <vt:lpstr>'415'!OSRRefT25x_0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dcterms:modified xsi:type="dcterms:W3CDTF">2020-04-13T19:01:30Z</dcterms:modified>
</cp:coreProperties>
</file>